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BjwktbwtUSsaU/bIpCiOi4YY/zA=="/>
    </ext>
  </extLst>
</workbook>
</file>

<file path=xl/sharedStrings.xml><?xml version="1.0" encoding="utf-8"?>
<sst xmlns="http://schemas.openxmlformats.org/spreadsheetml/2006/main" count="2644" uniqueCount="2644">
  <si>
    <t>text_review</t>
  </si>
  <si>
    <t>text_review_english</t>
  </si>
  <si>
    <t>score</t>
  </si>
  <si>
    <t>['update', 'jelek', 'aplikasi', 'login', 'mencoba', 'berkali', 'masuk', 'make', 'bagus', 'jaga', 'jelek', '']</t>
  </si>
  <si>
    <t>['sumpah', 'telkomsel', 'susah', 'dibuka', 'alasan', 'kesalahan', 'kuota', 'mahal', 'aplikasi', 'susah', 'diakses', 'mending', 'pindah', 'im', 'paket', 'net', 'murah', 'sinyal', 'bagus', 'paket', 'net', 'net', 'utama', 'simpati', 'khusus', 'nelpon', '']</t>
  </si>
  <si>
    <t>['aplikasi', 'telkomsel', 'buruk', 'membuka', 'aplikasi', 'telkomsel', 'data', 'im', 'memuat', 'buka', 'jaringan', 'im', 'tolong', 'telkomsel', 'perbaiki', 'sistemnya', 'transaksi', 'telkomsel', 'mudah']</t>
  </si>
  <si>
    <t>['update', 'login', 'gini', 'dapet', 'gini', 'ngasih', 'pelayanan', 'pelanggannya', 'kecewa', 'capeekk', 'jam', 'ngurusin', 'login', 'gagal', 'giliran', 'udh', 'msuk', 'beranda', 'loading', 'trus', 'kelar', 'malas']</t>
  </si>
  <si>
    <t>['harga', 'paketan', 'dinaikkan', 'fasilitas', 'dikurangi', 'langganan', 'setia', 'paket', 'combo', 'sakti', 'min', 'voice', 'tsel', 'unlimited', 'skr', 'dpt', 'menit', 'payah', '']</t>
  </si>
  <si>
    <t>['pengen', 'setaaaaaan', 'ciri', 'khas', 'telkomsel', 'mahal', 'sinyal', 'data', 'stabil', 'ikon', 'muncul', 'kenyataannya', 'bintang', 'sinyal', 'simpati', 'penuh', 'dusta', 'alias', 'tipu', 'dirugikan', 'sinyal', 'stabil', '']</t>
  </si>
  <si>
    <t>['telkomsel', 'boss', 'masuk', 'berulang', 'kali', 'coba', 'update', 'bossss', 'tolong', '']</t>
  </si>
  <si>
    <t>['aplikasi', 'dipakai', 'sinyal', 'internet', 'telkomsel', 'pakai', 'internet', 'operator', 'aplikasi', 'dibuka', 'terbuka', 'fitur', 'menunya', 'diakses', 'curang', 'tolong', 'diperbaiki', 'aplikasi', 'dibuka', 'jaringan', 'internet', 'apapun', '']</t>
  </si>
  <si>
    <t>['min', 'tolong', 'perbaiki', 'kekuatan', 'sinyal', 'daerah', 'pandeglang', 'banten', 'sinyal', 'labil', 'kadang', 'kadang', 'kadang', 'udh', 'laporan', 'operator', 'kaga', 'berubah', 'tolong', 'min', 'daerah', 'pandeglang', 'banten', 'tingkat', 'jaringan', 'terimakasih']</t>
  </si>
  <si>
    <t>['jaringan', 'telkomsel', 'buruk', 'rugikan', 'pengguna', 'pakai', 'telkomsel']</t>
  </si>
  <si>
    <t>['tolong', 'harga', 'paket', 'udah', 'mahal', 'jaringan', 'jelek', 'pelanggan', 'pilih', 'telkomsel', 'jaringan', 'bagus', 'mahal', 'bayar', 'mahal', 'jaringan', 'menurun', 'kualitasnya', '']</t>
  </si>
  <si>
    <t>['saran', 'paket', 'telkomsel', 'simpati', 'hemat', 'bersahabat', 'paket', 'aktif', 'harga', 'paket', 'aktif', 'harga', 'pandemi', 'paket', 'hemat', 'bersahabat', 'pecinta', 'telkomsel', 'saran', 'semoga', 'perhatian', 'pertimbangan', 'telkomsel', '']</t>
  </si>
  <si>
    <t>['gunanya', 'poin', 'tuker', 'sinyal', 'parah', 'banget', 'kuota', 'sinyal', 'ful', 'leletnya', 'ampun', 'tolong', 'perbaiki', 'keluhan', 'makasih']</t>
  </si>
  <si>
    <t>['tolong', 'diperbaiki', 'sinyalnya', 'pakai', 'telkomsel', 'kualitas', 'sinyal', 'buruk', 'banget', 'kadang', 'hilang', 'sinyalnya', 'kadang', 'doang', 'kadang', 'memproses', '']</t>
  </si>
  <si>
    <t>['internetnya', 'lumayan', 'sinyalnya', 'lemah', 'strip', 'hujan', 'strip', 'bintangnya', 'aplikasinya', 'susah', 'dibukanya', 'beli', 'paket', 'aplikasi', 'ngga', '']</t>
  </si>
  <si>
    <t>['akses', 'daerah', 'wanamukti', 'parigi', 'moutong', 'sulteng', 'masuk', 'gimana', 'beli', 'paket', 'internetnya', 'pakai', 'indosat', 'internetnya', 'akses', 'telkomselnya']</t>
  </si>
  <si>
    <t>['telkomsel', 'udah', 'payah', 'sinyalnya', 'kayak', 'operator', 'seluler', 'kota', 'udah', 'susah', 'jaringan', 'daerah', 'pedesaan', 'kepulauan', 'sangihe', 'sulawesi', 'utara', 'contohnya', 'masakan', 'operator', 'kencang', 'sinyalnya', 'telkomsel', 'mati', 'lemooooot', 'mengecewakan', 'pelanggan', 'berpindah', 'operator', 'ampun', 'telkomsel', 'perbaiki', 'jaringan', 'selular', 'kepulauan', 'sangihe', 'sulawesi', 'utara', 'telpon', 'ngobrol', 'parahhhh', 'banget']</t>
  </si>
  <si>
    <t>['bagus', 'sampah', 'jaringan', 'kuota', 'mahal', 'umat', 'jaringan', 'kaya', 'sampah', 'maen', 'game', 'ancur', 'lngsng', 'turun', 'edge', 'ketemu', 'musuh', 'sndri', 'bnyak', 'org', 'mengeluhkan', 'tolong', 'dperbaiki', 'jaringan', 'pelanggan', 'kabur', 'provider', '']</t>
  </si>
  <si>
    <t>['apk', 'pubg', 'lancar', 'buka', 'buka', 'apk', 'telkomsel', 'lamaaa', 'ampun', 'lelet', 'bener', 'songong', 'buka', '']</t>
  </si>
  <si>
    <t>['akun', 'masuk', 'aplikasi', 'telkomsel', 'lemot', 'kadang', 'kadang', 'mohon', 'telkomssl', 'membalas', 'kebingungan', 'memggunakan', 'aplikasi']</t>
  </si>
  <si>
    <t>['jaringan', 'telkomsel', 'cuman', 'harga', 'mahal', 'sinyalnya', 'kek', 'sampah', 'harga', 'kualitas', 'cuman', 'gratisan', 'tpi', 'sinyalnya', 'kek', 'sampah', 'cuman', 'angin', 'langsung', 'kagak', 'enak', 'kota', 'probolinggo', 'jawa', 'timur', 'dengerin', 'keluh', 'kesahku']</t>
  </si>
  <si>
    <t>['kasi', 'tema', 'kak', 'terang', 'gelap', 'menyesuaikan', 'buka', 'malam', 'atuu', 'pas', 'lampu', 'padam', 'masi', 'enak', 'lihat', 'mata', 'layar', 'handphone', '']</t>
  </si>
  <si>
    <t>['bagus', 'mudah', 'beli', 'paket', 'kuota', 'murah', 'sayang', 'paket', 'beli', 'udah', 'adain', 'promo', 'paket', 'unlimited', 'telkomsel', 'mempersulit', 'masyarakat', '']</t>
  </si>
  <si>
    <t>['pembayaran', 'aplikasi', 'dana', 'hilang', 'update', 'metode', 'pembayaran', 'mudah', 'dihilangkan', 'mohon', 'diperbaiki']</t>
  </si>
  <si>
    <t>['pakai', 'jaringan', 'ditempat', 'pakai', 'jaringan', 'lancar', 'tower', 'berjejer', 'kalai', 'jaringan', 'ajh', 'susah', 'lodingnya', 'kadang', 'gagal', 'buka', 'apl', 'hadeuuuu', 'pindah', 'sim', 'card', 'ketetangga', 'sebelah', 'gosipnya', 'lancar', 'jaya', '']</t>
  </si>
  <si>
    <t>['emang', 'sinyal', 'kek', 'babi', 'pdhal', 'isi', 'paketan', 'ribu', 'dpt', 'gb', 'tpi', 'sinyal', 'lemot', 'muter', 'trs', 'nge', 'game', 'sinyal', 'kek', 'babi', 'promosi', 'mnding', 'perbaiki', 'sinyal', 'dri', 'pda', 'bnyk', 'keluhan', 'dri', 'orang', 'tntaang', 'sinyal', '']</t>
  </si>
  <si>
    <t>['habis', 'update', 'kacau', 'aplikasi', 'masuk', 'suruh', 'masuk', 'tautan', 'tpi', 'uninstall', 'trus', 'install', 'tpi', 'tetep', 'dahlah', 'males', '']</t>
  </si>
  <si>
    <t>['alangkah', 'baiknya', 'menghapus', 'aplikasi', 'orang', 'emosi', 'aplikasi', 'cacat', '']</t>
  </si>
  <si>
    <t>['terima', 'sms', 'telkomsel', 'download', 'aplikasi', 'telkomsel', 'dapatkan', 'pulsa', 'gratis', 'selesai', 'download', 'telkomsel', 'cek', 'hasilnya', 'pembohong', 'hoax', 'mending', 'download', 'aplikasi', 'telkomsel', 'pembohong', 'penggemar', 'telkomsel', '']</t>
  </si>
  <si>
    <t>['kecewa', 'kali', 'login', 'pulsa', 'udah', 'kepotong', 'duluan', 'gimana', 'daftar', 'paketnya', 'pulsanya', 'udah', 'habis', 'duluan', 'login', 'parah', '']</t>
  </si>
  <si>
    <t>['knp', 'beli', 'paket', 'ceria', 'gagal', 'berhasil', 'status', 'pembayaran', 'diproses', 'skrg', '']</t>
  </si>
  <si>
    <t>['aplikasi', 'ginian', 'koq', 'lemot', 'ampun', 'ngalah', 'aplikasi', 'game', 'buka', 'aplikasi', 'banget', 'belom', 'pindah', 'menu', 'hadehhhh', 'perbaiki', 'dululah', 'boss', 'telkomsel', 'pingin', 'mudah', 'ribet']</t>
  </si>
  <si>
    <t>['ribet', 'bet', 'bet', 'bet', 'aplikasi', 'membingungkan', 'beli', 'paket', 'tlpn', 'mudah', 'membingungkan', 'aplikasi', '']</t>
  </si>
  <si>
    <t>['untung', 'ajah', 'tinggal', 'ntt', 'akui', 'telkomsel', 'merata', 'indonesia', 'harga', 'paket', 'promo', 'bali', 'nusra', 'ngotak', 'kemahalan', 'ditambah', 'jaringan', 'kaga', 'turun', 'mulu', 'udah', 'im', 'move', 'gua', '']</t>
  </si>
  <si>
    <t>['apk', 'tgl', 'buka', 'loading', 'trus', 'menerus', 'ujung', 'menghabiskan', 'kuota', 'update', 'instal', 'ulang', 'udah', 'clear', 'cache', 'smp', 'restart', 'ber', 'kali', 'msh', 'buka', 'situs', 'mytelkomsel', 'chrome', 'masuk', 'smp', '']</t>
  </si>
  <si>
    <t>['kasih', 'bintang', 'kemaren', 'kasih', 'bintang', 'kinerja', 'aplikasi', 'amburadul', 'perubahan', 'update', 'proses', 'masuk', 'aplikasinya', 'saaaangatlah', 'ribet', 'verifikasi', 'via', 'sms', 'via', 'mail', 'tolong', 'permudah', 'proses', 'masuk', 'log', 'bintang', 'lgi', '']</t>
  </si>
  <si>
    <t>['masuk', 'login', 'login', 'maaf', 'tolong', 'udh', 'dwonload', 'trus', 'hpus', 'dwonload', 'tetep', 'udh', 'cari', 'youtube', 'google', 'tetep', 'kaya', 'gada', 'gitu', 'inti', 'nyadimna', 'login', 'akun', 'sosmed', 'tolong', 'maintance', 'emng', 'apk', 'error', '']</t>
  </si>
  <si>
    <t>['diperbaharui', 'masuk', 'aplikasinya', 'udah', 'gitu', 'pulsa', 'habis', 'sampe', 'rupiah', 'pas', 'cek', 'manual', 'karna', 'pakai', 'aplikasi', 'masuk', 'pulsa', 'habis', 'aplikasi', 'telkomsel', 'karna', 'nomor', 'nomor', 'emang', 'skarang', 'telkomsel', 'buruk', 'mengecewakan', 'pengguna', 'setia', 'nomor', 'tolong', 'perbaiki', 'kepercayaan', '']</t>
  </si>
  <si>
    <t>['aps', 'telkomsel', 'dibuka', 'paket', 'data', 'telkomsel', 'aps', 'lancar', 'jaya', 'aps', 'telkomsel', 'ngeblank', '']</t>
  </si>
  <si>
    <t>['udah', 'mahal', 'jaringan', 'stabil', 'main', 'game', 'gaada', 'lancarnya', 'war', 'mobile', 'legend', 'lag', 'kadang', 'ucapan', 'kotor', 'mulut', 'akibat', 'pelayanan', 'jaringan', 'aplikasi', 'aplikasi', 'sampah', '']</t>
  </si>
  <si>
    <t>['buruk', 'log', 'msk', 'internet', 'pdhl', 'aktivasi', 'paket', 'tlp', 'ccr', 'berbelit', 'uninstal', 'instal', 'ttp', 'solusiny', '']</t>
  </si>
  <si>
    <t>['update', 'paket', 'internet', 'beli', 'beli', 'udah', 'berkali', 'ulangi', 'gagal', 'kecewa', '']</t>
  </si>
  <si>
    <t>['masuk', 'mytelkomsel', 'ket', 'sesi', 'pdhl', 'beli', 'paket', 'cek', 'playstore', 'update', 'kasih', 'hadeh', '']</t>
  </si>
  <si>
    <t>['jelek', 'sinyal', 'lup', 'lep', 'apk', 'ribet', 'gimana', 'telkomsel', 'gini', 'jelek', 'tinggalin', 'telkomsel']</t>
  </si>
  <si>
    <t>['aplikasi', 'update', 'tulisan', 'something', 'went', 'wrong', 'load', 'home', 'shop', 'update', 'aman', 'aman']</t>
  </si>
  <si>
    <t>['jaringan', 'payah', 'harga', 'kuota', 'usaha', 'seret', 'min', 'trs', 'update', 'perbaiki', 'jaringannya', 'seandainya', 'didaerah', 'operator', 'psti', 'tinggalkan', 'keluhan', 'coba', 'dipertimbangkan', 'dinaikin', 'trs', 'harga', 'paketnya', 'min']</t>
  </si>
  <si>
    <t>['update', 'boss', 'diupdate', 'lemot', 'apk', 'pdhl', 'jaringan', 'wifi', 'aman', 'apk', 'nge', 'lag', 'ampun', 'deh']</t>
  </si>
  <si>
    <t>['admin', 'tolong', 'aplikasi', 'berat', 'kali', 'gagal', 'masuk', 'gagal', 'jaringan', 'pakai', 'wifi', 'indihome', 'promo', 'paket', 'beli', 'ilang', 'digantikan', 'promo']</t>
  </si>
  <si>
    <t>['udah', 'diupdate', 'gabisa', 'dibuka', 'males', 'telkomsel', 'beli', 'paket', 'internet', 'cash', 'ngutang', 'lambat', '']</t>
  </si>
  <si>
    <t>['mohon', 'maaf', 'kasih', 'ranting', 'mslh', 'telkomsel', 'kesel', 'update', 'lelet', 'sehqrus', 'nys', 'stelah', 'update', 'membaik', 'iya', 'lngsng', 'log', 'out', 'aplikasi', 'pas', 'login', 'nggk', 'tolong', 'aplikasi', 'telkomsel', 'kembalikan', 'spt', 'dlu', 'lancar', 'kendala', 'pelanggan', 'telkomsel', 'berpaling', 'aplikasi']</t>
  </si>
  <si>
    <t>['aplikasi', 'amanah', 'aplikasi', 'terburuk', 'dwonload', 'aplikasi', 'bagus', 'buruk', 'teman', 'korban', 'dwonload', 'aplikasi', 'amanah', 'semoga', 'allah', 'membalas', 'isi', 'kuota', 'kuota', 'ilang', 'ntah', 'darah', 'daging', 'memakan', 'hak', 'orang', 'nauzubilah', 'minzalik']</t>
  </si>
  <si>
    <t>['sumpah', 'gatau', 'kartu', 'udah', 'mahal', 'sinyalnya', 'sampah', 'mending', 'mahal', 'sinyalnya', 'bagus', 'gpp', 'udah', 'mahal', 'sinyalnya', 'sampah', 'pengguna', 'telkomsel', 'kecewa', 'telkomsel', 'mentingin', 'penguna', '']</t>
  </si>
  <si>
    <t>['semnjk', 'tekan', 'perbaharui', 'app', 'tgl', 'juli', 'login', 'slm', 'bertrt', 'wrong', 'connection', 'terima', 'sms', 'otp', 'telkomsel', 'lite', 'unduh', 'awet', 'unduh', 'thn', 'gini']</t>
  </si>
  <si>
    <t>['mohon', 'telkomsel', 'daftarin', 'akun', 'klikfilm', 'apalah', 'daftar', 'pulsa', 'kesodot', 'trus', 'rugi', '']</t>
  </si>
  <si>
    <t>['login', 'update', 'terbaru', 'mmg', 'bugs', 'canggih', 'dimana', 'feedback', 'beralih', 'operator', 'fast', 'respon']</t>
  </si>
  <si>
    <t>['sekian', 'komentar', 'rating', 'cepat', 'berbenah', 'cepat', 'carikan', 'solusinya', 'logo', 'berubah', 'kinerja', 'bedanya', 'perusahaan', 'plat', 'merah', 'tolong', 'tunjukkan', 'pelayananmu', 'garcep', 'masyarakat', 'milik', 'swasta', '']</t>
  </si>
  <si>
    <t>['telkomsel', 'tolong', 'diperbaiki', 'aplikasinya', 'dipakai', 'abis', 'download', 'doang', 'udh', 'aplikasi', 'habis', 'download', 'masuk', 'layar', 'putih', 'doang', 'hapus', 'download', 'aplikasi', 'masuk', 'bodoh', 'banget', 'udh', 'sebulan', 'bener', 'bener', 'aplikasinya', 'alihkan', 'bahasa', 'indonesia', 'langsung', 'nge', 'hang', 'payah', '']</t>
  </si>
  <si>
    <t>['hang', 'system', 'menanggapi', 'mati', 'restart', 'samsung', 'plus', 'terbaru', 'kejadian']</t>
  </si>
  <si>
    <t>['mengecewakan', 'telkomsel', 'aplikasi', 'kali', 'mengalami', 'gangguan', 'uninstall', 'download', 'aplikasi', 'bermasalah', 'telkomsel', 'memperbaiki', 'layanan', 'konsumen', 'berpindah', 'provider', '']</t>
  </si>
  <si>
    <t>['masuk', 'app', 'telkomsel', 'melulu', 'udah', 'unisntal', 'install', 'masuk', 'tulisan', 'kesalahan', 'login', '']</t>
  </si>
  <si>
    <t>['kinerjanya', 'masuk', 'gagal', 'tolonglah', 'benerin', 'masalak', 'koneksinya', 'gini', 'mending', 'pindah', 'im', '']</t>
  </si>
  <si>
    <t>['mohon', 'diperbaiki', 'aplikasinya', 'sistem', 'berhenti', 'buka', 'aplikasi', 'takutnya', 'merusak', 'sistem', 'force', 'closed', 'terimakasih', '']</t>
  </si>
  <si>
    <t>['kasih', 'bintang', 'pemakai', 'setia', 'telkomsel', 'jaringannya', 'diragukan', 'cuman', 'usul', 'pas', 'beli', 'kuota', 'kuota', 'ribet', 'internet', 'udh', 'kepakai', 'makasih', 'telkomsel']</t>
  </si>
  <si>
    <t>['parahh', 'loadingnya', 'banget', 'error', 'muluuu', 'update', 'pagi', 'sore', 'update', 'tetep', 'buka', 'susah', 'bangettt', 'pindah', 'lahhh', '']</t>
  </si>
  <si>
    <t>['udah', 'jaringan', 'susah', 'ditambah', 'paket', 'kuota', 'mahal', 'ppkm', 'provider', 'keringanan', 'pengguna', 'mahal', '']</t>
  </si>
  <si>
    <t>['mengecewakan', 'kali', 'update', 'aplikasi', 'verifikasi', 'membuang', 'setia', 'memakai', 'telkomsel', 'kecewa', 'kali', 'verifikasi', 'nom', 'telpon', 'kode', 'verifikasi', 'diwajibkan', 'memasukkan', 'nama', 'email', 'memasukkan', 'mengulangi', 'step', 'kali', 'masuk', 'mengecewakan', '']</t>
  </si>
  <si>
    <t>['telkomsel', 'paket', 'multimedia', 'tunggu', 'habis', 'kuota', 'utama', 'harganya', 'mahal', 'pelayanan', 'minim', 'kuota', 'sepuasnya', 'sesuai', 'bayar']</t>
  </si>
  <si>
    <t>['susah', 'masuk', 'masuk', 'tautan', 'sms', 'gagal', 'beli', 'paket', 'promo', 'acc', 'mohon', 'tingkatkan', 'terimakasih', '']</t>
  </si>
  <si>
    <t>['internet', 'stabil', 'tampilkan', 'halaman', 'utama', 'lemot', 'aplikasi', 'telkomsel', 'bad', 'bad', 'bad', 'belajar', 'gih', 'aplikasi', 'myim', '']</t>
  </si>
  <si>
    <t>['app', 'udah', 'beres', 'masak', 'daftar', 'paket', 'minggu', 'udah', 'berhenti', 'berlangganan', 'gitu', 'telkomsel', 'masuk', 'sampe', 'bosen', 'mohon', '']</t>
  </si>
  <si>
    <t>['login', 'susah', 'gimana', 'beli', 'kuota', 'kesini', 'payah', 'aplikasinya', 'habis', 'update', 'nge', 'lag', 'parah', 'sent', 'via', 'sms', 'detik', 'koneksinya', 'jelek', 'habis', 'loading', 'habis', 'diklik', 'link', 'muncul', 'something', 'wrong', 'telkomsel', 'kali', 'salah', 'payah', 'banget', 'untung', 'udah', 'murah', 'kuotanya', '']</t>
  </si>
  <si>
    <t>['telkomsel', 'sinyalnya', 'bagus', 'kaya', 'harga', 'pulsanya', 'mahal', 'mahal', 'kualitas', 'bagus', 'menurun', '']</t>
  </si>
  <si>
    <t>['aplikasi', 'taik', 'data', 'hax', 'pakai', 'minggu', 'jarang', 'pakai', 'teman', 'sarankan', 'beli', 'tellkomsel', 'pret', 'beli', 'combo', 'sakti', 'gb', 'pakai']</t>
  </si>
  <si>
    <t>['kecewa', 'pulsa', 'rb', 'beli', 'paket', 'ketenangan', 'rb', 'pas', 'refresh', 'pulsa', 'tinggal', 'rb', 'hanyaa', 'berkali', 'kali', 'mohon', 'respon', 'bantu', 'karna', 'kejadian', '']</t>
  </si>
  <si>
    <t>['kecewa', 'banget', 'aplikasi', 'semenjak', 'grad', 'keversi', 'aplikasi', 'sulit', 'log', 'aplikasi', 'keterangan', 'kesalahan', 'sistem', 'jangkau', 'sinyal', 'stabil', 'bagus', 'mohon', 'tindak', 'lanjuti', 'kenyamanan', 'konsumen']</t>
  </si>
  <si>
    <t>['tolong', 'aplikasi', 'memakan', 'data', 'lemot', 'dri', 'kecepatan', 'pdhal', 'sinyal', 'membuka', 'aplikasi', 'makannya', 'perhatikan', 'yaa', '']</t>
  </si>
  <si>
    <t>['aplikasinya', 'bagus', 'mengecek', 'kuota', 'kurangnya', 'loginannya', 'login', 'masuk', 'chroom', 'google', 'masuk', 'chroom', 'google', 'gagal', 'masuk', 'udh', 'ketahui', '']</t>
  </si>
  <si>
    <t>['bukanya', 'pakai', 'kuota', 'telkomsel', 'pakai', 'wifi', 'kuota', 'pelit', 'aplikasi', 'kasih', 'bintang', 'minus', '']</t>
  </si>
  <si>
    <t>['bagus', 'lengkap', 'makasih', 'telkomsel', '']</t>
  </si>
  <si>
    <t>['ngk', 'buka', 'masuk', 'loading', 'pembeliannya', 'mudah', 'loadingnya', 'ituu', 'kesal', 'mohon', 'mempercepat', 'akses', 'masuk', 'dipersulit', 'dibatasi', 'jaringannya', '']</t>
  </si>
  <si>
    <t>['gimana', 'telkomsel', 'beli', 'paket', 'telkomsel', 'bayar', 'via', 'gopay', 'dana', 'dll', 'tpi', 'via', 'pulsa', 'gimna', 'telkomsel', 'tolong', 'kasih', 'kenyamanan', 'mengunakan', 'aplikasi', '']</t>
  </si>
  <si>
    <t>['telkomsel', 'favoritku', 'jaringannya', 'luas', 'aplikasi', 'update', 'silakan', 'menyedot', 'pulsa', 'harga', 'paketnya', '']</t>
  </si>
  <si>
    <t>['turunkan', 'bintangnya', 'paket', 'combo', 'murah', 'ribu', 'ribu', 'ditengah', 'pandemi', 'penyesuaian', 'tarif', 'murah', 'pengguna', 'kali', 'redeem', 'poin', 'program', 'daily', 'checking', 'kuota', 'gratisnya', 'gagal', 'alasan', 'kegagalan', 'sistem', 'malu', 'pengguna', 'sistem', 'ditingkatkan', 'perbaiki', '']</t>
  </si>
  <si>
    <t>['diperbaharui', 'dicoba', 'berkali', 'tetep', 'liat', 'menu', 'aplikasi', 'tolong', 'perbaikannya', 'pelanggan', 'telkomsel', 'kecewa', 'aplikasi', 'perbaharui', 'dipakai', '']</t>
  </si>
  <si>
    <t>['alhamdulillah', 'jamannya', 'nokia', 'antenanya', 'setia', 'telkomsel', 'semoga', 'bagus', 'pelayanan', 'terima', 'kasih', 'telkomsel']</t>
  </si>
  <si>
    <t>['', 'wilayah', 'indonesia', 'timur', 'sinyal', 'telkomsel', 'mantap', 'pelanggan', 'setia', 'telkomsel', 'semoga', 'sinyal', 'telkomsel', 'wilayah', 'pelosok', 'indonesia']</t>
  </si>
  <si>
    <t>['sumpah', 'jaringan', 'telkomsel', 'jelek', 'bnget', 'udah', 'kuota', 'msh', 'bnyak', 'tpi', 'pas', 'bka', 'salah', 'apl', 'notifx', 'slalu', 'blg', 'jaringan', 'aktif', 'gtu', 'bkin', 'hbs', 'uang', 'udah', 'mahal', 'jelek', 'drrrr', 'mending', 'gua', 'beralih', 'kuning', 'msh', 'mnding', '']</t>
  </si>
  <si>
    <t>['ribet', 'susah', 'masuk', 'boss', 'operator', 'gampang', 'bumn', 'berbelit', 'belit', '']</t>
  </si>
  <si>
    <t>['keren', 'ngebantu', 'pengguna', 'telkomsel', 'ngisi', 'pulsa', 'telkomsel', 'via', 'saldo', 'ovo', 'aplikasi', 'biaya', 'admin', 'mantap', 'semoga', 'kembangin', '']</t>
  </si>
  <si>
    <t>['pengguna', 'telkomsel', 'bertahun', 'kali', 'kecewa', 'pagi', 'membeli', 'paket', 'data', 'opsi', 'pembayaran', 'dana', 'hilang', 'menu', 'beli', 'paket', 'data', 'dana', 'ngga', 'beli', 'pulsa', 'beli', 'paket', 'data', '']</t>
  </si>
  <si>
    <t>['aplikasinya', 'kyak', 'bikinan', 'developer', 'amatiran', 'gabisa', 'masuk', 'update', 'udah', 'seminggu', 'tetep', 'gabisa', 'masuk', 'dahlah', 'mending', 'ganti', 'provider']</t>
  </si>
  <si>
    <t>['tolong', 'diperbaiki', 'diperbarui', 'aplikasi', 'jelek', 'susah', 'logika', 'aplikasi', 'buruk', 'membantu', 'pelanggan', 'aplikasi', 'gagal', 'install', 'berulang', 'ulang', 'kali', '']</t>
  </si>
  <si>
    <t>['pelanggan', 'telkomsel', 'aplikasi', 'telkomsel', 'ganti', 'logo', 'bagus', 'aplikasi', 'cepat', 'buka', 'fitur', 'fitur', 'ganti', 'logo', 'mundur', 'kebelakang', 'buka', 'apk', 'sinyal', 'uninstall', 'install', 'mundur', 'pelayanan', 'aplikasi', 'tolong', 'diperbaiki', 'aplikasi', 'terimakasih', '']</t>
  </si>
  <si>
    <t>['update', 'pas', 'buka', 'aplikasi', 'update', 'klik', 'update', 'masuk', 'playstore', 'update', 'muter', 'solusinya', 'gmn', '']</t>
  </si>
  <si>
    <t>['mantap', 'bot', 'boong']</t>
  </si>
  <si>
    <t>['telkom', 'kenaoa', 'putus', 'sinyal', 'mohon', 'perbaiki', 'telkom', 'udh', 'kecewain', '']</t>
  </si>
  <si>
    <t>['aplikasi', 'semenjak', 'ganti', 'logo', 'skrg', 'lemot', 'banget', 'dibuka', 'serius', 'beli', 'kuota', 'aplikasi', 'hr', 'buka', 'jaringannya', '']</t>
  </si>
  <si>
    <t>['aplikasi', 'sulit', 'dibuka', 'tagihan', 'dikirim', 'email', 'sms', 'sulit', 'lapor', 'kantor', '']</t>
  </si>
  <si>
    <t>['uninstall', 'apk', 'seribet', 'login', 'login', 'susah', 'gimana', 'pilih', 'daftar', 'paket', '']</t>
  </si>
  <si>
    <t>['update', 'nambah', 'nambah', 'buruk', 'masuk', 'susah', 'beda', 'aplikasi', 'provider', 'mohon', 'diperbaiki', '']</t>
  </si>
  <si>
    <t>['mytelkomsel', 'pelit', 'suka', 'mengambil', 'dana', 'cuatomer', 'aplikasi', 'terjelek', 'provider', 'paketan', 'hotspot', 'provider', 'pas', 'pakai', 'data', 'seluler', 'telkomsel', 'paketan', '']</t>
  </si>
  <si>
    <t>['update', 'aplikasi', 'lemot', 'gunanya', 'update', 'mempersulit', 'pengguna', 'mendingan', 'hapus', 'end', 'continue', '']</t>
  </si>
  <si>
    <t>['aplikasi', 'susah', 'loading', 'sistem', 'jaringan', 'sibuk', 'kuota', 'mencukupi', 'streaming', 'buka', 'aplikasi', 'telkomsel', 'mutar', '']</t>
  </si>
  <si>
    <t>['update', 'terbaru', 'boros', 'kuota', 'login', 'menunggu', 'input', 'memotong', 'data', 'kb', 'detik', 'standby', 'layar', 'men', 'download', 'memotong', 'data', 'coba', 'perhatikan', 'hapenya', 'status', 'kuota', 'its', 'bad', 'bad']</t>
  </si>
  <si>
    <t>['aplikasi', 'terburuk', 'updet', 'dipake', 'nomor', 'login', 'tolong', 'kembalikan', 'telkomsel', 'tampilan', 'jelek', 'membingungkan']</t>
  </si>
  <si>
    <t>['buruk', 'telkomsel', 'beli', 'paket', 'combo', 'pulsa', 'pulsa', 'giliran', 'coba', 'paket', 'hilang', 'aduhh', '']</t>
  </si>
  <si>
    <t>['maaf', 'kasi', 'bintang', 'karna', 'pengalaman', 'buruk', 'telkomsel', 'tolong', 'perbaiki', 'day', 'chek', 'mengklaim', '']</t>
  </si>
  <si>
    <t>['paket', 'game', 'pakai', 'tolong', 'stengah', 'mahal', 'persulit', 'untung', 'ntt', 'jakarta', 'udah', 'gua', 'patah', 'kartu', 'terpaksa', 'gua']</t>
  </si>
  <si>
    <t>['something', 'went', 'wrong', 'please', 'try', 'again', 'later', 'udah', 'sepekan', 'dicoba', 'gitu', 'astagaa', 'digaji', 'gimana', '']</t>
  </si>
  <si>
    <t>['redeem', 'poin', 'undian', 'memakan', 'penukarannya', 'saran', 'poin', 'diredeem', 'bayangkan', 'poin', 'tukar', 'undian', 'bolak', 'klik', 'halaman', 'tukar', 'poin', 'halaman', 'utama', '']</t>
  </si>
  <si>
    <t>['pulsa', 'gua', 'isi', 'ribu', 'beli', 'paket', 'internet', 'gb', 'minggu', 'ribu', 'gua', 'internetan', 'jam', 'notif', 'masuk', 'pulsa', 'mencukupi', 'gimana', 'ceritanya', 'paket', 'internet', 'dipake', 'internetan', 'nyedot', 'pulsanya', 'paket', 'internetnya', 'utuh', 'next', 'mohon', 'kasih', 'deskripsi', 'telkomsel', 'internetnya', 'bisanya', 'bener', 'bener', 'kecewa', 'pulsa', 'ngisi', 'udah', 'langsung', 'ludes', 'sukses', 'telkomsel', 'jaya', 'jaya', 'jaya', '']</t>
  </si>
  <si>
    <t>['jaringan', 'internet', 'tekomsel', 'berkendala', 'tmpat', 'lopor', 'gital', 'telkomsel', 'slow', 'respon', 'jaringan', 'internet', 'telkomsel', 'bagus', 'kyak', 'niat', 'perbaiki', 'jaringan', 'pelanggan', 'rugi', 'pelanggan', 'telkomsel', 'jaringan', 'internet', 'merosot', 'bagus', 'daerah', 'tinggal', '']</t>
  </si>
  <si>
    <t>['pembelian', 'paket', 'fitur', 'ewalet', 'tampilkan', 'mytelkomsel', 'dana', 'kemaren', 'msh', 'lengkap', 'gopay', 'ovo', 'dana', 'dana', 'hilang', 'kaikan', 'pembelian', 'paket']</t>
  </si>
  <si>
    <t>['buruk', 'susah', 'login', 'udah', 'hapus', 'trus', 'dowload', 'tetep', 'login', 'keren', 'provider', 'tetangga', 'logonya', 'warna', 'kuning', 'loginnya', 'gampang', 'walopun', 'paket', 'data', 'masuk', 'aplikasi']</t>
  </si>
  <si>
    <t>['gila', 'pulsa', 'rb', 'lenyap', 'gitu', 'untung', 'cepat', 'ganti', 'jaringan', 'masuk', 'aplikasi', 'jaringan', 'kartuny', 'kartuny', 'kouta', 'gmn', 'masuk', 'coba', 'bli', 'aplikasi', 'jaringan', 'kartuny', 'eror', 'aplikasi', 'update', 'ribet', 'bukanny', 'nyaman', 'kesal', 'negara', 'ribet', 'hadehhhh']</t>
  </si>
  <si>
    <t>['aplikasi', 'ngk', 'buka', 'muter', 'pulsa', 'berkurang', 'aplikasi', 'sblmny', 'top', 'update', 'hemmz', 'ngk', 'beli', 'paket', 'aplikasi', '']</t>
  </si>
  <si>
    <t>['aplikasinya', 'susah', 'dibuka', 'sms', 'melulu', 'trus', 'loading', 'loading', 'doang', 'payah', 'beli', 'diproses', 'proses', 'doang', 'payah', 'aplikasinya', '']</t>
  </si>
  <si>
    <t>['pelayanan', 'telkomsel', 'buruk', 'faktor', 'monopoli', 'pakai', 'menyesal', 'beralih', 'kartu', 'halo', 'prabayar', 'dirayu', 'rayu', 'dijebak', '']</t>
  </si>
  <si>
    <t>['gagal', 'klaim', 'hadiah', 'check', 'kepotong', 'poin', 'pulsa', 'pulsa', 'habis', 'kesedot', 'kali', 'beli', 'pulsa', 'habis', 'kesedot', 'habis', 'kemana', 'kuota', 'hubungi', 'via', 'email', 'respon', 'alakadarnya', 'tindak', 'lanjuti', 'kecewa', 'pelayanannya', 'pakai', 'telkomsel', 'belasan', 'pembaruan', 'perbaiki', 'suka', 'telkomsel', 'versi', 'main', 'sedot', 'pulsa', 'sembarangan', 'cocok', 'ram', '']</t>
  </si>
  <si>
    <t>['update', 'mulu', 'perbaikan', 'login', 'susah', 'udah', 'login', 'page', 'kebuka', 'udah', 'refresh', 'kebuka', 'burik', 'gini', '']</t>
  </si>
  <si>
    <t>['woiii', 'tolong', 'perbaiki', 'knpa', 'isi', 'kouta', 'bacaan', 'maaf', 'sistem', 'sibuk', 'mohon', 'tunggu', 'tolong', 'perbaikan', 'engga', 'kaya', 'gtu']</t>
  </si>
  <si>
    <t>['tolong', 'devoloper', 'please', 'banget', 'pleassseeeeee', 'banget', 'tolong', 'perbaikan', 'jaringan', 'jngn', 'stengah', 'menggangu', 'kenyaman', 'pengguna', 'kartu', 'telkomsel', 'jujur', 'puas', 'layanan', 'jaringan', 'menggangu', 'main', 'game', 'cape', 'kerja', 'main', 'game', 'hilangin', 'cape', 'emosi', 'tolong', 'banget', 'lasih', 'kenyamanan', 'main', 'dll', 'maki', 'takut', 'dosa']</t>
  </si>
  <si>
    <t>['aplikasi', 'setres', 'bukak', 'hapus', 'play', 'store', 'udh', 'update', 'muncul', 'menunya', 'internet', 'lancar', 'masuk', 'susah', 'masuk', 'eeehh', 'muncul', 'menunya', 'maaf', 'menu', 'paket', 'blom', 'tersedia', 'hhhhhhhaaaa', 'aplikasi', 'eror']</t>
  </si>
  <si>
    <t>['aplikasi', 'jelek', 'bobrok', 'diupdate', 'login', 'masukin', 'verifikasi', 'tautan', 'connect', 'tolong', 'diperbaiki', 'login', 'susah', 'mending', 'kartu', 'im', 'payah', 'telkomsel', 'ditanggapi', 'dibaca', 'doang', '']</t>
  </si>
  <si>
    <t>['kecewa', 'banget', 'buka', 'aplikasi', 'telkomsel', 'loading', 'update', 'aplikasi', 'telkomsel', 'update', 'terbaru']</t>
  </si>
  <si>
    <t>['pulsa', 'berkurang', 'isi', 'ulang', 'pemberitahuan', 'pemaketan', 'apapun', 'habis', 'paket', 'datanya', '']</t>
  </si>
  <si>
    <t>['lokasi', 'tembus', 'kecepatan', 'internet', 'mbps', 'lelet', 'banget', 'min', 'mohon', 'perbaiki', 'admin', 'terimakasih', 'frekuensi', 'nama', 'desa', 'desa', 'lalapin', 'kec', 'piani', 'kab', 'tapin', '']</t>
  </si>
  <si>
    <t>['taeeeeekkkk', 'niat', 'kasih', 'promo', 'bohong', 'bahasa', 'menipu', 'bahasa', 'promonya', 'gede', 'langit', 'cuman', 'omong', 'kosong', 'sampe', 'menit', 'langsung', 'uninstallllll', '']</t>
  </si>
  <si>
    <t>['buruk', 'jangkauan', 'terluas', 'tpi', 'serba', 'susah', 'download', 'susah', 'buka', 'aplikasi', 'susah', 'penggunaannya', 'susah', 'sanga', 'berbeda', 'telkomsel', 'yeng', 'buruk', 'kesannya', '']</t>
  </si>
  <si>
    <t>['udah', 'beli', 'paket', 'masuk', 'masuk', 'respon', 'nyedot', 'pulsa', 'kecewa', 'telkomsel', 'udah', 'berlangganan', 'kecewain']</t>
  </si>
  <si>
    <t>['woi', 'developer', 'telkom', 'metode', 'pembayaran', 'dana', 'hilang', 'make', 'dana', 'beli', 'kouta', 'telkom', 'hilang', 'mengecewakan', 'kecewa', 'banget', 'dihilangkan', 'gitu', 'nyaman', 'banget']</t>
  </si>
  <si>
    <t>['plise', 'telkom', 'benerin', 'sinyal', 'paket', 'game', 'pas', 'login', 'sinyal', 'turun', 'ijo', 'merah', 'mending', 'kuning', 'temen', 'gua', 'indosat', 'lancar', 'pas', 'hospotin', 'ngarasain', 'indosat', 'lancar', 'aman', 'plise', 'benerin', 'gua', 'ganti', 'kartu', 'solna', 'chatan']</t>
  </si>
  <si>
    <t>['enak', 'harga', 'kualitas', 'skrg', 'sengaja', 'telkomsel', 'mahal', 'enak', 'skrg', 'maen', 'game', 'sinyal', 'ilang', 'mulu', 'sampe', 'lancar', 'aman', 'aman', 'gada', 'bedanya', 'jelek', 'jelek', 'benerin', 'napa', 'telkomsel']</t>
  </si>
  <si>
    <t>['harga', 'paket', 'doang', 'mahal', 'giliran', 'jaringan', 'hancur', 'lebur', 'paket', 'harganya', 'selangit', 'sesuai', 'kulitas', 'jaringan']</t>
  </si>
  <si>
    <t>['maaf', 'ganti', 'provider', 'telkomsel', 'mahal', 'paketannya', 'lemot', 'jaringannya', 'isi', 'pulsa', 'telkomsel', 'isi', 'pulsanya', 'ganti', 'provider']</t>
  </si>
  <si>
    <t>['maaf', 'kasih', 'bintang', 'pulsa', 'makan', 'aplikasi', 'kecewa', 'perusahaan', 'termakan', 'pulsa', 'terimakasi', '']</t>
  </si>
  <si>
    <t>['', 'apk', 'ganti', 'logo', 'trus', 'update', 'gabisa', 'buka', 'kebuka', 'cuman', 'gaads', 'conten', 'sinyal', 'kenceng', 'beli', 'paket', 'via', 'telkomsel', 'gabisa', 'apk', 'bukanya', 'update', 'gini', 'bagus', 'versi', 'kemarin', '']</t>
  </si>
  <si>
    <t>['telkomsel', 'pengguna', 'bagus', 'sinyal', 'susah', 'males', 'pakek', 'telkomsel', 'tolong', 'sinyal', 'perbaiki', 'enak', 'penggunanya']</t>
  </si>
  <si>
    <t>['setahu', 'ane', 'telkomsel', 'jaringan', 'kuat', 'knp', 'jaringan', 'buruk', 'sinyal', 'lemah', 'ayolah', 'telkomsel', 'mahal', 'jaringan', 'sinyal', 'musti', 'kencang', 'kaya', 'gini', 'pindah', 'hati', 'nihh', 'lagii', 'jomblo', 'lagii', 'hah', '']</t>
  </si>
  <si>
    <t>['tolong', 'jaringan', 'perbaiki', 'lancar', 'stabil', 'ngelag', 'mulu', 'apalah', 'udah', 'ngelag', 'boros', 'orang', 'beli', 'make', 'uang', 'daun', '']</t>
  </si>
  <si>
    <t>['min', 'aplikasinya', 'nggak', 'eror', 'uninstal', 'download', 'nggak', 'ngajar', 'min', 'butuh', 'kuota', 'kecewa', 'min', 'gini', 'nggak', 'nangis', 'min', '']</t>
  </si>
  <si>
    <t>['maaf', 'kuota', 'unlimited', 'aplikasi', 'music', 'game', 'dll', 'kepake', 'sllu', 'ngabisin', 'kuota', 'utama', 'mulu', 'kuota', 'utama', 'abis', 'lnsung', 'lmbat', 'kuota', 'unlimited', 'aplikasi', 'cok', 'rugi', 'bgini', 'mndingan', 'pindah', 'provider', '']</t>
  </si>
  <si>
    <t>['baca', 'ulasan', 'orang', 'kecewa', 'abal', 'abal', 'aplikasi', 'cap', 'til', 'lacur', 'mahal', 'buka', 'aplikasinya', 'muter', 'kayak', 'ayam', 'keracunan', 'alesan', 'murah', 'harga', 'jt', 'alesan', 'singnal', 'buka', 'aplikasi', 'lancar', 'jaya', '']</t>
  </si>
  <si>
    <t>['kesini', 'kartu', 'diupdate', 'telkomsel', 'kartu', 'halo', 'dipakai', 'aktivasi', 'banking', 'udh', 'gitu', 'update', 'jaringannya', 'download', 'gambar', 'butuh', 'detik']</t>
  </si>
  <si>
    <t>['depannya', 'privasi', 'diprioritaskan', 'mengganggu', 'bebasnya', 'cenderung', 'penipuan', 'mengakses', 'nomor', 'user', 'telkomsel', '']</t>
  </si>
  <si>
    <t>['aplikasi', 'paketan', 'bagus', 'sinyal', 'jelek', 'coba', 'lihat', 'complain', 'malu', 'perusahaan', 'kwitas', 'buruk', '']</t>
  </si>
  <si>
    <t>['aplikasi', 'lelet', 'login', 'susah', 'tolong', 'perbaiki', 'memprioritaskan', 'telkomsel', 'kecewakan', 'kam', '']</t>
  </si>
  <si>
    <t>['suka', 'log', 'out', 'log', 'suka', 'kali', 'diulang', 'update', 'aplikasi', 'ngelag', 'parah', 'pindah', 'menu', 'menu', 'pembayaran', 'credit', 'card', 'kayaknya', 'diarahin', 'link', 'dkk', 'menguntungkan', 'telkomsel', 'sekelas', 'telkomsel', 'aplikasi', 'parah', '']</t>
  </si>
  <si>
    <t>['sampah', 'aplikasi', 'sialan', 'logout', 'trus', 'login', 'nggak', 'error', 'mulu', 'dih', 'udah', 'kirain', 'udah', 'bener', 'aplikasi', 'nggak', 'sumpah', 'emosi', 'doang', 'pagi', 'sampe', 'malem', 'error', 'mulu', 'sumpah', 'gedek', 'bentukan', 'orang', 'gamparin']</t>
  </si>
  <si>
    <t>['haduhh', 'payah', 'complain', 'telkomsel', 'perbedaan', 'tolong', 'liat', 'myim', 'aplikasinya', 'berjalan', 'login', 'susah']</t>
  </si>
  <si>
    <t>['hey', 'tolong', 'kesulitan', 'beli', 'paket', 'internet', 'karna', 'aplikasinya', 'buruk', 'dibuka', 'mohon', 'respon', 'mulia', '']</t>
  </si>
  <si>
    <t>['apk', 'bersahabat', 'kali', 'login', 'app', 'sesi', 'abis', 'sesi', 'abis', 'kecewa', 'login', 'susah', 'apk', 'berat', 'makan', 'resource', 'kuota', 'pengembang', 'gimana', 'oke', '']</t>
  </si>
  <si>
    <t>['habis', 'update', 'terbaru', 'mytelkomsel', 'pembayaran', 'paket', 'aplikasi', 'dana', 'update', 'muncul', 'pembayaran', 'dana', 'karna', 'sya', 'beli', 'paket', 'pembayaran', 'app', 'dana', '']</t>
  </si>
  <si>
    <t>['layanan', 'ask', 'veronika', 'pajangan', 'chat', 'berminggu', 'minggu', 'jwban', 'kuota', 'belajar', 'pakek', 'aplikasi', 'google', 'meet', 'zoom', 'berkurang', 'kuota', 'utama', 'berkurang', 'beli', 'kuota', 'belajar', '']</t>
  </si>
  <si>
    <t>['update', 'masuk', 'login', 'ulang', 'berhasil', 'update', 'klik', 'update', 'masuk', 'apk', '']</t>
  </si>
  <si>
    <t>['bintang', 'kasih', 'bintang', 'update', 'mudah', 'payah', 'login', 'ribet', 'susah', 'kesalahan', 'evaluasi', 'enakan', 'versi', '']</t>
  </si>
  <si>
    <t>['paraaahh', 'buka', 'aplikasi', 'lolaaa', 'banget', 'jaringan', 'aman', 'apps', 'nemuin', 'kek', 'gini', 'gedek', 'sumpahh', 'udahmah', 'buru', 'beli', 'paket', 'lolaaa', '']</t>
  </si>
  <si>
    <t>['knpa', 'telkomsel', 'buruk', 'jeleeeeeek', 'update', 'berkali', 'kali', 'bsa', 'bka', 'mna', 'telkomsel', 'telkomsel', 'bru', 'sungguh', 'bergunaaaaaaa', '']</t>
  </si>
  <si>
    <t>['tekomsel', 'bagus', 'terbesar', 'trbanyak', 'penggunanya', 'dibanding', 'provider', 'nomer', 'ane', 'telkomsel', 'sampe', 'ane', 'buka', 'aplikasi', 'telkomsel', 'susah', 'kali', 'leletnya', 'parah', 'tinggal', 'kopi', 'ngopi', 'sampe', 'abis', 'kopi', 'terbuka', 'pdhl', 'jaringan', 'internet', 'aman', 'buka', 'aplikasi', 'lancar', 'jaya', 'download', 'streamming', 'dll', 'aman', 'buka', 'aplikasi', 'telkomsel', 'sabar', 'syg', 'telkomsel', 'yuk', 'berubah', '']</t>
  </si>
  <si>
    <t>['kecewa', 'telkomsel', 'beli', 'kuota', 'gb', 'rb', 'bln', 'trs', 'rb', 'skrg', 'make', 'pdhl', 'beli', 'hr', 'skrg', 'udh', 'telkomsel', 'internet']</t>
  </si>
  <si>
    <t>['keren', 'banget', 'paket', 'spesial', 'telepon', 'harga', 'keren', 'sihhhhhh', '']</t>
  </si>
  <si>
    <t>['telkomsel', 'mempersulit', 'update', 'stlh', 'update', 'msh', 'nga', 'buka', 'telkomsel', 'otw', 'pindah']</t>
  </si>
  <si>
    <t>['kagett', 'pulsa', 'tersisa', 'update', 'aplikasi', 'mytelkomsel', 'isi', 'pulsa', 'diupdate', 'saldo', 'isi', 'pulsa', 'top', 'aplikasi', 'mytelkomsel', 'pulsa', 'bertambah']</t>
  </si>
  <si>
    <t>['telkomsel', 'kemarin', 'beli', 'unlimitedmax', 'sebulan', 'paket', 'internet', 'habis', 'karna', 'multimedia', 'paket', 'internet', 'habis', 'multimedia', 'berlaku', 'sebulan', 'kesusahan', 'daring', '']</t>
  </si>
  <si>
    <t>['paraaaah', 'masuk', 'aplikasi', 'ribetnya', 'ampun', 'hrs', 'login', 'sms', 'udh', 'nyoba', 'masuk', 'link', 'dikirim', 'sms', 'masuk', 'koq', 'provider', 'seribet', '']</t>
  </si>
  <si>
    <t>['mohon', 'telkomsel', 'tolong', 'balikin', 'paket', 'unlimited', 'max', 'batas', 'pengguna', 'telkomsel', 'resah', 'unlimited', 'max', 'dibatas', 'pegguna', 'telkomsel', 'pindah', 'indosat', 'indosat', 'paket', 'bug', 'aplikasi', 'unlimited', 'membantu', 'pelajar', 'kuota', 'okeh', 'segitu', 'keluhan', 'pengguna', 'telkomsel', 'semuapaket', 'unlimited', 'max', 'dibatas']</t>
  </si>
  <si>
    <t>['aneh', 'aplikasi', 'penawaran', 'paketnya', 'contohnya', 'pas', 'isi', 'pulsa', 'iseng', 'iseng', 'cek', 'paketan', 'kuota', 'gede', 'dibawah', 'ribu', 'pas', 'beliin', 'pulsa', 'rencana', 'beli', 'kuota', 'clink', 'penawaran', 'ilang', 'langsung', 'ganti', 'mahal', 'mahal', 'hadeeeh']</t>
  </si>
  <si>
    <t>['telkomsel', 'provider', 'pencuri', 'pulsanya', 'tolong', 'kasih', 'daftar', 'penggunaan', 'saldo', 'mytelkomsel', 'pakai', 'isi', 'rb', 'habis', 'keluhan', 'tanggapin', 'tambahin', 'sistem', 'lock', 'pulsa', 'kaya', 'axis']</t>
  </si>
  <si>
    <t>['buka', 'app', 'konfirmasi', 'nomor', 'ttap', 'akses', 'beli', 'paket', 'nggak', 'internet', 'service', 'nggak', 'connection', 'pulsa', 'rb', '']</t>
  </si>
  <si>
    <t>['telkomsel', 'jaringan', 'dipercepatkan', 'update', 'bagus', 'iklan', 'janringan', 'cepat', 'mudal', 'lag', 'cuih', '']</t>
  </si>
  <si>
    <t>['', 'update', 'bagus', 'ngadet', 'aplikasinya', 'masuk', 'aplikasi', 'samsek', 'trus', 'masuk', 'buka', 'menu', 'memudahkan']</t>
  </si>
  <si>
    <t>['login', 'gagal', 'koneksi', 'internet', 'bagus', 'stabil', 'tolong', 'diperbaiki', 'menggangu', 'pengguna', 'aplikasi', 'telkomsel']</t>
  </si>
  <si>
    <t>['cuman', 'merk', 'simpati', 'simpatinya', 'masyarakat', 'naikin', 'harga', 'pandemi', 'memanfaatkan', 'penderitaan', 'kesusahan', 'orang', 'serba', 'mahal', 'jaringan', 'berantakan']</t>
  </si>
  <si>
    <t>['lancar', 'apanya', 'malih', 'burik', 'masuk', 'susah', 'verifikasi', 'via', 'tautan', 'pin', 'jadul', 'sekelas', 'bumn', 'parah', '']</t>
  </si>
  <si>
    <t>['aplikasi', 'jelek', 'stabil', 'udah', 'login', 'app', 'login', 'susah', 'error', 'beda', 'app', 'operator', 'stabil', 'nama', 'usia', 'operator', 'pengalaman', 'berbanding', 'lurus', 'kemudahan', 'kestabilan', 'aplikasi', 'faktanya', 'aplikasi', 'berjalan', 'aplikasi', 'jelek', 'notif', 'muncul', 'stabil', 'perubahan', 'logo', 'perusahaan', 'disertai', 'perubahan', 'peningkatan', 'pelayanan', 'software', 'good', 'very', 'bad', 'don', 'like', '']</t>
  </si>
  <si>
    <t>['aplikasi', 'buruk', 'buka', 'aplikasi', 'susah', 'daftar', 'paket', 'lemot', 'kalah', 'aplikasi', 'sekelas', 'telkomsel', 'aplikasi', 'sungguh', 'ironis', 'menang', 'brand', 'kualitas']</t>
  </si>
  <si>
    <t>['', 'ampun', 'orang', 'udah', 'update', 'latest', 'version', 'pas', 'buka', 'aplikasi', 'suruh', 'update', 'apanya', 'dipdate', 'play', 'store', 'udah', 'versi']</t>
  </si>
  <si>
    <t>['hallo', 'telkomsel', 'jaringan', 'internetnya', 'bagus', 'mengecewakan', 'udah', 'sanggup', 'melayani', 'costumer', 'kah', 'terima', 'kasih']</t>
  </si>
  <si>
    <t>['maaf', 'uninstall', 'lelettt', 'jaringan', 'kecepatan', 'internet', 'kenceng', 'knapa', 'aplikasi', 'muter', 'doank', 'abis', 'kuota', 'cma', 'masuk', 'beranda', 'aplikasinya', 'kecewaaaaaaaaa', 'gini', 'mending', 'uninstall']</t>
  </si>
  <si>
    <t>['telkomsel', 'buruk', 'pembelian', 'kuota', 'internet', 'mahal', 'ditambah', 'jaringan', 'eror', 'plus', 'aplikasih', 'cacat', 'dengarkan', 'keluhan', 'konsumen', 'menang', 'konsumen', 'berhak', 'kualitas', 'produk', 'dibelinya', 'berkewajiban', 'menawarkan', 'layanan', 'terbaik', 'produk', 'jual', 'menutup', 'kedepannya', 'kalah', 'saing', 'produk', 'menawarkan', 'kualitas', '']</t>
  </si>
  <si>
    <t>['tolong', 'daerah', 'jagakarsa', 'srengseng', 'sawah', 'cipedak', 'jaringanya', 'diperbaiki', 'jaringanya', 'kartu', 'emang', 'digunung', 'kecewa', 'gua', 'kartu', 'lancar', 'lancar', 'jaringanya', 'masuk', 'akal', 'wkwkwkw', 'kah', 'telkomsel', 'bangkruttt', '']</t>
  </si>
  <si>
    <t>['membantu', 'aplikasinya', 'memudahkan', 'pengguna', 'promo', 'diadakan', 'telkomsel', 'kuota', 'dsb', 'semangat', 'ngedevelopnyaa', '']</t>
  </si>
  <si>
    <t>['udah', 'aplikasi', 'telkomsel', 'dibuka', 'pdhal', 'jaringannya', 'bagus', 'update', 'telkomsel', 'eror', 'cek', 'kuota', 'beli', 'paketan', 'mengecewakan', 'aplikasi', 'telkomsel']</t>
  </si>
  <si>
    <t>['main', 'jaringan', 'suka', 'lag', 'login', 'ulang', 'main', 'game', 'huuuuuhhhhh', 'merugikan', '']</t>
  </si>
  <si>
    <t>['telkomsel', 'kesini', 'jelek', 'aplikasi', 'buka', 'aplikasinya', 'udah', 'uninstall', 'sampe', 'instal', 'berkali', 'tetep', 'kadang', 'aplikasinya', 'tolong', 'perbarui', 'aplikasi', 'pengguna', 'telkomsel', 'kecewa', 'aplikasi', 'telkomsel', 'beli', 'paketan', 'susah']</t>
  </si>
  <si>
    <t>['aplikasi', 'bermanfaat', 'update', 'update', 'woowww', 'login', 'kualitas', 'pembuat', 'mempengaruhi', 'hasil', 'sayang', 'banget', 'sekolah', 'universitas', 'terbaik', 'jamin', 'menghasilkan', 'manusia', 'berkualitas', 'rip', 'bumn', 'telkomsel', '']</t>
  </si>
  <si>
    <t>['kuota', 'belajar', 'telkomsel', 'emg', 'google', 'meet', 'diriku', 'beli', 'kuota', 'belajar', 'pas', 'kuota', 'utama', 'habis', 'pulsa', 'kesedot', 'google', 'meet', '']</t>
  </si>
  <si>
    <t>['tolong', 'jaringan', 'absen', 'susah', 'ajg', 'udh', 'mahal', 'tpi', 'pelayanan', 'jelek', 'sumpah', 'lag', 'bngt', 'telkom', 'tinggal', 'kota', 'lag', 'parah']</t>
  </si>
  <si>
    <t>['sekian', 'pakai', 'aplikasi', 'kali', 'login', 'terpaksa', 'hrs', 'dihapus', 'apk', 'brp', 'keuntungan', 'telkomsel', 'jaringan', 'apk', 'kalah', 'dibandingkan', 'operator', 'tks']</t>
  </si>
  <si>
    <t>['taiiilahh', 'boros', 'ajg', 'beli', 'pagi', 'sore', 'udh', 'gb', 'pagi', 'najiisss', 'mah', 'karna', 'kartu', 'dri', 'pemerintah', 'nunggu', 'dikirim', 'lgi', 'tpi', 'ampe', 'skrg', 'dikirim', 'kirim', 'parahhh', 'mnding', 'ganti', 'kartu']</t>
  </si>
  <si>
    <t>['bertahun', 'nyaman', 'telkomsel', 'sebulan', 'trahir', 'sjak', 'update', 'karuan', 'login', 'coba', 'hapus', 'instal', 'ulang', 'hapus', 'data', 'smua', 'hasil', 'terpaksa', 'bintang', 'smula', 'detik', 'hapus', 'bintang', 'andai', 'bintang', 'kasih']</t>
  </si>
  <si>
    <t>['apalah', 'maunya', 'aplikasi', 'banget', 'log', 'out', 'login', 'dicoba', 'berhari', 'error', 'emosii', 'hamba']</t>
  </si>
  <si>
    <t>['aplikasi', 'sampah', 'login', 'susah', 'buka', 'pakai', 'jaringan', 'telkom', 'kalah', 'mym', 'beli', 'paket', 'bos', 'isi', 'ulang', 'buka', 'apk', 'pakai', 'provider', 'pakai', 'telkom', 'diambil', 'pulsa', '']</t>
  </si>
  <si>
    <t>['maaf', 'kasih', 'bintang', 'udah', 'login', 'link', 'sms', 'eeee', 'buka', 'link', 'kadaluarsa', 'dikirim', 'mohon', 'bnatuanya', 'bosq']</t>
  </si>
  <si>
    <t>['promonya', 'kadang', 'lemot', 'jaringannya', 'maaf', 'ngomong', 'uda', 'tinggal', 'dijada', 'servicenya', 'makasih', '']</t>
  </si>
  <si>
    <t>['woyyy', 'fitur', 'lock', 'pulsa', 'pulsa', 'kesedot', 'trus', 'kuota', 'beli', 'kuota', 'unlimited', 'max', 'harga', 'gra', 'gra', 'disedot', 'pulsa', 'gedeg', 'apk', 'pdhl', 'versi', 'gini', 'kuota', 'pulsa', 'kesedot', 'pulsa', 'duluan', 'disedot', 'gila', 'kali', 'apk', 'untung', 'gini', 'apk', 'axisnet', 'fitur', 'lock', 'pulsa', 'gini']</t>
  </si>
  <si>
    <t>['sedih', 'disaat', 'pandemi', 'bohongi', 'telkomsel', 'gratisan', 'kuota', 'chek', 'telkomsel', 'klaim', 'mengisi', 'ulang', 'pulsa', 'mengklaimnya', 'kuota', 'habis', 'pulsa', 'tersedot', 'ludes', 'hmm', 'gratis', 'tolong', 'developer', 'seandainya', 'gratisan', 'tolong', 'pulsa', 'orang', 'tersedot', 'terima', 'kasih', '']</t>
  </si>
  <si>
    <t>['login', 'ribet', 'logout', 'buka', 'aplikasinya', 'tulis', 'ulang', 'nomer', 'trus', 'nunggu', 'sms', 'disms', 'suruh', 'masuk', 'browser', 'boroboro', 'kebuka', 'udah', 'dibrowsing', 'malaj', 'muter', 'muter', 'mulu', 'koneksi', 'internet', 'bagus']</t>
  </si>
  <si>
    <t>['aplikasi', 'rusak', 'mengajukan', 'pengisian', 'paket', 'respon', 'apapun', 'berulang', 'kali', 'mengajukan', 'pembelian', 'paketnya', 'saranin', 'sabar']</t>
  </si>
  <si>
    <t>['mending', 'sihh', 'sinyal', 'stabil', 'enak', 'trading', 'telkomsel', 'sinyal', 'buruk', 'gua', 'jaringan', 'terluas', 'indonesia', 'hahhh', '']</t>
  </si>
  <si>
    <t>['bintang', 'bintang', 'bad', 'hilang', 'jaringan', 'woiiii', 'kouta', 'sampah', 'sehari', 'hilang', 'jaringan', 'perbaiki', 'tlol', 'jaringan', 'org', 'ppkm', 'rusak', 'mahal', 'bad', 'harga', 'kualitas', 'sesuai', 'harga', '']</t>
  </si>
  <si>
    <t>['login', 'terima', 'notifikasi', 'sms', 'klik', 'gagal', 'login', 'aplikasi', 'web', 'coba', 'instal', 'ulang', 'and', 'clear', 'data', 'perbantuan', 'ponsel', 'android', 'oreo', 'terbaru', 'salah', '']</t>
  </si>
  <si>
    <t>['update', 'terbaru', 'berat', 'lagg', 'login', 'susah', 'masuk', 'tampilan', 'loading', 'jaringan', 'internet', 'stabil', 'saran', 'tolong', 'perbarui', 'sesimple']</t>
  </si>
  <si>
    <t>['hallo', 'aplikasi', 'telkomsel', 'eror', 'uninstal', 'donwload', 'update', 'eror', 'meloading', 'masuk', 'akun', 'telkomsel', 'jualan']</t>
  </si>
  <si>
    <t>['semenjak', 'update', 'dbuka', 'update', 'buka', 'stelah', 'update', 'buka', 'enak', 'versi', 'gpp', 'pntg', 'termudahkan']</t>
  </si>
  <si>
    <t>['kimak', 'bah', 'susah', 'kali', 'masuk', 'gagal', 'kesini', 'parah', 'uda', 'paketnya', 'mahal', 'karna', 'pekerjaan', 'telkomsel']</t>
  </si>
  <si>
    <t>['telkomsel', 'gmanasih', 'sisa', 'pulsa', 'ribu', 'abis', 'cuman', 'berkali', 'kali', 'iya', 'kuota', 'full', 'pulsa', 'sisa', 'ribu', 'abis', 'gmana', 'bagu', 'pulsa', 'segitu', 'gede', 'isi', 'pulsa', 'kepake', 'udah', 'abis', 'duluan']</t>
  </si>
  <si>
    <t>['tolong', 'aplikasinya', 'ringan', 'mudah', 'masuk', 'appsnya', 'sekelas', 'telkomsel', 'kemudahan', 'usernya', 'mohon', 'developernya', 'serius', 'pelayanannya']</t>
  </si>
  <si>
    <t>['sblm', 'memperbarui', 'apk', 'top', 'pulsa', 'membeli', 'kuota', 'bulanan', 'stelah', 'apk', 'terbaharui', 'saldo', 'berkurang', 'peraknya', 'kuota', 'terbeli', 'senilai', 'dipaksa', 'hrs', 'berlangganan', 'disney', 'apalah', 'gitu', 'paket', 'bulanan', 'blm', 'habis', 'pdhl', 'unlimited', 'dikurang', 'in', 'sprti', 'kabur', 'penggunamu', 'mending', '']</t>
  </si>
  <si>
    <t>['gimana', 'aplikasi', 'telkomsel', 'masuk', 'aplikasi', 'susah', 'banget', 'beda', 'aplikasi', 'im', 'mudah', 'masuk', 'lancar', 'stabil', 'halah', 'ngomong', 'doang', 'kecewa', 'beli', 'kouta', 'kombo', 'sakti', 'kemaren', 'masuk', 'aplikasi', 'cocok', 'jaringan', 'lemot', 'masuk', 'aplikasi', 'lemot', 'terbaik', 'telkomsel', 'telkomsel', 'pengguna', 'emosi', '']</t>
  </si>
  <si>
    <t>['pulsa', 'habis', 'habis', 'ntah', 'kmna', 'isi', 'pulsa', 'beli', 'paket', 'combo', 'sakti', 'sisa', 'eehh', 'besok', 'siangnya', 'cek', 'udah', 'habis', 'pulsa', 'sisa', 'perak', 'habisnya', 'kmna', 'emang', 'telkomsel', 'tuyul', 'yaa', 'serius', 'nanya', '']</t>
  </si>
  <si>
    <t>['cmn', 'bermslh', 'trnyta', 'pas', 'baca', 'komen', 'terbaru', 'mmg', 'byk', 'kecewa', 'tsel', 'berlaku', 'sebulan', 'dftr', 'tgl', 'tgl', 'cem', 'kek', 'pulsa', 'tb', 'berkurang', 'pdhl', 'paket', 'nelpo', 'sms', 'inetan', 'trdftar', 'msh', 'sisa', 'pulsa', 'rb', 'knp', 'skrg', 'sisa', 'yaaa', 'pdhl', 'pernh', 'mn', 'bnr', 'buruk', 'skrg', 'tsel', 'komen', 'pedas', 'kecewa', '']</t>
  </si>
  <si>
    <t>['upadate', 'terbaru', 'buruk', 'susah', 'login', 'reaource', 'keambil', 'downgrade', 'seperri', 'versi', 'nyaman', 'update', 'buruk', '']</t>
  </si>
  <si>
    <t>['aplikasi', 'login', 'notif', 'update', 'habis', 'diupdate', 'uda', 'verivikasi', 'email', 'sms', 'login', 'masuk', 'akun', 'google', 'dll', 'ttep', 'jringal', 'stabil', '']</t>
  </si>
  <si>
    <t>['udh', 'kecewa', 'ama', 'jaringan', 'telkom', 'membaik', 'buruk', 'harinya', 'udh', 'ngak', 'merhatiin', 'costemer', 'mohon', 'telkomsel', 'memperbaik', 'jaringan', 'telkomsel']</t>
  </si>
  <si>
    <t>['membantu', 'memudahkan', 'pengguna', 'mengecek', 'keaktifan', 'sim', 'card', 'pulsa', 'sisa', 'kuota', 'nomor', 'telepon', 'terdaftar', 'mohon', 'tingkatkan', 'fungsi', 'sistem', 'kerja', 'aplikasi', 'terima', 'kasih']</t>
  </si>
  <si>
    <t>['tolong', 'telkomsel', 'mengatasi', 'maaf', 'gangguan', 'sistem', 'cek', 'koneksi', 'ulangi', 'transaksi', 'menit', 'gimana', 'ngatasinnya', 'beli', 'paketan', 'paketan', 'coba', 'beli', 'tetep', 'muncul', 'tolong', 'perbaiki', 'karna', 'karna', 'darurat', 'daring', 'online', 'sekolah', 'paketan', 'habis', 'tolong', 'mohon', 'perbaiki', '']</t>
  </si>
  <si>
    <t>['habis', 'update', 'masuk', 'pdhl', 'udah', 'customer', 'setia', 'payah', 'udah', 'emergency', 'beli', 'paket', 'terlanjur', 'diisin', 'pulsa', 'sebel', 'ganti', 'plat', 'kuning', 'tolong', 'direspon', 'donk', '']</t>
  </si>
  <si>
    <t>['', 'cek', 'pulsa', 'telkomsel', 'pulsanya', 'cek', 'pulsa', 'kode', 'ussd', 'pulsanya', 'habis', 'pulsanya', 'pdhl', 'pakai', 'habis', '']</t>
  </si>
  <si>
    <t>['aplikasi', 'sampah', 'diupdate', 'login', 'udah', 'hapus', 'cache', 'macem', 'ttp', 'data', 'bocor', 'nelponin', 'kualitas', 'telkomsel', 'sampah']</t>
  </si>
  <si>
    <t>['aplikasi', 'abal', 'sinyal', 'abal', 'sulit', 'login', 'sulit', 'sinyal', 'telephone', 'sinyal', 'internet', 'ayo', 'tukar', 'provider', '']</t>
  </si>
  <si>
    <t>['login', 'ajah', 'susah', 'nomer', 'udah', 'bener', 'link', 'klik', 'internet', 'udah', 'wifi', 'metode', 'udah', 'coba', 'ajah', 'kesalahan', 'salah', 'bos', '']</t>
  </si>
  <si>
    <t>['jaringan', 'telkomsel', 'lelet', 'kali', 'mati', 'lampu', 'jaringannya', 'lelet', 'banget', 'tolong', 'perbaiki', 'jaringan', 'cuman', 'harga', 'mahal', 'kualitas', 'nggak', 'lelet', 'terima', 'kasih']</t>
  </si>
  <si>
    <t>['hallo', 'telkomsel', 'langganan', 'denganmu', 'pelayanan', 'samakin', 'mengecewakan', 'kemarin', 'kemarin', 'harga', 'isi', 'paket', 'aplikasi', 'telkomsel', 'bener', 'bener', 'buka']</t>
  </si>
  <si>
    <t>['telkomsel', 'wilayah', 'balikpapan', 'eror', 'denganmu', 'mohon', 'diperbaiki', 'aplikasinya', 'udah', 'buka', 'coba', 'hapus', 'trus', 'instal', 'ulang', 'tetep', 'error', 'gimana', 'telkomsel', 'solusinya', 'bete']</t>
  </si>
  <si>
    <t>['mantaaaaap', 'produk', 'bersaing', 'provider', 'batal', 'matiin', 'kartu', 'produk', 'menyesuaikan', 'kebutuhan', 'harga', 'bersaing', 'terima', 'kasih', 'perbaikannya']</t>
  </si>
  <si>
    <t>['beli', 'paket', 'bulanan', 'nggk', 'nyampe', 'sebulan', 'daftar', 'tanggal', 'tanggal', 'tanggal', 'udh', 'nggk', 'paraaahh', 'tolong', 'benahi', 'fair', 'konsumen', 'mentang', 'mentang', 'kenceng', 'jaringan', 'stabil', 'kepercayaan', 'konsumen', 'hianati', 'yaa', '']</t>
  </si>
  <si>
    <t>['paket', 'telkomsel', 'boros', 'pakai', 'beli', 'kali', 'cuman', 'email', 'youtube']</t>
  </si>
  <si>
    <t>['aplikasi', 'buruk', 'download', 'buka', 'susa', 'loading', 'berputar', 'hasil', 'masuk', 'paket', 'tolong', 'perbaiki', 'layanannya', '']</t>
  </si>
  <si>
    <t>['pulsa', 'tersedot', 'otomatis', 'paket', 'kuota', 'habis', 'merugikan', 'konsumen', 'coba', 'tirulah', 'provider', 'kerja', 'sistemnya', 'menyelamatkan', 'pulsa', 'konsumen', '']</t>
  </si>
  <si>
    <t>['sgt', 'pelanggan', 'telkomsel', 'ketipu', 'promo', 'dijanjikan', 'telkomsel', 'byk', 'dosa', 'berkah', 'mending', 'tutup', '']</t>
  </si>
  <si>
    <t>['memakai', 'mytelkomsel', 'memiliki', 'poin', 'tukarin', 'poinnya', 'saldo', 'linkaja', 'bosoknya', 'tukarin', 'tukar', 'poin', 'linkaja', 'notifikasi', 'batas', 'menukar', 'habis', 'berfikir', 'positif', 'besok', 'mohon', 'masak', 'kali', 'poin', 'berguna', 'capek', 'capek', 'kumpulin', 'pliss', 'semoga', 'perbarui', '']</t>
  </si>
  <si>
    <t>['cacad', 'log', 'gagal', 'mulu', 'jaringan', 'kenceng', 'log', 'apk', 'gagal', 'mulu', 'ccd', 'sinyal', 'telkomsel', 'atuh', 'gimana', 'beli', 'paket', '']</t>
  </si>
  <si>
    <t>['sistem', 'pulsa', 'ngga', 'kemakan', 'paket', 'pulsa', 'habis', 'ngga', 'bersisa', 'paketnya', 'ganti', 'harga', 'langganan', 'kaya', 'kartu', 'ngga']</t>
  </si>
  <si>
    <t>['kecewa', 'telkomsel', 'daftar', 'paket', 'ketengan', 'youtube', 'unlimeted', 'harga', 'menguras', 'pulsa', 'tinggal', 'tolong', 'kembalikan', 'pulsa', '']</t>
  </si>
  <si>
    <t>['diupdate', 'susah', 'buka', 'aplikasinya', 'lamaaaaaaaaaaaaaaaaaa', 'banget', 'bagus', 'diupdate', 'bagus', 'cepat', 'loadingnya']</t>
  </si>
  <si>
    <t>['redeem', 'poin', 'keterangannya', 'gagal', 'kali', 'redeem', 'trus', 'jdi', 'klaim', 'hadiah', '']</t>
  </si>
  <si>
    <t>['signsl', 'lumayan', 'daerah', 'domisili', 'sebelah', 'barat', 'radius', 'kisaran', 'signal', 'full', 'hilang', '']</t>
  </si>
  <si>
    <t>['please', 'knpa', 'pasang', 'paket', 'direspon', 'udah', 'dicoba', 'beli', 'paket', 'telkomsel', 'notifikasi', '']</t>
  </si>
  <si>
    <t>['error', 'gajelas', 'beda', 'harga', 'lainya', 'tepuk', 'tangan', 'kartu', 'sultan', 'pulsa', 'msh', 'beli', 'kuota', 'tulisan', 'berhasil', 'tunggu', 'notip', 'gada', 'notip', 'berhasil', 'berkurang', 'pulsanya', 'telkomsel', 'gabisa', 'dipakai', 'beli', 'kuota', 'sibuk', 'pelayanan', 'pelanggan', 'coba', 'agan', 'telkomsel', 'perbaiki', 'nyontek', 'pelayanannya', 'indosat', 'ooredoo', 'jujur', 'buruk', 'aplikasinya']</t>
  </si>
  <si>
    <t>['update', 'eror', 'aplikasi', 'aplikasi', 'colse', 'buka', 'aplikasi', 'paket', 'promo', 'beli', 'eror', 'gagal', 'pas', 'cek', 'promonya', 'hilang', 'hadeh', 'tolong', 'betulin', 'doooonk']</t>
  </si>
  <si>
    <t>['aplkasi', 'login', 'susah', 'peripikasi', 'sms', 'gagal', 'ribet', 'mending', 'udh', 'simple', 'tolong', 'dinoerbaiki', 'sya', 'penguna', 'telkosel', 'udh', '']</t>
  </si>
  <si>
    <t>['min', 'tolonglah', 'jaringannya', 'down', 'gini', 'ganti', 'chip', 'ganti', 'down', 'jaringannya', 'udah', 'paketannya', 'mahal', 'kompetitor', 'masak', 'jaringannya', 'down', 'min', 'terima', 'kasih', 'maaf', 'pelanggan', 'menggeluh', 'min', 'maaf', 'min', '']</t>
  </si>
  <si>
    <t>['login', 'telkomsel', 'udah', 'ikutin', 'langkah', 'verif', 'gabisa', 'login', 'semenjak', 'update', 'entahh', 'telkomsel']</t>
  </si>
  <si>
    <t>['', 'iya', 'udah', 'isi', 'paket', 'nunggu', 'jam', 'pengguna', 'terkomfirmasi', 'cepat', 'udah', 'saran', 'terimakasih', 'hasil', 'komentar', 'mimin', 'telkomsel', 'perbaiki', 'mao', 'isi', 'paket', 'terlepas', 'paketan', 'promo', 'terkomfirmasi', 'cepat', 'aktivasi', 'beli', '']</t>
  </si>
  <si>
    <t>['telkomsel', 'sllu', 'bermasalah', 'paket', 'diisi', 'tersisa', 'pulsa', 'knpa', 'pulsa', 'paket', 'rugi', 'menghabiskan', 'pulsa', 'sia', '']</t>
  </si>
  <si>
    <t>['aplikasinya', 'lemoooottt', 'buka', 'muter', 'muter', 'doang', 'kagak', 'dibuka', 'aplikasinya', 'kalah', 'aplikasi', 'indosat', 'cepet', 'bukanya', '']</t>
  </si>
  <si>
    <t>['aplikasi', 'beli', 'paket', 'taik', 'paket', 'taruh', 'situ', 'maksudnya', 'udah', 'jaringan', 'lelet', 'lagiahhhhhhhhh']</t>
  </si>
  <si>
    <t>['aplikasi', 'kayak', 'kuning', 'telak', 'perbedaanya', 'buka', 'aplikasi', 'disitu', 'memilih', 'memakai', 'provider', 'kuning', 'telkomsel', 'merah', 'jaringan', 'kuning', 'bagus', 'nge', 'game', 'beeeh', 'stabil', 'kayak', 'telkomsel', 'buka', 'apk', 'lelet', 'leg', 'kesalahan', 'buka', 'apk', 'diatas', 'gb', 'lancar', 'ngeleg', 'kuning', 'yaah', 'iya', 'yaa', 'rattingnya', 'cek', 'kolom', 'komentar', 'banget', 'bintang', '']</t>
  </si>
  <si>
    <t>['combo', 'sakit', 'aktif', 'unlimited', 'knp', 'pengguna', 'telkomsel', 'berbeda', 'mahaliin', 'beli', 'paket', 'internet', 'tolong', 'jlskan']</t>
  </si>
  <si>
    <t>['perusahaan', 'telkomsel', 'masak', 'bayar', 'aplikasi', 'lemot', 'susah', 'diakses', 'diperbaruih', 'kreatif', 'lemot']</t>
  </si>
  <si>
    <t>['chat', 'operator', 'bantuan', 'nonaktifkan', 'paket', 'internet', 'nyambung', 'balas', 'chat', 'chat', 'ulang', 'tinggal', 'nonaktifkan', 'paket', 'susah', 'tolong', 'kedepannya', 'rubah', 'thanks']</t>
  </si>
  <si>
    <t>['telkomsel', 'terhormat', 'tolong', 'perhatikan', 'jaringan', 'pekanbaru', 'nyaman', 'bermain', 'game', 'tolong', 'kerjasamanya', 'sepele', 'konsumen', 'memiliki', 'niat', 'jaringan', 'seluler', '']</t>
  </si>
  <si>
    <t>['tarif', 'paket', 'internet', 'mahal', 'jaringan', 'telkomsel', 'buruk', 'pengguna', 'setia', 'telkomsel', 'sangan', 'menyayangkan', 'kerja', 'telkomsel', 'buruk', 'hilang', 'hilang', 'sinyal', 'stabil', 'harga', 'paketnya', 'merugikan', 'pengguna', 'setia', 'telkomsel', 'semoga', 'telkomsel', 'membaik', 'pengguna', 'bertukar', 'provider', 'kembalikan', 'sinyal', 'slalu', 'full', '']</t>
  </si>
  <si>
    <t>['kasih', 'bintang', 'laah', 'paket', 'internet', 'isinya', 'smua', 'terbagi', 'terbagi', 'udah', 'internet', 'utama', 'nonton', 'bangsaaaatttt', '']</t>
  </si>
  <si>
    <t>['bener', 'pelayanan', 'beli', 'paket', 'mytelkomsel', 'dibandingkan', 'aplikasi', 'beuh', 'lelet', 'banget', 'beli', 'mahal', 'mahal', 'pelayanan', 'lelet']</t>
  </si>
  <si>
    <t>['mempermasalahkan', 'sinyal', 'semacamnya', 'mempermasalahkan', 'apk', 'update', 'update', 'kadang', 'kali', 'jarang']</t>
  </si>
  <si>
    <t>['knp', 'sinyal', 'telkomsel', 'mnjadi', 'lelet', 'mksimal', 'bkin', 'emosi', 'update', 'gagal', 'trs', 'muterr', 'trs', 'knp', 'pdhl', 'prtama', 'sll', 'pke', 'simpati', 'rsa', 'bkn', 'ngeluh', 'smua', 'pngguna', 'telkomsel', 'brbagai', 'daerah', 'tlg', 'kmbalikn', 'sprti', 'mksh']</t>
  </si>
  <si>
    <t>['pikir', 'muak', 'telkomsel', 'yaaaahhh', 'biarlah', 'nelpon', 'sms', 'malaaaaaaaassss', 'beli', 'paket', 'internet', 'telkomsel', 'kampong', 'mengganti', 'kartu', 'provider', 'masuk', '']</t>
  </si>
  <si>
    <t>['tolonglah', 'jaringan', 'perbaiki', 'jelek', 'kali', 'jaringannya', 'kek', 'muka', 'kelen', 'udh', 'jaringan', 'ngeleg', 'harga', 'mahal', 'ajg', 'ngotak', 'bab', 'harga', 'mahal', 'jaringan', 'berkualitas', 'pikir', 'hidup', 'wak', 'susah', 'harga', 'mahal', 'asw', '']</t>
  </si>
  <si>
    <t>['heyy', 'pengguna', 'telkomsel', 'gue', 'kabar', 'kah', 'mengeluh', 'susah', 'sinyal', 'gue', 'combo', 'sakti', 'unlimited', 'malem', 'gue', 'terdengar', 'kejam', 'beli', 'mahal', 'tpi', 'sinyal', 'susah', 'sinyal', 'gue', 'setolol', 'telkomsel', 'lebaran', 'lancar', 'karna', 'keberadaan', 'huhhhh', 'peduli', 'gue', 'ganti', 'kartu', '']</t>
  </si>
  <si>
    <t>['customer', 'servicenya', 'sloe', 'respon', 'kaya', 'anak', 'keong', 'ahmad', 'customer', 'service', 'gua', 'didiemin', 'gua', 'beli', 'paket', 'internet', 'proses', 'pulsa', 'gua', 'dikit', 'kali', 'huh', 'customer', 'service', 'amatiran']</t>
  </si>
  <si>
    <t>['kecewa', 'telkomsel', 'apk', 'diapa', 'in', 'logout', 'seharian', 'login', 'udahlah', 'diupgrade', 'jelek', 'close', 'apknya', 'dipake', 'berguna', '']</t>
  </si>
  <si>
    <t>['kayak', 'gini', 'beli', 'paket', 'internet', 'sms', 'masuk', 'paket', 'aktif', 'pas', 'hidupin', 'data', 'pulsa', 'disedot', 'nol', 'telkosel', 'ngak', 'pilihan', 'utama', 'payah']</t>
  </si>
  <si>
    <t>['kesini', 'hancur', 'provider', 'saranin', 'mikir', 'provider', 'udah', 'paketannya', 'mahal', 'sinyalnya', 'parah', 'separah', '']</t>
  </si>
  <si>
    <t>['kesini', 'sinyal', 'telkomsel', 'buruk', 'mohon', 'diperbaiki', 'kualitas', 'jaringannya', 'telkomsel', 'smpai', 'tinggal', 'kabupaten', 'kotabaru', 'kalimantan', 'selatan', 'tepatnya', 'kecamatan', 'pamukan', 'selatan', 'semoga', 'telkomsel', 'terbaik', 'pelanggan', 'kualitas', 'sinyalnha', 'terima', 'kasih']</t>
  </si>
  <si>
    <t>['beli', 'paketan', 'data', 'langsung', 'aplikasinya', 'bertahun', 'nomer', 'ponsel', 'telkomsel', 'sadar', 'udah', 'nakal', 'telkomsel', 'daftar', 'paketan', 'pembelian', 'kuota', 'tanggal', 'tanggal', 'brrti', 'isi', 'ulang', 'pembelian', 'paket', 'kuota', 'daftarkan', 'tanggal', 'tgl', 'mundur', 'truz', 'diitung', 'brapa', 'cobak', 'keuntungan', 'kerugiannya', 'kta', 'ribu', 'orang', 'harganya', 'mahal', 'ayolah', 'fair']</t>
  </si>
  <si>
    <t>['tolong', 'perbaikan', 'sinyal', 'udh', 'bertahun', 'pakai', 'telkomsel', 'telkomsel', 'kenal', 'kartu', 'jaringan', 'memuaskan', 'skrg', 'aktivitas', 'terganggu', 'karna', 'murah', 'paket', 'telkomsel', 'iya', 'udah', 'bayar', 'mahal', 'jaringan', 'sesuai', 'harga', 'paket', 'tolong', 'perbaiki', 'jaringan', 'terimakasih', '']</t>
  </si>
  <si>
    <t>['kemarin', 'beli', 'kouta', 'game', 'bln', 'main', 'beli', 'kouta', 'cuman', 'apk', 'terbuka', 'klu', 'main', 'menghubungkan', 'mehubungi', 'cuekin', 'tanggapan', 'cuman', 'robot', 'taeee', 'php', 'njiiiirrrrr', '']</t>
  </si>
  <si>
    <t>['', 'telkomsel', 'dibuka', 'sinyal', 'parah', 'kaya', 'sebelah', 'bagus', 'jaringannya', 'desa', 'check', 'ujung', 'batas', 'habis', 'payah', '']</t>
  </si>
  <si>
    <t>['telkomsel', 'yth', 'komplen', 'update', 'aplikasi', 'telkomsel', 'masuk', 'akun', 'simpati', 'masuk', 'gagal', 'coba', 'keterangan', 'kali', 'coba', 'mohon', 'bantuan', 'terima', 'kasih']</t>
  </si>
  <si>
    <t>['update', 'apk', 'buka', 'apk', 'coba', 'buka', 'loading', 'trus', 'sperti', 'sinyal', 'sinyal', 'bagus']</t>
  </si>
  <si>
    <t>['aplikasinya', 'lemot', 'buka', 'padahl', 'udh', 'update', 'versi', 'terbaru', 'buka', 'buset', 'deh', 'lamaaaaaa', 'buangeet', 'udah', 'update', 'terbaru', 'oke', 'lamaaa', 'jaringannya', 'skrg', 'jelek', 'skrg', 'menurun', 'tolong', 'perbaikin']</t>
  </si>
  <si>
    <t>['kecewa', 'jaringan', 'telkomsel', 'harga', 'paket', 'mahal', 'jaringan', 'jelek', 'jaringan', 'telkomsel', 'bagus', 'tolong', 'perbaiki', 'beli', 'kasih', 'prosedur', 'terimakasih']</t>
  </si>
  <si>
    <t>['top', 'paket', 'kuota', 'combo', 'sakti', 'periode', 'paksa', 'tingkat', 'kuotanya', 'pakai', 'paksa', 'kejadian', 'keluarga', 'pakai', 'paket', 'kuota', 'paksa', 'pelanggan', 'pindah', 'operator', '']</t>
  </si>
  <si>
    <t>['jaringan', 'jancokk', 'buka', 'parah', 'kali', 'sinyal', 'lemah', 'malam', 'udlah', 'bukak', 'rugi', 'mahal', 'kualitas', 'rendah', 'kalah', 'kartu', 'sebelah', 'murah', 'sinyal', 'lumayan']</t>
  </si>
  <si>
    <t>['', 'dibuka', 'ehhh', 'update', 'terbaru', 'aplikasi', 'nambah', 'bisaa', 'dibuka', 'dicek', 'sinyal', 'bagus', 'tolong', 'dongg', 'telkomsel', 'dibukaaaa']</t>
  </si>
  <si>
    <t>['sumpah', 'bngt', 'kuota', 'mahal', 'sesuai', 'jaringan', 'bagus', 'min', 'tolong', 'ajarin', 'provide', 'kasih', 'jaringan', 'bagus', 'mendingan', 'bangkrut', 'udah', 'ajarin', 'min', 'ade', 'provide', 'jaringan', 'bagus', 'kuotanya', 'mahal', 'bagus', 'jaringan', 'makasih']</t>
  </si>
  <si>
    <t>['sinyal', 'bermasalah', 'operator', 'pusat', 'dhubungi', 'dsuruhnya', 'ngutak', 'atik', 'pdahal', 'rusak', 'jringan', 'kota', 'promo', 'paket', 'gitu', 'berlaku', 'juli', 'tpi', 'cma', 'muncul', 'kali', 'ngisi', 'paket', '']</t>
  </si>
  <si>
    <t>['paket', 'combo', 'sakti', 'unlimited', 'fup', 'langganan', 'disney', 'hotstar', 'sebulan', 'lancar', 'nontonnya', 'fup', 'kuota', 'utama', 'habis', 'koneksi', 'lambat', 'otomatis', 'streaming', 'disney', 'buffering', 'mubazir', 'langganan', 'sebulan', 'parahnya', 'nonton', 'youtube', 'kualitas', 'gambar', 'buffering', 'operator', 'swasta', 'menerapkan', 'sistem', 'fup', 'gini', 'lemotnya', 'telkomsel', 'parah', 'perbaikan', 'pelayanan', 'ketimbang', 'ganti', 'logo', '']</t>
  </si>
  <si>
    <t>['semenjak', 'update', 'apk', 'telkomsel', 'dibuka', 'link', 'kebuka', 'error', 'tolong', 'diperbaiki', 'susah', 'beli', 'kuota', 'cek', 'rinciannya', 'manual', 'dial', '']</t>
  </si>
  <si>
    <t>['telkomsel', 'kuota', 'internetan', 'posting', 'muter', 'tlong', 'perbaiki', 'kenyamanan']</t>
  </si>
  <si>
    <t>['telkomsel', 'performanya', 'game', 'lag', 'patah', 'patah', 'kerusakan', 'sistem', 'kah', 'gimana', 'harap', 'perbaiki', 'enak', 'banget', 'pakai', 'rating', 'turunin', 'udah', 'mendingan', 'naikin', 'thx']</t>
  </si>
  <si>
    <t>['aplikasi', 'telkomsel', 'buka', 'coba', 'full', 'putih', 'doang', 'gitu', 'kali', 'klik', 'aplikasinya', '']</t>
  </si>
  <si>
    <t>['aplikasinya', 'lelet', 'paket', 'mahal', 'kalu', 'update', 'masuk', 'masuknya', 'susah', 'instal', '']</t>
  </si>
  <si>
    <t>['aplikasi', 'bagussss', 'masuk', 'udah', 'confirm', 'nomor', 'akun', 'apk', 'tetep', 'masuk', 'udah', 'uninstal', 'udah', 'download', 'trus', 'coba', 'masuk', 'tetep', 'masuk', 'gimana', '']</t>
  </si>
  <si>
    <t>['update', 'bagus', 'login', 'susah', 'sandy', 'udah', 'kirim', 'masuk', 'aplikasi', 'kek', 'gini', 'ngebug', 'gimana', 'betah', 'telkomsel', 'kek', 'gini']</t>
  </si>
  <si>
    <t>['sayangkan', 'memakai', 'perdana', 'telkomsel', 'bagus', 'jaringan', 'bagus', 'pelosok', 'desa', 'loading', 'erorr', 'tolong', 'perbaiki', 'konsumen', 'kecewa', 'mohon', 'perbaiki', '']</t>
  </si>
  <si>
    <t>['log', 'min', 'tertulis', 'trjadi', 'kesalahan', 'internet', 'lancar', 'lwt', 'kode', 'sms', 'ttp', 'bsa', 'masuk', 'coba', 'mohon', 'bantuannya']</t>
  </si>
  <si>
    <t>['mohon', 'maaf', 'problem', 'pembayaran', 'via', 'dana', 'hilang', 'mohon', 'bantuannya', '']</t>
  </si>
  <si>
    <t>['mahalllll', 'jaringan', 'lemottt', 'aplikasi', 'error', 'shomething', 'went', 'wrong', 'sesuai', 'harga', 'kwalitasnya', 'update', 'ulasan', 'pindah', 'yellow', 'masuk', 'akal', 'harganya', 'lancar', 'bye', 'telkomsel']</t>
  </si>
  <si>
    <t>['harap', 'anomali', 'dimana', 'nominal', 'pulsa', 'sesuai', 'semoga', 'wifi', 'apl', 'loading', 'wifi', 'loading', '']</t>
  </si>
  <si>
    <t>['sinyal', 'susah', 'didaerah', 'enak', 'enak', 'komplain', 'aplikasi', 'respon', 'disuruh', 'ganti', 'apn', 'apn', 'diganti', 'tetep', 'sinyal', 'susah', 'ayolah', 'harga', 'paketan', 'diatas', 'masak', 'sinyal', 'dibawah', 'standar', 'terima', 'kasih']</t>
  </si>
  <si>
    <t>['', 'paham', 'sma', 'aplikasi', 'bru', 'beli', 'pulsa', 'niat', 'beli', 'paket', 'aplikasi', 'pas', 'ngecek', 'pulsa', 'udh', 'tinggal', 'kbeli', 'pket', 'sndiri', 'bsa', 'anehh']</t>
  </si>
  <si>
    <t>['aplikasi', 'telkomsel', 'ulang', 'aplikasi', 'update', 'juli', 'yok', 'kagak', 'kaya', 'gini', 'halooooooo', 'bntr', 'muncul', 'internal', 'jaringan', 'aplikasi', 'udh', 'saran', 'kuat', 'ush', 'update', 'aplikasi', 'cepet', 'nyusah', 'udh', 'main', 'warnet', 'baca']</t>
  </si>
  <si>
    <t>['paket', 'internet', 'unlimited', 'rb', 'harga', 'rb', 'trus', 'disunat', 'telpon', 'kesesama', 'telkomsel', 'unlimited', 'menit', 'doank', 'telkomsel', 'gara', 'nutupin', 'biaya', 'ganti', 'logo', 'logo', 'bagusan', 'tampilan', 'aplikasi', 'bagusan', 'simpel', 'aneh', 'asli', 'kecewa', 'pelayanan', '']</t>
  </si>
  <si>
    <t>['kali', 'buka', 'app', 'login', 'loginnya', 'gagal', 'klink', 'link', 'sms', 'lemot', 'main', 'update', 'berkali', 'kali', '']</t>
  </si>
  <si>
    <t>['update', 'bintang', 'stuck', 'why', 'gila', 'parah', 'make', 'beli', 'paket', 'mahal', 'mahal', 'imbangi', 'sinyal', 'oke', 'problem', 'but', 'not']</t>
  </si>
  <si>
    <t>['pelanggan', 'setia', 'telkomsel', 'kecewa', 'aplikasi', 'keluhan', 'reviewer', 'kali', 'telkomsel', 'terimakasih', 'promo', '']</t>
  </si>
  <si>
    <t>['mohon', 'maaf', 'tersinggung', 'adil', 'pembelian', 'paket', 'data', 'internet', 'mahal', 'penggunaan', 'data', 'hasil', 'paket', 'data', 'internet', 'terkuras', 'paket', 'data', 'bersamaan', 'harap', 'ulasan', 'terkait', 'terimakasih', '']</t>
  </si>
  <si>
    <t>['apaa', 'menu', 'paket', 'omg', 'multimedia', 'beli', 'paket', 'paket', 'data', 'daftqr', 'beli', 'sumbangan', 'telkomsel']</t>
  </si>
  <si>
    <t>['aplikasi', 'susah', 'login', 'yaudah', 'hapus', 'aplikasi', 'buang', 'kartu', 'providernya', 'pusing', 'mending', 'pindah', 'provider', 'gampang', 'akses']</t>
  </si>
  <si>
    <t>['aplikasi', 'taik', 'isi', 'pulsa', 'lgsg', 'sedot', 'rupiah', 'beli', 'paket', 'internet', 'berkurang', 'pulsa', 'beli', 'paket', 'tolong', 'kaliam', 'perbaiki', 'beli', 'pulsa', 'uang', 'sedot', 'youtuber', 'tiktoker', 'kasih', 'jelek', 'aplikasi']</t>
  </si>
  <si>
    <t>['kecewa', 'pengguna', 'telkomsel', 'kualitas', 'jaringan', 'buruk', 'jaringan', 'plosok', 'negeri', 'buktinya', 'terjangkau', '']</t>
  </si>
  <si>
    <t>['min', 'paket', 'telkomsel', 'sya', 'harga', 'beda', 'telkomsel', 'temen', 'beli', 'paket', 'mahal', 'kebiasaan', 'beli', 'paket', 'mahal', 'trus', 'aplikasi', 'telkomsel', 'harga', 'mahal', 'beda', 'aplikasi', 'telkomsel', 'temen', 'gtu', 'min', 'telkom', 'sel', 'beda', 'gmna', 'kecewa', 'pakai', 'telkomsel']</t>
  </si>
  <si>
    <t>['permisi', 'kali', 'memasukkan', 'kode', 'voucher', 'internet', 'maaf', 'sistem', 'sibuk', 'kali', 'uang', 'beli', 'voucher', 'internet', 'sia', 'sia', 'vouchernya', 'redeem']</t>
  </si>
  <si>
    <t>['penipuan', 'sya', 'transfer', 'pulsa', 'busa', 'penipuan', 'harap', 'membantu', 'anjeeng', '']</t>
  </si>
  <si>
    <t>['ngisi', 'pulsa', 'linkaja', 'shopeepay', 'kali', 'rb', 'gada', 'masuk', 'gini', 'yak', 'telkomsel', 'maintenance', 'ngisi', 'paket', 'buang', 'duit', 'update', 'opsi', 'pembayarannya', 'ngilang', 'cuman', 'pulsa', 'doang', 'isi', 'pulsa', 'bayar', 'payment', 'gimana', 'beli', 'paket', 'data', 'coba', '']</t>
  </si>
  <si>
    <t>['pulsa', 'tersedot', 'harinya', 'masuk', 'aplikasi', 'tsel', 'sulit', 'log', 'out', 'update', '']</t>
  </si>
  <si>
    <t>['sinyal', 'telkomsel', 'parah', 'banget', 'kadang', 'hilang', 'udah', 'harganya', 'mahal', 'kualitasnya', 'jelek', 'telkomsel', 'aneh', 'update', 'masuk', 'diperbaiki', 'pindah', 'kartu', 'terima', 'kasih', '']</t>
  </si>
  <si>
    <t>['pakai', 'telkomsel', 'daerah', 'kalimantan', 'barat', 'sinyal', 'memuaskan', 'sinyal', 'lemot', 'suka', 'hilang', 'muncul', 'menerus', 'menyusahkan', 'main', 'game', 'pas', 'nonton', 'youtube', 'lancar', 'kaya', 'main', 'game', 'tolong', 'perbaiki', 'sinyal']</t>
  </si>
  <si>
    <t>['sinyalnya', 'kesini', 'parah', 'gila', 'susah', 'ampun', 'daerah', 'pedalaman', 'gedung', 'gimana', 'min', 'tingkatkan', 'kualitas', 'sinyalnya']</t>
  </si>
  <si>
    <t>['product', 'telkomsel', 'bentuk', 'bagus', 'jaringan', 'telkomsel', 'lelet', 'three', 'kencang', 'bye', 'telkomsel', 'lelet', 'cepat', 'bangkrut', 'report', 'telkomsel', 'yok', 'bangkrut', 'perusahaan', '']</t>
  </si>
  <si>
    <t>['paket', 'telkomsel', 'minggu', 'harga', 'mencekik', 'pandemi', 'harga', 'meroket', 'semoga', 'penurunan', 'harga', 'besok', 'besoknya', '']</t>
  </si>
  <si>
    <t>['promo', 'yuk', 'berbagi', 'pulsa', 'telkomsel', 'berbagi', 'tersenyum', 'bahagia', 'berbagi', 'indah']</t>
  </si>
  <si>
    <t>['masuk', 'aplikasi', 'sulit', 'jaringan', 'bagus', 'seringkali', 'logout', 'account', 'login', 'ulang', 'nomor', 'sulit', 'login', 'ulang', 'promo', 'promo', 'kuota', 'internet', 'nomor', 'teman', 'promo']</t>
  </si>
  <si>
    <t>['telkomsel', 'udah', 'kaya', 'kecewa', 'deh', 'kapok', 'makenya', 'jaringan', 'hilang', 'download', 'file', 'gede', 'gb', 'jaringan', 'down', 'mati', 'listrik', 'jaringan', 'ngilang', 'paketnya', 'mahal', 'dibagi', 'sosmed', 'youtube', 'game', 'pokonya', 'gajelas', 'tolong', 'diperbaiki', '']</t>
  </si>
  <si>
    <t>['masuk', 'mulu', 'masukin', 'kemarin', 'masuk', 'masuk', 'masuk', 'gimana', 'tolong', 'perbaiki', 'pusing', 'lihat', 'sisa', 'gratisan', 'kuota', 'masuk', 'masuk', 'pusing', 'ajah', 'tolong', 'perbaiki', '']</t>
  </si>
  <si>
    <t>['habis', 'diupdate', 'susah', 'login', 'sinyal', 'dipake', 'game', 'browsing', 'lancar', 'udah', 'coba', 'mode', 'pesawat', 'hapus', 'cache', 'hapus', 'data', 'install', 'ulang', 'gabisa', 'hadehhhhh']</t>
  </si>
  <si>
    <t>['tolonggggg', 'login', 'telkomsel', 'klik', 'link', 'kadaluarsa', 'sms', 'link', 'masuk', 'langsung', 'klik', '']</t>
  </si>
  <si>
    <t>['tolong', 'telkomsel', 'jaringan', 'internet', 'optimalkan', 'udah', 'pakai', 'telkomsel', 'kali', 'kecewa', 'banget', 'koneksi', 'buruk', 'tinggal', 'daerah', 'kalimantan', 'kabupaten', 'kotawaringin', 'timur', 'kecamatan', 'seruyan']</t>
  </si>
  <si>
    <t>['login', 'aplikasi', 'telkomsel', 'stuck', 'link', 'dikirim', 'sms', 'buffering', 'gagal', 'admin', 'kirim', 'email', 'tanggapan', '']</t>
  </si>
  <si>
    <t>['paket', 'unlimited', 'dibatesin', 'enakan', 'paket', 'bonus', 'unlimited', 'sepuasnya', 'dibatesin', 'males', 'telkomsel', 'gini', 'mahal', 'sinyal', 'susah']</t>
  </si>
  <si>
    <t>['tolong', 'telkomsel', 'tower', 'didirikan', 'karna', 'desa', 'tower', 'signal', 'susah', 'beeikut', 'alamat', 'desa', 'manggar', 'raya', 'kec', 'tanjung', 'lago', 'kab', 'banyuasin', 'propinsi', 'sum', 'sel', 'palembang', '']</t>
  </si>
  <si>
    <t>['halo', 'boyolali', 'sinyal', 'telkomsel', 'ketahun', 'memburuk', 'pengguna', 'nomor', 'telkomsel', 'sinyal', 'susah', 'mohon', 'diperbaiki', 'maaf', 'mengenakkan', 'hati', '']</t>
  </si>
  <si>
    <t>['tesss', 'mudah', 'aplikasi', 'membantu', 'vavorit', 'orang', 'kegunaan', 'kemajuan', 'pertahan', 'isapan', 'jempol', 'belakaaa', 'terima', 'kasih', '']</t>
  </si>
  <si>
    <t>['mencoba', 'membuka', 'aplikasi', 'telkomsel', 'mytelkomsel', 'terbuka', 'masuk', 'menampilkan', 'layar', 'putih', 'layar', 'blank', 'membeli', 'paket', 'internet', 'beli', 'paket', 'internet', 'aplikasi', 'menu', 'paket', 'internet', 'muncul', 'berharap', 'diperbaiki', 'kenyamanan', 'pelanggan', 'kedepan', '']</t>
  </si>
  <si>
    <t>['nanya', 'min', 'sayakan', 'beli', 'pulsa', 'darurat', 'harganyakan', 'pas', 'beli', 'pulsakan', 'otomatis', 'terpotong', 'terpotongnya', 'telepon', 'terbayar', 'aplikasinya', 'rugi', 'tolong', 'min', 'perbaiki', 'takutnya', 'bernasib']</t>
  </si>
  <si>
    <t>['aplikasi', 'trus', 'aneh', 'banget', 'sms', 'telkomsel', 'paket', 'gb', 'aktif', 'agustus', 'beli', 'langsung', 'sms', 'beli', 'paket', 'gb', 'pas', 'cek', 'situ', 'promo', 'banget', 'kecewa', 'banget', 'udah', 'pengguna', 'telkomsel', 'kuliah', 'kayak', 'gini', 'udah', 'terkeluar', 'akun', 'telkomsel', '']</t>
  </si>
  <si>
    <t>['diperbarui', 'super', 'lemot', 'kuota', 'jaringan', 'bagus', 'udah', 'restart', 'beli', 'paket', 'susah', 'perbaiki', '']</t>
  </si>
  <si>
    <t>['telkomsel', 'giliran', 'ganti', 'aplikasi', 'susah', 'bnget', 'masuk', 'mlah', 'nomer', 'terdaftar', 'drdl', 'pkek', 'nomer', 'gimana', 'masuk', 'telkomsel']</t>
  </si>
  <si>
    <t>['instal', 'app', 'kecewa', 'sinyal', 'daerah', 'susah', 'sinyal', 'ning', 'mbok', 'diperbaiki', 'bayangkan', 'ganti', 'lho', 'telkomsel', 'kebangetan', 'sinyalnya', 'bener', 'miris', '']</t>
  </si>
  <si>
    <t>['woy', 'min', 'stlh', 'update', 'knp', 'login', 'tsel', 'pdhal', 'sinyal', 'lemot', 'ancur', 'paket', 'mahal', 'dri', 'laen', 'kaya', 'gini', 'dpt', '']</t>
  </si>
  <si>
    <t>['keluhan', 'pinjaman', 'pulsa', 'pinjaman', 'sms', 'tagihan', 'siang', 'masuk', 'kemarin', 'pls', 'potong', 'langsung', 'tolong', 'bantuan']</t>
  </si>
  <si>
    <t>['beli', 'paket', 'combo', 'gagal', 'keterangan', 'sisa', 'pulsa', 'mencukupi', 'membeli', 'paket', 'combo', 'silakan', 'isi', 'ulang', 'pulsa', 'beli', 'paket', 'coba', 'beli', 'paketnya', 'hilang', 'daftar', 'telkomsel', 'niat', 'kasih', 'penawaran', 'paket', 'bercanda', '']</t>
  </si>
  <si>
    <t>['aplikasi', 'telkomsel', 'buruk', 'dibanding', 'aplikasi', 'im', 'masuk', 'susah', 'hapus', 'download', 'harapan', 'masuk', 'susah', 'diaplikasinta', 'sepengalaman', 'sevelumnya', 'masuk', 'menu', 'berat', 'loadingnya', 'masuk', 'aplikasi', 'mesti', 'pencet', 'sms', 'diperbaiki', '']</t>
  </si>
  <si>
    <t>['gimana', 'susah', 'lihat', 'sisa', 'paket', 'aplikasi', 'eror', 'mulu', 'jaringan', 'cepat', 'aplikasi', 'ngelag', 'mulu']</t>
  </si>
  <si>
    <t>['sinyal', 'trus', 'menurun', 'internetan', 'gilaa', 'harga', 'paket', 'mahal', 'sesuai', 'jaringannya', 'bangke', 'bangett', 'telkomsel', 'skg', 'mending', 'im', 'hrga', 'paketan', 'bnyk', 'promo', 'dqn', 'jaringan', 'stabil', 'parah', 'tsel', 'skg', 'andelin', 'mahalnya', 'doang', '']</t>
  </si>
  <si>
    <t>['kecewa', 'banget', 'beli', 'paket', 'langganan', 'sampe', 'keluhan', 'respon', 'chat', 'customer', 'service', 'pelayanannya', 'nol', 'sumpah', 'kecewa', 'aplikasi', 'operator', 'kecewanya', 'sampe', 'pindah', 'operator', 'bad', 'service']</t>
  </si>
  <si>
    <t>['update', 'versi', 'terbaru', 'lambat', 'login', 'durasi', 'klik', 'sms', 'detik', 'sms', 'tetima', 'detik', 'masuk', 'aplikasi']</t>
  </si>
  <si>
    <t>['masuk', 'telkomsel', 'kesalahan', 'linknya', 'unggah', 'gagal', 'masuk', 'jelek', 'banget', 'tolong', 'solusinya', 'terima', 'kasih', '']</t>
  </si>
  <si>
    <t>['mimin', 'gimana', 'telkomsel', 'orang', 'login', 'verifikasi', 'gimana', 'lwat', 'mytelkomsel', 'update', 'login', 'susahnya', 'ampun', 'bagusan', 'delet', 'buang', 'kartunya', 'pusing']</t>
  </si>
  <si>
    <t>['tolong', 'telkomsel', 'udah', 'beli', 'paketan', 'pendidikan', 'minggu', 'pas', 'google', 'meet', 'berkurangnya', 'kuota', 'utama', 'keterangan', 'kuota', 'pendidikan', 'google', 'meet', 'diakses', 'kuota', 'pendidikan', 'tolong', 'sistemnya', 'diperbaiki', '']</t>
  </si>
  <si>
    <t>['tolong', 'buka', 'apl', 'telkomsel', 'log', 'ulang', 'susah', 'banget', 'log', 'mohon', 'perbaiki', 'layanannya', '']</t>
  </si>
  <si>
    <t>['denganmu', 'telkomsel', 'berbulan', 'sinyalnya', 'jelek', 'spt', 'skrg', 'aplikasi', 'diperbarui', 'diperbarui', 'dipakai', 'please', 'sesuaikan', 'layanan', 'harga', 'sebanding', '']</t>
  </si>
  <si>
    <t>['tolong', 'aplikasi', 'log', 'iut', 'aplikasi', 'terhenti', 'cuman', 'telkomsel', 'aplikasinya', 'perdana', 'log', 'out', 'terhenti', 'handphone', 'kerestar', 'berulang', 'kali', 'tolong', 'perbaiki']</t>
  </si>
  <si>
    <t>['aplikasi', 'mytelkomsel', 'update', 'gabisa', 'dibuka', 'coba', 'uninstall', 'install', 'ulang', 'login', 'masuk', 'make', 'mytelkomsel', 'jarang', 'bermasalah', 'bermasalah', 'tolong', 'perbaiki']</t>
  </si>
  <si>
    <t>['telkomsel', 'membeli', 'paket', 'sdng', 'diproses', 'pulsa', 'habis', 'sja', 'kalinya', 'kehabisan', 'pulsa', 'bgitu', 'sja', 'pelayanan', 'telkomsel', 'bgus', 'bayangkan', 'kali', 'pulsa', 'habis', 'daftar', 'paket', 'pinda', 'kartu', 'dripada', 'kali', 'pulsa', 'habis', 'bgitu', 'sja']</t>
  </si>
  <si>
    <t>['error', 'mulu', 'kemaren', 'sinyal', 'lancar', 'sampe', 'wifi', 'tetep', 'nga', 'masuk', 'update', 'clear', 'data', 'chance', 'distop', 'app', 'heran', '']</t>
  </si>
  <si>
    <t>['sinyal', 'telkomsel', 'parah', 'banget', 'andelin', 'beralih', 'mendingan', 'pakai', 'sinyalny', 'kepuasan', 'penggunanya', '']</t>
  </si>
  <si>
    <t>['berhasil', 'update', 'buka', 'aplikasi', 'update', 'playstore', 'playstore', 'pilihanya', 'buka', 'uninstal', 'uninstal', 'masuk', 'login', 'otp', '']</t>
  </si>
  <si>
    <t>['knp', 'pulsa', 'berkurang', 'pakai', 'paket', 'tolong', 'perbaiki', 'kecewa', 'kli', 'bli', 'pulsa', 'berkurang', '']</t>
  </si>
  <si>
    <t>['aplikasi', 'telkomsel', 'kedepan', 'payah', 'bobrok', 'coma', 'mikirin', 'untungan', 'mikirin', 'gimana', 'konsumen', 'senang', 'aplikasi', 'busuk', 'susah', 'masuk', 'kb', 'speed', 'jaringan', 'sarankan', 'hubungi', 'langsung', 'benerin', 'orang', 'customer', 'ngeluh', 'alasan', 'moga', 'kedepan', 'tambahn', 'busuk', 'aplikasi']</t>
  </si>
  <si>
    <t>['ngambil', 'paket', 'telkomsel', 'diproses', 'jaringan', 'telkomsel', 'lambat', 'gini', '']</t>
  </si>
  <si>
    <t>['jaringan', 'telkomsel', 'kecewa', 'banget', 'tgl', 'aplikasi', 'mytelkomsel', 'dibuka', 'tinggal', 'jkrt', 'ironis', 'gini', 'beli', 'paketan', 'pakai', 'tolong', 'diperbaiki']</t>
  </si>
  <si>
    <t>['aplikasinya', 'dibuka', 'susah', 'memuat', 'ulang', 'sinyal', 'oke', 'kesel', 'kemarin', 'beli', 'pulsa', 'kuota', 'pulsanya', 'habis', '']</t>
  </si>
  <si>
    <t>['', 'sayangkan', 'kualitas', 'jaringan', 'penggunanya', 'apk', 'habis', 'tingkatkan', 'kualitasnya', 'login', 'terimakasih', '']</t>
  </si>
  <si>
    <t>['dipakai', 'mohon', 'diperbaiki', 'aplikasi', 'terbaru', 'dipaksakan', 'terburu', 'buru', 'tim', 'pengembang', 'telkomsel', 'mohon', 'diperbaiki', 'aplikasi', 'mudah', 'ringan', 'aplikasi', 'terima', 'kasih']</t>
  </si>
  <si>
    <t>['telkomsel', 'masuk', 'pad', 'cek', 'masuk', 'gagal', 'kesalahan', 'kecewa', 'paket', 'telpon', 'promo', 'berganti', 'logo', 'paket', 'mahal', 'mohon', 'penjelasan', 'terkait', 'ketidak', 'bahi', 'telkomsel', 'memudah', 'pembelian', 'paket', 'pengecekan', 'saldo', 'terganggu', '']</t>
  </si>
  <si>
    <t>['matpg', 'sayakasih', 'bintang', 'pelanggan', 'ditolak', 'maksud', 'main', 'makasih', 'maaf', 'paket', 'kuota', 'pemakaiannya', 'tunggu', 'adikku', 'belii', 'paket', 'kuota', 'kabarnya', 'uangnya', 'jatuh', 'kemana', 'makasih', '']</t>
  </si>
  <si>
    <t>['aplikasinya', 'knp', 'dibuka', 'udh', 'sinyalnya', 'hilang', 'udh', 'kartu', 'tetep', 'buka', 'applikasi', 'telkomsel', 'knp', 'knp', 'knp']</t>
  </si>
  <si>
    <t>['mohon', 'tim', 'pengembang', 'telkomsel', 'memperbaiki', 'sistem', 'aplikasi', 'versi', 'ringan', 'mudah', 'tampilannya', 'menarik', 'aplikasi', 'terburu', 'buru', 'dipaksakan', 'mohon', 'maaf', 'terima', 'kasih']</t>
  </si>
  <si>
    <t>['diluar', 'sinyal', 'kecepatan', 'akses', 'aplikasinya', 'menghambat', 'mytelkomsel', 'tolong', 'diselesaikan', 'terimakasih', '']</t>
  </si>
  <si>
    <t>['telkomsel', 'parahhhh', 'sihhh', 'aktif', 'kuota', 'habis', 'knp', 'memotong', 'pulsa', 'utama', 'tolong', 'perbaiki', 'gini', 'merugikan', 'konsumen', '']</t>
  </si>
  <si>
    <t>['aplikasinya', 'dibuka', 'tulisannya', 'coba', 'udah', 'diperbarui', 'dibuka', 'suruh', 'perbarui', 'tolong', 'gimana', 'bukanya']</t>
  </si>
  <si>
    <t>['aplikasi', 'manfaatnya', 'sayang', 'kadang', 'logout', 'login', 'susah', 'update', 'susah', 'login', 'berjuang', 'login', 'masuk', 'mohon', 'ditingkatkan', 'aksesibilitasnya', 'pengguna', 'nyaman', 'aplikasi', '']</t>
  </si>
  <si>
    <t>['lola', 'loadingnya', 'tinggal', 'kota', 'signalnya', 'turun', 'kayak', 'kolor', 'talinya', 'kendor', 'hei', 'paket', 'combo', 'saktimu', '']</t>
  </si>
  <si>
    <t>['memudahkahkan', 'pembelian', 'paket', 'promo', 'disayangkan', 'kadang', 'jaringan', 'hilang', 'padhl', 'main', 'game', 'diriku', 'kalah', 'ranked', 'telkomsel', 'menggemaskan', 'hadiah', 'kudapatkan', 'satukan', '']</t>
  </si>
  <si>
    <t>['saran', 'teman', 'mnding', 'pindah', 'operator', 'sni', 'telkomsel', 'udah', 'sinyalnya', 'lemot', 'paket', 'internet', 'super', 'mahal', 'pokoknya', 'ngga', 'baiknya', 'telkomsel', 'udah', 'mahal', 'sinyal', 'lemot', 'kemarin', 'pakai', 'im', 'indosat', 'lancar', 'jaya', 'gua', 'pindah', 'telkomsel', 'nyesel', 'gua', 'mending', 'indosat', 'telkomsel', 'mahal', 'lemot', 'ngga', 'berkualitas', 'liat', 'indosat', 'murah', 'jaringannya', 'lancar', 'ngga', 'pakai', 'lemot', 'kayak', 'telkomsel', 'jadul']</t>
  </si>
  <si>
    <t>['lucu', 'pelanggan', 'telkomsel', 'terlama', 'murah', 'mahal', 'wkwkwkwk', 'bonus', 'bonus', 'reward', 'dikasih', 'gada', 'lucu']</t>
  </si>
  <si>
    <t>['update', 'nambah', 'aneh', 'udh', 'aneh', 'ditambahin', 'iya', 'beli', 'paket', 'dipersulit', 'login', 'nomor', 'dikirim', 'link', 'verifikasi', 'udh', 'diklik', 'error', 'mulu', 'verinika', 'suruh', 'login', 'udh', 'login', 'error', 'gitu', '']</t>
  </si>
  <si>
    <t>['hei', 'telkomsel', 'tinggal', 'kota', 'sawahlunto', 'desa', 'talawi', 'jaringan', 'ngk', 'bagus', 'kesini', 'jaringan', 'nggak', 'karuan', 'tolongla', 'uda', 'bertahun', 'pakek', 'telkomsel', 'ngk']</t>
  </si>
  <si>
    <t>['mohon', 'infonya', 'dapatkah', 'transfer', 'pulsa', 'data', 'operator', 'dibawah', 'komentar', 'menilai', 'tolong', 'diperbaiki', 'direspon', 'kendalanya', '']</t>
  </si>
  <si>
    <t>['tolong', 'proses', 'cepat', 'pengaduan', 'telkomsel', 'chat', 'veronika', 'menyelesaikan', 'pengaduan', 'bantuan', 'paket', 'data', 'combo', 'sakti', 'gb', 'seharga', 'batal', 'pembelian', 'pulsa', 'potong', 'paket', 'combo', 'sakti', 'mohon', 'slsaikan', 'dengn', 'cepat', '']</t>
  </si>
  <si>
    <t>['gimana', 'kuota', 'chat', 'gb', 'aktif', 'sampe', 'gb', 'kepake', 'cek', 'aplikasi', 'tolong', 'diperbaiki', 'menurun', 'layanan', '']</t>
  </si>
  <si>
    <t>['kualitas', 'sinyal', 'telkomsel', 'area', 'cikarang', 'busuk', 'game', 'pes', 'koneksi', 'busuk', 'nge', 'lag', 'koneksinya', 'putus', 'sesuai', 'harga', 'paket', 'mahal', 'kualitas', 'sebanding', '']</t>
  </si>
  <si>
    <t>['bintang', 'kurangin', 'paketan', 'mahal', 'buka', 'telkomsel', 'maen', 'game', 'busuk', 'kaya', 'manajemen', 'suram', 'jaringannya', 'pke', 'uda', 'kesini', 'jelek', 'mahal', 'kualitas', 'sampah']</t>
  </si>
  <si>
    <t>['akunya', 'salah', 'liat', 'aplikasinya', 'pakai', 'aplikasi', 'nggak', 'prasaan', 'harga', 'paket', 'berubah', 'trllu', 'faham', 'pakai', 'aplikasi', 'sebenrnya', 'tujuan', 'aplikasi', 'bantu', 'spaya', 'faham', 'aplikasi', 'thank', '']</t>
  </si>
  <si>
    <t>['internet', 'telkomsel', 'lemot', 'kencang', 'dibanding', 'lemot', 'udah', 'ganti', 'provider', 'beli', 'paket', 'mahal', 'lemot', '']</t>
  </si>
  <si>
    <t>['aplikasi', 'menyebalkan', 'dikit', 'error', 'coba', 'gangguan', 'tekhnis', 'kadang', 'aplikasi', 'error', 'aplikasi', 'handphone', 'kecewa', 'banget', 'kedepankan', 'khusus', 'indonesia', 'tolong', 'perbarui', 'dunk', 'mengetahuinya', 'kasih', 'bintang', 'ntar', 'nggak', 'error', 'kasih', 'bintang', 'teman', 'perbaharui', 'tlg', 'download', 'entar', 'nyesal', 'tunggu', 'ulasan', 'teman', 'download']</t>
  </si>
  <si>
    <t>['jaringan', 'telkomsel', 'beberpa', 'bagus', 'ubah', 'ubah', 'jaringanya', 'perubahan', 'jelek', 'jaringan', 'terbaik', 'kgk', 'sesuai', 'iklan', 'asli']</t>
  </si>
  <si>
    <t>['telkomsel', 'kesini', 'sinyal', 'jelek', 'internetan', 'lemot', 'main', 'game', 'harga', 'paketan', 'sesuai', 'jaringanya', 'jelexxxxxx', '']</t>
  </si>
  <si>
    <t>['user', 'interface', 'pelayanan', 'bagus', 'kendala', 'login', 'sinyal', 'bagus', 'durasi', 'verifikasi', 'mohon', 'diperpanjang', 'detik', 'verifikasi', 'via', 'sms', 'sinyal', 'bagus', '']</t>
  </si>
  <si>
    <t>['gila', 'siuh', 'telkomsel', 'barusan', 'paket', 'darurat', 'knpa', 'tanggal', 'tnggl', 'kmaren', 'sya', 'udah', 'jam', 'udah', 'masuk', 'tanggal', 'alhasil', 'paketnya', 'trus', 'nntinya', 'sya', 'bayar', 'gitu', 'belom', 'smpat', 'udah', 'tanggalnya', 'siatemnnya', 'terganggu', 'lgi', 'paa', 'paker', 'darurat', 'udah', 'nunggu', 'berharap', 'gini', 'sya', 'lgi', 'bngt', 'plsa', 'darurat', 'min', '']</t>
  </si>
  <si>
    <t>['tarif', 'mahal', 'jaringan', 'jelek', 'nomor', 'buang', 'sayang', 'beli', 'lumayan', 'mahal', 'internet', 'semarang', 'mending', 'pakai', 'tri', 'murah', 'sinyal', 'telkomsel', 'aneh', 'kantor', 'deket', 'banget', 'grapari', 'sinyal', 'bagus', 'tri', 'wkwkwkwk', 'tri', 'nomor', 'cadangan', 'kebalik', 'wkwkwkk']</t>
  </si>
  <si>
    <t>['jarang', 'banget', 'dpt', 'promo', 'paket', 'murah', 'kompetitif', 'menarik', 'menu', 'pilihan', 'fitur', 'letaknya', 'merepotkan', 'memilih', 'paket', 'ditawarkan', '']</t>
  </si>
  <si>
    <t>['sinyal', 'telkomsel', 'leg', 'main', 'geme', 'gua', 'udh', 'telkomsel', 'th', 'suka', 'leg', 'admin', 'tolong', 'sinyal', 'berbaikan', 'kayak', 'kecewakan', 'pengguna', 'setia', 'telkomsel', '']</t>
  </si>
  <si>
    <t>['maaf', 'telkomsel', 'kasih', 'bintang', 'update', 'ampe', 'aplikasi', 'telkomsel', 'susah', 'akses', 'jaringan', 'bagus', 'paketin', 'liat', 'sisa', 'pulsa', 'telkomsel', 'susahnya', 'naudubilah', 'coba', 'keluhan', 'massager', 'telkomsel', 'balasan', 'coba', 'call', 'center', 'jaringan', 'aplikasinya', 'whats', 'wrong', 'telkomsel', 'sumpah', 'gini', 'update', 'update', 'akses']</t>
  </si>
  <si>
    <t>['harga', 'paket', 'data', 'mahal', 'operator', 'kwalitas', 'jaringan', 'pengguna', 'telkomsel', 'setia', 'puas', 'kritikan', 'ditanggapi', 'bintang', 'auto', 'turun', '']</t>
  </si>
  <si>
    <t>['membantu', 'mempermudah', 'pengisian', 'pulza', 'atw', 'paket', 'internet', 'cuman', 'tolong', 'perbaiki', 'jaringan', 'internet', 'wilayah', 'kotabaru', 'bogor', '']</t>
  </si>
  <si>
    <t>['plis', 'deh', 'telkom', 'kolot', 'masak', 'paket', 'gue', 'habis', 'trus', 'wifi', 'temen', 'indosat', 'masuk', 'aplikasi', 'telkomsel', 'trus', 'daftar', 'aplikasi', 'nggak', 'paket', 'promonya', 'trus', 'gue', 'musti', 'gimana', 'ajg', 'gilak']</t>
  </si>
  <si>
    <t>['min', 'benerin', 'jualan', 'kuota', 'beli', 'kuota', 'keterangannya', 'aktif', 'cuman', 'kecewa', 'pelanggan']</t>
  </si>
  <si>
    <t>['ampun', 'beneran', 'telkomsel', 'buka', 'app', 'mytelkomsel', 'isi', 'pulsa', 'beli', 'paketpun', 'diupdate', 'app', 'dibuka', 'kecewa', 'kesel', 'bangetm']</t>
  </si>
  <si>
    <t>['', 'pergantian', 'menu', 'menu', 'lag', 'memory', 'leaks', 'content', 'image', 'load', 'ulang', 'ngabisin', 'kuota', 'udah', 'konten', 'image', 'dahlah', 'beli', 'kuota', 'keserep', 'gituan', 'can', 'see', 'status', 'bar', 'while', 'scrolling', 'memory', 'memory', 'data', 'terambil', 'sekedar', 'thumbnail', 'dark', 'mode', 'silau', 'buka', 'malem', 'malem', 'terima', 'kasih', 'keep', 'update', 'and', 'user', 'friendly', '']</t>
  </si>
  <si>
    <t>['telkomsel', 'lemot', 'kuota', 'youtube', 'nonton', 'youtube', 'udh', 'bli', 'pket', 'you', 'tube', 'nonton', 'youtube', 'telkomsel', 'tolong', 'benarkan', '']</t>
  </si>
  <si>
    <t>['aplikasi', 'terupdate', 'susah', 'log', 'kesalahan', 'emosi', 'jelek', 'telkomsel', 'tolong', 'diperbaiki', 'area', 'samarinda', 'utara']</t>
  </si>
  <si>
    <t>['paraaahh', 'login', 'mytelkomsel', 'error', 'pdhl', 'ngeklik', 'magic', 'link', 'loadingggggggg', 'berujung', 'error', 'kayak', 'sblm', 'ganti', 'logo', 'payaaahh', 'delete']</t>
  </si>
  <si>
    <t>['telkomsel', 'mahal', 'mantap', 'sii', 'paketannya', 'paket', 'nonton', 'maxtrem', 'udah', 'mahal', 'persyaratan', '']</t>
  </si>
  <si>
    <t>['gunanya', 'aplikasi', 'login', 'ribet', 'pakai', 'link', 'verifikasi', 'tolonglah', 'kemudahan', 'ribet']</t>
  </si>
  <si>
    <t>['terima', 'kasih', 'telkomsel', 'beneran', 'kecewa', 'ama', 'harga', 'paket', 'ribu', 'pulsa', 'ribu', 'cuman', 'nyisain', 'ribu', 'doang', 'gila', 'data', 'gitu', 'pakai', 'pulsa', 'akses', 'internetnya', 'kuota', 'gila', 'kasih', 'bintang', 'coba', 'ngasih', 'rating', 'bintang', 'bertahun', 'pakai', 'kartu', 'telkomsel', 'kek', 'gini']</t>
  </si>
  <si>
    <t>['sinyal', 'telkomsel', 'harinya', 'buruk', 'dlu', 'bagus', 'tolonglah', 'kasi', 'kualitas', 'jaringan', 'bagus', 'pengguna', 'telkomsel', 'berpindah', 'hati']</t>
  </si>
  <si>
    <t>['parah', 'aplikasi', 'update', 'bagus', 'masuk', 'link', 'dikirimkan', 'nomor', 'aplikasi', 'install', 'smartphone', 'nomor', 'tolong', 'kinerja', 'aplikasi', 'bener', 'parahnya', 'isi', 'pulsa', 'aplikasi', 'bayar', 'pakai', 'shopeepay', 'cashback', 'iklannya', 'pulsanya', 'hilang', 'dipakainya', 'kecewa', 'telkomsel']</t>
  </si>
  <si>
    <t>['sya', 'kecewa', 'update', 'apk', 'bsa', 'masuk', 'loading', 'trus', 'alami', 'sya', 'alamin', 'pulsa', 'beli', 'kemana', 'semoga', 'perbaiki', '']</t>
  </si>
  <si>
    <t>['pakai', 'nomer', 'harga', 'kuota', 'telkomsel', 'murah', 'ketimbang', 'berlangganan', 'nomer', 'telkomsel', 'harga', 'kuota', 'telkomsel', 'tetep', 'mahal']</t>
  </si>
  <si>
    <t>['ppkm', 'malem', 'lemot', 'jaringan', 'wajar', 'pakt', 'mahal', 'tpi', 'sinyal', 'butut', 'ayo', 'mending', 'ganti', 'provider', 'kawan', 'kesini', 'telkomsel', 'ngco']</t>
  </si>
  <si>
    <t>['', 'isi', 'pulsa', 'isi', 'ilang', 'pulsanya', 'kmna', 'sms', 'paket', 'darurat', 'pdhal', 'terdaptar', 'paket', 'darurat', 'isi', 'pulsa', 'banking', 'kgk', 'masuk', 'dri', 'banking', 'selesai', 'pas', 'telpon', 'nunggu', 'kembalikan', 'kgk', 'csnya', 'abis', 'kontrak', 'kali', 'telkomsel', 'bapuk', '']</t>
  </si>
  <si>
    <t>['eko', 'andi', 'saputra', 'paket', 'tersedia', 'dibeli', 'proses', 'pelayanan', 'lambat', 'jaringan', 'stabil', 'ngk', 'kin', 'promo', 'klok', 'sinyal', 'lelet', 'suka', 'ilang', 'banget', 'operator']</t>
  </si>
  <si>
    <t>['main', 'potong', 'pulsa', 'maksud', 'memakai', 'pulsa', 'rp', 'akses', 'internet', 'non', 'paket', 'cek', 'kuota', 'beli', 'paket', 'tsel', 'tsel', 'udh', 'kualitas', 'signal', 'error', 'mengecewakan', '']</t>
  </si>
  <si>
    <t>['', 'jengkel', 'aplikasi', 'login', 'pakai', 'link', 'nggak', 'dikirim', 'sms', 'udah', 'berulang', 'nyoba', 'dikirim', 'sms', 'ribet', 'masuk', 'aplikasi', 'gimana', 'coba', 'app', 'sempurna', 'sok', 'sok', 'pakai', 'aplikasi', 'lelet']</t>
  </si>
  <si>
    <t>['pembayaran', 'link', 'arahkan', 'peramban', 'suruh', 'update', 'aplikasi', 'udah', 'versi', 'terbaru', 'list', 'paket', 'lengkap', 'betukan', '']</t>
  </si>
  <si>
    <t>['', 'payah', 'maksud', 'hati', 'krna', 'pelanggan', 'setia', 'telkomsel', 'setia', 'log', 'log', 'out', 'log', 'susahnya', 'ampun', 'keterangan', 'sesi', 'oops', 'kesalahan', 'hadeeeh', 'capek', 'aplikasi', 'copot', 'bolak', 'log', 'via', 'sms', 'masuk', 'sinyal', 'lumayan', 'maaf', 'uninstal', 'setia', 'check', 'ikutan', 'telkomsel', 'poin', '']</t>
  </si>
  <si>
    <t>['mikir', 'kasih', 'bintang', 'lihat', 'ulasan', 'wajar', 'kasih', 'bintang', 'kasih', 'bintang', 'keluhan', 'aplikasi', 'lemot', 'sinyal', 'bagus', 'pakai', 'wifi', 'kecepatan', 'keluhan', 'sinyal', 'telkomsel', 'susah', 'lumayan', 'kenceng', 'sms', 'telkomsel', 'sakti', 'cek', 'paket', 'tersedia', 'harga', 'paket', 'aplikasi', 'mahal']</t>
  </si>
  <si>
    <t>['udah', 'apk', 'buka', 'log', 'gagal', 'kesalahan', 'apanya', 'salah', 'udah', 'bener', 'jaringan', 'lancar', 'tetep', 'coba', 'bersihkan', 'data', 'download', 'ulang', 'tetep', '']</t>
  </si>
  <si>
    <t>['update', 'susah', 'dibuka', 'aplikasinya', 'tolong', 'diperbaiki', 'memuaskan', 'pengguna', 'terkomsel', 'terimakasih']</t>
  </si>
  <si>
    <t>['kasih', 'bintang', 'menambah', 'masukan', 'poin', 'coba', 'menukar', 'poin', 'tolong', 'kasih', 'geratis', 'memotong', 'pulsa', 'contoh', 'menukar', 'paket', 'data', 'internet', 'memakai', 'poin', 'memakan', 'biaya', 'tolong', 'geratis', 'moga', 'acc', 'amin', '']</t>
  </si>
  <si>
    <t>['buka', 'apk', 'gabisa', 'buka', 'lancar', 'isi', 'pulsa', 'langsung', 'habis', 'daftar', 'aneh', '']</t>
  </si>
  <si>
    <t>['tolong', 'login', 'kirim', 'link', 'usahakan', 'pakai', 'nomer', 'ferifikasi', 'kendala', 'nomer', 'pasang', 'butut', 'buka', 'internet', 'inti', 'fleksibel']</t>
  </si>
  <si>
    <t>['kasih', 'bintang', 'mah', 'minus', 'udah', 'berkali', 'pulsa', 'abis', 'neh', 'sisa', 'pulsa', 'abis', 'data', 'wifi', 'trs', 'sisa', 'quota', '']</t>
  </si>
  <si>
    <t>['', 'sinyal', 'internet', 'telkomsel', 'kemarin', 'susah', 'trus', 'pas', 'internetan', 'tarik', 'pulsa', 'kouta', 'internet', 'aktifnya', 'habis', 'hangus', 'deh', 'lenyap', 'alhamdulillah', 'kouta', 'hasil', 'event', 'cek', 'trus', 'alhamdulillah', 'pulsa', 'ketarik', 'sampe', 'rb', 'jengkel', 'banget', 'buka', 'aplikasi', 'mytelkomsel', 'susah', '']</t>
  </si>
  <si>
    <t>['rancu', 'sinyal', 'ilang', 'mahal', 'doang', 'kualitas', 'nihil', 'pindah', 'halo', 'bagus', 'bobrok', 'kalh', 'ama', 'providee', 'murah', 'ampas']</t>
  </si>
  <si>
    <t>['knp', 'masuk', 'aplikasi', 'eror', 'mulu', 'parah', 'bnget', 'udh', 'gini', 'mulu', 'logut', 'bkin', 'aplikasi', 'bner', 'napa', 'srius', 'dikit', 'kek']</t>
  </si>
  <si>
    <t>['tolong', 'baca', 'pesan', 'kecewa', 'pelayananya', 'nominal', 'mendaftarkan', 'paket', 'disney', 'hotstar', 'karna', 'nomor', 'pekerjaan', 'siang', 'top', 'pulsa', 'graphari', 'cinere', 'mall', 'terima', 'sms', 'notifikasi', 'siang', 'terdaftar', 'paket', 'disney', 'hotstar', 'aktif', 'aktif', 'persetujuan', 'gimana', 'maksudnya', '']</t>
  </si>
  <si>
    <t>['perbaiki', 'app', 'kak', 'app', 'down', 'mohon', 'rajin', 'notifikasi', 'peringatan', 'pemakaian', 'bulanan', '']</t>
  </si>
  <si>
    <t>['transfer', 'pulsa', 'saldo', 'tertinggal', 'min', 'knpa', 'nggak', 'pulsa', 'rbu', 'transfer', 'rbu', 'sya', 'isi', 'pulsa', 'org', 'langganan', 'sya', 'salah', 'nomor', 'sya', 'isi', 'nomer', 'sya', 'transfer', 'pulsa', 'nomor', 'paket', 'murah', 'aplikasi', 'telkomsel', 'hrus', 'ditinggal', 'nggak', 'beli', 'pket', 'sya', 'mauu', '']</t>
  </si>
  <si>
    <t>['quota', 'game', 'giga', 'sinyal', 'parah', 'banget', 'rto', 'iklas', 'ngasih', 'bonus', 'pakek', 'nge', 'game', 'bonus', 'loe', 'kecuali', 'game', 'offline', 'pakek', 'internet', 'lancar', '']</t>
  </si>
  <si>
    <t>['hai', 'min', 'pembelian', 'paket', 'data', 'ekstra', 'unlimited', 'telkomsel', 'sinyal', 'mendukung', 'pemberitahuan', 'transaksi', 'pulsa', 'mencukupi', 'tolong', 'sistemnya', 'diperbaiki', 'merugikan', 'pengguna', 'terimakasih', '']</t>
  </si>
  <si>
    <t>['layanan', 'bagus', 'paket', 'combo', 'sakti', 'economis', 'the', 'best', 'lahh', 'pakai', 'telkomsel', '']</t>
  </si>
  <si>
    <t>['tarif', 'paket', 'internet', 'mahal', 'pengguna', 'telkomsel', 'mlah', 'internetnya', 'murah', 'pelanggan', 'dimahal', 'kualitas', 'jaringan', 'buruk', '']</t>
  </si>
  <si>
    <t>['kecewa', 'telkomsel', 'pembelian', 'kuota', 'tambahan', 'sllu', 'lancar', 'tpi', 'knapa', 'susah', 'membeli', 'kuota', 'tambahan', 'system', 'sllu', 'sibuk', '']</t>
  </si>
  <si>
    <t>['telkomsel', 'mengalami', 'kebangkrutan', 'memperbaiki', 'jaringannya', 'kesini', 'sinyalnya', 'hancur', 'buruk', 'sinyal', 'jelek', 'layanan', 'jelek', 'jaringan', 'kualitasnya', 'buruk', 'hrs', 'diutak', 'utik', 'provider', 'bagus', 'telkomsel', 'jeleeekkk']</t>
  </si>
  <si>
    <t>['pelayanan', 'terbaik', 'sinyal', 'terbatas', 'pelosok', 'pelosok', 'setia', 'telkomsel', 'the', 'best', 'love', 'telkomsel', '']</t>
  </si>
  <si>
    <t>['aktifasi', 'paket', 'internet', 'combo', 'sakti', 'max', 'rb', 'selesai', 'transaksi', 'paket', 'aktif', 'udah', 'komplain', 'terkesan', 'serius', 'membantu', 'telkomsel', 'serius', 'ayolah', 'perusahaan', 'seakan', 'pelanggan', 'gini', '']</t>
  </si>
  <si>
    <t>['knp', 'pas', 'update', 'app', 'versi', 'terbaru', 'buka', 'app', 'pdhl', 'sblm', 'update', 'persi', 'app', 'buka', 'skarang', 'udah', 'update', 'versi', 'log']</t>
  </si>
  <si>
    <t>['huh', 'tolol', 'update', 'udah', 'update', 'dibuka', 'update', 'maksudnya', 'coba', 'nyakitin', '']</t>
  </si>
  <si>
    <t>['update', 'dibuka', 'kondisi', 'signal', 'aplikasi', 'dibuka', 'mohon', 'diperbaiki', 'nyaman', '']</t>
  </si>
  <si>
    <t>['kemaren', 'jaringan', 'bagus', 'buka', 'aplikasi', 'telkomsel', 'skrg', 'gabisa', 'buka', 'alasan', 'eror', 'jaringan', 'jelek', 'pubg', 'lancar', 'puny', 'aplikasi', 'benerin']</t>
  </si>
  <si>
    <t>['tolong', 'gimana', 'tanggung', 'pihal', 'telkomsel', 'beli', 'paket', 'internet', 'combo', 'sakti', 'gb', 'pulsa', 'senilai', 'rp', 'pulsa', 'ditarik', 'paket', 'internetnya', 'masuk', 'gimana', 'nelpon', 'telkomsel', 'dri', 'kemaren', 'disuruh', 'nunggu', 'tolonglah', 'paketan', 'dikirim', 'tolong', 'pulsa', 'dikembalikan', 'kecewa', 'telkomsel']</t>
  </si>
  <si>
    <t>['aplikasinya', 'bagus', 'kualitas', 'jaringan', 'payah', 'turunkan', 'bintangnya', 'parah', 'signalnya', 'udah', 'terlanjur', 'migrasi', 'halo', '']</t>
  </si>
  <si>
    <t>['stlah', 'update', 'pembayaran', 'money', 'platform', 'dana', 'sddikit', 'ribet', 'beli', 'paket', 'isi', 'pulsa', 'dana', 'beli', 'paket', 'mnggunakan', 'pulsa', 'kecewa']</t>
  </si>
  <si>
    <t>['paket', 'combo', 'sakti', 'unlimitednya', 'habis', 'kuota', 'utama', 'dibatasi', 'kbps', 'pindah', 'smartfren', 'kartu', 'telkomsel', 'udah', 'lumayan', '']</t>
  </si>
  <si>
    <t>['susah', 'buka', 'app', 'udah', 'isi', 'pulsa', 'beli', 'paketan', 'bener', 'kesel', 'kayak', 'gini', 'smpe', 'skrg', 'buka', 'app', 'buka', 'tolong', 'kasih', 'promo', 'pembelian', 'kuota', '']</t>
  </si>
  <si>
    <t>['update', 'trus', 'suruh', 'login', 'stak', 'verifikasi', 'masak', 'suruh', 'verifikasi', 'cuman', 'detik', 'sms', 'verifikasinya', 'menit', 'dikirim', 'tolol', 'aplikasi', 'mikir', 'sinyalnya', 'bagus', 'indo', 'tolol', 'banget', 'programernya', 'males', 'maketin', 'aplikasi', 'pecat', 'programernya', 'tolol', 'banget', 'aplikasi', 'ribet', 'eror', 'mulu', 'servernya', 'udah', 'bagus', 'diudate', 'eror', 'tolol', 'tolol']</t>
  </si>
  <si>
    <t>['oiya', 'app', 'user', 'friendly', 'tolong', 'kuota', 'buka', 'appnya', 'beli', 'paket', 'data', 'beli', 'kuota', 'pelit', 'kasih', 'promo', 'paketannya', 'gatcha', '']</t>
  </si>
  <si>
    <t>['maaf', 'min', 'abis', 'update', 'aplikasi', 'susah', 'login', 'maaf', 'kesalahan', 'kesalahan', 'nomer', 'email', 'masukan', 'udah', 'bener', 'udah', 'kiriman', 'link', 'login', 'login', 'masak', 'abis', 'update', 'kek', 'gini', 'min', '']</t>
  </si>
  <si>
    <t>['aplikasi', 'ribut', 'masuk', 'aplikasi', 'susah', 'kesalahn', 'jaringan', 'kesalahan', 'sistem', 'buka', 'aplikasi', 'masuk', 'salah', 'tellkomsel', 'sinyal', 'jaringan', 'penguna', 'telkomsel', 'kecewa', 'pelayanannya', 'tolonglah', 'penguna', 'telkomsel', '']</t>
  </si>
  <si>
    <t>['tgl', 'july', 'sampe', 'july', 'aplikasi', 'pakai', 'kuota', 'pakai', 'kartu', 'prabayar', 'error', 'gini', 'menyusahkan', 'keliatan', 'melayani', 'pelanggan', '']</t>
  </si>
  <si>
    <t>['kuota', 'game', 'bermain', 'mobile', 'legends', 'beli', 'kuota', 'game', 'sia', 'sia', 'beli', 'pulsa']</t>
  </si>
  <si>
    <t>['diudate', 'paket', 'data', 'daily', 'check', 'pulsa', 'terkuras', 'aneh', 'kali', 'berulang', 'paket', 'datanya', 'mengecewakan', '']</t>
  </si>
  <si>
    <t>['tolong', 'perbaiki', 'terkadang', 'vpn', 'masuk', 'aplikasi', 'jaringan', 'stabil', 'jaringan', 'stabil', 'yutuban', 'lancar', 'biat', 'buk', 'telkonsel', 'jaringan', 'tidal', 'stabil', 'vpn', 'dlu', 'buka', 'apk', 'bru', 'kebuka']</t>
  </si>
  <si>
    <t>['bagus', 'jelek', 'aplikasinya', 'haduhh', 'parah', 'bener', 'telkomsel', 'aplikasi', 'jelek', 'banget', 'wkkwk']</t>
  </si>
  <si>
    <t>['aplikasi', 'telkomsel', 'fitur', 'jelek', 'paket', 'combonya', 'mahal', 'mahal', 'tpi', 'kuotanya', 'bertambah', 'tpi', 'butuhkan', 'cuman', 'paket', 'combo', 'unlimitit', 'beli', 'pas', 'pemakaian', 'bkn', 'pengusaha', 'butuh', 'kuota', 'rmh', 'tangga', 'pemakaian', 'internet', 'tolong', 'masukkan', 'paket', 'combo', 'unlimitiet', 'beli']</t>
  </si>
  <si>
    <t>['rugi', 'update', 'mb', 'update', 'semangkin', 'susah', 'masuk', 'semangkin', 'sulit', 'kayak', 'mahal', 'jaringan', 'ngak', 'beres', 'ganti', 'kartu', '']</t>
  </si>
  <si>
    <t>['susah', 'bener', 'login', 'udh', 'check', 'check', 'log', 'out', 'login', 'payah', 'telkomsel']</t>
  </si>
  <si>
    <t>['aplikasi', 'semenjak', 'perbarui', 'susah', 'masuk', 'aplikasi', 'udah', 'dapet', 'link', 'sms', 'klik', 'masuk', 'teruss', 'sinyal', 'jelek', 'udah', 'thun', 'make', 'telkomsel', 'jelek', 'daerah', 'bekasi', 'kota']</t>
  </si>
  <si>
    <t>['thn', 'telkomsel', 'mengecewakan', 'mbuka', 'aplikasi', 'kadang', 'nggak', 'buka', 'video', 'klu', 'putus', '']</t>
  </si>
  <si>
    <t>['namanya', 'telkomsel', 'komunitasnya', 'kesel', 'upgrade', 'layanan', 'sampe', 'jelek', 'mulu', 'sunyalnya', 'bagus', 'detik', 'mending', 'bakar', 'kantor', 'ngelayanin', 'pengguna', 'mahal', 'dapet', '']</t>
  </si>
  <si>
    <t>['benci', 'jengkel', 'mamgkel', 'lelet', 'pencuri', 'pulsa', 'kemaren', 'jdi', 'posisi', 'off', 'aktifkan', 'kali', 'udah', 'berkali', 'kali', 'males', 'pakai', 'aman', 'nyimpen', 'pulsa']</t>
  </si>
  <si>
    <t>['pulsa', 'hilang', 'pdhal', 'layanan', 'rupiah', 'lumayan', '']</t>
  </si>
  <si>
    <t>['aplikasi', 'buruk', 'boong', 'bagus', 'aplikasi']</t>
  </si>
  <si>
    <t>['jaringan', 'telkomsel', 'buruk', 'harga', 'kuota', 'mahal', 'mengirim', 'pesan', 'ampun', 'kecewa', 'telkomsel', '']</t>
  </si>
  <si>
    <t>['telkomsel', 'kartu', 'sinyal', 'internet', 'siluman', 'paket', 'mahal', 'kualitas', 'abal', 'abal', 'pakai', 'telkomsel', 'mending', 'pakai', 'kartu', 'telkomsel', '']</t>
  </si>
  <si>
    <t>['mohon', 'penjelasan', 'isi', 'paket', 'tgl', 'juli', 'habis', 'tgl', 'agustus', 'hitungannya', 'brti', '']</t>
  </si>
  <si>
    <t>['bagus', 'aplikasinya', 'tolong', 'paketan', 'internet', 'mahal', 'telkomsel', 'terkenal', 'mahal', 'sinyal', 'nggak', 'bagus', 'harapan', 'jaya', 'jaringan', 'jelek', 'sayangnya', 'paketan', 'habis', 'pulsa', 'kesedot', 'data', 'aktif', '']</t>
  </si>
  <si>
    <t>['pulsa', 'sedot', 'woiii', 'data', 'matiin', 'somplak', 'aktifin', 'data', 'pke', 'wifi', 'masuk', 'app', 'telkomsel', 'eroor', 'giliran', 'nyalain', 'data', 'app', 'tekomsel', 'buka', 'pulsa', 'kepotong', 'dasar', 'simpita', '']</t>
  </si>
  <si>
    <t>['memakai', 'simpati', 'telkomsel', 'bbrapa', 'sinyal', 'jelek', 'loading', 'gangguan', 'trus', 'gerangan', 'telkomsel', 'emang', 'perbaikan', 'min', 'info', 'pelanggan', 'memahaminya', '']</t>
  </si>
  <si>
    <t>['kuota', 'telkomsel', 'mahal', 'boros', 'tekor', 'pengguna', 'berdompet', 'tipis', 'pakai', 'kartu', 'axis', 'murah', 'hemat', 'pakai', 'telkomsel', 'pengen', 'nonton', 'olimpiade', 'disimpulkan', 'pakai', 'telkomsel', 'terpaksa', 'tersiksa']</t>
  </si>
  <si>
    <t>['tolong', 'jaringannya', 'diperbaiki', 'listrik', 'padam', 'jaringan', 'telkomsel', 'hilang', 'jaringan', 'pas', 'main', 'game', 'afk', 'pakai', 'hero', 'mmr', 'bayangkan', 'perasaan', '']</t>
  </si>
  <si>
    <t>['hallo', 'min', 'mohon', 'infonya', 'telkomsel', 'update', 'gabisa', 'masuk', 'buka', 'apk', 'putih', 'doang', 'layar', 'kaya', 'ngefreez', 'kadang', 'item', 'doang', 'sebelm', 'update', 'lancar', 'mohon', 'bantuannya']</t>
  </si>
  <si>
    <t>['beli', 'ribu', 'beli', 'kali', 'kasih', 'harga', 'murah', 'memakai', 'telkomsel', 'desa', 'sinyal', 'slalu', 'susah', 'pembelajaran', 'online', '']</t>
  </si>
  <si>
    <t>['aplikasi', 'lemot', 'paketin', 'data', 'wifi', 'gabisa', 'masuk', 'apl', 'lemot', 'parah', 'pas', 'udah', 'dipaketin', 'mahal', 'kebuka', 'telkomsel', 'lawak', 'aplikasi', 'telkomsel', 'sengaja', 'beli', 'mahal', 'duakali', 'kek', 'gini', 'hambur', 'banget', 'pulsa', 'telfon', 'sms', 'mahal', 'paketin', 'sms', 'gabisa', 'dibeli', 'telkomsel', 'maksa', 'astaga', 'pengen', 'ganti', 'provider', 'butuh', 'sinyal', 'telkomsel']</t>
  </si>
  <si>
    <t>['aplikasi', 'update', 'terbaru', 'pembayaran', 'debit', 'konfirmasikan', 'blm', 'perubahan']</t>
  </si>
  <si>
    <t>['telkomsel', 'sukabumi', 'sinyal', 'jelek', 'pdhl', 'telkomsel', 'ngebut', 'sinyalnya', 'taun', 'telkomsel', 'kali', 'sinyal', 'jelek', '']</t>
  </si>
  <si>
    <t>['pulsa', 'kesedot', 'dipakai', 'daftar', 'paket', 'telpon', 'pulsa', 'sekrng', 'sisa', 'daftar', 'paket', 'dikonfirmasi', 'pelayanan', 'memuaskan', '']</t>
  </si>
  <si>
    <t>['saran', 'user', 'menyukai', 'tampilan', 'interface', 'informatif', 'pilihan', 'warna', 'fontnya', 'pas', 'interface', 'tampilannya', 'informatif', 'kurangnya', 'icon', 'terimakasih']</t>
  </si>
  <si>
    <t>['pelanggan', 'pakai', 'promo', 'kuota', 'all', 'net', 'harga', 'murah', 'terima', 'kasih', 'telkomsel', '']</t>
  </si>
  <si>
    <t>['transaksi', 'cepat', 'biaya', 'murah', 'promo', 'semoga', 'telkomsel', 'promo', 'promo', 'meberikan', 'kemudahan', 'pelangganya', '']</t>
  </si>
  <si>
    <t>['telkomsel', 'jaringannya', 'tolong', 'ikutan', 'down', 'jaringannya', 'telkomsel', 'gimana', 'paket', 'utama', 'kuota', 'sosmed', 'kepake', 'kuota', 'utama', 'gunanya', 'paket', 'sosmed', 'pas', 'paket', 'data', 'utama', 'habis', 'diisi', 'gimana', '']</t>
  </si>
  <si>
    <t>['jaringan', 'internet', 'telkomsel', 'jelek', 'ayo', 'tinggalkan', 'telkomsel', 'jaringannya', 'jelek', 'pelanggan', 'rugikan', 'uda', 'beli', 'mahal', 'kuota', 'taunya', 'nikmati']</t>
  </si>
  <si>
    <t>['woilah', 'admin', 'telkomsel', 'update', 'susah', 'login', 'detiknya', 'sesi', 'maaf', 'kesalahanlah', 'sesi', 'ajg', 'gimana', 'tolong', 'pencerahan', 'gua', 'ngebeli', 'unlimited', 'selalau', 'telkomsel', 'ngebeli', 'login', 'ttd', 'pelanggan', 'setia', 'kecewa', '']</t>
  </si>
  <si>
    <t>['akun', 'telkomsel', 'login', 'coba', 'metode', 'masuk', 'gagal', 'kesalahan']</t>
  </si>
  <si>
    <t>['', 'telkomsel', 'abis', 'diupdate', 'gabisa', 'masuk', 'akun', 'kesalahan', 'kesalahan', 'jaringan', 'jaringan', 'internet', '']</t>
  </si>
  <si>
    <t>['pulsa', 'savenya', 'indosat', 'paketan', 'pulsa', 'lupa', 'beli', 'paket', 'menguras', 'pulsa', 'telkomsel', 'menguras', 'pulsa', '']</t>
  </si>
  <si>
    <t>['', 'tukar', 'poin', 'gb', 'intenet', 'notif', 'internetnya', 'dapet', 'poinnya', 'terpotong', 'hoax', 'doang', 'event', 'tukar', 'poinnya', 'hadeeeeeehhhhh', 'padahan', 'isi', 'pulsa', 'suka', 'gede', 'mulu', 'langganan', 'telkomsel', 'udah', '']</t>
  </si>
  <si>
    <t>['bintang', 'skrg', 'kasih', 'bintang', 'telkomsel', 'ngasih', 'hadiah', 'nanggung', 'kya', 'sebelah', 'kasih', 'bneran', 'ngasih', 'daily', 'check', 'giliran', 'deket', 'kena', 'hadiah', 'buka', 'aplikasinya', 'coba', 'instal', 'ulang', 'susah', 'login', 'login', 'enak', 'kode', 'veriv', 'kaya', 'krna', 'tautan', 'klik', '']</t>
  </si>
  <si>
    <t>['bagus', 'berguna', 'banget', 'apknya', 'beli', 'kuota', 'mudah', 'tpi', 'saran', 'harga', 'kuotanya', 'turunin', 'dikit', 'papa', 'berlanggan', 'puluhan', 'tolong', 'kasih', 'promo']</t>
  </si>
  <si>
    <t>['udah', 'kecewa', 'telkomsel', 'pindah', 'sebelah', 'skrang', 'batas', 'penggunaan', 'egk', 'kaya', 'paket', 'bebas', 'unlimited', 'kecewa', 'berat']</t>
  </si>
  <si>
    <t>['quota', 'internet', 'dipisahkan', 'pulsa', 'quota', 'habis', 'pulsa', 'habis', 'terpakai', 'disadari', 'terimakasih', 'perhatiannya', '']</t>
  </si>
  <si>
    <t>['nomor', 'prabayar', 'udah', 'kirim', 'gift', 'nomor', 'pdahal', 'dipakai', 'sayang', 'bayar', 'ganti', 'prabayar', 'kirim', 'paket', 'pulsa', 'org']</t>
  </si>
  <si>
    <t>['aplikasi', 'susah', 'dibuka', 'daily', 'check', 'blm', 'habis', 'masanya', 'sdgkn', 'kuota', 'wifi', 'kencang', 'login', 'aplikasinya', 'lemot', 'skali', 'sdgkn', 'app', 'provider', 'bermasalah', 'telkomsel', 'koq', 'gini', '']</t>
  </si>
  <si>
    <t>['sinyal', 'bagus', 'telkomsel', 'menghargai', 'pelanggan', 'setia', 'nomor', 'telkomsel', 'pakai', 'beli', 'paket', 'internet', 'nomor', 'murah', 'paket', 'internet', 'nomor', 'paket', 'murah', 'mohon', 'masukkan', '']</t>
  </si>
  <si>
    <t>['aneh', 'paket', 'bulanan', 'pulsa', 'potong', 'sinyal', 'jelek', 'kualitas', 'tingkatkan', 'menggerogoti', 'sulit', '']</t>
  </si>
  <si>
    <t>['beli', 'paket', 'game', 'ggb', 'smpe', 'aktif', 'habis', 'tetep', 'gb', 'emang', 'mnding', 'card', 'sebelah', 'gb', 'lancar', '']</t>
  </si>
  <si>
    <t>['isi', 'paket', 'swadaya', 'telkomsel', 'perbulan', 'pembelian', 'tanggal', 'juli', 'pemakaian', 'tanggal', 'juli', 'kuota', 'terpakai', 'sisa', 'kuota', 'tanggal', 'juli', 'bangkrut', 'boros', 'kuotanya', '']</t>
  </si>
  <si>
    <t>['ngk', 'beli', 'paket', 'combo', 'sakti', 'sllu', 'beli', 'paket', 'combo', 'sakti', 'knpa', 'skrg', 'ngk', 'tolong', 'donk', 'telkomsel', 'tingkatkan', 'kualitas', '']</t>
  </si>
  <si>
    <t>['pembelian', 'paket', 'aplikasi', 'telkomsel', 'pembelian', 'paket', 'berhasil', 'tolong', 'bantulah', 'min', '']</t>
  </si>
  <si>
    <t>['aplikasi', 'gila', 'saldo', 'udah', 'terpotong', 'paket', 'internet', 'masuk', 'dimana', 'uang', 'udah', 'beli', 'paket', 'aplikasi', 'bangkeee', '']</t>
  </si>
  <si>
    <t>['beli', 'paket', 'ketengan', 'harga', 'paket', 'nelfon', 'sms', 'proses', 'saldo', 'gopay', 'potong', 'gimana', 'pelayanan', 'mengecewakan']</t>
  </si>
  <si>
    <t>['login', 'asyik', 'kirim', 'sms', 'verifikasi', 'mohon', 'bantuannya', 'koq', 'masuk', 'login', 'menu', 'home', 'kayak', 'cek', 'kouta', 'kayak', 'gini', 'update', 'maalah', 'masuk']</t>
  </si>
  <si>
    <t>['bagus', 'unit', 'telkomsel', 'memperhatikan', 'sinyal', 'tolong', 'anak', 'sekolah', 'daring', 'berusaha', 'naek', 'gunung', 'mencari', 'sinyal', 'tolong', 'dibantu', 'min']</t>
  </si>
  <si>
    <t>['tolong', 'kasih', 'alasan', 'pulsa', 'ditarik', 'pengisian', 'pulsa', 'internet', 'dimatikan', 'menghindari', 'pemakaian', 'pulsa', 'udah', 'diisi', 'ribu', 'pas', 'lengah', 'pulsa', 'udah', 'tinggal', 'ribu', 'tolong', 'mempersulit', 'orang', 'susah']</t>
  </si>
  <si>
    <t>['bagus', 'kesini', 'bener', 'aplikasi', 'check', 'harian', 'dapetin', 'kuota', 'erorr', 'aplikasi', 'internet', 'bagus', '']</t>
  </si>
  <si>
    <t>['udah', 'telkomsel', 'july', 'resmi', 'pindah', 'operator', 'operator', 'menganjing']</t>
  </si>
  <si>
    <t>['telkomsel', 'bumn', 'terparah', 'mending', 'tutup', 'kalah', 'saing', 'provider', 'udah', 'lelet', 'pulsa', 'kepotong', 'mahal', 'kegedean', 'pajak', 'harga', 'nyekik', 'fasilitas', 'murahan', 'ditambah', 'aplikasi', 'bermasalah', 'huft', '']</t>
  </si>
  <si>
    <t>['aplikasi', 'buruk', 'error', 'klu', 'buka', 'aplikasi', 'kali', 'login', 'aplikasi', 'login', 'langsung', 'terbuka', 'tlg', 'telkomsel', 'perbaiki', 'aplikasinya', 'trims']</t>
  </si>
  <si>
    <t>['telkomsel', 'dipake', 'loading', 'mulu', 'gitu', 'muncul', 'pop', 'something', 'was', 'wrong', 'emang', 'down', 'jaringan', 'stabil', '']</t>
  </si>
  <si>
    <t>['snyal', 'kayak', 'taikkkkk', 'taik', 'bkin', 'emosi', 'ping', 'snyal', 'turun', 'kaga', 'pdahal', 'deket', 'tower', 'kek', 'taiikkkk', 'sinyal', 'busuk', 'busuk', 'harga', 'mahal', 'sinyal', 'kualitas', 'ancurrr', 'kecewa', 'cokk', '']</t>
  </si>
  <si>
    <t>['buruk', 'isi', 'pulsa', 'langsung', 'disedot', 'ribu', 'alasan', 'mengakses', 'internet', 'non', 'paket', 'buka', 'internet', 'mengakses', 'gila', 'telkomsel', '']</t>
  </si>
  <si>
    <t>['aplikasi', 'membeli', 'paket', 'data', 'muncul', 'warning', 'sorry', 'system', 'error', 'occurred', 'mohon', 'bantuannya', '']</t>
  </si>
  <si>
    <t>['miris', 'banget', 'update', 'fitur', 'paket', 'internetnya', 'kayak', 'combo', 'sakti', 'unlimited', 'paket', 'ekstra', 'unlimited', 'dll', 'update', 'paket', 'udah', 'nggak', 'udah', 'gitu', 'harga', 'paket', 'internetnya', 'mahal', 'puluhan', 'pakek', 'telkomsel', 'kayak', 'gini', 'ceritanya', 'pelanggan', 'beralih', 'operator', 'tolonglah', 'admin', 'dievaluasi', '']</t>
  </si>
  <si>
    <t>['jaringan', 'telkomsel', 'jam', 'sore', 'error', 'jaringan', 'berputar', 'putar', 'sepupu', 'axis', 'jaringan', 'lancar', 'telkomsel', 'digembor', 'gemborkan', 'jaringan', 'harga', 'paket', 'update', 'mahal', 'giliran', 'jaringan', 'ngga', 'update', 'mundur', 'kebelakang', 'gimana', 'jaringan', 'mentok', 'kartu', 'pakai', '']</t>
  </si>
  <si>
    <t>['tolonglah', 'promo', 'paket', 'ceria', 'dikasih', 'pelanggan', 'nomor', 'hadiah', 'kuota', 'daily', 'check', 'aktifnya', 'diperpanjang', 'seminggu', 'pelanggan', 'telkomsel']</t>
  </si>
  <si>
    <t>['ceritanya', 'malem', 'beli', 'kuota', 'rb', 'total', 'kuota', 'gb', 'trs', 'udah', 'beli', 'langsung', 'habis', 'kuota', 'tpi', 'pajngan', 'doang', 'fungsi', 'doang', 'sabar', 'beli', 'paket', 'paket', 'asiknya', 'whatsapan', 'abis', 'barusan', 'beli', 'udah', 'beli', 'paket', 'sedot', 'pulsanya', 'posisi', 'udah', 'beli', 'bkn', 'sblm', 'beli', 'ngotak', 'rb', 'mending', 'jaringan', 'cepet', '']</t>
  </si>
  <si>
    <t>['kecewa', 'dangan', 'telkomsel', 'error', 'update', 'login', 'pakai', 'tautan', 'telkomsel', 'aman', 'tolong', 'admin', 'perbaiki', 'kesuksesan', 'dukungan', '']</t>
  </si>
  <si>
    <t>['telkomsel', 'lemot', 'buka', 'telkomsel', 'nunggu', 'sms', 'link', 'udah', 'klik', 'link', 'susah', 'masuk']</t>
  </si>
  <si>
    <t>['operator', 'tolong', 'komen', 'google', 'play', 'store', 'gini', 'selesaikan', 'suruh', 'whatsapp', 'telp', 'kemana', 'pulsa', 'kesedot', 'beli', 'paketan', 'birokrasi', 'mbulet', 'update', 'mytelkomsel', 'anti', 'klimaks', 'aplikasi', 'dibuka', 'lola']</t>
  </si>
  <si>
    <t>['aplikasinya', 'paket', 'kuota', 'murah', 'tersedia', 'aplikasi', 'pulsa', 'hilang', 'lgsg', 'rupiah', 'dpt', 'ditelusuri', 'tersedot', 'kuota', 'msh', 'aktif', 'puluhan', 'giga', 'msh', 'byk', 'kekurangan', 'merugikan', 'sumpah', 'rugi', 'pakai', 'aplikasi', 'nomor', 'telkomsel', 'wajibkan', '']</t>
  </si>
  <si>
    <t>['payah', 'tsel', 'dapet', 'ijin', 'harga', 'internet', 'mahal', 'susah', 'ganti', 'kartu', 'paket', 'kartu', 'tidah', 'adil', '']</t>
  </si>
  <si>
    <t>['knp', 'abis', 'apdet', 'masuk', 'app', 'gitu', 'mihil', 'paketannya', 'fix', 'pindah', 'total', 'indosat', 'nomer', 'hijrah', '']</t>
  </si>
  <si>
    <t>['update', 'lemot', 'masuk', 'gini', 'disuruh', 'masuk', 'tulisannya', 'something', 'wrong', 'emang', 'bermasalah', 'aplikasi', '']</t>
  </si>
  <si>
    <t>['woiii', 'telkomsel', 'babi', 'sinyal', 'kayak', 'babi', 'download', 'apl', 'cepat', 'main', 'game', 'sinyal', 'lompat', 'babi', 'habisin', 'paket', 'number', 'one', 'telkomsel', 'babiiiii', '']</t>
  </si>
  <si>
    <t>['aplikasi', 'sampah', 'kagak', 'buka', 'hapus', 'chache', 'hapus', 'data', 'uninstal', 'dowload', 'buka', 'langsung', 'playstore', 'nggak', 'masuk', 'hadeh', 'telkomsel', 'gitu', 'loooohhhhh', '']</t>
  </si>
  <si>
    <t>['harga', 'kuota', 'internet', 'seringan', 'hangus', 'beliin', 'pulsa', 'aktif', 'kartu', 'kali', 'pindah', 'kelain', 'hati', 'bye', '']</t>
  </si>
  <si>
    <t>['aplikasi', 'lemot', 'parahhhhhhh', 'bukak', 'youtube', 'game', 'lancar', 'aplikasi', 'buka', 'lemot', 'parahhhh', 'pdhal', 'check', 'kuota', 'aaannnnjjjiiinnngggggg', 'bug', 'telkomnyet', 'tolong', 'benerin', 'lahh']</t>
  </si>
  <si>
    <t>['sinyalnya', 'buruk', 'setau', 'telkomsel', 'provider', 'nomer', 'memiliki', 'sinyal', 'jaringan', 'terbaik', 'udh', 'hrg', 'mahal', 'kuotanya', 'cepat', 'habis', 'sinyalnya', 'buruk', 'mohon', 'dibenahi', '']</t>
  </si>
  <si>
    <t>['aplikasi', 'aplikatif', 'banget', 'pengguna', 'telkomsel', 'aplikasinya', 'canggih', 'aman', 'nyaman', 'hadiahnya', 'mantap', 'recommended', 'dech', 'pokoknya']</t>
  </si>
  <si>
    <t>['game', 'terkenal', 'codm', 'genshin', 'impact', 'the', 'legend', 'neverland', 'masuk', 'kuota', 'gamesmax', 'pengguna', 'kartu', 'telkomsel', 'kuota', 'combo', 'sakti', 'kuota', 'gamesmax', 'terbuang']</t>
  </si>
  <si>
    <t>['pulsa', 'nganggur', 'kesedot', 'ngga', 'internetan', 'apapun', 'barusan', 'hilang', 'paketan', 'kartu']</t>
  </si>
  <si>
    <t>['tgl', 'beli', 'peket', 'combo', 'sakti', 'giga', 'kokalah', 'dapetnya', 'kuata', 'giga', 'ribu', 'sungguh', 'kecewa', 'pindah', 'operator', 'jaringan', 'selamat', 'tinggal', 'telkomsel', '']</t>
  </si>
  <si>
    <t>['beli', 'paket', 'halo', 'unlimeted', 'ganti', 'langganan', 'gagal', 'sdngkan', 'batas', 'diberiksn', 'tgl', 'juli', '']</t>
  </si>
  <si>
    <t>['kecewa', 'aplikasi', 'telkomsel', 'udah', 'poin', 'niatnya', 'kumpulin', 'poin', 'ditukar', 'kouta', 'data', 'internet', 'pas', 'dihari', 'aplikasinya', 'error', 'udah', 'coba', 'masukkan', 'nomer', 'telpon', 'nggak', 'instal', 'ulang', 'aplikasi', 'nggak', 'masuk', 'tolong', 'diperbaiki', 'ulang', 'aplikasinya']</t>
  </si>
  <si>
    <t>['kurangi', 'info', 'bermanfaat', 'sms', 'telkomsel', 'pulsa', 'mencukup', 'dll', 'isi', 'pulsa', 'peringatan', 'habis', 'tenggang']</t>
  </si>
  <si>
    <t>['mahal', 'ajah', 'pulsa', 'belajar', 'daring', 'kerjaan', 'combo', 'sakti', 'akses', 'eror', 'liat', 'aplikasi', 'harganya', 'mahal', 'beli', 'nyari', 'vendor', 'nomor', 'reward', 'pemakai']</t>
  </si>
  <si>
    <t>['tolong', 'jaringan', 'telkomsel', 'gitu', 'jaringan', 'lemot', 'muter', 'mahal', 'paket', 'kualitas', 'hancur', 'pelanggan', 'telkomsel', 'bertahun', 'parah', 'perbaiki', 'sinyal', 'penuh', 'muter', 'jaringan', '']</t>
  </si>
  <si>
    <t>['jangka', 'harga', 'kuota', 'internet', 'sinyal', 'stabil', 'hilang', 'musim', 'angin', 'gini', 'terselesaikan', 'peningkatan', 'kualitas', '']</t>
  </si>
  <si>
    <t>['jelek', 'sumpah', 'lola', 'udah', 'kaya', 'nunggu', 'lahiran', 'login', 'susah', 'banget', 'udah', 'jam', 'menit', 'login', 'doang', 'gagal', 'mulu', 'appss', 'cacad', 'tolong', 'pihat', 'telkomsel', 'memeperbaiki', 'apps', '']</t>
  </si>
  <si>
    <t>['stabil', 'internetnya', 'paket', 'data', 'dlm', 'kategori', 'mahal', 'banding', 'provider', 'stabil', 'pulsa', 'safe', 'kaga']</t>
  </si>
  <si>
    <t>['telkomsel', 'curi', 'pulsa', 'pelanggan', 'pulsa', 'ribu', 'telkomsel', 'curi', 'pulsa', 'habis', 'terbaru', 'pulsa', 'ribu', 'hilang', 'memakainya', 'sms', 'menelpon']</t>
  </si>
  <si>
    <t>['apknya', 'gada', 'tpi', 'jaringannya', 'bermasalah', 'mulu', 'buka', 'susahnya', 'ampun', 'nntn', 'youtube', 'resolusi', 'keputar', 'main', 'game', 'lag', 'mulu', 'kayak', 'provider', 'sebelah', 'jaringannya', 'bagus']</t>
  </si>
  <si>
    <t>['beli', 'paketan', 'langsung', 'abis', 'yaa', 'paket', 'unlimited', 'youtube', 'kuota', 'utama', 'berkurang', 'gimana', '']</t>
  </si>
  <si>
    <t>['aplikasi', 'bagus', 'tambahin', 'kuota', 'murah', 'beda', 'beda', 'kartu', 'beda', 'paket', 'internet']</t>
  </si>
  <si>
    <t>['pulsa', 'protection', 'kuota', 'memotong', 'pulsa', 'asw', 'pulsa', 'habis', 'internet', 'kuota', '']</t>
  </si>
  <si>
    <t>['telkomsel', 'tukang', 'potong', 'pulsa', 'orang', 'promo', 'internet', 'menyesal', 'telkomsel', 'udah', 'telpon', 'emosi', 'buruk', 'telkomsel', 'mendingan', 'kartu', 'tri', 'mahal', 'motong', 'pulsa', 'pelanggan', 'pencurian', 'pulsa', 'halus', '']</t>
  </si>
  <si>
    <t>['diupdate', 'aplikasi', 'susah', 'buka', 'loading', 'selesai', 'selesai', 'udah', 'ganti', 'koneksi', 'wifi', 'buka', 'youtube', 'aplikasi', 'lancar', 'lancar', 'aplikasi', 'mytelkomsel', 'lemot', 'banget', '']</t>
  </si>
  <si>
    <t>['telkomsel', 'terhormat', 'pelanggan', 'telkomsel', 'nyaman', 'kendala', 'bermain', 'game', 'mohon', 'telkomsel', 'memberbaiknya', 'nyaman', 'pemakaian', '']</t>
  </si>
  <si>
    <t>['udah', 'dibeli', 'mahal', 'jaringan', 'sumpah', 'lelet', 'banget', 'telkomsel', 'mengecewakannpelayanannya', 'ngapa', 'in', 'terpaksa', 'pindah', 'operator', '']</t>
  </si>
  <si>
    <t>['pelanggan', 'setia', 'telkomsel', 'nomor', 'promo', 'combo', 'sakti', 'harga', 'yaang', 'murah', 'teman', 'pemakaiannya', 'terbilang', 'promo', 'harga', 'mahal', 'kecewa', 'pengguna', 'setia', 'nomor', 'diganti', 'ganti', 'admin', 'telkomsel', 'koment', 'maaf', 'njir', 'promo', '']</t>
  </si>
  <si>
    <t>['jaringan', 'telkomsel', 'halmahera', 'utara', 'weda', 'dusun', 'lelilef', 'stabil', 'yaa', 'total', 'streaming', 'nonton', 'video', 'susah', 'main', 'game', 'lemot', 'tolong', 'cek', 'daerah', '']</t>
  </si>
  <si>
    <t>['aplikasinya', 'susah', 'masuk', 'butuh', 'lamaaaa', 'aplikasi', 'mudah', 'ribeeeeettt']</t>
  </si>
  <si>
    <t>['butuh', 'hati', 'nunggu', 'telkomsel', 'sinyal', 'minggu', 'sinyal', 'bagus', 'sampe', 'gini', 'bagus', 'udh', 'habis', 'puluhan', 'beli', 'main', 'susah', 'sinyal', 'tunggu', 'minggu', 'engga', 'bagus', 'asik', 'telkomsel', 'murah', 'kartu', 'rugi', 'kualitas', 'susah']</t>
  </si>
  <si>
    <t>['telkomsel', 'jelek', 'gua', 'kasih', 'bintang', 'habis', 'masuk', '']</t>
  </si>
  <si>
    <t>['buruk', 'gatau', 'komplein', 'kemana', 'karna', 'telpon', 'call', 'center', 'iklan', 'isi', 'ulang', 'kuota', 'via', 'voucher', 'alasannya', 'sistem', 'sibuk', 'tolong', 'telkom', 'perhatikan', 'customernya', 'promosi', 'dial', 'call', 'centernya', '']</t>
  </si>
  <si>
    <t>['kemarin', 'bagus', 'lho', 'ane', 'login', 'metode', 'lihat', 'aplikasi', 'orang', 'veronika', 'trus', 'disuruh', 'gimana', 'coba', 'berkali', 'install', 'uninstall', '']</t>
  </si>
  <si>
    <t>['telkomsel', 'beli', 'unlimited', 'dipakek', 'kadang', 'lemot', 'banget', 'signal', 'penuh', 'jaringan', 'aktif', 'tolong', 'diperbaiki', 'belajar', 'online', 'kayak', 'gini', 'mending', 'ganti', 'provider']</t>
  </si>
  <si>
    <t>['bru', 'beli', 'kertu', 'perdana', 'knp', 'bsa', 'regis', 'telkomsel', 'muncul', 'kesalahan', 'udah', 'restart', 'jga', 'ttp', 'gabisa', 'gmn', '']</t>
  </si>
  <si>
    <t>['apk', 'telkomsel', 'terbuka', 'update', 'update', 'tetep', 'buka']</t>
  </si>
  <si>
    <t>['knp', 'habis', 'isi', 'paketan', 'sisa', 'pulsa', 'hilang', 'bgtu', 'pulsa', 'padahl', 'isi', 'paket', 'aktif', 'msa', 'berlaku', 'paket', 'sisa', 'pulsa', 'rbu', 'rbu', 'hilang', 'bgtu', '']</t>
  </si>
  <si>
    <t>['signal', 'telkom', 'lemot', 'ngomong', 'buka', 'photo', 'loding', 'dibuka', 'telkom', 'tolong', 'perbaikin', 'jaringannya', 'ganti', 'operator', '']</t>
  </si>
  <si>
    <t>['', 'pemakai', 'telly', 'dri', 'aktif', 'hpku', 'smpai', 'skrg', 'skrg', 'pagi', 'jelek', 'jaringanx', 'malas', 'beli', 'kuota', 'internetx', '']</t>
  </si>
  <si>
    <t>['kecewa', 'banget', 'telkomsel', 'isi', 'pulsa', 'pulsa', 'kepotong', 'isi', 'karna', 'beli', 'paket', 'internet', 'butuhkan', 'jaringan', 'internetnya', 'lemot', 'ditambah', 'kuota', 'cepat', 'habis', 'buka', 'apk', 'menguras', 'kuota', 'ditambah', 'pulsa', 'dipakai', 'dluan', 'internet', 'pdahal', 'udah', 'beli', 'paket', 'internet', 'tolong', 'perbaiki', '']</t>
  </si>
  <si>
    <t>['langsung', 'pas', 'login', 'susahnya', 'ampun', 'kirim', 'link', 'verifikasi', 'sms', 'pas', 'klik', 'coba', 'akun', '']</t>
  </si>
  <si>
    <t>['aplikasi', 'lelet', 'parah', 'harga', 'kuota', 'mahal', 'kuota', 'internet', 'dirasa', 'nonton', 'dll', 'murah', 'ayo', 'ramai', 'ramai', 'pindah', 'kartu', 'kuota', 'murah', 'pas', 'pandemi', 'telkomsel', 'mengerti', 'kondisi', 'konsumen', '']</t>
  </si>
  <si>
    <t>['aplikasinya', 'login', 'tertulis', 'oops', 'kesalahan', 'membeli', 'kuota', 'tolong', 'diperbaiki']</t>
  </si>
  <si>
    <t>['telkomsel', 'buruk', 'sinyal', 'telkom', 'desa', 'jaringan', 'telkom', 'kalah', 'indosat', 'bumn', 'isi', 'negara', 'pelayanan', 'kwalitas', 'buruk', 'mahal']</t>
  </si>
  <si>
    <t>['paket', 'data', 'hilang', 'aplikasi', 'telkomsel', 'buka', 'padahl', 'pas', 'kemaren', 'beli', 'paket', 'kouta', 'aplikasi', 'rugi', 'telkomsel']</t>
  </si>
  <si>
    <t>['pulsa', 'berkurang', 'transaksi', 'apapun', 'aktifin', 'data', 'internet', 'ngubungin', 'pusat', 'bantuan', 'keterangan', 'sulit', 'fix', 'provider', 'tukang', 'maling']</t>
  </si>
  <si>
    <t>['susah', 'pakai', 'perdana', 'simpati', 'aayang', 'pakai', 'simpati', 'nomor', 'kouta', 'skrg', 'dibagi', 'internet', 'lokal', 'internet', 'padal', 'susah', 'bgs', 'paket', 'interner', 'dipakai', 'dimna', 'posisi', 'kuta', 'paket', 'lokal', 'gdk', 'simpati', 'pelayana', 'simpati', '']</t>
  </si>
  <si>
    <t>['download', 'guys', 'rugi', 'ngeselin', 'pokoknya', 'pengguna', 'errornya', 'bintang', 'skr', 'ngasih', 'bintang', 'terpaksa', 'dihapus', 'bintangnya', 'ngklaim', 'bonus', 'gagal', 'trus', 'kayak', 'ikhlas', 'telkomsel', 'cape', 'cape', 'ngumpulin', 'point', '']</t>
  </si>
  <si>
    <t>['pulsa', 'ngirim', 'pulsa', 'kena', 'biaya', 'pas', 'ngirim', 'tulisan', 'pulsa', 'mencukupi', 'pulsa', 'butuh', 'banget', 'gimana', 'solusinya', 'menyusahkan', 'udah', 'limit', 'uang', 'gara', 'gara', 'corona']</t>
  </si>
  <si>
    <t>['telkomsel', 'jaringan', 'konek', 'internetnya', 'konek', 'internetnya', 'udah', 'pajangan', 'doang', 'putus', 'koneksi', '']</t>
  </si>
  <si>
    <t>['harga', 'paketnya', 'mahaaaaal', 'telkomsel', 'mari', 'pindah', 'provider', 'manusiawi', '']</t>
  </si>
  <si>
    <t>['kuota', 'paketnya', 'terbilang', 'mahal', 'nomor', 'pelanggang', 'setia', 'harga', 'paketnya', 'mahal', '']</t>
  </si>
  <si>
    <t>['beli', 'paket', 'pulsa', 'paket', 'potong', 'potong', 'sampe', 'rb', 'buka', 'aplikasi', 'beli', 'kuota', 'gilaaaaaaaa', 'beli', 'nggak', 'layanan', '']</t>
  </si>
  <si>
    <t>['maaf', 'mimin', 'nanya', 'voucher', 'telkomsel', 'diisi', 'trus', 'situ', 'tertera', 'maaf', 'sistem', 'sibuk', 'tunggu', 'udh', 'nunggu', 'berjam', 'jam', 'malam', 'diisi', 'beli', 'udh', 'mahal', 'isi', 'tolong', 'telkomsel', 'perbaiki', '']</t>
  </si>
  <si>
    <t>['telkom', 'mahal', 'jaringan', 'jelek', 'mahal', 'jaringannya', 'bagus', 'min', 'trus', 'pulsa', 'suka', 'kesedot', 'internet', 'msh', 'buka', 'internet', 'kesedot', 'pulsanya', 'gimana', 'nihhh', 'rugi', '']</t>
  </si>
  <si>
    <t>['sinyal', 'smakin', 'sebel', 'peningkatan', 'pelanggan', 'lelet', 'eror', 'koclok', 'pusing', 'sinyal', 'tel', 'aplikasi', 'sableng', 'ribet', 'masuk', 'cabut', 'pakai', 'bayar', 'bulanan', 'helo', '']</t>
  </si>
  <si>
    <t>['aplikasi', 'kaga', 'jls', 'beli', 'kouta', 'seminggu', 'ampe', 'seminggu', 'tpi', 'masi', 'sisa', 'sampe', 'eee', 'beli', 'kuota', 'sebulan', 'pemakaian', 'minggu', 'uda', 'abis', 'mang', 'hebat', 'kartu', 'hebat', 'ngabisin', 'uang', 'pelanggan', '']</t>
  </si>
  <si>
    <t>['aplikasi', 'berhenti', 'kouta', 'jaringan', 'bagus', 'pakai', 'wifi', 'aplikasi', 'berhenti', 'setingan', 'sip', 'berhenti', '']</t>
  </si>
  <si>
    <t>['udah', 'pudate', 'paket', 'extra', 'unlimeted', 'ilang', 'gitu', 'update', 'tolong', 'udah', 'paket', 'bagus', 'pertahanin', 'ilangin']</t>
  </si>
  <si>
    <t>['kemaren', 'buka', 'aplikasi', 'udh', 'dikasih', 'link', 'masuk', 'link', 'tetep', 'muter', 'muter', 'sinyal', 'bagus', 'pke', 'data', 'telkomsel', 'payah']</t>
  </si>
  <si>
    <t>['check', 'gagal', 'check', 'login', 'udah', 'loading', 'kesalahan', 'mulu', 'dibersihkan', 'chace', 'dimatiin', 'udah', 'aplikasinya', 'copot', 'pasang', 'ulang', 'kesalahan', 'kesalahan', 'muncul', 'paket', 'datanya', 'pakai', 'provider', 'telkomsel', 'telkomsel', 'lancar', 'buruk', 'banget', 'aplikasinya', '']</t>
  </si>
  <si>
    <t>['masuk', 'aplikasi', 'butuh', 'perjuangan', 'setahun', 'aktifin', 'paket', 'data', 'telkomsel', 'paket', 'mahal', 'pilihan', 'aneh', '']</t>
  </si>
  <si>
    <t>['maksudnya', 'telkomsel', 'mengupdate', 'aplikasi', 'update', 'loggin', 'malu', 'indonesia', 'kelola', 'aplikasi', 'becus', '']</t>
  </si>
  <si>
    <t>['aplikasi', 'jelek', 'membuka', 'aplikasi', 'wifi', 'hnya', 'buka', 'data', 'selullar', 'harga', 'aplikasi', 'harga', 'beda', 'mahal', 'aplikasi', 'sebelah', 'buka', 'wifi', 'jdi', 'paksa', 'membeli', 'palet', 'data', 'aplikasi', 'murah', 'buka', 'aplikasi', 'wifi', 'sya', 'kecewa']</t>
  </si>
  <si>
    <t>['tsel', 'naikin', 'harga', 'paket', 'internet', 'jaringannya', 'ngak', 'percepat', 'mikir', 'naikin', 'harga', 'paketnya', 'naikin', 'kecepatan', 'jaringannya', 'memperkecil']</t>
  </si>
  <si>
    <t>['buruk', 'aplikasi', 'login', 'kelar', 'data', 'jalan', 'buka', 'aplikasi', 'pdhl', 'ngapa', 'perbaiki', 'pke', 'wifi', 'kaya', 'bgini', '']</t>
  </si>
  <si>
    <t>['membeli', 'kuota', 'tunggu', 'pulsa', 'beli', 'terkuras', 'alasan', 'pengguna', 'telkomsel', 'kecewa', 'aplikasi']</t>
  </si>
  <si>
    <t>['susah', 'akses', 'login', 'data', 'seluler', 'telkomsel', 'provider', 'aneh', 'mempersulit']</t>
  </si>
  <si>
    <t>['mohon', 'tingkatkan', 'aktif', 'nomor', 'seumur', 'hidup', 'nomor', 'verikasi', 'whatsapp', 'dunia', 'usaha', 'layanan', 'telepon', 'sms', 'internet', 'dll', 'layanan', 'internet', 'fiber', 'langganan', 'perusahaan', 'mohon', 'fitur', 'aktif', 'seumur', 'hidup', '']</t>
  </si>
  <si>
    <t>['beli', 'paket', 'data', 'ceria', 'prosesnya', 'sma', 'paket', 'data', 'langsung', 'diproses', 'coba', 'adakan', 'promo', 'beli', 'prosesnya', 'skali']</t>
  </si>
  <si>
    <t>['operator', 'telkomsel', 'tolol', 'bertanggung', 'maaf', 'operator', 'telkomsel', 'tolol', 'otak', 'udh', 'paket', 'internet', 'mahal', 'jaringan', 'lelet', 'goblog', '']</t>
  </si>
  <si>
    <t>['harga', 'kuota', 'dinaikkan', 'mengikuti', 'kebijakan', 'telkomsel', 'butuh', 'waahh', 'pelanggan', 'mendukung', 'menolak', 'kecewa', 'menyarankan', 'pengguna', 'telkomsel', 'kedepannya', 'menyarankan', '']</t>
  </si>
  <si>
    <t>['tolong', 'beli', 'pulsa', 'bayarx', 'atm', 'jngn', 'dana', 'krna', 'aplikasi', 'dana', 'wallet', 'sejenisx', 'mohon', 'perbaiki', '']</t>
  </si>
  <si>
    <t>['jaringan', 'telkomsel', 'plosok', 'negri', 'bagus', 'jaringannya', 'udah', 'kalah', 'kartu', 'lai', 'jaringan', 'tree', 'indosat', 'bagusan', 'tree', 'telkomsel', 'jaringannya', 'kecewa', 'telkomsel', 'tolong', 'pulihkan', 'telkomsel', 'rindu', 'jaringan', 'telkomsel', 'terbakarnya', 'kantor', 'pusat', 'pekanbaru', '']</t>
  </si>
  <si>
    <t>['kecewa', 'kecewa', 'beli', 'paket', 'gb', 'seminggu', 'situ', 'tertera', 'promo', 'tampilkan', 'buka', 'apk', 'pakai', 'jaringan', 'telkomsel', 'paket', 'habis', 'buka', 'bentar', 'uda', 'terpotong', 'pulsa', 'bukak']</t>
  </si>
  <si>
    <t>['sistem', 'pelayanan', 'buruk', 'trf', 'pulsa', 'dana', 'terpotong', 'pulsa', 'terkirim', 'complain', 'lwt', 'chat', 'telp', 'solusi', 'pengembalian', 'uda', 'complain', 'terpotong', 'pulsa', 'disuruh', 'email', 'ujung', 'solusinya', 'nominalnya', 'sistem', 'pelayanan', 'buruk', 'tsk', 'solusi', 'kecewa']</t>
  </si>
  <si>
    <t>['', 'pandemi', 'pengguna', 'telkomsel', 'penambahan', 'pasilitas', 'internet', 'lemot', 'aplikasi', 'login', 'error', 'tolong', 'perbaiki', '']</t>
  </si>
  <si>
    <t>['jaringannya', 'lag', 'pas', 'jaringannya', 'udah', 'ngikuti', 'progam', 'daily', 'chak', 'check', 'sampe', 'dapet', 'kouta', 'mb', 'pesannya', 'udah', 'masuk', 'pas', 'coba', 'tolong', 'developer', '']</t>
  </si>
  <si>
    <t>['', 'penukaran', 'reedem', 'poin', 'gagal', 'mulu', 'paket', 'telco', 'sistem', 'sibuk', 'kog', 'kali', 'kali', 'penukaran', '']</t>
  </si>
  <si>
    <t>['pulsa', 'utama', 'rupiah', 'intinya', 'namanya', 'pulsa', 'raib', 'telkomsel']</t>
  </si>
  <si>
    <t>['aplikasi', 'tolol', 'pengguna', 'login', 'dikirim', 'address', 'link', 'tolol', 'diklik', 'ttp', 'login', 'aplikasi', 'dipakai', 'milik', 'pribadi', 'milik', 'kelurahan', 'belajar', 'aplikasi', 'operator', 'pengguna', 'nyaman', 'login', 'aplikasi', 'telkomsel', 'rampung', 'mending', 'buang', 'deh', 'playstore', 'programmernya', 'belajar', 'aplikasi', 'nyaman', 'penggunaannya', '']</t>
  </si>
  <si>
    <t>['berlangganan', 'telkomsel', 'aman', 'praktis', 'jaringan', 'internet', 'mudah', 'cepat', 'kepuasan', 'penggunaan', 'telkomsel', 'berlangganan', 'telkomsel', 'membeli', 'paket', 'mudah', 'mahal', 'pandemi', 'mahasiswa', 'membutuhkan', 'paket', 'internet', 'mengakses', 'informasi', 'pembelajaran', 'kuliah', 'butuh', 'internet', 'murah', 'lancar', 'penggunaannya', '']</t>
  </si>
  <si>
    <t>['pengguna', 'telkomsel', 'kesini', 'jaringan', 'susah', 'yaa', 'trus', 'paket', 'mahal', 'sampe', 'kartu', 'telkomsel', 'orang', 'kaya', 'terimakasih']</t>
  </si>
  <si>
    <t>['telkomsel', 'hack', 'login', 'aplikasinya', 'webnya', 'update', 'hasilnya', 'tolong', 'perbaiki', 'jaman', 'udah', 'modern', 'lemot', 'ganti', 'orang', 'bertanggung', 'kerjanya', 'becus', 'hehehe']</t>
  </si>
  <si>
    <t>['pulsa', 'berkurang', 'informasi', 'aplikasi', 'lag', 'hrs', 'berkali', 'verifikasi', 'masuk', 'login', 'pdahal', 'kesini', 'kinerja', 'telkomsel', 'pelanggan', '']</t>
  </si>
  <si>
    <t>['mohon', 'benahi', 'sistemnya', 'menghidupkan', 'data', 'pulsa', 'kesedot', 'kouta', 'internetnya', 'rendah', 'kualitasnya', '']</t>
  </si>
  <si>
    <t>['login', 'udh', 'coba', 'berkali', 'kali', 'klik', 'link', 'verifikasi', 'proses', 'troooss', 'gagal', 'validasi', 'code', 'cepat', 'aplikasi', 'lambat', '']</t>
  </si>
  <si>
    <t>['kacau', 'telkomsel', 'pengisian', 'ulang', 'pulsa', 'nggak', 'minggu', 'tenggang', 'perpanjangan', 'aktif', 'pengisian', 'ulang', 'berlakukan', 'telkomsel', '']</t>
  </si>
  <si>
    <t>['jaringan', 'buruk', 'pagi', 'siang', 'malam', 'buruknya', 'coba', 'hubungi', 'via', 'aplikasi', 'mytelkomsel', 'perubahan', 'lambat', 'respon', 'lambat', 'parah', 'jaringan', 'aduan', '']</t>
  </si>
  <si>
    <t>['telkomsel', 'terhormat', 'tolong', 'jaringan', 'perbaikin', 'jaringan', 'telkomsel', 'ibukota', 'jelek', 'banget', 'bagus', 'jaringan', 'harga', 'paket', 'data', 'telkomsel', 'lumayan', 'menguras', 'kantong', 'daerah', 'greenbay', 'jakut', 'tolong', 'jaringan', 'perbaiki']</t>
  </si>
  <si>
    <t>['pakai', 'telkomsel', 'paket', 'internet', 'murah', 'tolong', 'mytelkomsel', 'sya', 'pengen', 'paket', 'murah', 'pengguna', 'jaringan', 'bagus', 'paketnya', 'habis', 'hilang', 'karna', 'berlakunya', 'selesai', 'paket', 'duluan', 'daftar', 'dipakai', 'duluan', 'terpakai', 'duluan', 'habis', 'paket', 'berlakunya', 'daftar', 'paket', 'habis', 'bkn', 'krna', 'dipakai', 'krna', 'berlakunya', 'habis', 'kasian']</t>
  </si>
  <si>
    <t>['pakat', 'nelpon', 'puas', 'sebulan', 'harga', 'ribu', 'mohon', 'kuatkan', 'jaringan', 'internet', 'daerah', 'plus', 'trims', 'telkomsel']</t>
  </si>
  <si>
    <t>['telkomsel', 'promo', 'paket', 'susah', 'diaktifin', 'kemarin', 'aktifin', 'paket', 'ditanggapin', '']</t>
  </si>
  <si>
    <t>['kecewa', 'jaringan', 'telkomsel', 'kuota', 'sinyal', 'full', 'lambatnya', 'ampun', 'buka', 'instagram', 'facebook', 'lelet', 'youtube', 'game', 'lancar']</t>
  </si>
  <si>
    <t>['woyy', 'babiiii', 'gua', 'beli', 'kuota', 'mahal', 'masi', 'lagg', 'sinyal', 'gabisa', 'ngapa', 'benerin', 'kek', 'aktif', 'kuota', 'gua', 'abis', 'benerin', 'napaaa', 'ppkm', 'lagiii', 'emang', 'cari', 'duit', 'gampang', 'ngertiin', 'ngapa', 'siiiiii', 'secepetnya', 'dibenerin', 'anjjjjjjjjjjj', 'kuota', 'gua', 'abisss', 'gantiii', 'babiiiiiiii', '']</t>
  </si>
  <si>
    <t>['jaringan', 'telkomsel', 'didepan', 'mantap', 'tingkatkan', 'semoga', 'sukses', 'dipandeglang', 'banten', 'jaringan', 'mantap', 'pengguna', 'telkomsel', 'tolong', 'dikasih', 'bonus', 'kuotanya', 'aplikasi', 'telkomsel', 'kartu', 'bonus', 'kuotanya']</t>
  </si>
  <si>
    <t>['kecewa', 'banget', 'potong', 'pulsa', 'confirmasi', 'paket', 'habis', 'menit', 'pakai', 'internet', 'udah', 'pulsa', 'habis', '']</t>
  </si>
  <si>
    <t>['bagus', 'setabil', 'lemot', 'jaringanya', 'kasih', 'bintang', 'bintang', 'kasih', 'bintang', '']</t>
  </si>
  <si>
    <t>['hebat', 'minggu', 'udah', 'beli', 'kuota', 'aplikasi', 'bill', 'pembayaran', 'bertambah', 'kuota', 'masuk', 'hubungi', 'call', 'center', 'perbaikan', 'sistem', 'sistem', 'rusak', 'customer', 'rugi', 'gitu', 'solusi', 'kerugian', 'penambahan', 'bill', 'kuota', 'masuk', 'minggu', 'perbaikan', 'sistem', 'berkali', 'kali', 'gimana', 'maintance', 'kaya', 'ngerampok', 'namanya', '']</t>
  </si>
  <si>
    <t>['bloon', 'jaringan', 'biasakan', 'gitu', 'terganggu', 'udah', 'gitu', 'point', 'tukerin', 'paket', 'beli', 'pulsa', 'namanya', 'point', 'gratis', 'beli', 'paket', 'point', 'duit', 'beneran', 'terganggu', 'sumpah', 'jaringan', 'ilang', 'gua', 'idup', 'kota']</t>
  </si>
  <si>
    <t>['parah', 'malem', 'sinyal', 'stabil', 'banget', 'sampe', 'hilang', 'jaringan', 'wilayah', 'padat', 'penduduk', 'trouble', 'jaringan', 'hilang']</t>
  </si>
  <si>
    <t>['sampah', 'tarif', 'harga', 'kesini', 'kualitas', 'jaringan', 'peningkatan', 'aplikasi', 'mytelkomsel', 'eror', 'akses', 'berkacalah']</t>
  </si>
  <si>
    <t>['nomor', 'berasal', 'flexi', 'koq', 'menu', 'paket', 'datanya', 'nmr', 'paket', 'internet', 'sakti', 'gb', 'dianak', 'murah', 'gb', 'why', '']</t>
  </si>
  <si>
    <t>['harga', 'paketnya', 'naikin', 'ppkm', 'telkomsel', 'cari', 'untung', 'lihat', 'situasi', 'masyarakat', 'telkomsel', 'mahal', '']</t>
  </si>
  <si>
    <t>['telkomsel', 'lampung', 'kota', 'bandar', 'lampung', 'dikota', 'sinyal', 'buruk', 'koneksi', 'stabil', 'harga', 'mahal', 'beralih', 'memakai', 'telkomsel', 'dibandar', 'lampung', 'kecewa', 'semenjak', 'kerusakan', 'pusatnya', 'koneksi', 'internet', 'cepat', 'buruk', 'salam', 'lampung', 'kota', 'bandar', 'lampung', 'kecewa', '']</t>
  </si>
  <si>
    <t>['tolong', 'penyedia', 'layanan', 'maksimal', 'pandemi', 'orang', 'butuh', 'jaringan', 'stabil', 'beli', 'mahal', 'mahal', 'paket', 'dikit', 'dikit', 'jaringan', 'ilang', '']</t>
  </si>
  <si>
    <t>['telkomsel', 'skrng', 'telkomsel', 'dlu', 'jaringan', 'parah', 'trops', 'coc', 'turun', 'lost', 'connect', 'jaringannya', 'stabil', 'pdahal', 'hape', 'tinggal', 'daerah', 'depok']</t>
  </si>
  <si>
    <t>['aplikasi', 'menipu', 'pengguna', 'setia', 'telkomsel', 'promo', 'menipu', 'contoh', 'maxstream', 'pulsa', 'diganti', 'paket', 'maxstream', 'aplikasinya', 'buffering', 'pagi', 'siang', 'malam', 'jijik', 'banget', 'lihatnya', 'telkomsel', 'semengecewakan', 'mempromosikan', 'promo', 'promo', 'menjijikkan', 'namanya', 'mencuri', 'uang', 'pelanggan', 'menjijikkan', 'semoga', 'memakan', 'uang', 'pelanggan', 'menipu', 'balasan', 'tuhan', '']</t>
  </si>
  <si>
    <t>['mohon', 'hormat', 'tolong', 'system', 'management', 'telkomsel', 'diperbaiki', 'dievaluasi', 'maksimal', 'kasihan', 'orang', 'tua', 'isi', 'pulsa', 'habis', 'kesedot', 'dri', 'perpanjangan', 'paket', 'internet', 'pulsa', 'darurat', 'orang', 'tua', 'meminjam', 'minjam', 'pulsa', 'membeli', 'paket', 'internet', 'orang', 'tua', 'sms', 'telpon', 'pulsa', 'kesedot', 'perpanjangan', 'paket', 'internet', 'pulsa', 'darurat', 'haduhhh']</t>
  </si>
  <si>
    <t>['tolong', 'perbaiki', 'kecepatan', 'jaringan', 'buka', 'aplikasi', 'mytelkomselnya', 'butuh', 'belli', 'kuota', 'mytelkomsel', 'loadingnya', 'ampun', 'tolong', 'perbaiki', '']</t>
  </si>
  <si>
    <t>['tolong', 'telkomsel', 'perbaiki', 'jaringan', 'ikhlas', 'ngasih', 'kuota', 'diskonan', 'mending', 'kuota', 'diskonan', 'murah', 'lelet', 'ampun', 'data', 'mati', 'harap', 'telkomsel', 'membantu', '']</t>
  </si>
  <si>
    <t>['sayabsudah', 'pakai', 'aplikasi', 'aplikasinya', 'dibuka', 'pakai', 'app', 'reinstal', 'dibuka', 'setalah', 'dibuka', 'mohon', 'petunjuknya']</t>
  </si>
  <si>
    <t>['update', 'udah', 'skrg', 'mnta', 'perbaharui', 'perbaharui', 'apanya', 'tampilan', 'layar', 'putih', 'apapun', 'bingung', '']</t>
  </si>
  <si>
    <t>['mahal', 'doang', 'jaringan', 'busuk', 'tinggal', 'bogor', 'kota', 'jabodetabek', 'busuk', 'jaringan', 'jaringan', 'indo', '']</t>
  </si>
  <si>
    <t>['harga', 'paketan', 'doang', 'mahal', 'sinyallnya', 'jelek', 'kecewa', 'banget', 'jaringannya', 'banget', 'jelek', 'maen', 'game', 'paketan', 'beli', 'beli', 'paket', 'sinyalnya', 'enak', '']</t>
  </si>
  <si>
    <t>['operator', 'mahal', 'tidk', 'memuaskan', 'kecptn', 'jaringn', 'kbps', 'komersil', 'fikirkn', 'kepuasan', 'plnggan', 'utamakan', 'krtu', 'kelas', 'gold', 'paltinum', 'krna', 'pmkaian', 'pulsa', 'mncpai', 'sekrng', 'maaf', 'opertor', 'agp', 'sampah', 'chat', 'nntn', 'ytb', 'kualitas', 'vidio', 'buka', 'sttus', 'game', 'mode', 'sinyal', 'full', 'akses', 'lelet', 'coba', 'mode', 'agk', 'lumyan', 'dikit', 'batre', 'cepat', 'abis', 'intinya', 'sel', 'skrg', 'buruk', 'smua', 'opertor']</t>
  </si>
  <si>
    <t>['pakai', 'telkomsel', 'duit', 'orang', 'maaf', 'berpengalaman', 'beli', 'pulsa', 'rb', 'kesedot', 'data', 'mati', 'hutang', 'kesedot', 'pulsanya', 'beli', 'rb']</t>
  </si>
  <si>
    <t>['kuota', 'habis', 'hbis', 'memotong', 'pulsa', 'utama', 'nyaman', 'kecuali', 'aktif', 'kuota', 'abis', 'blum', 'abis', 'motong', 'pulsa', 'utama', 'jujur', 'kecewa']</t>
  </si>
  <si>
    <t>['please', 'kuota', 'dibagi', 'kuota', 'multimedia', 'saking', 'lemotnya', 'sampe', 'nyisa', 'beli', 'paket', 'kepake', 'yaaa', 'kuota', 'internet', 'yaa', 'multimedia', 'kepotong', 'dahlah', 'emang', 'kepuasan', 'kpd', 'customer', 'tolong', 'perhatikan', 'ulasan', 'kritis', 'gini', 'mending', 'combo', 'sakti', 'pembagian', 'kuota', 'ngerugiin', 'customer', '']</t>
  </si>
  <si>
    <t>['mohon', 'maaf', 'mao', 'jaringan', 'telkomsel', 'suka', 'ngeloading', 'buka', 'youtube', 'kuota', 'sya', 'beli', 'paket', 'harga', 'ribu', 'sayang', 'bnget', 'jaringan', 'gini', '']</t>
  </si>
  <si>
    <t>['pls', 'abisss', 'trs', 'paket', 'trs', 'anehh', 'telkom', 'paket', 'trs', 'pls', 'brp', 'punnn', 'terahin', 'isi', 'abisss', 'telkom', 'gila', 'kali', 'yaa', 'kmn', 'pls', 'niat', 'hati', 'cadangan', 'klw', 'paket', 'abis', '']</t>
  </si>
  <si>
    <t>['telkomsel', 'klau', 'bsa', 'dngerin', 'keluhan', 'customer', 'mending', 'ttup', 'pusing', 'klau', 'urgent', 'searching', 'suka', 'nge', 'lag', 'hilang', 'sinyalnya', 'pdahal', 'rumah', 'hutan', 'pedalaman', 'kota', 'sgininya', 'kota', 'apalgi', 'pelosok', 'sna', '']</t>
  </si>
  <si>
    <t>['tidk', 'puas', 'kinerja', 'detik', 'sms', 'masuk', 'sinyal', 'lemot', 'hujan', 'paket', 'serba', 'mahal', 'info', 'pesanan', 'sesuai', 'pesan', 'memiliki', 'pulsa', 'safe', 'kalok', 'paket', 'habis', 'langsung', 'makan', 'pulsa', 'info', 'paket', 'habis', 'pulsa', 'habis', 'muncul', 'kalok', 'gini', 'pindah', 'langsung', 'trmakasih', '']</t>
  </si>
  <si>
    <t>['bagus', 'bohong', 'makain', 'lemot', 'udah', 'kayak', 'kalah', 'tetangga', 'sebelah', '']</t>
  </si>
  <si>
    <t>['wilayah', 'pekanbaru', 'telkomsel', 'parah', 'jaringannya', 'putus', 'complaint', 'perbaikan', 'jual', 'swasta', 'mementingkan', 'pelayanan', 'pelanggan', 'terang', 'bagus', 'pakai', 'jaringan', 'buang', 'dlu', 'kartunya', 'complaint', 'tanggapan', 'hub', 'mimin', 'systemnya', 'cek', 'area', 'trouble', 'tgl', 'juli', 'bener', 'parah', '']</t>
  </si>
  <si>
    <t>['min', 'tolong', 'sinya', 'perbaiki', 'internet', 'tan', 'tiktok', 'sosmed', 'game', 'online', 'mainn', 'login', 'doang', 'doang', 'liat', 'emang', 'bener']</t>
  </si>
  <si>
    <t>['penukaran', 'poin', 'dngn', 'kuota', 'telko', 'mending', 'taru', 'tukar', 'poin', 'dngn', 'kuota', 'mahal', 'skitr', 'poin', 'dngn', 'pulsa', 'rb', 'dpt', 'kuota', 'gb', 'days', 'untung', 'beli', 'voucher', 'butuh', 'skitr', 'rb', 'dpt', 'gb', 'days', 'pke', 'poin', 'tolong', 'mengerti', 'dngn', 'org', 'berkecukupan', 'pas', 'miskin', 'liat', 'poin', 'apain', 'harap', 'mengerti', 'cma', 'baca', 'makasih', '']</t>
  </si>
  <si>
    <t>['tolong', 'dibantu', 'jaringan', 'daerah', 'kecamatan', 'kuripan', 'kabupaten', 'barito', 'kuala', 'provinsi', 'kalimantan', 'selatan', 'jaringan', 'internet', 'lemot', 'terima', 'kasih', '']</t>
  </si>
  <si>
    <t>['tolong', 'min', 'buruk', 'telkomsel', 'smp', 'pakek', 'telkomsel', 'udah', 'tujuh', 'jaringannya', 'lemot', 'suka', 'ngilang', 'tolong', 'perbaiki', 'tetep', 'kayak', 'gini', 'terpaksa', 'ganti', 'kartu']</t>
  </si>
  <si>
    <t>['paket', 'bayar', 'aktif', 'statusnya', 'berlangganan', 'aplikasi', 'mytelkomsel', 'mengaktifkan', 'paket', 'bayar', 'berlangganan', 'paket', 'maxstream', 'statusnya', 'berlangganan', 'diaplikasi', 'mytelkomsel', 'sms', 'notifikasi', 'telkomsel', 'paket', 'maxstream', 'habis', 'mengaktifkan', 'paket', 'maxstream', 'berlangganan', 'woiiii', 'telkomsel', 'maksud', 'apaa', '']</t>
  </si>
  <si>
    <t>['membantu', 'bintang', 'membantu', 'telkomsel', 'menyediakan', 'fitur', 'widget', 'menampilkan', 'sisa', 'paket', 'penggunaan', 'data', 'info', 'layar', 'utama', 'gaperlu', 'buka', 'apps', 'thank', 'you']</t>
  </si>
  <si>
    <t>['aplikasi', 'bisq', 'dibuka', 'langsung', 'link', 'paketan', 'kemaren', 'gb', 'pulsa', 'habis', 'data', 'dihidupkan', 'enak', 'dirasakan', '']</t>
  </si>
  <si>
    <t>['kali', 'buka', 'app', 'beli', 'kuota', 'gangguan', 'brhasil', 'beli', 'jaringan', 'lelet', 'ampun', 'uda', 'mahal', 'lelet', '']</t>
  </si>
  <si>
    <t>['aduuh', 'kenpa', 'paket', 'internetnya', 'mahal', 'promonya', 'hilang', 'bagus', 'bagus', 'aplikasi', 'pulsaku', 'kepotong', 'peket', 'internetnya', '']</t>
  </si>
  <si>
    <t>['ngeri', 'beli', 'gb', 'ribu', 'pagi', 'jam', 'malam', 'habis', 'balas', 'chatt', 'kirim', 'laporan', 'grup', 'pulsa', 'termakan', 'ribu', 'hahhaa', 'move', '']</t>
  </si>
  <si>
    <t>['merugi', 'banget', 'isi', 'pulsa', 'ribu', 'aktifin', 'paket', 'harian', 'gunanya', 'isi', 'pulsa', 'cari', 'nafkah', 'ngojeg', 'nambah', 'persulit', 'keada', 'nela', 'belain', 'beli', 'pulsa', 'anak', 'kebagian', 'jajan', '']</t>
  </si>
  <si>
    <t>['program', 'telkomsel', 'jujur', 'paket', 'khusus', 'belajar', 'aplikasi', 'zoom', 'meeting', 'paket', 'flash', 'potongnya', 'ktika', 'belajar', 'daring', 'profesional', 'proporsional', 'perusahaan', 'namanya', '']</t>
  </si>
  <si>
    <t>['gimana', 'min', 'belik', 'paketnya', 'pulsa', 'trus', 'belik', 'tanda', 'centang', 'blom', 'masuk', 'udh', 'gitu', 'pesan', 'pemberi', 'tahuan', 'pagi', 'cobak', 'telkomsel', 'rusak', 'kah', 'mohon', 'bantuannya', 'min', '']</t>
  </si>
  <si>
    <t>['telkomsel', 'skrg', 'buruk', 'sinyal', 'lemot', 'kota', 'suka', 'lemot', 'daerah', 'pelosok', 'jenuh', 'pakai', 'telkomsel', 'beda', 'proveder', 'murah', 'berkualitas', 'udh', 'mahal', 'berkualitas', 'lgi', '']</t>
  </si>
  <si>
    <t>['nge', 'bug', 'gua', 'pelanggan', 'setia', 'telkomsel', 'sampe', 'skrng', 'kecewa', 'beut', 'jaringan', 'telkomsel', '']</t>
  </si>
  <si>
    <t>['kebijakan', 'merugikan', 'konsumen', 'mentang', 'mentang', 'nyedot', 'pulsa', 'sak', 'enake', 'dhewe', 'data', 'tetep', 'sedot', 'pulsanya', 'aaammmppuuunnnn', 'dech']</t>
  </si>
  <si>
    <t>['perbarui', 'perbarui', 'pas', 'tekan', 'perbarui', 'playstore', 'perbarui', 'tekan', 'buka', 'app', 'tlkom', 'trus', 'perbarui', 'tolol', 'sumpah', 'benci', 'gua', 'telkomsel', 'smpai', 'skrang', 'dftar', 'kouta', 'asuw']</t>
  </si>
  <si>
    <t>['membantu', 'aplikasi', 'keren', 'penuh', 'kemudahan', 'urgent', 'kuota', 'internet', 'pulsa', 'telp', 'klik', 'pilih', 'layanan', 'lemot', 'responsip', 'check', 'perbaiki']</t>
  </si>
  <si>
    <t>['suka', 'aplikasi', 'mytelkomsel', 'belanja', 'online', 'aplikasi', 'mytelkomsel', 'mudah', 'muda', 'dijangkau', 'temen', 'temen', 'aplikasi', 'mytelkomsel', 'ayooo', 'buruan', 'download', 'aplikasi', 'figur', 'fiturnya', 'sepuasnya', 'dijamin', 'nyesel', 'pesan', 'sms', 'langsung', 'penasaran', 'mytelkomsel', 'langsung', 'download', 'aplikasi', 'fiturnya', 'memuaskan', '']</t>
  </si>
  <si>
    <t>['edit', 'logo', 'kece', 'interface', 'fresh', 'cepat', 'kritik', 'tolong', 'kedepannya', 'maintenance', 'infokan', 'sms', 'aplikasi', 'antisipasi', 'emergency', 'min', 'sinyal', 'maksimal', 'diy', 'mrisi', 'tirtonirmolo', 'kab', 'bantul', 'terima', 'kasih', '']</t>
  </si>
  <si>
    <t>['buka', 'livin', 'pesan', 'lumayan', 'cepat', 'terkirim', 'menerima', 'pesan', 'masuk', 'pertahankan', 'banyakin', 'promo', 'kuota', 'murahnya', '']</t>
  </si>
  <si>
    <t>['mantap', 'saran', 'tolong', 'buatkan', 'paket', 'data', 'unlimited', 'max', 'ribu', 'membantu', 'musim', 'pandemi', 'trimakasih']</t>
  </si>
  <si>
    <t>['setia', 'telkomsel', 'sayang', 'skrng', 'sinyal', 'seluler', 'susah', '']</t>
  </si>
  <si>
    <t>['internet', 'lambat', 'relatif', 'mahal', 'kualitas', 'buruk', 'daerah', 'banyumas', 'telkomsel', 'payah', 'kepaksa', 'ane', 'telkomsel', 'nomer', 'ane', 'udah', 'males', 'ganti', 'bintang', 'nol', 'nol', '']</t>
  </si>
  <si>
    <t>['gila', 'telkomsel', 'mahal', 'pilihan', 'paket', 'darah', 'dibagi', 'maxtreamlah', 'musiclah', 'butuh', 'kembalikan', 'paket', 'internet', 'standar', 'berbagi', 'kuota', 'sosmedlah', 'kuota', 'gamelah', 'kuota', 'maxtreamlah', 'butuh']</t>
  </si>
  <si>
    <t>['alih', 'pengen', 'coba', 'kuota', 'unlimited', 'unlimited', 'kek', 'tolong', 'pengguna', 'telkomsel', 'beli', 'kuota', 'embel', 'ulimited', 'dipake', 'tulisan', 'pemakaian', 'wajar', 'laa', 'gua', 'sehari', 'mb', 'udah']</t>
  </si>
  <si>
    <t>['signal', 'internet', 'telkomsel', 'tinggal', 'daerah', 'malang', 'setia', 'telkomsel', 'puas', 'combo', 'sakti', 'bln', 'internetnya', 'menurun', 'aplikasi', 'telkomselnya', 'aduuhh', 'ampun', 'diupdate', 'terbuka', 'aplikasinya', 'ayok', 'kembalikan', 'bintang', 'telkomsel', 'terimakasih', '']</t>
  </si>
  <si>
    <t>['jaringan', 'lalot', 'kuta', 'game', 'akses', 'game', 'frefire', 'rugi', 'beli', 'paket', 'tolong', 'perbaiki', 'tambahh', 'udah', 'mencoba', 'memberitahu', 'cat', 'veronika', 'emang', 'yahh', 'telkomsel']</t>
  </si>
  <si>
    <t>['kecewa', 'pelanggan', 'menu', 'paket', 'internet', 'dibeli', 'ditampilkan', 'menu', 'makan', 'daftar', 'menu', 'promo', 'beli', 'paket', 'tampilan', 'aplikasi', 'pulsa', 'masukkan', 'berguna', 'paket', 'mahal', 'mengalihkan', 'pulsa', 'penyedia', 'membantu', '']</t>
  </si>
  <si>
    <t>['', 'jaringan', 'telkomsel', 'lelet', 'ngegame', 'tolong', 'perbaiki', 'sinyalnya', 'sya', 'pindah', 'operator', 'sya', 'kesal', 'skli', 'sinyal', 'lelet', 'tolong', 'operator', 'telekomsel', 'tolong', 'sinyal', 'kencangin', 'lgi', 'main', 'game', 'gamer', 'kecewa', 'telkomsel', 'tolong', 'perbaikin']</t>
  </si>
  <si>
    <t>['tggl', 'juli', 'paket', 'nelpon', 'sebulan', 'paketnya', 'hilang', 'pulsaku', 'tarik', 'chat', 'veronica', 'kirim', 'via', 'masseger', 'tpi', 'trhubung', 'com', 'pilihan', 'keluhan', 'hny', 'pilihan', 'menu', 'isi', 'pulsa', 'kemarin', 'poin', 'dipotong', 'paketnya', 'tolong', 'kembalikan', 'paket', 'nelponku', 'kirim', 'buktinya', 'tolong', 'keluhan']</t>
  </si>
  <si>
    <t>['buruk', 'aplikasi', 'sekaran', 'bmsangat', 'kendala', 'masuk', 'pembelian', 'paket', 'kendala', 'ggoogle', 'merespon', 'system', 'merespon', 'mohon', 'tingkatkan', 'perbaikan', 'sytemnya', 'berharap', '']</t>
  </si>
  <si>
    <t>['telkomsel', 'nda', 'nda', 'cek', 'pulsa', 'nda', 'nelpon', 'nda', 'tenggang', 'masaharus', 'ganti', 'kartu', '']</t>
  </si>
  <si>
    <t>['cek', 'pulsa', 'langsung', 'klik', 'logi', 'telkom', 'langsung', 'buka', 'kuni', 'ane', 'suka', 'kerja', 'kaya', 'cari', 'mudah', 'ngga', 'mohon']</t>
  </si>
  <si>
    <t>['mahal', 'telkomsel', 'pandemi', 'promo', 'ilang', 'belinya', 'pandemi', 'ppkm', 'kasih', 'promo', 'nomer', 'terpaksa', 'bintang', 'turunin', 'karna', 'mahal', 'lihat', 'kondisi', '']</t>
  </si>
  <si>
    <t>['tolong', 'diperbaiki', 'kak', 'kuota', 'unlimax', 'aktif', 'karna', 'tersisa', 'kuota', 'multimedia', 'unlimited', 'sinyal', 'lambat', 'bayar', 'mahal', 'mahal', 'sinyal', 'sesuai', 'harga', 'mohon', 'direspon', '']</t>
  </si>
  <si>
    <t>['pulsa', 'ngapa', 'potong', 'doang', 'berkali', 'pulsa', 'rb', 'ilang', 'rb', 'rb', 'ilang', 'anak', 'pejabat', 'gitu', 'uang', 'ngalir', 'ngerugiin', 'orang', 'banget', 'pulsa', 'beli', 'kouta', 'belanjar', 'gimana', 'coba', 'belajar', '']</t>
  </si>
  <si>
    <t>['halo', 'admin', 'paket', 'unlimited', 'telkomsel', 'skrg', 'hilang', 'pengguna', 'telkomsel', 'kecewa', 'karna', 'kali', 'semoga', 'cepat', 'dikembalikan', 'paket', 'unlimited', 'kartu']</t>
  </si>
  <si>
    <t>['', 'pakai', 'telkomsel', 'sayang', 'nomor', 'semoga', 'kedepan', 'bingung', 'makai', 'aplikasi', 'ngerti', 'alangkah', 'pakai', 'bahasa']</t>
  </si>
  <si>
    <t>['duhh', 'sinyal', 'kagak', 'kuat', 'deh', 'bobrok', 'mentok', 'angka', 'kb', 'sedih', 'banget', 'jaman', 'alip', 'udah', 'pakai', 'simpatii', '']</t>
  </si>
  <si>
    <t>['main', 'potong', 'pulsa', 'gitu', 'ajaa', 'rugi', 'paket', 'unlimited', 'mahall', 'sekalii', 'pakek', 'telkomsel', 'lamaaa', 'permahal', 'ginii', '']</t>
  </si>
  <si>
    <t>['min', 'tolong', 'donk', 'klw', 'mmnk', 'promo', 'aplikasi', 'uda', 'dipake', 'mending', 'promo', 'hapus', 'krna', 'uda', 'aktivasi', 'brpa', 'kali', 'kecolong', 'pulza', 'buatlah', 'aplikasi', 'lebi', 'percaya', 'tolong', 'segerah', 'tinsak', 'lanjuti', 'terima', 'kasih']</t>
  </si>
  <si>
    <t>['dapet', 'paket', 'hri', 'gb', 'promo', 'tanggal', 'agustus', 'tanggal', 'juli', 'kemarin', 'beli', 'dicek', 'program', 'bangsadddd', 'nipu', 'kasar', 'lahhh']</t>
  </si>
  <si>
    <t>['update', 'tan', 'apk', 'bagus', 'tampilannya', 'udah', 'bagus', 'disconnnect', 'eror', 'pas', 'transaksi', 'tolong', 'diperbaiki', 'min', '']</t>
  </si>
  <si>
    <t>['membuka', 'telkomsel', 'update', 'restart', 'telkomsel', 'android', 'terpaksa', 'beli', 'paket', 'tlg', 'orang', 'hape', 'androidnya', 'versi', 'diupdate', 'lho', '']</t>
  </si>
  <si>
    <t>['tolongg', 'telkomsel', 'isi', 'pulsa', 'besoknya', 'gunain', 'gini', 'kasih', 'bintang', '']</t>
  </si>
  <si>
    <t>['pembayaran', 'wallet', 'dompet', 'dana', 'dll', 'terkadang', 'muncul', 'menu', 'pilihan', 'metode', 'pembayaran', 'credit', 'pulsa', 'mohon', 'aplikasi', 'perbaiki', 'karna', 'update', 'aplikasi', 'terbaru', 'lancar', 'update', 'bermasalah', '']</t>
  </si>
  <si>
    <t>['tampilan', 'interface', 'sebagus', 'mohon', 'diperbaiki', 'dikembalikan', 'terkesan', 'rumit', 'user', 'friendly', '']</t>
  </si>
  <si>
    <t>['sekelas', 'telkomsel', 'skrg', 'lemot', 'kaya', 'sebelah', 'telkomsel', 'top', 'harga', 'pelayanan', 'skrg', 'noo', 'payah', 'solusinya', 'buang', 'kartu', 'telkomsel', 'dihp', 'dongkol', '']</t>
  </si>
  <si>
    <t>['pakai', 'pulsa', 'pembayaran', 'pembelian', 'paket', 'ribet', 'beli', 'pulsa', 'beli', 'paket', 'beli', 'pulsa', 'entar', 'nandon', 'pulsa', 'gitu', 'yaa']</t>
  </si>
  <si>
    <t>['kecewa', 'banget', 'update', 'apk', 'dapet', 'paket', 'internet', 'murah', 'paket', 'beli', 'udah', 'muncul', 'ganti', 'lipat', 'mahal', 'kecewa', 'banget', 'pokoknya', 'sinyalnya', 'lemot', 'kuota', 'tinggal', 'dikit', 'maaf', 'mengecewakan', 'pelanggan', 'kayak', 'gini', 'ceritanya', '']</t>
  </si>
  <si>
    <t>['jaringan', 'telkomsel', 'mengecewakan', 'wilayah', 'kalimantan', 'kabupaten', 'gunung', 'mas', 'kec', 'tewah', 'kec', 'kahayan', 'hulu', 'utara', 'setahun', 'parah', 'membuka', 'facebook', 'lite', 'loadingnya', 'sulit', 'browsing', 'jaringannya', 'tertulis', 'kualitasnya', 'tolong', 'pemerintah', 'kominfo', 'berfikir', 'jaringan', 'benahi', 'masyarakat', 'tahan', 'sikap', 'acuh', 'acuh', 'telkomsel', '']</t>
  </si>
  <si>
    <t>['tolong', 'fitur', 'pengucian', 'pulsa', 'terpakai', 'kuota', 'habis', 'kouta', 'turun', 'pulsa', 'terpakai', 'provider', 'fitur', 'terimakasih']</t>
  </si>
  <si>
    <t>['gimana', 'telkomsel', 'tolong', 'perbaiki', 'kuota', 'gold', 'gb', 'tukar', 'poinya', 'udah', 'poin', 'gimana', 'udah', 'susah', 'ngumpulinya', 'boongin', 'pindah', 'kartu', '']</t>
  </si>
  <si>
    <t>['telkomsel', 'makinn', 'kesini', 'dinomer', 'kagak', 'paketan', 'intenet', 'isinya', 'cuman', 'malam', 'paket', 'nonton', 'niat', 'jualan', 'kagak', '']</t>
  </si>
  <si>
    <t>['aneh', 'beli', 'data', 'ribet', 'disuruh', 'sistim', 'pembayaran', 'gataunya', 'beli', 'pulsa', 'trus', 'beli', 'data', 'knp', 'langsung', 'pakai', 'langsung', 'beli', 'data', 'masak', 'telkomsel', 'langsung']</t>
  </si>
  <si>
    <t>['pengalaman', 'memakai', 'berlangganan', 'kartu', 'halo', 'pemakaian', 'lancar', 'tagihan', 'memberatkan', 'pengeluaran', 'bulanan', 'semoga', 'kartu', 'halo', 'pilihan', '']</t>
  </si>
  <si>
    <t>['tolong', 'paket', 'internet', 'unlimited', 'murah', 'masyarakat', 'memakai', 'telkomsel', 'persaingan', 'ketat', 'cari', 'uang', 'susah', 'bossku', '']</t>
  </si>
  <si>
    <t>['kasih', 'ulasan', 'buruk', 'gubris', 'persis', 'banget', 'kekuasaan', 'telkomsel', 'jaringan', 'kuat', 'stabil', 'main', 'game', 'ngelaq', 'parah', 'berjalan']</t>
  </si>
  <si>
    <t>['kuota', 'pulsa', 'disedot', 'duluan', 'pulsanya', 'gimana', 'maen', 'game', 'kuota', 'game', 'nyedot', 'pulsa', 'duluan', 'disuruh', 'onlen', 'layanan', 'penyedia', 'jaringan', 'ngakal', 'in', 'pengguna', 'mulu', '']</t>
  </si>
  <si>
    <t>['mohon', 'diperbaiki', 'jaringan', 'internet', 'wilayah', 'pasanggrahan', 'solear', 'kabupaten', 'tangerang', 'banten', 'pelanggan', 'telkomsel', 'pakai', 'mohon', 'secepatnya', 'diperbaiki']</t>
  </si>
  <si>
    <t>['telkomsel', 'niat', 'ngasih', 'promo', 'beli', 'paket', 'promo', 'giliran', 'paket', 'batas', 'promo', 'tanggal', 'agustus', 'perbaiki', 'kasih', 'bintang', 'kasih', 'bintang', 'veronika', 'kaya', 'orang', 'bego', 'mending', 'orang', 'gila', 'nyambung', 'tolong', 'perbaiki', 'gini', 'pindah', 'sebelah', '']</t>
  </si>
  <si>
    <t>['trakhir', 'kualitas', 'sura', 'telfon', 'telkomsel', 'jelek', 'jernih', 'suaranya', 'telfon', 'via', 'karna', 'bagus', 'suaranya', 'kendala', 'telkomsel', '']</t>
  </si>
  <si>
    <t>['kartu', 'telkomsel', 'berlangganan', 'paket', 'combo', 'sakti', 'unlimited', 'malam', 'pembelian', 'paket', 'gimana', 'seandainya', 'kasih', 'bintang', 'kasih', 'bintang', 'kecewa', 'kesini', 'kartu', 'operator', 'telkomsel', 'buruk', 'pengguna', 'dikembangkan', 'kualitas', 'anjlok', 'terimakasih']</t>
  </si>
  <si>
    <t>['bagus', 'bagus', 'temen', 'lemot', 'banget', 'sinyalnya', 'terheran', 'main', 'game', 'lancar', 'iyalah', 'telkomsel', 'adain', 'penukaran', 'poin', 'diamond', 'mobile', 'legend', 'rajin', 'isi', 'pulsanya', '']</t>
  </si>
  <si>
    <t>['udah', 'lapor', 'koneksi', 'lelet', 'udah', 'telpon', 'petugas', 'network', 'orang', 'tpi', 'hasil', 'nihil', 'perubahan', 'perbaiki', 'petugas', 'nelpon', 'petugas', 'qualty', 'network']</t>
  </si>
  <si>
    <t>['telkomsel', 'orang', 'beralih', 'operator', 'telkomsel', 'udah', 'mahal', 'bermasarakat', 'suka', 'gangguan', 'telkomsel', 'nomer', 'selular', 'internetan']</t>
  </si>
  <si>
    <t>['sinyal', 'lemot', 'kek', 'siput', 'pdhl', 'enak', 'mskipun', 'sinyal', 'game', 'endak', 'penanganan', 'ganti', 'laen', 'kuota', 'mahal', 'kualitas', 'sampah', 'kek', 'beli', 'makan', 'mahal', 'kasi', 'makanan', 'basi', 'rating', 'pelayanan', 'memuaskan', 'duitnya', 'pengguna', 'pengguna', 'kecewa', 'dpt', 'duit', '']</t>
  </si>
  <si>
    <t>['telkomsel', 'tolong', 'ulasan', 'direspon', 'tindakan', 'pelanggan', 'sistem', 'spam', 'otomatis', 'panggilan', 'panggilan', 'reject', 'operator', 'mengganggu', 'meresahkan', 'tolong', 'dihilangkan', 'faedahnya', 'menyebalkan', 'tombol', 'reject', 'diciptakan', 'menolak', 'panggilan', 'ditelepon', 'urusan', '']</t>
  </si>
  <si>
    <t>['', 'kecewa', 'jaringan', 'mengecewakan', 'bermain', 'game', 'online', 'sinyal', 'bagus', 'bermain', 'tersendat', 'sendat', 'menjengkelkan', 'blm', 'diperbaiki', 'telkomsel', '']</t>
  </si>
  <si>
    <t>['skrg', 'ngerti', 'paket', 'bgnian', 'mending', 'beli', 'paket', 'murah', 'paket', 'mahal', 'kepake', 'sayang', 'gbs', 'diakumulasiin', 'aktif', 'mubazir', 'kuota', 'keseringan', 'kuotanya', 'hangus', 'bgtu', '']</t>
  </si>
  <si>
    <t>['parah', 'telkomsel', 'kesini', 'paket', 'combo', 'sakti', 'beli', 'pilihan', 'paket', 'hilangkan', 'jaman', 'susah', 'gini', 'mahal', 'wey', 'kuotanya', 'kuotanya', 'mahal', 'rakyat', 'paket', 'bulanan', 'combo', 'sakti', 'harganya', 'bener', 'main', 'mahalnya', 'mahal', 'paket', 'pilihan', 'nyesel', 'telkomsel', 'kali', 'kecewa', 'pindah', 'operator', 'nihah', 'indosat', '']</t>
  </si>
  <si>
    <t>['kartu', 'telkomsel', 'sedih', 'telkomsel', 'paket', 'internet', 'mahal', 'mahal', 'jaringannya', 'bagus', 'paket', 'mahal', 'jaringannya', 'menurun', 'semoga', 'telkomsel', 'perbaiki', 'harga', 'mahal', 'jaringannya', 'jelek', '']</t>
  </si>
  <si>
    <t>['paket', 'mahal', 'sebanding', 'layanan', 'jaringan', 'buruk', 'telkomsel', 'duit', 'kepuasan', 'pelanggan', 'prnah', 'perhatikan', 'pelanggan', 'langsung', 'kasih', 'bintang', 'bintang', 'turun', 'rating', 'orang', 'telkomsel', 'kerja', 'tuk', 'kepuasan', 'pelanggan', 'duduk', 'manis', 'nunggu', 'gaji']</t>
  </si>
  <si>
    <t>['malesnya', 'isi', 'pulsa', 'telkomsel', 'kuota', 'pulsa', 'kepotong', 'alasan', 'kuota', 'non', 'paket', 'kuota', 'non', 'paket', '']</t>
  </si>
  <si>
    <t>['paket', 'internet', 'mahal', 'mahal', 'dibanyakin', 'harga', 'promo', 'memudahkan', 'masyarakat', 'indonesia', 'pakai', 'telkomsel', 'harga', 'terjangkau', 'disituasi', 'pandemi', 'pemberlakuan', 'pembatasan', 'kegiatan', 'masyarakat', 'ppkm', 'semoga', 'bermanfaat', 'bangsa', 'rakyat', 'indonesia', '']</t>
  </si>
  <si>
    <t>['semenjak', 'upgrade', 'pembelian', 'data', 'hrs', 'byr', 'pulsa', 'pilihan', 'pembyrn', 'pdhl', 'bnyk', 'opsi', 'pilihan', 'pembayaran', 'beli', 'paket', 'data', 'nyesel', 'update', 'sebisa', 'permudah', 'pembayrn', 'beli', 'paketan', 'smpe', 'hrs', 'bulak', 'kaya', 'isi', 'pulsa', 'trus', 'beli', 'paket', 'hadeh', 'ribet', 'kali', '']</t>
  </si>
  <si>
    <t>['udah', 'konsisten', 'telkomsel', 'kali', 'bener', 'bener', 'kapok', 'sinyalnya', 'karuan', 'jelek', 'disana', 'jelek', 'iya', 'dinaikin', 'bagus', 'sinyalnya', 'maaf', 'beralih', 'biru', '']</t>
  </si>
  <si>
    <t>['jaringan', 'internet', 'telkomsel', 'buruk', 'perbaikan', 'perubahan', 'kasi', 'bintang', 'jaringan', 'internetnya', 'jelek', '']</t>
  </si>
  <si>
    <t>['kecewa', 'paketan', 'combo', 'sakti', 'gb', 'beli', 'menu', 'paket', 'combo', 'sakti', 'combo', 'sakti', 'unlimited', 'gb', 'tertampil', 'diawal', 'sungguh', 'kecewa', 'telkomsel', 'dipakai', 'internet']</t>
  </si>
  <si>
    <t>['operator', 'aing', 'pulsa', 'hilang', 'karenakan', 'jaringan', 'turun', 'pulsa', 'sasaran', 'curi', 'langsung', 'habis', 'pulsa', 'paket', 'internet', 'mahal', 'jebol', 'kantong', 'jaringan', 'kaya', 'keong', 'racun', 'aing', 'pusing', 'server', 'like', '']</t>
  </si>
  <si>
    <t>['pelanggan', 'telkomsel', 'kecewa', 'banget', 'sumpah', 'sinyal', 'lemot', 'paketan', 'mahal', 'cek', 'curug', 'gunung', 'sindur', 'bogor', '']</t>
  </si>
  <si>
    <t>['buruk', 'sinyal', 'internet', 'marah', 'mrah', 'sma', 'tolong', 'telkomsel', 'perbaiki', 'jaringan', 'kalbar', 'khusus', 'kabupaten', 'sekadau', 'kalu', 'sinyal', 'udah', 'bagu', 'sya', 'kasi', 'bntang', 'skarang', 'ckup', 'bntang']</t>
  </si>
  <si>
    <t>['harga', 'mahal', 'paketan', 'kecepatannya', 'lemot', 'kaya', 'keong', 'sesuai', 'harga', 'paketan', 'murah', 'dimasa', 'takut', 'rugi', 'udah', 'rugi', 'darimana', 'ruginya', 'dibagi', '']</t>
  </si>
  <si>
    <t>['kecewa', 'banget', 'telkomsel', 'bela', 'beli', 'kuota', 'mahal', 'sinyalnya', 'bagus', 'sinyalnya', 'kek', 'taik', 'pas', 'main', 'game', 'online', 'sinyalnya', 'taik', 'kecewa', 'banget']</t>
  </si>
  <si>
    <t>['ayolah', 'telkomsel', 'sinyal', 'internet', 'nggak', 'sinyal', 'lancar', 'sim', 'telkomsel', 'sim', 'kartu', 'sim', 'prioritas', 'nggak', 'muncul', 'sinyal', 'internetnya', 'tolong', 'bales', 'teks', 'copy', 'paste', '']</t>
  </si>
  <si>
    <t>['hidup', 'diperjuangkan', 'maaa', 'peandemi', 'menentu', 'tetep', 'jaga', 'kesehatan', 'timbul', 'imun', 'biarkan', 'pemerintah', 'berusaha', 'jalani', 'tetep', 'hunakan', 'telkomsel', 'sknyalnya', 'bagus', 'menginformasikan', 'covid', 'lancar', 'pembelajaran', 'telkomsel', 'semoga', 'pandemi', 'aman', 'nyaman', 'sehat', 'jaga', 'prokes', 'cuci', 'tangan', 'pakai', 'masker', 'jaga', 'jarak', 'mudah', 'mudahan', 'indonesia', 'selamat', 'ancaman', 'covid', 'semoga', 'aammiin']</t>
  </si>
  <si>
    <t>['paketan', 'mahal', 'sinyal', 'buruk', 'lumayan', 'pakai', 'telkomsel', 'kualitas', 'jaringan', 'buruk', 'kecewa']</t>
  </si>
  <si>
    <t>['udah', 'malam', 'jaringan', 'telkomsel', 'bermasalah', 'bukak', 'kencengan', 'gmna', '']</t>
  </si>
  <si>
    <t>['aplikasinya', 'bagus', 'memudahkan', 'pelanggan', 'telkomsel', 'login', 'lambat', 'masuk', 'situasinya', 'jaringan', 'lancar', 'lancar', 'semoga', 'cepat', 'diperbaiki', '']</t>
  </si>
  <si>
    <t>['tolong', 'perbaiki', 'aplikasinya', 'update', 'eror', 'bintang', 'kurangi', 'sehari', 'kotak', 'katik', 'email', 'nomor', 'masukan', 'eror', 'kalah', 'operatol', '']</t>
  </si>
  <si>
    <t>['bagus', 'kemudahan', 'info', 'promo', 'diakses', 'susah', 'mengecek', 'paket', 'pulsa', 'miliki', 'untyk', 'update', 'lumayan', 'membantu', 'jarang', 'stuck', 'loading']</t>
  </si>
  <si>
    <t>['saran', 'fitur', 'poin', 'opsi', 'penukaran', 'poin', 'memudahkan', 'menukar', 'poin', 'tukar', '']</t>
  </si>
  <si>
    <t>['tolg', 'beli', 'pulsa', 'data', 'aplikasi', 'cek', '']</t>
  </si>
  <si>
    <t>['telkomsel', 'terkenal', 'mahal', 'udah', 'males', 'pakai', 'telkomsel', 'jambi', 'hilang', 'timbul', 'signal', 'lemott', 'parrahhh', 'mending', 'provider', 'harga', 'murah', 'krna', 'hasilnya', 'jaringan', 'lemot', 'harga', 'mahal', 'mutu', 'jelek', 'maen', 'sampahhh', '']</t>
  </si>
  <si>
    <t>['telkomsel', 'pilihan', 'kartu', 'data', 'keluarga', 'berpuluh', 'puluh', 'keunggulannya', 'signal', 'kuat', 'wikayah', 'pelosok', 'mudah', 'diaplikasikan', 'jaringannya', 'luas', 'semoga', 'telkomsel', 'jaya', '']</t>
  </si>
  <si>
    <t>['susah', 'login', 'verify', 'via', 'manapun', 'semenjak', 'diperbaharui', 'ganti', 'susah', 'tinggal', 'masukin', 'nomer', 'doang', 'langsung', 'unninstal', 'sayang', '']</t>
  </si>
  <si>
    <t>['update', 'disaat', 'kuota', 'limit', 'beli', 'paket', 'update', 'nyedot', 'pulsa', 'updatenya', 'pulsa', 'beli', 'paket', 'abis', 'update', 'saran', 'update', '']</t>
  </si>
  <si>
    <t>['tolong', 'perbaiki', 'tower', 'mati', 'tangerang', 'camatan', 'kresek', 'pasir', 'ampo', 'gangsa', 'kecewa', 'paket', 'ngangur']</t>
  </si>
  <si>
    <t>['keren', 'bang', 'ngeleg', 'internet', 'bahagia', 'bermain', 'mobile', 'legend', 'teman', 'ku', 'memakai', 'kuota', 'gamesmax', 'internet', 'khusus', 'aplikasi', 'discord', 'mint', 'nobar', 'teman', 'ku', 'terima', 'kasih', '']</t>
  </si>
  <si>
    <t>['bumn', 'kualitasnya', 'sungguh', 'miris', 'tinggalkan', 'telkomsel', 'karna', 'penurunan', 'kualitas', 'jaringan', 'mengecewakan', 'tarif', 'mahal', 'kualitas', 'abal', 'terima', 'kasih']</t>
  </si>
  <si>
    <t>['tlg', 'tingkatkan', 'kuwalitas', 'jaringan', 'daerah', 'jayaloka', 'kab', 'musi', 'rawas', 'plakat', 'kab', 'muba', 'sumatera', 'selatan', '']</t>
  </si>
  <si>
    <t>['udah', 'bagus', 'paket', 'murah', 'ganti', 'telkomsel', 'berlangganan', 'lohh', 'menjengkelkan', 'tolong', 'kembalikan', 'paket', 'murah', 'donk', 'telkomsel', 'paketnya', 'mahal', 'banget', 'sihhh', '']</t>
  </si>
  <si>
    <t>['tolong', 'paketan', 'kasih', 'paketan', 'dst', 'enak', 'pengguna', 'wifi', 'dirumah', 'rumah', 'paket', 'data', 'paketan', 'buang', 'kuota', 'pengguna', 'wifi', 'paketan', 'data', 'perhatikan']</t>
  </si>
  <si>
    <t>['pulsa', 'kepotong', 'dipake', 'internet', 'kuota', 'pulsa', 'dioptong', 'gini', 'ganti', 'rugi', 'ngga', 'balikin', 'pulsa', 'udah', 'jaringan', 'lemot', '']</t>
  </si>
  <si>
    <t>['aplikasinya', 'bagus', 'layanan', 'jaringan', 'mengecewakan', 'harga', 'dukung', 'kualitas', 'jaringan', 'hilang', 'menjengkelkan', 'download', 'file', 'ukuran', 'gb', 'lgi', 'kelar', 'jaringan', 'hilang', 'karna', 'sinyal', 'stabil']</t>
  </si>
  <si>
    <t>['memiliki', 'kendala', 'kartu', 'lihat', 'telkomsel', 'lakukan', 'mepedulikannya', 'kecewa', 'layanan', 'telkomsel', 'salah', 'bumn', 'dibilang', 'buruk', 'provider', 'saran', 'memakai', 'provider', 'telkomsel', 'sarankan', 'memilih', 'telkomsel', 'keluhan', 'ditindak', 'lanjuti', 'pengguna', 'dll']</t>
  </si>
  <si>
    <t>['telkomsel', 'susah', 'jaringan', 'langsung', 'main', 'paketnya', 'mahal', 'jatingannya', 'sesuai', 'mending', 'paket', 'tri', 'murah', 'jaringan', 'lancar', 'telkomsel', 'lemah', 'memuaskan', '']</t>
  </si>
  <si>
    <t>['mytel', 'bermasalah', 'diupgrade', 'pembayaran', 'pembelian', 'paket', 'sistem', 'gangguan', 'daritadi', 'mohon', 'diperbaiki', '']</t>
  </si>
  <si>
    <t>['penggunaan', 'kuota', 'silakan', 'tunggu', 'konfirmasi', 'cek', 'nomor', 'kecamatan', 'kecamatan', '']</t>
  </si>
  <si>
    <t>['telkomsel', 'skrg', 'menyakitkan', 'kuota', 'intrnet', 'telpon', 'pakai', 'telkomsel', 'pakai', 'operator', 'skrg', 'ktika', 'kouta', 'abis', 'bli', 'harga', 'dinaikan', 'paket', 'langganan', 'trsedia', 'maaaf', 'beralih', 'operator', '']</t>
  </si>
  <si>
    <t>['sinyal', 'butut', 'provider', 'milik', 'bumn', 'kayak', 'swasta', 'swasta', 'kenceng', 'sinyalnya', 'nomer', 'puluhan', 'dapet', '']</t>
  </si>
  <si>
    <t>['ceria', 'beli', 'pulsa', 'harga', 'jaringan', 'bagus', 'beli', 'tulis', 'kesalahan', 'sistem', 'suruh', 'tunggu', 'menit', 'udah', 'tunggu', 'jam', 'mohon', 'perbaiki', 'kasih', 'bintang', '']</t>
  </si>
  <si>
    <t>['parah', 'habis', 'isi', 'ulang', 'pulsa', 'kesedot', 'daftar', 'paket', 'data', 'kuota', 'paket', 'minggu', 'membagongkan', '']</t>
  </si>
  <si>
    <t>['tolong', 'kirim', 'sms', 'harinya', 'sms', 'masuk', 'mengganggu', 'sampah', 'memory', 'dihp', 'hak', 'privacy', 'pengguna', '']</t>
  </si>
  <si>
    <t>['mohon', 'maaf', 'mah', 'update', 'versi', 'terbaru', 'mudah', 'pembayaran', 'nyusahin', 'sambunglan', 'platfrom', 'tolong', 'benahi']</t>
  </si>
  <si>
    <t>['semenjak', 'telkomsel', 'ulang', 'kemarin', 'jaringan', 'lemot', 'daerah', 'sukabumi', 'kota', 'jawa', 'barat', 'ulang', 'telkomsel', 'sinyal', 'kuat', 'lemah', 'kecewakan', 'operator', 'telkomsel', 'ganti', 'operator']</t>
  </si>
  <si>
    <t>['penyakit', 'penyakit', 'log', 'out', 'udah', 'upgrade', 'terbaru', 'iya', 'kali', 'ngecek', 'login', 'ulang', 'perbaiki', 'gini', 'gini', 'terusperasaan']</t>
  </si>
  <si>
    <t>['sinyal', 'tekomsel', 'game', 'najis', 'banget', 'jaringannya', 'turun', 'kaya', 'parah', 'veronica', 'bot', 'tolong', 'perbaiki', 'ganti', 'provider']</t>
  </si>
  <si>
    <t>['belanja', 'beli', 'pulsa', 'sebulan', 'habis', 'jt', 'paket', 'tetep', 'rb', 'gb', 'temen', 'rb', 'gb', 'sebulan', 'sejuta', 'dikasih', 'reward', 'payah', 'adil']</t>
  </si>
  <si>
    <t>['admin', 'wilayah', 'bandung', 'selatan', 'banjaran', 'jaringan', 'buruk', 'min', 'diperbaiki', 'pengguna', 'tsel', 'kecewa', 'min', '']</t>
  </si>
  <si>
    <t>['kecewa', 'membeli', 'paket', 'gamesmax', 'kuota', 'internet', 'habis', 'kuota', 'game', 'kuota', 'game', 'login', 'bermain', 'diamond', '']</t>
  </si>
  <si>
    <t>['kecepatan', 'internet', 'meningkat', 'download', 'membuka', 'aplikasi', 'mytelkomsel', 'pdhal', 'download', 'buka', 'kayak', 'gitu']</t>
  </si>
  <si>
    <t>['apk', 'lintah', 'darat', 'beli', 'paketan', 'rb', 'biaya', 'tersedot', 'sampe', 'rb', 'pelajaran', 'beli', 'paketan', 'pulsa', 'restan', 'rb', 'pembelian', 'produck', 'karna', 'membuka', 'apk', 'pulsa', 'terpotong', 'rb', 'klik', '']</t>
  </si>
  <si>
    <t>['kasi', 'bintang', 'dapet', 'mobil', 'udah', 'puluh', 'pakek', 'telkomsel', 'dapet', 'hadiah', 'undian', 'kali', 'rezeki', 'undian', 'telkomsel', '']</t>
  </si>
  <si>
    <t>['paket', 'telkomsel', 'mahal', 'kecewa', 'telkomsel', 'mahal', 'pilihan', 'paket', 'pakai', 'paket', 'combo', 'kasih', 'bintang', 'terpaksa', 'kasih', 'bintang', 'posting']</t>
  </si>
  <si>
    <t>['min', 'sistem', 'kuota', 'gimana', 'kuota', 'pulsa', 'kepake', 'internet', 'non', 'paket', '']</t>
  </si>
  <si>
    <t>['memuaskan', 'pelayanan', 'sinyal', 'setabil', 'kadang', 'hilang', 'sinyal', 'roling', 'sebeb', 'kasih', 'bintang', '']</t>
  </si>
  <si>
    <t>['aplikasi', 'perusahaan', 'sekelas', 'telkomsel', 'hadeuh', 'buka', 'mulu', 'penilaian', 'bintang', 'karna', 'ngasih', 'nyesel', 'banget', 'aplikasi', 'terbaru', 'logi', 'mentri', 'gitaris', '']</t>
  </si>
  <si>
    <t>['kecewa', 'combo', 'sakti', 'mahal', 'inikan', 'lgi', 'kondisi', 'covid', 'harganya', 'dinaikin', 'kumohon', 'mengertilah', 'posisi', '']</t>
  </si>
  <si>
    <t>['sya', 'setia', 'sma', 'tsel', 'kali', 'nokia', 'kartu', 'udh', 'tsel', 'mskpun', 'msh', 'pke', 'antena', 'bambu', 'pda', 'skrg', 'kadang', 'susah', 'sinyal', 'genting', 'kdang', 'error', '']</t>
  </si>
  <si>
    <t>['geblek', 'sinyal', 'aing', 'geus', 'ilang', 'kabeh', 'geblek', 'telkom', 'provider', 'goblog', 'jaringan', 'cepat', 'cepat', 'naon', 'cepat', 'taikotok', 'taibebek', 'geblek', 'ganti', 'kartu', 'bafuk', 'gaguna', 'pelanggan', 'setia', 'pindah', '']</t>
  </si>
  <si>
    <t>['sinyal', 'buruk', 'main', 'game', 'kebanyakan', 'lag', 'gimana', 'nomer', 'main', 'game', 'kebanyakan', 'lag', 'paketan', 'doank', 'harganya', 'mahal', 'sinyal', 'acak', 'stabil', '']</t>
  </si>
  <si>
    <t>['combo', 'saktinya', 'ilangin', 'hahh', 'dasar', 'jaringan', 'butut', 'pindah', 'kesini', 'butut', 'pisan']</t>
  </si>
  <si>
    <t>['update', 'metode', 'pembayaran', 'telkomsel', 'shopeepay', 'bingung', 'kak', 'nongol', 'tolong', 'jelasin', '']</t>
  </si>
  <si>
    <t>['nanya', 'paket', 'veronikanya', 'nyambung', 'menyelesaikan', 'jdnya', 'trus', 'paket', 'combo', 'sakti', 'pdhl', 'kondisi', 'berharap', 'dpt', 'hrg', 'paket', 'internet', 'murah', 'tolong', 'paketan', 'internet', 'individu', 'berbeda', 'udh', 'telkomsel', 'udh', '']</t>
  </si>
  <si>
    <t>['update', 'paket', 'combo', 'saktinya', 'kemarin', 'hilang', 'muncul', 'mahal', 'harapan', 'update', 'buruk', 'beralih', '']</t>
  </si>
  <si>
    <t>['payah', 'telkomsel', 'menang', 'mahal', 'doank', 'prodak', 'terkenal', 'dimana', 'kalah', 'provider', 'main', 'game', 'ajah', 'jakarta', 'udh', 'kaya', 'kampung', 'menang', 'mahal', 'doank', 'sinyal', 'payah', 'bagusan', 'smartfrend', 'kemana', 'plosok', 'main', 'game']</t>
  </si>
  <si>
    <t>['kecewa', 'allah', 'swt', 'parahh', 'minggu', 'kemarin', 'beli', 'paketan', 'youtube', 'sepuasnya', 'aplikasi', 'pindah', 'provider', 'indosat', 'aktif', 'pengguna', 'setia', 'telkomsel', 'telpon', 'sok', 'pintar', 'membantu', 'bantu', 'bantu', 'tindakan', 'pecuma', 'paketannya', 'youtube', 'kesini', 'tsel', 'banget', 'uda', 'mahal', 'paket', 'dibeli', 'dipakai']</t>
  </si>
  <si>
    <t>['gatau', 'pingin', 'ikutan', 'rating', 'bintang', 'dialami', 'keluhan', 'udah', '']</t>
  </si>
  <si>
    <t>['dear', 'telkomsel', 'tolong', 'kembalikan', 'paket', 'kuota', 'combo', 'sakti', 'ganti', 'operator', 'murah', 'deh', 'dimasa', 'pandemi', 'covid', 'susah', 'cari', 'duit', 'pendidikan', 'pekerjaan', 'kuota', 'uda', 'complain', 'kasih', 'bintang', 'tolong', 'diperbaiki', 'telkomsel', 'syg', 'uda', 'jaringan', 'lelet', 'ditambah', 'pembelian', 'kuota', 'mahal', '']</t>
  </si>
  <si>
    <t>['telkomsel', 'sukanya', 'ngirim', 'spam', 'ngirim', 'sms', 'promo', 'untungnya', 'pelanggan', 'repot', 'admin', 'taik', 'repot', 'membaca', 'sms', 'kurangi', 'bintang', 'bintang', '']</t>
  </si>
  <si>
    <t>['sueee', 'liat', 'paket', 'beli', 'harganya', 'normal', 'giliran', 'beli', 'pulsa', 'lihat', 'udah', 'harganya', 'mengecewakan', 'internet', 'bagus', 'lihat', 'vidio', 'kebanyakan', 'berhentinya']</t>
  </si>
  <si>
    <t>['kecewa', 'paket', 'unlimited', 'dibeli', 'berganti', 'paket', 'mahal', 'kuota', 'sinyal', 'sebelah', 'murah', 'gede', 'kecewa', 'kecewa', 'lelet', 'lelet', 'jaringan', '']</t>
  </si>
  <si>
    <t>['harga', 'paket', 'combo', 'unlimited', 'mahal', 'mahal', 'banget', 'pandemi', 'telkomsel', 'gini', 'asik', 'udah', 'pengguna', 'telkomsel', 'aturan', 'dimasa', 'sulit', 'kek', 'gini', 'merakyat', 'bnyak', 'paket', 'murahnya', 'bantu', 'kesusahan', 'bukanya', 'harga', 'melambung', 'gilaa']</t>
  </si>
  <si>
    <t>['update', 'kouta', 'combo', 'sakti', 'cuman', 'batas', 'pemakaian', 'kouta', 'gb', 'doang', '']</t>
  </si>
  <si>
    <t>['pandemi', 'pembatasan', 'sosial', 'berkepanjangan', 'telkomsel', 'perbanyak', 'promo', 'produknya', 'mahal', 'bandingkan', 'provider', 'promonya', 'gila', 'gilaan', 'beda', 'telkomsel', 'gila', 'gilaan', 'mahal', 'paketnya', '']</t>
  </si>
  <si>
    <t>['update', 'memudahkan', 'pengguna', 'beli', 'paket', 'pulsa', 'biasnya', 'bayar', 'pkek', 'ovo', 'link', 'dana', 'dll', 'skrg', 'mah', 'hrs', 'pulsa', 'beli', 'paketan', 'monopoli', 'bayar', 'pakek', 'ovo', 'dll', 'kyk', 'konter', 'laku', 'gmn', 'jaman', 'kyk', 'gini', 'pandemi', 'tagar', 'suruh', 'rmh', 'giliran', 'beli', 'pulsa', 'paket', 'suruh', 'nglayap', 'konter', 'kejaman', 'batu', '']</t>
  </si>
  <si>
    <t>['harga', 'paket', 'mahal', 'jaringan', 'busukkkkk', 'kasih', 'solusi', 'via', 'twiter', 'line', 'mesenger', 'isinya', 'hapus', 'username', 'hapus', 'sandi', 'solusi', 'hasil', 'nol', 'busuk', 'jaringan', 'lokasi', 'bandar', 'lampung']</t>
  </si>
  <si>
    <t>['jaringan', 'memburuk', 'juni', 'jarang', 'terputus', 'juni', 'kesini', 'parah', 'putus', 'paket', 'data', 'internet', 'berubah', 'buruk']</t>
  </si>
  <si>
    <t>['sumpah', 'allah', 'telkomsel', 'layak', 'udah', 'puluhan', 'taun', 'paki', 'telkomsel', 'skarang', 'kaya', 'gini', 'woyyyyyyy', 'ngisi', 'paket', 'bener', 'main', 'ngaco', 'kali', '']</t>
  </si>
  <si>
    <t>['benamkan', 'operator', 'telkomsel', 'telkomsel', 'jaringannya', 'memuakkannnnnn', 'jeleeeeeeeeeeeeeeeeeeeekkkkk', 'sekaliiiiiiiiiiiiii', 'faktaaaaaaaaaaa', '']</t>
  </si>
  <si>
    <t>['telkomsel', 'kesini', 'signal', 'lemot', 'heran', 'lancar', 'lancar', 'lemot', 'banget', 'signalnya', 'tolong', 'memperbaiki', 'signal', 'kouta', 'mahal', 'signal', 'oke', 'kaga', 'kouta', 'mahal', 'signal', 'jelek', 'merugikan', 'customer', 'setia', 'alih', 'alih', 'pindah', 'haluan', 'operator', '']</t>
  </si>
  <si>
    <t>['dibuang', 'sayang', 'dipelihara', 'menyakitkan', 'kesininya', 'amburadul', 'paket', 'internet', 'termahal', 'lemot', 'kaya', 'keong', 'tolong', 'paket', 'kecewa', 'berat', 'udah', 'sulit', 'cari', 'duit', 'akibat', 'carona', 'harganya', 'turun', 'suee']</t>
  </si>
  <si>
    <t>['kecewa', 'jaringannya', 'harapkan', 'tower', 'deket', 'rumah', 'trus', 'dapet', 'pulsanya', 'download', 'telkomsel', 'hadeeeh', 'jaringan', 'lelet', 'jalan', 'paket', 'beli', 'mahal', 'mahal', 'jaringan', 'lemot', 'ampun', '']</t>
  </si>
  <si>
    <t>['telkomsel', 'tolong', 'merugikan', 'pengguna', 'oprator', 'telkomsel', 'kasih', 'penjelasan', 'telkomsel', 'koneksi', 'pindah', 'oprator']</t>
  </si>
  <si>
    <t>['jujur', 'kecewa', 'telkomsel', 'versi', 'terbaru', 'jaringan', 'telkomsel', 'lemot', 'tolong', 'kembalikan', 'jaringan', 'telkomsel', 'bangga', 'bangga']</t>
  </si>
  <si>
    <t>['telkomsel', 'tolong', 'perbaiki', 'siknalnya', 'husunya', 'sulawesi', 'tenggara', 'iwoi', 'mendoro', 'susah', 'siknal', 'tower', 'ter', 'tolong', 'tangani', 'cuman', 'kasi', 'bintang', 'puas', 'pelayanan', '']</t>
  </si>
  <si>
    <t>['telkomsel', 'ancur', 'banget', 'sinyal', 'jelek', 'banget', 'kalah', 'smartfren', 'sinyalnya', 'manteng', 'telkomsel', 'telkomsel', 'ancur', 'cur', 'cur', 'udah', 'kuota', 'mahal', 'ikan', 'hiu', 'makan', 'tomat', 'ancur', 'banget', '']</t>
  </si>
  <si>
    <t>['sinyal', 'tsel', 'koq', 'parah', 'iya', 'tinggal', 'dikota', 'sinyal', 'mot', 'ilang', 'sampe', 'udah', 'support', 'sinyal', 'ayo', 'donk', 'benahi', 'pelayanan', 'bahas', 'laen', '']</t>
  </si>
  <si>
    <t>['paraaahhhh', 'kondisi', 'ekonomi', 'susah', 'harga', 'paket', 'inet', 'mahalin', 'payahh', 'bertahun', 'telkomsel', 'dapet', 'loyalti', 'dimurahin', 'harga', 'paket', 'mahal', 'kecewa', '']</t>
  </si>
  <si>
    <t>['telkomsel', 'next', 'beli', 'pulsa', 'goceng', 'perpanjang', 'aktif', 'paketan', 'telkomsel', 'paketan', 'beli', 'tepuk', 'jidat', 'komplainan', 'perbaikan', '']</t>
  </si>
  <si>
    <t>['terimakasih', 'paket', 'combo', 'saktinya', 'terimakasih', 'pelayananya', 'puas', 'kartu', 'telkomsel', 'bagus', 'desain', 'paketnya', 'murah', 'cuman', 'sekedar', 'aksess', 'aplikasi', 'mytelkomsel', 'memiliki', 'kuota', 'kuota', 'masuk', 'mytelkomsel', 'beli', 'paket', 'tetring', 'diperbaiki']</t>
  </si>
  <si>
    <t>['aktif', 'bisnis', 'jaringan', 'member', 'telkomsel', 'mahal', 'sarankan', 'member', 'ganti', 'kartu', 'kebutuhan', '']</t>
  </si>
  <si>
    <t>['beli', 'kartunya', 'pas', 'dicoba', 'muncul', 'jaringan', 'udah', 'cek', 'kali', 'operator', 'aman', 'aman', 'telkomsel', 'gimana', 'jaringannya', 'mohon', 'perbaiki', 'rugi', 'kuota', 'diperbaiki', '']</t>
  </si>
  <si>
    <t>['admin', 'tolong', 'paket', 'beli', 'dihilangkan', 'promo', 'paketin', 'harga', 'diatas', 'rb', 'terdengar', 'murah', 'ortu', 'mahal', 'mohon', 'dikembalikan', 'ntah', 'nabati', 'kasih', 'bintang', 'min']</t>
  </si>
  <si>
    <t>['pembohongan', 'paket', 'telkomsel', 'tulisannya', 'game', 'kenyataannya', 'buka', 'game', 'sesuai', 'keterangan', 'bagus', 'bertahun', 'telkomsel', 'paketnya', '']</t>
  </si>
  <si>
    <t>['beli', 'pulsa', 'kepotong', 'mulu', 'yaa', 'data', 'jarang', 'diaktifin', 'diaktifkan', 'beli', 'paket', 'internet', 'kepotong', 'perak', 'abis', 'pulsa']</t>
  </si>
  <si>
    <t>['puas', 'banget', 'telkomsel', 'emang', 'bener', 'harga', 'kualitas', 'tapiiii', 'jaringan', 'stabil', 'beli', 'ekstra', 'kuota', 'via', 'aplikasi', 'susah', 'dipertahankan', 'kualitasnya', 'donk', 'telkomsel', 'menurun', 'kyk', 'gini', 'dibales', 'suruh', 'laporan', 'twitter', 'dll', 'langsung', 'bilangin', 'mba', 'temannya', 'penanganan', 'keluhan', 'trus', 'perbaiki', 'layanannya', 'semoga', 'perbaikan', 'trimakasih']</t>
  </si>
  <si>
    <t>['hadeeuh', 'motongin', 'pulsa', 'mulu', 'paket', 'khusus', 'doang', 'dikenakan', 'tarif', 'normal', 'alias', 'motong', 'pulsa', 'ngatur', 'jaringan', 'pelanggan', 'dikorbanin', 'doang', 'kepotong', 'ribu', 'udah', 'pulsa', 'gua', 'dipotongin', 'mulu', 'ampun', 'ahh', 'mikir', 'pindah', 'kaya', 'gini', 'keras', '']</t>
  </si>
  <si>
    <t>['buka', 'aplikasinya', 'susah', 'banget', 'ditengokin', 'kaya', 'gitu', 'dooong', 'kasih', 'kemudahan', 'kek']</t>
  </si>
  <si>
    <t>['kecewa', 'banget', 'harga', 'jaringan', 'lola', 'tolong', 'tsel', 'nomor', 'kasih', 'murah', 'harganya', 'paketan', 'banyakin', 'berguna', 'contoh', 'paketan', 'gb', 'gb', 'maxstrem', 'gb', 'nasional', 'tolong', 'benahi', 'customer', 'lari', 'provider', 'lainya']</t>
  </si>
  <si>
    <t>['beli', 'paket', 'apk', 'telkomsel', 'ribet', 'dapet', 'free', 'kuota', 'ampe', 'gb', 'harga', 'murah', 'skrng', 'mahal', 'mahal', 'banget', 'gangguang', 'kartu', 'telkomsel']</t>
  </si>
  <si>
    <t>['paketan', 'langganan', 'hilang', 'tolong', 'murah', 'telkomsel', 'jaringan', 'terluas', 'kalah', 'operator', 'sebelah', 'gini', 'pelanggan', 'berbondong', 'pindah', 'operator', 'sebelah', 'murah', 'terjangkau', '']</t>
  </si>
  <si>
    <t>['tolong', 'harga', 'internetnya', 'murahin', 'sampi', 'mahalin', 'jaringan', 'telkomsel', 'gangguan', 'sampi', 'berpindah', 'jaringan', 'berlangganan', 'udah', 'bubar', 'bubar', 'pke', 'telkomsel', 'rakyat', 'miskin']</t>
  </si>
  <si>
    <t>['paket', 'beli', 'cek', 'kuota', 'tulisan', 'maaf', 'membeli', 'produk', 'tolong', 'telkomsel', 'secepatnya', 'perbaiki', 'daring', 'susah', 'beljar', 'hrs', 'cari', 'tolong', 'anak', 'sekolh', 'beli', 'kuota', 'mahal', 'mahal']</t>
  </si>
  <si>
    <t>['admin', 'tolong', 'perbaiki', 'jaringan', 'mesuji', 'wiralaga', 'sinyalnya', 'turun', 'orang', 'migrasi', 'operator']</t>
  </si>
  <si>
    <t>['membeli', 'paket', 'combo', 'sakti', 'unlimeted', 'kartu', 'tamba', 'mahal', 'beli', 'kuota', 'kecewa', 'telkomsel', 'dimasa', 'pandemi', 'dikasih', 'harga', 'dratis', '']</t>
  </si>
  <si>
    <t>['biaya', 'transfer', 'ngelunjak', 'customer', 'thn', 'kompensasi', 'biaya', 'transfer', 'sungguh', 'merugikan', 'pengusaha', 'bidang', 'transfer', 'pulsa', 'oke', 'udah', 'jaringan', 'internet', 'kayak', 'siput', 'worth', 'operator', '']</t>
  </si>
  <si>
    <t>['poin', 'poin', 'nda', 'tukar', 'telkomsel', 'beres', 'pindah', 'operator', 'internetan', 'untungnya', 'main', 'internetan', 'telkomsel', '']</t>
  </si>
  <si>
    <t>['maaf', 'bintang', 'turunkan', 'mohon', 'pop', 'review', 'app', 'ditampilkan', 'review', 'muncul', 'pagenya', 'setuap', 'buka', 'app', 'mengganggu']</t>
  </si>
  <si>
    <t>['makasi', 'udah', 'mempermudah', 'pembayaran', 'nonya', 'suka', 'logout', 'sistem', 'keamanan', 'keamanan', 'kali', 'logout', '']</t>
  </si>
  <si>
    <t>['', 'beli', 'paket', 'paket', 'aktip', 'plsa', 'kepotong', 'plsa', 'utama', 'kepotong', 'giliran', 'nelpon', 'operator', 'kayak', 'disepelehin', 'gakmasalah', 'harga', 'tpi', 'kinerja', 'sesuai', 'pakai', 'telkomsel', 'mengecawakan']</t>
  </si>
  <si>
    <t>['jaringannya', 'jelek', 'parah', 'gitu', 'aplikasi', 'update', 'ribet', 'pelanggan', 'muda', 'ribet', 'paketnya', 'mahal', 'mahal', 'jaringannya', 'bagus', '']</t>
  </si>
  <si>
    <t>['paketan', 'telkomsel', 'permahal', 'pengguna', 'setia', 'telkomsel', 'kecewa', 'pembaruan', 'kuota', 'sistem', 'mahal', 'kuotanya', 'pastikan', 'telkomsel', 'tinggalkan', 'pengguna', 'setianya', 'orang', 'pindah', 'perdana', 'tinggal', 'tunggu', 'kedepannya', 'terima', 'kasih']</t>
  </si>
  <si>
    <t>['', 'kebelakang', 'kartu', 'simpati', 'telpon', 'udah', 'masuk', 'kartu', 'halo', 'jangka', 'bln', 'bayar', 'telpon', 'gimana', 'kecewa', 'telpon', '']</t>
  </si>
  <si>
    <t>['sumpah', 'kecewa', 'bener', 'paket', 'combo', 'gua', 'beli', 'hilangkan', 'kasih', 'paket', 'mahal', 'gimana', 'udah', 'cocok', 'hilangkan', 'gitu', 'pindah', 'mohon', 'pengertiannya']</t>
  </si>
  <si>
    <t>['mengecewakan', 'suami', 'combo', 'saktinya', 'menghilang', 'suami', 'update', 'pakai', 'telkomsel', 'disuruh', 'lite', 'tolong', 'dikasih', 'pemecahan', 'suami', 'combo', 'klu', 'solusi', 'menguntungkan', 'pelanggan', 'kasih', 'bintang', '']</t>
  </si>
  <si>
    <t>['bilangnya', 'ekstra', 'unlimited', 'paket', 'utama', 'habis', 'buka', 'aplikasi', 'kecepatan', 'maks', 'kbps', 'mentok', 'kbps', 'boro', 'buka', 'aplikasi', 'kirim', 'chat', 'super', 'lemot', 'mending', 'operator', 'smartfren', '']</t>
  </si>
  <si>
    <t>['pengalaman', 'gua', 'tekomsel', 'kartu', 'buruk', 'dimana', 'sinyal', 'kota', 'tetep', 'singal', 'kartu', 'gua', 'presiden', 'tekomsel', 'tendang']</t>
  </si>
  <si>
    <t>['isi', 'voucher', 'sistem', 'sibuk', 'mengisi', 'sibuk', 'dipakai', 'beli', 'dipakai', 'uang', 'sia', 'beli', 'voucher', 'tolong', 'diperbaiki', '']</t>
  </si>
  <si>
    <t>['ditawarin', 'customer', 'servicenya', 'migrasi', 'simpati', 'kartu', 'hallo', 'membaik', 'buruk', 'koneksinya', 'berbeda', 'customer', 'service', 'data', 'geologis', 'tinggal', 'kota', 'tangerang', 'penyesalan', 'dibelakang', 'terimakasih', '']</t>
  </si>
  <si>
    <t>['tolong', 'perbaiki', 'jaringan', 'kecamatan', 'pulau', 'hanaut', 'provinsi', 'kalimantan', 'kabupaten', 'kotawaringin', 'timur', 'jaringan', 'rumah', 'hilang', 'diluar', 'lumayan', 'lancar', 'lelet', 'terimakasih', 'catatan', 'komplain', 'telkomsel', 'didalam', 'rumah', 'ilang', 'jaringan', 'rumah', 'lancar', 'kaya', 'rumah', 'nangkring', 'kaya', 'gitu', '']</t>
  </si>
  <si>
    <t>['biaya', 'internet', 'mahal', 'thn', 'pakai', 'kartu', 'tpi', 'beli', 'mahal', 'jaringan', 'bagus', 'sekrang', 'beralih', 'mksih', 'telkomsel', 'thn', 'pakai', 'telkomsel']</t>
  </si>
  <si>
    <t>['semenjak', 'update', 'versi', 'kartu', 'telkomsel', 'eror', 'nrima', 'sms', 'isiin', 'pulsa', 'cek', 'pulsa', 'mohon', 'solusi', '']</t>
  </si>
  <si>
    <t>['membeli', 'kuota', 'tiktok', 'mencobanya', 'kuota', 'berfungsi', 'penipan', 'aplikasi', 'telkomsel', 'aplikasi', 'merugikan', 'buruk', 'tolong', 'kembalikan', 'pulsa']</t>
  </si>
  <si>
    <t>['sinyal', 'telkom', 'beda', 'lemot', 'bngt', 'gamers', 'jaringan', 'nge', 'lag', '']</t>
  </si>
  <si>
    <t>['maaf', 'telkomsel', 'mohon', 'perbaiki', 'isi', 'data', 'voucher', 'system', 'sibuk', 'perbaiki', 'secepatnya', '']</t>
  </si>
  <si>
    <t>['informasi', 'hot', 'promo', 'piliahan', 'data', 'internet', 'beli', 'langsung', 'menngunakan', 'pulsa', 'poin', '']</t>
  </si>
  <si>
    <t>['jaringannya', 'lemah', 'main', 'game', 'ngelag', 'mulu', 'harap', 'perbaiki', 'beralir', 'jaringan']</t>
  </si>
  <si>
    <t>['beli', 'paket', 'kouta', 'keluarga', 'lapor', 'telkomsel', 'diperintahkan', 'telkomsel', 'hasilnya', 'nihil', 'pengguna', 'kartu', 'hallo', 'dimana', 'pembayaran', 'terlambat', 'beli', 'kuota', 'kouta', 'keluarga', 'kecewa', '']</t>
  </si>
  <si>
    <t>['telkomsel', 'jaringannya', 'jelek', 'banget', 'didaerah', 'kenceng', 'banget', 'jelek', 'banget', 'parah', 'sebelah', 'dipake', 'main', 'game', 'pingnya', 'keatas', 'paketnya', 'mahal', 'mahal', 'harap', 'jaringannya', 'diperbaiki', 'paket', 'mahal', 'jaringan', 'bagus', 'tetep', 'worth', '']</t>
  </si>
  <si>
    <t>['pelayanan', 'membantu', 'sayang', 'paketnya', 'mahal', 'sim', 'card', 'sim', 'card', 'teman', 'murah', '']</t>
  </si>
  <si>
    <t>['kartu', 'tsel', 'thn', 'nda', 'prnh', 'ganti', 'kartu', 'jaringannya', 'mmng', 'sllu', 'bagus', 'didaerahku', 'mati', 'lampu', 'jaringan', 'mati', 'tolong', 'perbaiki', 'setia', 'tsel']</t>
  </si>
  <si>
    <t>['jaringan', 'telkomsel', 'lambat', 'lola', 'ditambah', 'paket', 'combo', 'sakti', 'aktifasi', 'paket', 'habis', 'berlakunya', 'paket', 'paket', 'disediakanpun', 'mahal', 'menguras', 'kantong', 'dimasa', 'pandemi', 'semoga', 'telkomsel', 'memperbaiki', 'dri', 'kritik']</t>
  </si>
  <si>
    <t>['telkomsel', 'syukur', 'terima', 'kasih', 'semenjak', 'sayang', 'pulsa', 'internet', 'terjangkau', 'terima', 'kasih', 'telkomsel', 'maju', '']</t>
  </si>
  <si>
    <t>['layanan', 'customer', 'service', 'mengecewakan', 'menilai', 'angka', 'total', 'nilai', 'terima', 'kasih', 'sekolah', 'perbaikan', 'layanan']</t>
  </si>
  <si>
    <t>['suka', 'mytelkomsel', 'mudah', 'mengecek', 'pulsa', 'paket', 'data', 'tenggang', 'pulsa', 'paket', 'data', 'aktif', 'kartu', 'sim', 'card', 'hpku', 'sayang', 'klu', 'isi', 'ulang', 'paket', 'data', 'kadang', 'paket', 'data', 'hangus', 'klu', 'isi', 'paket', 'data', 'internet', 'tunggu', 'habis', 'paket', 'data', 'internet', 'pulsa', 'klu', 'beli', 'bertambah', 'pulsa', 'tenggangnya', 'bertambah', '']</t>
  </si>
  <si>
    <t>['kesekian', 'kalinya', 'bener', 'sakit', 'hati', 'eror', 'blas', 'kekebun', 'main', 'game', 'tpi', 'selancar', 'terimakasih', 'nyata', 'tensi', 'darah', 'turun', 'muda', 'umur', 'say', 'bye', 'ajalah', 'semoga', 'baca', 'memutuskan', 'setelahny', '']</t>
  </si>
  <si>
    <t>['tolong', 'admin', 'paketan', 'gb', 'jam', 'udah', 'ilang', 'mulu', 'paketannya', 'beli', 'sore', 'jam', 'ilang', 'paketan', 'kaga', 'simpati', 'mafia', 'banget', '']</t>
  </si>
  <si>
    <t>['paket', 'unlimited', 'youtube', 'kuota', 'internet', 'kesedot', 'sampe', 'habis', 'trus', 'udah', 'habis', 'digunain', 'paket', 'unlimited', 'youtube', 'benerin', 'rugi', 'beli', 'unlimited', 'youtube', '']</t>
  </si>
  <si>
    <t>['jaringan', 'telkomsel', 'lelet', 'banget', 'tinggal', 'kota', 'serasa', 'tinggal', 'hutan', 'parah', 'harga', 'paket', 'mahal', 'kualitas', 'rendah', 'udah', 'peraikilah', 'pelanggan', 'setia', 'telkomsel', 'betah', '']</t>
  </si>
  <si>
    <t>['aplikasi', 'biaya', 'mahal', 'hasilnya', 'minimalis', 'huruf', 'penjelas', 'paket', 'data', 'sulit', 'baca', 'sungguh', 'minimalis', 'aplikasi', 'bumn', 'mestinya', 'aplikasi', 'sprt', 'xlaxiata', 'aplikasi', 'huruf', 'penjelasan', 'paket', 'data', 'mudah', 'baca', 'pahami', '']</t>
  </si>
  <si>
    <t>['maaf', 'turunkan', 'bintang', 'kasih', 'bintang', 'membaik', 'buruk', 'sibuk', 'memperbarui', 'paket', 'internet', 'banding', 'kecepatan', 'mbps', 'internet', 'kecewa', 'harga', 'mahal', 'kualitas', 'zonk', '']</t>
  </si>
  <si>
    <t>['kali', 'gue', 'edit', 'bintang', 'jaringan', 'internet', 'jelek', 'stabil', 'kartu', 'kartu', 'gsm', 'bagus', 'daerah', 'sajah', 'jelek', 'telkomsel', 'setabil', 'jaringan', 'internet', 'tolong', 'perbaikin', 'udah', 'pulsa', 'mahal', 'paketan', 'internet', 'mahal', 'beda', 'tpi', 'jelek', 'jaringan', 'hadeuh', 'parah', '']</t>
  </si>
  <si>
    <t>['telkomsel', 'jaringan', 'suka', 'hilang', 'tolong', 'perbaiki', 'keluh', 'kesah', 'operator', 'telkomsel', 'terbaik', 'konsumen', 'bersaing', 'kartu', 'kntl']</t>
  </si>
  <si>
    <t>['telkomsel', 'beli', 'paket', 'internet', 'gb', 'harga', 'rebu', 'sistem', 'rugiiiiii', 'telkomsel', 'cari', 'untung', 'kondisi', 'masyarakat', 'sakit', 'jajah', 'tros', 'bangsa', 'yeeh']</t>
  </si>
  <si>
    <t>['aplikasi', 'kaga', 'njing', 'udah', 'jaringan', 'jelek', 'aplikasi', 'update', 'kaga', 'perubahan', 'pindah', 'operator', 'langganan', 'operator', 'ngelunjak', 'lihat', 'operator', 'sebelah', 'udah', 'jaringan', 'bagus', 'murah', 'kaga', 'ribet', 'kaya', 'gini', 'kecewa', 'intinya', '']</t>
  </si>
  <si>
    <t>['', 'telkomsel', 'kolom', 'ulasan', 'kritik', 'saran', 'tanggapan', 'keluhan', 'sdg', 'hadapi', 'user', 'paket', 'mahal', 'kualitas', 'murahan', 'memperbaiki', 'kualitas', 'mending', 'turunkan', 'tarif', 'paket', 'samakan', 'provider', 'msih', 'tutup', 'menyelesaikan']</t>
  </si>
  <si>
    <t>['pakai', 'pascabayar', 'telkomsel', 'bagus', 'parah', 'banget', 'sinyalnya', 'ngerti', 'sma', 'telkomsel', 'tolong', 'jaga', 'kepuasan', 'pelanggan', '']</t>
  </si>
  <si>
    <t>['kuota', 'aplikasi', 'dibatasi', 'maksimun', 'kecepannya', 'buka', 'lite', 'lemot', 'jaringan', 'stabil', 'males', 'beli', 'telkom', '']</t>
  </si>
  <si>
    <t>['ditempat', 'gangguan', 'ditempat', 'normal', 'laporan', 'grapari', 'terdekat', 'respon', 'paketnya', 'habis', 'data', 'seboros', 'gb', 'sampe', '']</t>
  </si>
  <si>
    <t>['telkomsel', 'paket', 'mb', 'menit', 'habis', 'gua', 'buka', 'pulsa', 'gua', 'rb', 'hilang', 'ampas', 'telkomsel', 'rugi', 'gua', 'gblok', 'jaringan', 'lelet', 'telkomsel', 'promo', 'paket', 'beli', 'hilang']</t>
  </si>
  <si>
    <t>['telkomsel', 'terdepan', 'buktinya', 'jaringan', 'stabil', 'paketnya', 'harganya', 'kemarin', 'kasih', 'bintang', 'kesini', 'kayaknya', 'tinggal', 'kepahiang', 'bengkulu', 'bagus', 'jaringannya', 'setahun', 'jaringan', 'stabil', 'mohon', 'perbaiki', 'kasian', 'pengguna', 'capek', 'capek', 'beli', 'paket', 'menikmatinya', 'wassalam', '']</t>
  </si>
  <si>
    <t>['beli', 'paketan', 'data', 'harganya', 'terjangkau', 'rb', 'udh', 'pakai', 'harganya', 'jdi', 'rb', 'belm', 'sampe', 'sebuln', 'udah', 'habis', 'pdhl', 'telkomsel', 'mahal', 'plus', 'boros', 'haraganya']</t>
  </si>
  <si>
    <t>['pulsa', 'tersedot', 'sehari', 'membeli', 'paket', 'aplikasi', 'karna', 'pencet', 'segal', 'macem', 'karna', 'penasaran', 'dalem', 'aplikasi', 'berlangganan', 'nama', 'amandacaesaa', 'mohon', 'solusi', 'berhenti', 'tersedot', 'pulsa']</t>
  </si>
  <si>
    <t>['mohon', 'maaf', 'jaringan', 'tsl', 'full', 'hasil', 'nihil', 'cmn', 'sinyal', 'udah', 'mohon', 'perbaiki', 'pelanggan', 'setia', 'berganti', 'jaringan']</t>
  </si>
  <si>
    <t>['kasi', 'bintang', 'kecewa', 'pulsa', 'hilang', 'ribuan', 'pembelian', 'chat', 'virtual', 'keluhan', 'produk', 'perna', 'respon', 'jawabannya', 'nyambung', 'menunggu', 'bosan', 'maaf', 'iya', 'semonga', 'kedepannya', '']</t>
  </si>
  <si>
    <t>['puas', 'pakai', 'telkomsel', 'ikutan', 'undian', 'tukar', 'poin', 'mudah', 'mudahan', 'pemenang', 'mobil', 'terimakasih', 'telkomsel', 'semoga', 'jaya', 'berkembang', 'pemakai', 'prudok', 'telkomsel']</t>
  </si>
  <si>
    <t>['fitur', 'sesuai', 'sayang', 'paket', 'dikasi', 'kena', 'pajak', 'tolong', 'nggk', 'sampe', 'mending', 'ganti', 'cek', 'sisa', 'pulsa', 'sisa', 'paket', 'pembelian', 'paket', 'pulsa', 'tolong', 'offline', 'mudah', 'please', '']</t>
  </si>
  <si>
    <t>['maaf', 'telkomsel', 'bener', 'kecewa', 'jaringan', 'internet', 'paket', 'nelpon', 'habis', 'berlakunya', 'paket', 'multimedia', 'sekian', 'dipake', 'lemot', 'bolak', 'update', 'aplikasi', 'tolong', 'perbaiki', 'sistem', '']</t>
  </si>
  <si>
    <t>['kangen', 'telkomsel', 'super', 'cepat', 'lemot', 'banget', 'main', 'game', 'suka', 'ngelag', 'mending', 'mah', 'cepet', 'main', 'game', 'lancar', 'deh', 'pakai', 'telkomsel']</t>
  </si>
  <si>
    <t>['kecewa', 'puluhan', 'pakai', 'simpati', 'ganti', 'versi', 'hilang', 'combo', 'sakti', 'beli', 'kecewa', 'dimasa', 'sulit', 'beralih', 'oprator', 'mingkin', 'pembelian', 'quota', 'bintang', 'acuan', 'telkomsel', '']</t>
  </si>
  <si>
    <t>['beli', 'paket', 'data', 'muluk', 'keterangan', 'gangguan', 'ilang', 'kuota', 'habis', 'gini', 'mending', 'pindah', 'provider', 'sebelah', 'gini', 'maintenance']</t>
  </si>
  <si>
    <t>['puas', 'aplikasi', 'cumaa', 'kecewa', 'telkomsel', 'karrna', 'pasang', 'paket', 'internet', 'mingguan', 'tolong', 'ditinggkatkan', 'telkomsel']</t>
  </si>
  <si>
    <t>['gini', 'jaringannya', 'kesini', 'lelet', 'malam', 'harga', 'kuota', 'mahal', 'kasih', 'harga', 'tolong', 'sesuaikan', 'kualitas', 'jaringannya', 'jaringan', 'lelet', 'cepetan', 'siput', 'harga', 'kuota', 'internetnya', 'selangit', 'please', 'fix', 'jaringan']</t>
  </si>
  <si>
    <t>['paket', 'telkomsel', 'mahalnya', 'banget', 'kemarin', 'beli', 'skr', 'aplikasi', 'harganya', 'bener', 'nyekik', 'dukung', 'rakyat', 'skr', 'susah', 'cari', 'duit']</t>
  </si>
  <si>
    <t>['jaringan', 'telkomsel', 'wilayah', 'teluk', 'kuantan', 'susah', 'komplen', 'semenjak', 'kantor', 'telkomsel', 'terbakar', 'pekanbaru', 'pengguna', 'telkomsel', 'mengeluhkan', 'kecepatan', 'jaringan', 'telkomsel', 'maaf', 'frustasi', 'jaringan', 'kenceng', 'jdi', 'gini', 'sampe', 'tetangga', 'takut', 'marah', 'jaringan', 'telkomsel', 'terimakasih', 'kak', 'jam', 'halangan', '']</t>
  </si>
  <si>
    <t>['aneh', 'banget', 'beli', 'paket', 'unlimited', 'gb', 'uda', 'abis', 'kuota', 'internet', 'jarang', 'sosmed', 'youtube', 'kemana', 'atuh', 'kuota', 'perasaan', 'sampe', 'segitu', 'pemakaian', 'knpa', 'habis', '']</t>
  </si>
  <si>
    <t>['paket', 'telkom', 'mahal', 'oiii', 'tros', 'jelek', 'jaringanya', 'udah', 'bertahun', 'telkom', 'kartu', 'karna', 'skrg', 'telkom', 'mengecewakan', 'pindah', 'kart', 'telkom', 'tlfn', 'kampung']</t>
  </si>
  <si>
    <t>['mohon', 'maaf', 'pengguna', 'telkomsel', 'zadi', 'gini', 'paket', 'gamesmax', 'kartu', 'udah', 'udah', 'tahunan', 'tolong', 'perbaikin', 'paket', 'gamesmax', 'paket', 'lainya', 'murahin', 'lagih', 'naikin', '']</t>
  </si>
  <si>
    <t>['aplikasinya', 'bagus', 'ngapain', 'liat', 'kebawah', 'udah', 'sibilang']</t>
  </si>
  <si>
    <t>['versi', 'terbaru', 'kekurangannya', 'kecewa', 'beli', 'paket', 'data', 'saldo', 'link', 'alhasil', 'saldo', 'link', 'aplikasi', 'telkomsel', 'versi', 'raib', '']</t>
  </si>
  <si>
    <t>['pengguna', 'telkomsel', 'akses', 'jaringan', 'daerah', 'rumah', 'mahasiswa', 'keberatan', 'paketan', 'khusus', 'kouta', 'ketenangan', 'belajar', 'kouta', 'jangka', 'dosen', 'webinar', 'memakai', 'video', 'conference', 'zoom', 'gmeet', 'kouta', 'ketenangan', 'belajar', 'video', 'conferemve', 'zoom', 'gmeet', 'dikasih', 'batas', 'kak', 'terimakasih']</t>
  </si>
  <si>
    <t>['pulsa', 'habis', 'data', 'seluler', 'aktif', 'notifikasi', 'telkomsel', 'pulsa', 'terpakai', 'paket', 'pulsa', 'terpotong', 'keluhan', 'telkomsel']</t>
  </si>
  <si>
    <t>['smoga', 'hadiah', 'membayar', 'hutang', 'hutang', 'malam', 'hantui', 'hutang', 'smoga', 'allah', 'kelancaran', 'membayar', 'hutang', 'hutang', 'aamin']</t>
  </si>
  <si>
    <t>['woii', 'telkomtod', 'napa', 'jaringannya', 'lelet', 'bet', 'pas', 'main', 'tiktok', 'lancar', 'jaya', 'tolonglah', 'hargailah', 'pelanggan', 'mengalami', 'mslah', 'gangguan', 'sinyal', 'telkomtodddddd', '']</t>
  </si>
  <si>
    <t>['kecewa', 'telkomsel', 'pulsa', 'kesedot', 'paketan', 'nsp', 'dll', 'kepotong', 'ribu', 'email', 'uji', 'coba', 'google', 'play', 'bergabung', 'berlangganannya', 'tolong', 'admin', 'telkomsel', 'menjelaskannya', '']</t>
  </si>
  <si>
    <t>['kasih', 'bintang', 'gangguan', 'jaringan', 'harga', 'paketnya', 'lumayan', 'mahal', 'penawaran', 'telkomsel', 'mahal', 'penawaran', 'murah', 'kuota', 'combo', 'sakti', 'ribu', 'kemahalan', 'min', 'tolong', 'balikin', 'combo', 'sakti', 'udah', 'pas', 'dibalikin', 'yasudahlah', 'pindah', 'lapak', 'kecewa', 'udah', 'bertahun', 'pakai', 'paket', 'internet', 'telkomsel', 'kesini', 'harganya', 'ngeri', '']</t>
  </si>
  <si>
    <t>['udah', 'laporan', 'grapari', 'hobi', 'ngambil', 'pulsa', 'hobi', 'alasan', 'gprs', 'pelangan', 'dirugikan', 'kartu', 'bersahabat', 'drpd', 'telkomsel', 'pelayanan', 'buruk', 'sinyal', 'parah', '']</t>
  </si>
  <si>
    <t>['min', 'jaringanya', 'lemot', 'mulu', 'udh', 'minggu', 'buka', 'game', 'youtube', 'streaming', 'dll', 'menghubungkan', 'mulu', 'tolong', 'perbaikin']</t>
  </si>
  <si>
    <t>['kesini', 'mahal', 'paketan', 'udahh', 'mahal', 'lemott', 'parahh', 'pindah', 'provaider', 'lahh', 'main', 'game', 'ping', 'merahh', 'jelek', 'sinyal', 'full', 'lancarr', '']</t>
  </si>
  <si>
    <t>['reg', 'unreg', 'respon', 'via', 'sms', 'ussd', 'gimana', 'gitu', 'masuk', 'app', 'mytelkomsel', 'boros', 'data', 'beli', 'paket', 'data', 'nomor', 'telkomsel', 'kuotanya', 'cpt', 'abisss', '']</t>
  </si>
  <si>
    <t>['mohon', 'maaf', 'salahnya', 'beli', 'paket', 'aplikasi', 'pulsa', 'rb', 'beli', 'paket', 'aplikasi', 'saldo', 'pulsa', 'rupiah', 'mohon', 'penjelasan', '']</t>
  </si>
  <si>
    <t>['maaf', 'min', 'aktifasi', 'telkomsel', 'klik', 'tautan', 'sms', 'muncul', 'tulisan', 'perangkat', 'mendukung', 'download', 'aplikasi', 'lancar', 'ajh', 'gmna', 'min', 'isi', 'paket', '']</t>
  </si>
  <si>
    <t>['kasih', 'bintang', 'telkomsel', 'fitur', 'pulsa', 'safe', 'keluhan', 'beli', 'paket', 'internet', 'pulsa', 'terpotong', 'data', 'paket', 'internet', 'terbeli', 'ayolah', 'telkomsel', 'salah', 'provider', 'terbesar', 'tolong', 'hadirkan', 'setting', 'pulsa', 'safe', 'pulsa', 'terpotong', 'biaya', 'data', 'kuota', 'habis', 'terima', 'kasih', 'bantu', 'klik', 'teman', 'teman']</t>
  </si>
  <si>
    <t>['jaringan', 'telkomsel', 'jelek', 'banget', 'parah', 'banget', 'telponin', 'langganan', 'paket', 'data', 'kartu', 'kartu', 'tetep', 'jaringan', 'jelek', 'auto', 'ganti', 'kartu', 'mah', '']</t>
  </si>
  <si>
    <t>['kaum', 'mendang', 'mending', 'ter', 'leceh', 'karna', 'uang', 'kepotong', 'biaya', 'transfer', 'mbanking', 'blom', 'pengembalian', 'pket', 'darurat', 'pilihan', 'telkom', 'bayar', 'paket', 'darurat', 'kemarin']</t>
  </si>
  <si>
    <t>['tolong', 'perusahaan', 'telkomsel', 'meningkatkan', 'kekuatan', 'jaringan', 'provinsi', 'kalimantan', 'kabupaten', 'katingan', 'khusus', 'wilayah', 'kecamatan', 'katingan', 'jaringan', 'internetnya', 'bermasalah', 'lelet', 'loeding', 'tolong', 'perusahaan', 'secepatnya', 'membereskan', '']</t>
  </si>
  <si>
    <t>['tolong', 'kasi', 'jaringan', 'gua', 'kampung', 'gurun', 'nagari', 'kapuh', 'kecamatan', 'koto', 'tarusan', 'kabupaten', 'pesisir', 'selatan', 'provinsi', 'sumatera', 'barat', 'jelek', 'kali', 'telkom', 'udah', 'mahal', 'jelek', 'gua', 'pesan', 'paket', 'gb', 'sebulan', 'pas', 'udah', 'beli', 'pulsa', 'cek', 'link', 'gada', 'promo', 'promo', 'masi', 'tanggal', 'aneh', 'bener', 'sumpah']</t>
  </si>
  <si>
    <t>['beli', 'paket', 'internet', 'pas', 'data', 'dimatiin', 'dinyalakan', 'paket', 'internet', 'tinggal', 'dipake', '']</t>
  </si>
  <si>
    <t>['maaf', 'telkom', 'kemarin', 'masukin', 'kode', 'voucher', 'telkom', 'sibuk', 'mohon', 'mengakses', 'kode', 'voucher', 'udh', 'beli', 'mahal', 'ngga', 'pakai', 'tulisan', 'maaf', 'sistem', 'sibuk', '']</t>
  </si>
  <si>
    <t>['parah', 'trouble', 'palikasinya', 'gawatnya', 'promonya', 'prank', 'cash', 'back', 'bayar', 'tagihan', 'ovo', 'nipu', 'maklumi', 'model', 'indonesia', 'banget', 'mimin', 'komplain', 'wow', 'keren', 'abis', 'jebakannya', '']</t>
  </si>
  <si>
    <t>['tolong', 'jaringan', 'diperbaiki', 'jaringannya', 'lelet', 'banget', 'udah', 'kecepatan', 'jaringan', 'turun', 'drastis', 'tolong', 'banget', 'diperbaiki', '']</t>
  </si>
  <si>
    <t>['skrng', 'telkomsel', 'jaringannya', 'lemot', 'udh', 'gitu', 'mahal', 'mending', 'mahal', 'tpi', 'bagus', 'cmn', 'buka', 'google', 'doang', 'loadnya', 'bgtt', 'tolonglah', 'telkomsel', 'jaringannya', 'diperbaiki']</t>
  </si>
  <si>
    <t>['login', 'sulitnya', 'ampun', 'kode', 'sms', 'nunggu', 'detik', 'kali', 'diulang', 'tetep', 'dikirim', 'kode', 'verifikasinya', '']</t>
  </si>
  <si>
    <t>['oii', 'telkomsel', 'aplikasi', 'ente', 'lemot', 'mengulang', 'buka', 'aplikasinya', 'perbaiki', 'giliran', 'tagihan', 'pokok', 'berhubungan', 'uang', 'cepat', 'ente', 'giliran', 'pelayanan', 'amburadul', '']</t>
  </si>
  <si>
    <t>['kesini', 'kemana', 'pulsa', 'aktifin', 'dirumah', 'wifi', 'pulsa', 'habis', 'bangke', 'jahannam', '']</t>
  </si>
  <si>
    <t>['sinyalnya', 'bagus', 'lancar', 'mohon', 'telkomsel', 'harap', 'mempe', 'kuat', 'sinyal', 'daerah', 'pinggiran', 'kota', 'masyarakat', 'merasakan', 'sinyal', 'cepat', 'membantu', '']</t>
  </si>
  <si>
    <t>['setia', 'telkomsel', 'mahal', 'masuk', 'akal', 'karna', 'jaringan', 'bagus', 'pesaing', 'memperbaiki', 'kualitas', 'bagus', 'murah', 'beli', 'kuota', 'telkomsel', 'mahal', 'dirasa', 'wort', 'karna', 'kualitas', 'jaringan', 'telkomsel', 'buruk', 'pesaing', 'harganya', 'murah', '']</t>
  </si>
  <si>
    <t>['salam', 'sukses', 'telkomsel', 'semoga', 'telkomsel', 'mengerti', 'kebutuhan', 'pelangganya', 'akses', 'biaya', 'telp', 'paket', 'internet', 'dijangkau', 'pelanggan', 'pelajar', 'terima', 'kasih', 'telkomsel', '']</t>
  </si>
  <si>
    <t>['kesini', 'sinyal', 'telkomsel', 'ancur', 'provider', 'mahal', 'doang', 'mutu', 'terjamin', 'sinyal', 'ancur', 'gue', 'tinggal', 'perkotaan', 'lho', 'sinyal', 'udh', 'lemot', 'gilaa', '']</t>
  </si>
  <si>
    <t>['kasih', 'bintang', 'dlu', 'paket', 'tsel', 'mahal', 'murah', 'tpi', 'daftarnya', 'susah', 'contohnya', 'paket', 'ceria', 'udah', 'daftar', 'paket', 'berkali', 'kali', 'respon', 'pulsa', 'udh', 'kemakan', 'daftar', 'paket', 'ceria', 'nyalain', 'data', 'seluler', 'pkoknya', 'kayak', 'gitu', 'faktor', 'penguras', 'pulsanya', 'gua', 'kcuali', 'daftar', 'paket', 'doang', 'pas', 'pulsa', 'udah', 'kemakan', 'dikit', 'jdi', 'bsa', 'daftar', 'tolong', 'perbaiki', '']</t>
  </si>
  <si>
    <t>['pelayanan', 'jelek', 'komplain', 'veronika', 'responnya', 'alias', 'mbulet', 'data', 'internet', 'dimatikan', 'sedot', 'pulsa', 'pemberitahuan', 'kuota', 'internet', 'habis', 'lambat', 'pemberitahuan', 'nggak', 'cek', 'pulsa', 'kesedot', 'buannnyaaak', 'nggak', 'telkomsel', 'kayak', 'gini', 'mentang', 'pelanggan', 'pelayanan', 'ancur']</t>
  </si>
  <si>
    <t>['pelayanannya', 'cepet', 'banget', 'suka', 'kali', 'kartuku', 'kena', 'alhamdulilah', 'lapor', 'solusinya', 'terima', 'kasih', 'admin', 'telkomsel', 'mengerti', 'masalahku', '']</t>
  </si>
  <si>
    <t>['maaf', 'kasih', 'bintang', 'paket', 'internet', 'kesini', 'pengguna', 'telkomsel', 'ganti', 'dapet', 'pandemi', 'nyari', 'duit', 'susah', 'paket', 'udah', 'paket', 'murah', 'edit', 'kasih', 'bintang', 'stay', 'safe']</t>
  </si>
  <si>
    <t>['keperluan', 'belajar', 'anak', 'coba', 'tolong', 'kebanyakan', 'jenis', 'paket', 'jual', 'pulsa', 'kuota', 'dipake', 'internetan', 'aplikasi', 'ntar', 'dipake', 'engga', 'gpp', 'mubazir', 'susah', 'mudah', 'masyarakat', '']</t>
  </si>
  <si>
    <t>['mantap', 'telkomsel', 'pengguna', 'setia', 'simcard', 'telkomsel', 'menikmati', 'kemudahan', 'promo', 'menarik', '']</t>
  </si>
  <si>
    <t>['', 'kasih', 'bintang', 'krna', 'paketnya', 'mahal', 'bget', 'skrg', 'ppkm', 'hrgnya', 'mahal', 'hrus', 'mahal', 'kembalikn', 'hrga', 'paket', 'mahal', 'kyak', 'gini', 'beli', '']</t>
  </si>
  <si>
    <t>['bagus', 'pelayanan', 'mudah', 'penggunaan', 'fitur', 'unggulan', 'pilihan', 'paket', 'murah', 'terjangkau', 'tambahin', 'hadiah', 'daily', 'chek', 'innya', 'gb', 'gb', 'apk', 'dimasa']</t>
  </si>
  <si>
    <t>['aplikasi', 'eror', 'beli', 'paket', 'kuota', 'ketenangan', 'utama', 'hilang', 'menu', 'error', 'hot', 'promo', 'hilang', 'padaha', 'orang', 'butuh', 'paket', '']</t>
  </si>
  <si>
    <t>['aktif', 'paket', 'dipotong', 'kualitas', 'jaringan', 'mengecewakan', 'telkomsel', 'laku', 'pastikan', 'biaya', 'kampanyekan', 'boikot', 'telkomsel', '']</t>
  </si>
  <si>
    <t>['', 'tolong', 'kuota', 'internet', 'abis', 'otomatis', 'ngambil', 'nyedot', 'pulsa', 'rugi', 'terkesan', 'telkomsel', 'nilep', 'pulsa', 'pelanggan', 'enak', 'banget', 'dituduh', 'gitu', 'diinfokan', 'tgl', 'sekian', 'jam', 'sekian', 'kuota', 'internet', 'habis', 'provider', 'tetangga', 'nyedot', 'pulsa', 'kuota', 'internetnya', 'habis', 'telkomsel', 'gitu', 'sorry', 'usul', 'sewot', 'btw', 'mahal', 'jualan', 'pulsa', 'kuota', 'internetnya', 'thanks', '']</t>
  </si>
  <si>
    <t>['jelek', 'deh', 'intinya', 'buruk', 'banget', 'pengalaman', 'make', 'telkomsel', 'mahal', 'mahal', 'pelayanan', 'buruk', 'malu', 'provider', 'murah', 'murah', 'berkualitas', 'hahahahah']</t>
  </si>
  <si>
    <t>['membantu', 'mudah', 'pengoperasian', 'menyebalkan', 'kondisi', 'sinyal', 'buruk', 'buka', 'aplikasi', 'telkomselnya', 'gila', 'telkomsel', 'mahal', 'buruk', 'kwalitasnya', '']</t>
  </si>
  <si>
    <t>['kecewa', 'pelayanan', 'keistimewaan', 'telkomsel', 'semahal', 'apapun', 'telkomsel', 'pelayanan', 'hak', 'penggunanya', 'memuaskan', 'harga', 'mahal', 'jangka', 'paket', 'data', 'dikurangi', 'sinyal', 'udh', 'selancar', 'ditengah', 'kota', 'sinyalnya', 'paket', 'unlimited', 'gakada', 'gakada', 'habis', 'abis', 'pdhl', 'udh', 'beli', 'paket', 'unlimited', 'setahun', 'data', 'abis', 'unlimited', 'skrg', 'pulsa', 'berkurang', 'mendahulukan', 'konsumen', '']</t>
  </si>
  <si>
    <t>['telkomsel', 'skrg', 'mahal', 'paket', 'datanya', 'kecepatan', 'internetnya', 'payah', 'siput', 'second', 'tanggapan', 'komplen', 'copy', 'paste', 'melulu', 'disuruh', 'hubungi', 'internetnya', 'kalah', 'smartfren', '']</t>
  </si>
  <si>
    <t>['tolong', 'diperbaiki', 'jaringan', 'internet', 'diwilayah', 'kabupaten', 'penukal', 'abab', 'lematang', 'ilir', 'provinsi', 'sumatera', 'selatan', 'update', 'aplikasi', 'jaringan', 'update', 'jaringan', 'internet', 'buruk', 'pendopo']</t>
  </si>
  <si>
    <t>['paket', 'habis', 'pulsa', 'utama', 'dimakan', 'nipu', 'konsumen', 'lihat', 'donk', 'provider', 'paket', 'habis', 'pulsa', 'disedot', 'namanya', 'menipu', 'costumer', 'nyedot', 'pulsa', 'izin', 'jaringan', 'lemot', 'bintang', 'cocoknya', 'malu', 'kolom', 'rating', 'komentar', 'buruk', 'woi', 'telkomsel', 'malu', 'donk']</t>
  </si>
  <si>
    <t>['kah', 'dinamakan', 'operator', 'terbesar', 'payah', 'paket', 'internet', 'mahal', 'jaringan', 'receh', 'layanan', 'wifi', 'jelek', 'dll', 'pokok', 'jaringan', 'terburuk', 'telkomsel', 'gamer', 'mending', 'telkomsel']</t>
  </si>
  <si>
    <t>['kecewa', 'telkomsel', 'membeli', 'kuota', 'game', 'pakai', 'main', 'game', 'pubg', 'game', 'pubg', 'masuk', 'daftarnya']</t>
  </si>
  <si>
    <t>['problem', 'suka', 'error', 'lag', 'lemot', 'jaringanya', 'bermain', 'game', 'sosmed', 'berlokasi', 'cibubur', 'jaktim', 'jam', 'malam', 'mohon', 'saran', 'masukan', 'perbaikan', 'mengatasi']</t>
  </si>
  <si>
    <t>['knpa', 'kasih', 'bintang', 'tolong', 'telkomsel', 'jaringan', 'data', 'timur', 'kec', 'nipah', 'perbaiki', 'sinyal', 'parah', 'banget', 'player', 'game', 'kecewa', '']</t>
  </si>
  <si>
    <t>['telkomsel', 'parah', 'koneksi', 'terputus', 'pembeliannyapun', 'mahal', 'bersangkutan', 'mobile', 'banking', 'udah', 'unpair']</t>
  </si>
  <si>
    <t>['manajernya', 'tolol', 'kesini', 'pelayanan', 'tanggap', 'pesan', 'otomatis', 'efektif', 'permasalahannya', 'cumak', 'mikirin', 'untung', 'prioritas', 'pelanggan', 'puas', 'kebanyakan', 'makan', 'duit', 'haram', 'gue', 'harap', 'maklum', '']</t>
  </si>
  <si>
    <t>['aneh', 'telkomsel', 'beli', 'paket', 'data', 'saldo', 'terpotong', 'paket', 'datanya', 'aktif', 'complain', 'transaksi', 'masuk', 'diproses', 'disuruh', 'nunggu', 'jam', 'gilaaaa', 'beli', 'paket', 'data', 'butuh', 'cepat', 'disuruh', 'nunggu', 'disitu', 'bayar', 'disitu', 'langsung', 'aktif', 'paket', 'dibeli', 'ketinggalan', 'zaman', 'telkomsel', 'jadul', 'pelayanannya']</t>
  </si>
  <si>
    <t>['pakai', 'trus', 'teknik', 'rilis', 'alias', 'penarikan', 'paket', 'promo', 'pas', 'isi', 'pulsa', 'paketnya', 'alasan', 'update', 'paket', 'pembelian', 'paket', 'sesuai', 'promosi', 'gb', 'gb', 'pajak', 'main', '']</t>
  </si>
  <si>
    <t>['jaringan', 'lemot', 'udah', 'harga', 'kuota', 'mahal', 'nggk', 'seimbang', 'pendapatan', 'orang', 'pandemi', 'teman', 'teman', 'mending', 'tukar', 'kartu', 'perdana', 'nggk', 'lancar', 'harga', 'kuota', 'murah']</t>
  </si>
  <si>
    <t>['capek', 'deh', 'kayaknya', 'komplain', 'mulu', 'kmrn', 'indosat', 'aman', 'karna', 'telkomsel', 'nomor', 'udh', 'coba', 'isi', 'paket', 'trnyt', 'penyakitnya', 'menang', 'gengsi', 'jaringan', 'bsa', 'perbaikannya', 'penyakitnya', 'lapak', 'sebelah', 'deh']</t>
  </si>
  <si>
    <t>['telkomsel', 'mencuri', 'pulsa', 'data', 'paket', 'telpon', 'pulsa', 'reguler', 'pulsa', 'reguler', 'hilang', 'paket', 'data', 'tanggal', 'msih', 'tanggal', 'hilang', 'paket', 'datanya', 'lumayan', 'meresahkan', 'beres', '']</t>
  </si>
  <si>
    <t>['', 'juli', 'minggu', 'signal', 'daerah', 'rumah', 'cengkareng', 'timur', 'jakbar', 'signal', 'internet', 'stabil', 'meresahkan', 'merasakan', 'emang', 'eror', 'ditambah', 'layanan', 'call', 'center', 'telpon', 'aplikasi', 'gimana', 'aplikasi', 'signal', 'masuk', 'aplikasi', 'stabil', 'berpindah', 'provider', 'tolong', 'respond']</t>
  </si>
  <si>
    <t>['apk', 'lumayan', 'bagus', 'sistem', 'pembelian', 'quota', 'point', 'mengalami', 'sistem', 'sibuk', 'mencoba', 'puluhan', 'kali', 'mohon', 'sistem', 'cepat']</t>
  </si>
  <si>
    <t>['pulsa', 'tersedot', 'beli', 'paket', 'ribu', 'kombo', 'internet', 'nelpon', 'pas', 'nelpon', 'telkomsel', 'pulsa', 'sya', 'tersedot', 'merugikan']</t>
  </si>
  <si>
    <t>['telkom', 'kubanggakan', 'jaringannya', 'mengerikan', 'main', 'game', 'online', 'berjanji', 'membeli', 'kuota', 'telkomsel', 'berjanji', 'off', 'jaringan', 'telkomsel', 'sekian', 'terimakasih', '']</t>
  </si>
  <si>
    <t>['ora', 'telkomsel', 'parah', 'sinyal', 'lemot', 'paket', 'data', 'mahal', 'sinyal', 'lemot', 'bangkrut', 'gimana', 'kalah', 'saingan', 'kecewa', 'pelanggan', 'rumah', 'galeri', 'telkomsel', 'tower', 'telkomsel', 'sinyal', 'jaringannya', 'aduh', 'parahhh', '']</t>
  </si>
  <si>
    <t>['menarik', 'harga', 'paket', 'mahal', 'kesel', 'pas', 'pembayaran', 'langsung', 'linkaja', 'rebet', 'nyesel', 'update', 'versi', 'barunya', 'suka', 'versi']</t>
  </si>
  <si>
    <t>['aplikasi', 'beli', 'harian', 'paket', 'conference', 'paket', 'pendidikan', 'paket', 'malam', 'tolong', 'kecewa', 'udah', 'isi', 'dana', 'kuota', 'harian', 'ehh', 'aduh', 'jelek', 'banget']</t>
  </si>
  <si>
    <t>['app', 'ngerusak', 'sistem', 'android', 'sekelas', 'telkomsel', 'app', 'kaya', 'gini', 'malu', 'noh', 'indosat', 'centerna', 'suka', 'nggak', 'respon', 'kendala', 'kecewa', 'kali', 'kasih', 'rate', 'app', 'perbaiki', 'deh', 'ngasal', 'app']</t>
  </si>
  <si>
    <t>['kenceng', 'banget', 'makan', 'kuota', 'isi', 'pulsa', 'udah', 'langsung', 'kesedot', 'rb', 'lupa', 'matiin', 'data', 'bentar', 'doank', 'nyampe', 'mnt', 'dimainin', 'rakus', 'woii', '']</t>
  </si>
  <si>
    <t>['harga', 'kuota', 'promo', 'gaada', 'bedanya', 'dimasa', 'pandemi', 'gini', 'orang', 'orang', 'butuh', 'kuota', 'belajar', 'kasih', 'promo', 'murah', 'egois', 'orang', 'orang', 'disana', 'butuh', 'disana', '']</t>
  </si>
  <si>
    <t>['keluhan', 'beli', 'paket', 'internet', 'mending', 'beli', 'udah', 'beli', 'paket', 'internet', 'transaksinya', 'berhasil', 'kuota', 'sekian', 'terima', 'kasih', '']</t>
  </si>
  <si>
    <t>['paket', 'transparan', 'beli', 'kuota', 'beli', 'harga', 'udah', 'beda', 'membeli', 'paket', 'kaya', 'dibatasi', 'tertulis']</t>
  </si>
  <si>
    <t>['kesini', 'telkomsel', 'pke', 'bertahun', 'napa', 'lambat', 'udah', 'mah', 'paket', 'mahal', 'lambat', 'jaringan', 'mending', 'ganti', 'kartu', 'ajah', 'kesel', 'telkomsel', 'telkomsel', 'mending', 'ganti', 'udah', 'ganti', '']</t>
  </si>
  <si>
    <t>['asalnya', 'berselang', 'bangke', 'telkomsel', 'kolom', 'ulasan', 'ngeluh', 'dengar', 'paraaaaahhhhh']</t>
  </si>
  <si>
    <t>['telkomsel', 'signalnya', 'hancur', 'kuota', 'msh', 'kota', 'signal', 'hilang', 'mengecewakan']</t>
  </si>
  <si>
    <t>['kesal', 'pengguna', 'setia', 'telkomsel', 'jaringan', 'payah', 'pemakaian', 'perbulan', 'jt', '']</t>
  </si>
  <si>
    <t>['telkomsel', 'lumayan', 'udh', 'sinyalnya', 'stabil', 'tpi', 'kaya', 'sinyalnya', 'suka', 'jelek', 'perbaiki', 'gpp', 'paket', 'mahal', 'pnting', 'sinyal', 'stabil']</t>
  </si>
  <si>
    <t>['move', 'murah', 'sinyal', 'cepat', 'jelek', 'telkomsel', 'contohnya', 'notif', 'kuota', 'habis', 'pulsa', 'kepotong', 'udh', 'jelek', 'lemot', 'mahal']</t>
  </si>
  <si>
    <t>['tarif', 'mahal', 'pilihan', 'paket', 'internet', 'berguna', 'pengguna', 'telkomsel', 'mayoritas', 'pemain', 'game', 'hobi', 'nonton', 'waras', 'pilihan', 'paket', 'menang', 'mahal', 'doang', '']</t>
  </si>
  <si>
    <t>['tolonglah', 'jaringan', 'perbaiki', 'lemot', 'main', 'game', 'kesini', 'jaringannya', 'lemot', 'udh', 'kyk', 'gini', 'pengguna', 'kartu', 'telkomsel', 'pindah', 'kartu', 'sma', 'halnya', '']</t>
  </si>
  <si>
    <t>['telkomsel', 'bagus', 'sukaa', 'tolong', 'jaringan', 'wilayah', 'kuningan', 'jawa', 'barat', 'perbarui', 'signalnya', 'full', '']</t>
  </si>
  <si>
    <t>['kecewa', 'banget', 'telkomsel', 'paket', 'nelpon', 'menit', 'gabisa', 'paket', 'game', 'puluhan', 'gabisa', 'dipake', 'udah', 'gitu', 'sinyalnya', 'lambat', 'tolonglah', 'perbaiki']</t>
  </si>
  <si>
    <t>['pesan', 'melunasi', 'pulsa', 'membeli', 'paketan', 'darurat', 'padhl', 'kaga', 'paketan', 'darurat', 'pas', 'isi', 'pulsa', 'pulsa', 'sedot', 'balikin', 'pulsa', '']</t>
  </si>
  <si>
    <t>['buruk', 'kualitas', 'telkomsel', 'unlimited', 'bebas', 'pemakain', 'batasin', 'terpaksa', 'kasih', 'soorrryyy']</t>
  </si>
  <si>
    <t>['', 'kuota', 'unlimited', 'bener', 'unlimited', 'unlimited', 'kirim', 'chat', 'nunggu', 'menit', 'bru', 'masuk', 'tolong', 'pelanggan', 'telkomsel', 'pindah', 'provider', 'perbaiki', 'jaringan', 'kecepatan', 'mbpsnya', 'pembeli', 'kuota', 'unlimited', 'harganya', 'rb', '']</t>
  </si>
  <si>
    <t>['kuota', 'mahal', 'kuota', 'ndak', 'genap', 'signal', 'lemot', 'alias', 'busuk', 'taun', 'pakek', 'tsel', 'kali', 'berniat', 'ganti', 'kartu', '']</t>
  </si>
  <si>
    <t>['terpotong', 'saldo', 'pulsa', 'udah', 'mengaktifkan', 'paket', 'udah', 'hub', 'layanan', 'telkomsel', 'langsung', 'solusinya', 'memanh', 'telkomsel', 'otomatis', 'menyedot', 'pulsa', 'jaringan', 'berubah', 'udah', 'jaringan', 'kartu', 'telkomsel', 'disetting', 'kesini', 'kecewa', 'telkomsel', 'komplain', 'menu', 'mytelkomselnya', 'veronica', 'chat', 'menu', 'telkomsel', 'veronica', '']</t>
  </si>
  <si>
    <t>['', 'ganti', 'nomor', 'berucap', 'kecewa', 'pelayanan', 'telkomsel', 'signal', 'kayak', 'provider', 'masuk', '']</t>
  </si>
  <si>
    <t>['sinyal', 'supet', 'lemot', 'operator', 'koneksi', 'lambat', 'ngak', 'kuota', 'internet', 'isi', 'paket', 'tsel', 'promo', 'kuota', 'ngak', 'kepakek', 'karna', 'koneksi', 'lemot', 'mending', 'indosat', 'mahalan', 'dikit', 'koneksi', 'internet', 'cepet', '']</t>
  </si>
  <si>
    <t>['cepat', 'beli', 'kouta', 'mudah', 'orang', 'oon', 'downlod', 'kerja', 'download', 'pakai', 'aplikasinya', 'salahin']</t>
  </si>
  <si>
    <t>['', 'kali', 'beli', 'pulsa', 'paketan', 'data', 'promonya', 'aktif', 'pulsa', 'berkurang', 'shg', 'beli', 'paket', 'hrs', 'beli', 'pulsa', 'kalinya', 'rugi', 'haduhh', 'maaf', 'bintang', 'untu', '']</t>
  </si>
  <si>
    <t>['mahal', 'banget', 'kuotanyaa', 'sekaraang', 'paket', 'murah', 'cuman', 'beli', 'doang', 'dirumah', 'telkomsel', 'harga', 'kuota', 'bulanan', 'unlimited', 'termurah', 'aplikasi', 'rb', 'paketnya', 'dibagi', 'ribet', '']</t>
  </si>
  <si>
    <t>['login', 'telkomsel', 'emosi', 'verifikasi', 'detik', 'smsnya', 'kirim', 'menit', 'mudian', 'gimana', 'login', 'pengembang', 'aplikasi', 'mikir', 'jam', 'login', 'gara', 'gara', 'smsnya', 'dikirim', 'jdnya', 'link', 'verifikasinya', 'kadaluarsa', '']</t>
  </si>
  <si>
    <t>['parah', 'banget', 'telkomsel', 'skrg', 'covid', 'susah', 'buk', 'tolong', 'anak', 'belajar', 'online', 'susah', 'harga', 'kemahalan', 'knpa', 'apl', 'update', 'paket', 'harga', '']</t>
  </si>
  <si>
    <t>['daerah', 'sinyal', 'telkomsel', 'bagus', 'buruk', 'tetangga', 'teman', 'telkomse', 'kecewa', 'sya', 'ganti', 'nomor', 'terlanjur', 'kenal', 'nomor', 'terpaksa', '']</t>
  </si>
  <si>
    <t>['metode', 'pembayaran', 'link', 'hilangkan', 'kecewa', 'metode', 'pembayaran', 'link', 'hilangkan', 'paket', 'combo', 'sakti', 'loop', 'hilang', 'kadang', 'kadang', 'hilang', 'min', 'aplikasi', 'telkomsel', 'konsisten', 'gini']</t>
  </si>
  <si>
    <t>['dulunya', 'telkomsel', 'sinyal', 'bagus', 'lemot', 'kasih', 'bintang', 'jaringan', 'normal', 'layak', 'dikasih', 'bintang', 'full', '']</t>
  </si>
  <si>
    <t>['tingkatkan', 'lgi', 'kualitas', 'sinyal', 'desa', 'kota', 'saran', 'pasang', 'pemancar', 'tower', 'telkomsel', 'desa', 'bnyak', 'pengguna', 'tlkomsel', 'mhlny', 'sja', 'tlkomsel', 'kualitas', 'sinyal', 'bagus', 'kota', 'jelek', 'desa', '']</t>
  </si>
  <si>
    <t>['iya', 'telkomsel', 'paket', 'khusus', 'video', 'doang', 'internet', 'facebook', 'instagram', 'whatsapp', 'nggak', 'aplikasi', 'butuh', 'belajar', 'belajar', '']</t>
  </si>
  <si>
    <t>['beli', 'paket', 'masuk', 'udh', 'kali', 'beli', 'paket', 'tpi', 'paket', 'masuk', 'pulsa', 'adaa', 'tolong', 'bantuan']</t>
  </si>
  <si>
    <t>['jaringan', 'telkomsel', 'lelet', 'nyaman', 'mohon', 'tingkatkan', 'kualitasnya', 'signal', 'telkomsel', 'jaringan', 'macet', '']</t>
  </si>
  <si>
    <t>['jelek', 'lumayan']</t>
  </si>
  <si>
    <t>['telkomsel', 'lag', 'kualitas', 'jelek', 'buruk', 'maen', 'game', 'online', 'putus', 'pengalaman', 'telkomse', 'percaya', 'coba', 'salah', 'pegawai', 'maen', 'maen', 'salah', 'game', 'putus']</t>
  </si>
  <si>
    <t>['update', 'metode', 'pembayaran', 'pakai', 'link', 'saran', 'tolong', 'metode', 'pembayaran', 'via', 'link', 'dana', 'ovo', 'via', 'pulsa', 'nyaman', '']</t>
  </si>
  <si>
    <t>['beli', 'paket', 'kuota', 'paket', 'combo', 'unlimited', 'jaringan', 'menyebalkan', 'lemot', 'tolong', 'perbaiki', 'jaringannya', 'kesini', 'jaringannya', 'jelek', 'telkomsel']</t>
  </si>
  <si>
    <t>['aplikasi', 'gangguan', 'pas', 'beli', 'cek', 'quota', 'gangguan', 'operator', 'telkomsel', 'jaringan', 'terbaik', 'kecewa', 'perbaiki', 'boooos', 'bayar', 'mahal', 'pelayanan', 'jelek', 'abiiiiiiis', 'sinyal', 'lelet', 'aplikasi', 'ngerusak', 'memaksa', 'aplikasi', 'tertutup', 'mahal', 'kualitas', 'dibawah', 'standard', 'provider']</t>
  </si>
  <si>
    <t>['paket', 'darurat', 'telkomsel', 'resek', 'bangettt', 'namanya', 'darurat', 'org', 'butuh', 'pulsa', 'giliran', 'pilih', 'paket', 'darurat', 'notifikasi', 'terisi', 'pilih', 'darurat', 'pagi', 'respont', 'terpaksa', 'isi', 'pulsa', 'reguler', 'rb', 'ehh', 'isi', 'pulsa', 'reguler', 'siang', 'setujui', 'paket', 'darurat', 'reguler', 'kepotong', 'duh', 'ngeselin', 'bangetttt', 'merugikan', 'customer', 'kali', 'berkali', 'buruk', 'banget', 'sihhh', 'telkomsel', '']</t>
  </si>
  <si>
    <t>['jelek', 'bed', 'aplikasinya', 'update', 'kayak', 'gini', 'mendung', 'update', 'tolong', 'perbaiki', 'cepat', 'kayak', 'gini', 'mending', 'berlangganan', 'kartu', 'kayak', 'tri', 'exsis']</t>
  </si>
  <si>
    <t>['telkomsel', 'harga', 'paket', 'combo', 'pelanggan', 'kasi', 'promo', 'pelanggan', 'manjakan', 'promo', 'tolong', 'telkomsel', 'perhatiannya', 'pelanggan', '']</t>
  </si>
  <si>
    <t>['telkomsel', 'aktif', 'paketan', 'tanggal', 'habis', 'tgl', 'bkn', 'kaya', 'gini', 'udah', 'paketnya', 'jaringan', 'super', 'lelet', 'siput', 'hutan', 'kota', 'loe', 'super', 'duper', 'lelet', 'siput', 'pelangan', 'setia', 'telkomsel', 'klu', 'kaya', 'cari', 'enak', 'bnyak', 'operator', 'terimakasih', '']</t>
  </si>
  <si>
    <t>['kasih', 'gift', 'nomor', 'prefix', 'langsung', 'blank', 'veronica', 'maintenance', 'melayani', 'komplain']</t>
  </si>
  <si>
    <t>['pelayanan', 'ramah', 'simple', 'transaksi', 'aplikasi', 'mytelkomsel', 'ditingkatkan', 'sistemnya', 'karna', 'update', 'sistem', 'pelayanan', 'aplikasi', 'meggunakan', 'aplikasi', 'perbaiki', 'terima', 'kasih', '']</t>
  </si>
  <si>
    <t>['jaringa', 'perbaiki', 'badai', 'hujan', 'guntur', 'kilat', 'nelpon', 'langsung', 'terputus', 'main', 'jaringan', 'terputus', 'mani', 'game', 'login', 'koneksi', 'jaringan', 'terputus', 'pastikan', 'kuota', 'internet', 'kuota', 'internet', 'leletnya', 'ampun', '']</t>
  </si>
  <si>
    <t>['optimalkan', 'kinerjanya', 'ttp', 'patuh', 'menerima', 'perubahan', 'dri', 'jaringan', 'semga', 'keringanan', 'biaya', 'tuk', 'mengakses', 'jaringan', 'telkomsel', 'data', 'telkomselnya', 'semoga', 'memenangkan', 'hadiah', 'amin']</t>
  </si>
  <si>
    <t>['beli', 'paket', 'pulsa', 'bayar', 'pakai', 'aplikasi', 'dana', 'sejenis', 'gangguan', 'pakai', 'banking', 'sll', 'aneh', 'mslhnya', 'pakai', 'banking', 'potongannya', 'males', 'beli', 'via', 'banking', '']</t>
  </si>
  <si>
    <t>['tampilan', 'error', 'opsinya', 'pembayaran', 'macem', 'bayar', 'debit', 'tolak', 'via', 'aplikasinya', 'atm', 'udah', 'riweh', 'pembayarannya', 'semoga', 'benerin', 'tampilan', 'bagus', 'lupa', 'fungsinya', 'utama', 'terima', 'kasih']</t>
  </si>
  <si>
    <t>['puas', 'sinyal', 'bagus', 'layanan', 'mudah', 'konsumen', 'terbantu', 'paket', 'internetan', 'murah', 'aemua', 'orang', 'pindah', 'kelayanan', 'telkomsel', 'masuk', 'telkomsel', 'otomatis', 'kirim', 'sms', 'kalu', 'gagal', 'memasukan', 'pasword', 'arau', 'kode', 'verifikasi', 'menyulitkan', 'konsumen', 'membutuhkan', 'pelayanan', 'cepat', 'akurat', 'mudah', 'tolong', 'rubah', 'prosedur', 'masuk', 'mytelkomsel', 'semudah']</t>
  </si>
  <si>
    <t>['beli', 'unlimited', 'udah', 'mahal', 'sebanding', 'kecepatan', 'lemotnyaa', 'udah', 'keseringan', 'mode', 'pesawat', 'iya', 'menjelajah', 'internet', 'mode', 'pesawat', 'tolong', 'telkomsel', 'perhatikan', 'kenyamanan', 'pelanggan', '']</t>
  </si>
  <si>
    <t>['woiiiii', 'jaringan', 'telkomsel', 'parah', 'gini', 'cok', 'beli', 'khuota', 'data', 'gag', 'hidup', 'jaringan', 'woiii', 'sumatra', 'barat', 'mohon', 'penjelasan', 'sayang', 'khuota', 'gag', 'pakai', '']</t>
  </si>
  <si>
    <t>['telkomsel', 'jelek', 'banget', 'koruptor', 'bumn', 'bobrok', 'keluhkan', 'perubahan', 'dasar', 'mafia', 'koplak', 'kecewa', '']</t>
  </si>
  <si>
    <t>['kemarin', 'beli', 'paket', 'data', 'shopeepay', 'gopay', 'dana', 'gabisa', 'pulsa', 'udah', 'matiin', 'jaringan', 'lemot', 'bnaget', 'beli', 'paket', 'data', 'mahal', 'jaringan', 'pas', 'main', 'game', 'tolong', 'perbaiki', '']</t>
  </si>
  <si>
    <t>['telkomsel', 'nyebelin', 'banget', 'isi', 'pulsa', 'rb', 'kesedot', 'pulsanya', 'ribu', 'lucu', 'orang', 'negeri', 'pulsanya', 'kesedot', 'juta', 'telkomsel', 'maling', 'ngeselin', 'mahal', 'doang', 'kenceng', 'kagak']</t>
  </si>
  <si>
    <t>['ngga', 'beli', 'paket', 'gaming', 'telkomsel', 'rugi', 'parah', 'reconnect', 'melulu', 'beda', 'beli', 'paket', 'gaming', 'axis', 'lancar', 'jaya', 'boss', 'saranin', 'suka', 'maen', 'game', 'mlbb', 'pubg', 'aov', 'kartu', 'axis']</t>
  </si>
  <si>
    <t>['', 'berhenti', 'langganan', 'nsp', 'sms', 'langganan', 'nsp', 'udh', 'perpanjang', 'minyak', 'aktipkan', 'perpanjang', 'tolong', 'main', 'todong', 'berbisnislah', 'telkomsel', 'udh', 'mohon', 'jaga', 'kenyamanan', 'pelanggan', '']</t>
  </si>
  <si>
    <t>['telkomsel', 'jelek', 'udah', 'mahal', 'sesuai', 'kualitasnya', 'emangnya', 'malu', 'naikin', 'harga', 'paketan', 'kualitasnya', 'diperbaiki', 'konsumen', 'rugi', 'kecewa', 'deh', 'kek', 'gini', 'mending', 'ganti', 'jaringan', 'ngotak', 'telkomsel', 'kapitalis', 'untung', 'doang', 'paketan', 'diubah', 'harganya', 'nyaman', 'sebenernya', 'visi', 'misi', 'kenyaman', 'pelanggan', 'nomer', 'silahkan', 'dibaca', '']</t>
  </si>
  <si>
    <t>['bertahun', 'setia', 'pakai', 'telkomsel', 'tpi', 'lemot', 'bukanny', 'membaik', 'harga', 'paket', 'mahal', 'berbanding', 'terbalik', 'layanan', 'terima', 'kecewa', 'bkalan', 'ganti', 'kartu', 'gni', '']</t>
  </si>
  <si>
    <t>['rendem', 'point', 'quota', 'dibalas', 'mohon', 'maaf', 'sistem', 'sibuk', 'coba', 'poin', 'dikembalikan', 'terima', 'kasih', 'ujungnya', 'point', 'balek', '']</t>
  </si>
  <si>
    <t>['mahal', 'doang', 'main', 'game', 'mobile', 'legend', 'jaringannya', 'kembang', 'kempis', 'ping', 'merah', 'mulu', 'asoo', 'mahal', 'tsel', 'jaringannya', 'lemot', 'tri', '']</t>
  </si>
  <si>
    <t>['mohon', 'jaringannya', 'perbaiki', 'kesel', 'banget', 'telkomsel', 'beli', 'kuota', 'main', 'game', 'ngelag', 'beli', 'gimana', 'kalah', 'gara', 'gara', 'sinyal', 'bagus', 'kecewa', 'telkomsel', '']</t>
  </si>
  <si>
    <t>['mohon', 'maaf', 'keluhan', 'alami', 'internednya', 'leeeemoood', 'banget', 'th', 'daerah', 'ngak', 'segitunya', 'parah', 'jaringangan', 'internednya', 'hilang', 'masuk', 'kadang', 'masuk', 'setingan', 'graparipun', 'uda', '']</t>
  </si>
  <si>
    <t>['kecewa', 'telkomsel', 'kali', 'habis', 'isi', 'pulsa', 'pulsa', 'berkurang', 'sms', 'nelfon', 'internetan', 'udah', 'mytelkomsel', 'kirim', 'pesan', 'email', 'kli', 'respon', 'menghargai', 'pelanggan', 'capek', 'ngisi', 'pulsa', 'teruss', 'merugikan', 'mengecewakan', 'pelanggan', 'benarrrr', 'sangatt', 'kecewa', '']</t>
  </si>
  <si>
    <t>['mengeluh', 'signal', 'lelet', 'ngalami', 'provider', 'sel', 'provider', 'parah', 'dri', 'pda', 'buang', 'duit', 'beli', 'kartu', 'perdana', 'provider', 'mending', 'sabar', 'pakai', 'aplikasi', 'lelet', 'banget', 'kebuka', 'krna', 'seindonesia', 'pda', 'pakai', 'kebutuhan', 'internet', 'lelet', 'harapan', 'sel', 'tolong', 'ditingkatkan', 'perkuat', 'signal', 'ditower', 'sigap', 'pengecekan', 'perawatan', 'tower', 'trimakasih', 'sel', '']</t>
  </si>
  <si>
    <t>['bismillah', 'semoga', 'bos', 'mati', 'binatang', '']</t>
  </si>
  <si>
    <t>['paket', 'combo', 'sakti', 'unlimited', 'kuota', 'sosmed', 'gabisa', 'dipake', 'whatsapp', 'gabisa', 'sayang', 'mahal', 'mahal', 'serasa', 'ketipu', 'makasih', 'telkomsel', 'pindah', 'provider', 'sebelah', '']</t>
  </si>
  <si>
    <t>['telkomsel', 'gangguan', 'sinyal', 'edge', 'kualitas', 'jelek', 'gunain', 'pulsa', 'sedotnya', 'operator', 'pulsa', 'terpotong', 'kuota', 'data', 'trik', 'telkomsel', 'licik', 'meraih', 'keutungan', 'telkomsel', 'memberlakukan', 'tarif', 'data', 'mahal', 'operator', 'indonesia', 'milik', 'bumn', 'telkomsel', 'pelayananan', 'dana', 'dipakai', 'milik', 'negara', '']</t>
  </si>
  <si>
    <t>['membingungkan', 'berlangganan', 'paket', 'darurat', 'menerima', 'paket', 'darurat', 'bayar', 'berlangganan', 'maxtream', 'berlangganan', 'berhenti', 'berlangganan', 'telpon', 'mesin', 'bermenit', 'menit']</t>
  </si>
  <si>
    <t>['jelek', 'banget', 'jaringan', 'telkomsel', 'isi', 'paket', 'internet', 'unlimited', 'gb', 'jaringannya', 'jelek', 'banget', 'gimana', 'telkomsel', 'recommended', 'banget', '']</t>
  </si>
  <si>
    <t>['beli', 'paket', 'giga', 'kuota', 'nasional', 'giga', 'sisanya', 'giga', 'medsos', 'lemot', 'harga', 'segitu', 'bebas', 'sebulan', 'penipuan', 'mah']</t>
  </si>
  <si>
    <t>['kesini', 'mahal', 'sumpah', 'kuota', 'unlimited', 'chat', 'bener', 'bener', 'unlimited', 'unlimited', 'batasi', 'gb', 'unlimited', 'kuota', 'dimana', 'unlimited', 'hitungan', 'batasi', 'saran', 'membaca', 'mending', 'ganti', 'kartu', 'kesini', 'nyaman', 'terimakasih', '']</t>
  </si>
  <si>
    <t>['provider', 'terburuk', 'indonesia', 'telkomsel', 'jaringan', 'luas', 'lelet', 'parah', 'asli', 'perbaiki', 'kualitas', 'jatohin', 'harga', 'paket', 'internet', 'sebanding', 'harga', 'murah', 'kualitas', 'murahan', 'sekian', 'terimagaji', '']</t>
  </si>
  <si>
    <t>['pemakai', 'setia', 'telkomsel', 'sktr', 'minnmggu', 'llu', 'membeli', 'kuota', 'telkomsel', 'seharga', 'aktif', 'bln', 'bagus', 'pmbelian', 'skema', 'berubah', 'sinyalnya', 'jelek', 'minggu', 'tolong', 'kpada', 'telkomsel', 'diperhatikan', 'paket', 'internet', 'yng', 'jual', 'kpasda', 'masyarakat', 'mahal', 'dibanding', 'operator', 'ttpi', 'sinyalnya', 'jelek', 'aktif', 'paket', 'terbuang', 'percumah', 'sungguh', 'mengecewakan', 'call', 'dipersulit', 'nyambung', '']</t>
  </si>
  <si>
    <t>['maaf', 'puasa', 'pelayanan', 'paketan', 'mahal', 'mahal', 'sesuai', 'kadang', 'lemot', 'kadang', 'sinyal', 'ilang', 'tolong', 'sesuaikan', 'lemot', 'gini', 'mending', 'kartu', 'terjalau', 'murah', 'mahal', 'lemot', 'tolong', 'perbaiki', 'terimakasih', '']</t>
  </si>
  <si>
    <t>['makan', 'nasi', 'goreng', 'jokowi', 'troli', 'mengendarai', 'matahari', 'parit', 'makan', 'ular', 'nenek', 'kiko', 'enak', 'jam', 'makan', 'tidur', 'nyenyak', 'pembagian', 'buku', 'latihan', 'sunat', 'perempuan', 'menerus', 'berhenti', 'merokok']</t>
  </si>
  <si>
    <t>['mohon', 'sinyal', 'stabilkan', 'bermain', 'game', 'bermain', 'sosial', 'media', 'dipertengahan', 'percakapan', 'sinyal', 'menghilang', 'gagal', 'mengirim', 'bit', 'second', 'kota', 'semarang', 'timur', 'diluar', 'ruang', 'sinyal', 'kadang', 'hilang', 'harap', 'menambah', 'tower', 'pemancar', 'sinyal', 'pinggir', 'kota', 'padat', 'kota', 'pinggirnya', 'kena', 'pinggir', 'kena', 'pastinya', 'padat', 'kota', 'kena', 'arah', 'thanks']</t>
  </si>
  <si>
    <t>['maaf', 'admin', 'jaringan', 'telkomsel', 'bersahabat', 'lelet', 'banget', 'mendingan', 'tolong', 'jaringannya', 'tingkatkan', 'masak', 'ngelak', 'trimakasih', 'kakak', 'kakak', 'admin', '']</t>
  </si>
  <si>
    <t>['telkomsel', 'jelek', 'jaringan', 'kalah', 'indosat', 'there', 'kembalikn', 'temkosel', 'jaringan', 'stabil', 'harga', 'mahal', 'puas', 'harga', 'mahal', 'jaringan', 'lowot', '']</t>
  </si>
  <si>
    <t>['kecewa', 'beli', 'buka', 'tiktok', 'dll', 'pulsa', 'habis', 'seratus', 'ribu', 'jaringan', 'bagus', 'tolong', 'perbaiki', 'telkomsel', 'tolong', 'perbaiki', 'jaringan', 'bagus', 'orang', 'kesel']</t>
  </si>
  <si>
    <t>['tolong', 'paket', 'internet', 'kuota', 'utama', 'habis', 'kecepatan', 'trlalu', 'low', 'speed', 'krna', 'bohong', 'sya', 'berlangganan', 'paketan', 'xtra', 'combo', 'kuota', 'utama', 'hnya', 'gb', 'kuota', 'utama', 'habis', 'sisa', 'kuota', 'sosmed', 'browsing', 'nonton', 'streaming', 'disney', 'sya', 'hnya', 'berlangganan', 'doank', 'tolong', 'donk', 'telkomsel', 'worth', 'terimakasih']</t>
  </si>
  <si>
    <t>['jaringan', 'telkomsel', 'parah', 'beli', 'paket', 'mahal', 'jaringan', 'mintak', 'ampun', 'lemot', 'solusi', 'telkomsel', 'sebagus', 'dlu']</t>
  </si>
  <si>
    <t>['mohon', 'maaf', 'terpaksa', 'kasih', 'bintang', 'jaringan', 'internetmu', 'diperbaiki', 'beralih', 'provider', 'harga', 'murah', 'kualitas', 'jaringan', 'darimu', 'bosan', 'komplain', 'udah', 'coba', 'setting', 'jaringan', 'manual', 'coba', 'ganti', 'provider', 'jaringan', 'internetmu', 'udah', 'perbaiki', 'see', 'you', '']</t>
  </si>
  <si>
    <t>['mahal', 'jaringan', 'stabil', 'main', 'pas', 'main', 'rank', 'emosi', 'ping', 'hijau', 'kuning', 'merah', 'gue', 'lose', 'mulu', 'banyakin', 'hadiah', 'mobil', 'kagak', 'dapet', 'woey', 'benerin', 'jaringan', 'lelet', 'pas', 'malam', 'minggu', 'gue', 'cuman', 'mabar', 'cuk', 'kagak', 'malmingan', 'paham', 'anying', 'harga', 'mahal', 'kualitas', 'ngab', '']</t>
  </si>
  <si>
    <t>['kasih', 'bintang', 'jariingan', 'internet', 'telkomsel', 'jam', 'reset', 'jam', 'jam', 'lelet', 'download', 'pubg', 'play', 'store', 'jam', 'selesai', 'plis', 'telkomsel', 'perbaiki', 'jaringan', 'kehilangan', 'pelanggan', 'tolong', 'perbaiki', '']</t>
  </si>
  <si>
    <t>['mengecewakan', 'gimana', 'emangnya', 'telkomsel', 'pekerja', 'memperbaiki', 'jaringan', 'telkom', 'beda', 'kecewa']</t>
  </si>
  <si>
    <t>['sumpah', 'beli', 'paket', 'sms', 'susah', 'ampun', 'app', 'layanan', 'tsel', 'langsung', 'maaf', 'system', 'sibuk', 'gtu', 'coba', 'pakai', 'tsel', 'gtu']</t>
  </si>
  <si>
    <t>['salam', 'aceh', 'tenggara', 'mohon', 'jaringan', 'telkomsel', 'perbaiki', 'karna', 'sesuai', 'biaya', 'konsumen', 'rugi', 'mohon', 'pertimbangkan', 'rugikan', 'konsumen', 'merasakan', '']</t>
  </si>
  <si>
    <t>['halo', 'pengguna', 'telkomsel', 'kecewa', 'fitur', 'paket', 'gb', 'ribu', 'fitur', 'hilang', 'diakses', 'mohon', 'kak', 'kembalinya', 'fitur', 'paket', 'ubah', 'rating', 'kmbali']</t>
  </si>
  <si>
    <t>['transaksi', 'berhasil', 'penawaran', 'promo', 'sistem', 'mohon', 'perhatikan', 'pelayanan', 'harap', 'prioritas', 'kepuasan', 'customer', '']</t>
  </si>
  <si>
    <t>['lemot', 'ngerti', 'ngomong', 'telkomsel', 'lampung', 'tanggamus', 'jaringan', 'ilang', 'kaya', 'tagih', 'utang', 'beli', 'kuota', 'utang', 'jaringan', 'buruk', 'parah', 'ilang', 'mnt', 'berulang', 'ganti', 'oprator', 'tenang', 'nerima', 'bacotan', 'menghargai', 'balasan', 'telkomsel', 'lamsel', 'jaringan', 'super', 'buruk', 'wilayah']</t>
  </si>
  <si>
    <t>['maaf', 'nanya', 'telkomsel', 'trus', 'diemin', 'sinyal', 'mulu', 'nge', 'meet', 'trus', 'enak', 'enak', 'ngegame', 'enak', 'tolong', 'donk', 'sinyal', 'telkom', 'dibenerin', '']</t>
  </si>
  <si>
    <t>['paketnya', 'mahal', 'mahal', 'pengguna', 'kartu', 'simpati', 'setia', 'mikir', 'mikir', 'beli', 'paket', 'paketnya', 'mahal', 'paketnya', 'kaya', 'kartu', 'kartu', 'murah', 'murah', 'love', 'simpati']</t>
  </si>
  <si>
    <t>['halah', 'update', 'jaringan', 'buruk', 'jelek', 'beli', 'kuota', 'mahal', 'tapu', 'ujung', 'ujungnya', 'ngelag', 'kayak', 'gini', 'perkembangan', 'mohon', 'perbaiki', 'jaringan', 'okey', 'makasih']</t>
  </si>
  <si>
    <t>['mahal', 'paketnya', 'kualitas', 'jaringan', 'makassar', 'maros', 'kalimat', 'cocok', 'gambarkan', 'kekesalan', 'telkomsel', 'woi', 'perbaiki', 'jaringanta', 'bos', 'harga', 'kasih', 'mahal', 'adakah', 'pilihan', 'bintang', '']</t>
  </si>
  <si>
    <t>['aplikasi', 'iklan', 'rb', 'combo', 'sakti', 'gb', 'cek', 'rb', 'hahaha', 'pengguna', 'telkomel', 'eneg', 'beli', 'kuota', 'whtsapp', 'telponan', 'vcan', 'skrg', 'cuman', 'chtan', 'doang', 'kuota', 'ketengan', 'chat', 'whatsapp', 'ralat', 'telkomsel', 'kuota', 'ketengan', 'whatapp', 'doang', 'salah', 'arti', 'paket', 'nyaman', 'mahal', 'bonus', 'pelngan', 'lma', 'service', 'nyaman', 'dri', 'dlu']</t>
  </si>
  <si>
    <t>['', 'bpk', 'pimpinan', 'telkomsel', 'nmor', 'pesan', 'penipuan', 'pemenang', 'undian', 'pinjol', 'tlong', 'telusuri', 'pelaku', 'penjual', 'nmor', 'org', 'jga', 'diamkan', 'nambah', 'korban', 'org', 'tua', 'ketipu', 'pesan', 'tsb', 'harap', 'telusuri', 'penjual', 'nomor', 'sms', 'cari', 'pakai', 'lokasi', 'tertangkap', 'nmornya', 'telusuri', 'abaikan', 'merugikan', 'orang']</t>
  </si>
  <si>
    <t>['telkomsel', 'komplain', 'perbaiki', 'balas', 'komentar', 'maaf', 'konsumen', 'rugikan', 'garis', 'bawahi', 'rugikan', 'balasan', 'komentar', 'maaf', 'berusaha', 'tpi', 'perubahan', 'perbaiki', 'daerah', 'daerah', 'kota', 'daerah', 'kota', 'tugas', 'daerah', 'butuh', 'komunikasi', 'hiburan', 'menyedot', 'data', 'tpi', 'terhibur', 'kesal', 'maaf']</t>
  </si>
  <si>
    <t>['telkomsel', 'tolong', 'telkomsel', 'ngeluh', 'jaringan', 'jelek', 'merasakan', 'telkomsel', 'gimana', 'iklan', 'liat', 'telkomsel', 'jaringan', 'bagus', 'pdhal', 'sebagus', 'pesan', 'udah', 'dlm', 'knp', 'ngeleg', 'benci', 'telkomsel', 'ngeleg', 'semoga', 'membaca']</t>
  </si>
  <si>
    <t>['bermanfaat', 'berguna', '']</t>
  </si>
  <si>
    <t>['parah', 'sinyal', 'speed', 'perfoma', 'jaringan', 'telkomsel', 'mantap', 'payah', 'banget', 'buka', 'google', 'mesti', 'nunggu', 'menit', 'buka', 'download', 'bitrate', 'nyampe', 'kb', 'mentok', 'kb', 'buka', 'youtube', 'buffering', 'mulu', 'buka', 'loading', 'gambar', 'tampil', 'buka', 'lumayan', 'kalah', 'cepet', 'ama', 'jera', 'kapok', 'deh', 'kaya', 'gini']</t>
  </si>
  <si>
    <t>['telkomsel', 'daerah', 'kemarin', 'jaringannya', 'bagus', 'alhamdulillah', 'menyarankan', 'telkomsel', 'kunci', 'lock', 'pulsa', 'pulsa', 'kepake', 'paket', 'data', '']</t>
  </si>
  <si>
    <t>['telkomsel', 'payah', 'jaringan', 'jelek', 'banget', 'labil', 'stabil', 'main', 'game', 'online', 'kecewa', 'banget', 'udah', 'berdiri', 'kemajuan', 'perkembangan', 'bermasalah', 'perihal', 'pelayanan', 'jaringan', 'internet', '']</t>
  </si>
  <si>
    <t>['telkomsel', 'jaringan', 'semerawut', 'daerah', 'harga', 'paket', 'data', 'mahal', 'kualitas', 'jaringan', 'sebanding', 'mahal', 'jaringan', 'serasa', 'edge', 'tolong', 'secepatnya', 'perbaiki', '']</t>
  </si>
  <si>
    <t>['udah', 'cashback', 'poin', 'shopeepay', 'masuk', 'nominal', 'emang', 'ngerasa', 'dibohongin', 'iming', 'iming', 'promo', 'shopee', 'telkomsel', 'intinya', 'kecewa', 'ngerasa', 'dibohongi']</t>
  </si>
  <si>
    <t>['lemot', 'parah', 'parah', 'parah', 'sinyal', 'penuh', 'jaringan', 'buka', 'youtub', 'lemotnya', 'ampun', 'apalgi', 'maen', 'game', 'tolong', 'perbaiki']</t>
  </si>
  <si>
    <t>['kemaren', 'beli', 'paket', 'unlimited', 'gb', 'seharga', 'apk', 'pulsa', 'dipotong', 'giliran', 'cek', 'paket', 'pulsa', 'nol', 'gimana', 'ganti', 'benerin', '']</t>
  </si>
  <si>
    <t>['gue', 'ksih', 'bintang', 'msih', 'berharap', 'ulasan', 'jelek', 'sbelumnya', 'kirim', 'perbaiki', 'update', 'berharap', 'hasil', 'parah', 'jujur', 'apk', 'telkomsel', 'buruk', 'memudahkan', 'dlm', 'pembelian', 'paket', 'fitur', 'membantu', 'dibuka', 'aplikasinya', 'data', 'tembus', 'fitur', 'tukar', 'point', 'berfungsi', 'beli', 'paket', 'data', 'gagal', 'mulu', 'kecewa']</t>
  </si>
  <si>
    <t>['bagus', 'mantap', 'telkomsel', 'bagus', 'sinyal', 'maslah', 'transaksi', 'mudah', 'link', 'harga', 'bonus', 'hemat', 'konter', '']</t>
  </si>
  <si>
    <t>['paket', 'dibilang', 'paket', 'data', 'habis', 'main', 'cut', 'koneksi', 'sehari', 'kali', 'kyk', 'gini', 'bener', 'perbaiki', 'koneksimu', 'kenceng', 'kencengnya', 'cuman', 'doang', 'cupu', 'kasih', 'peringatan', 'gitu', 'kyknya', 'kuuninstall', 'ajalah', 'apknya', 'manual', '']</t>
  </si>
  <si>
    <t>['sinyal', 'telkomsel', 'mati', 'kali', 'sehari', 'pagi', 'siang', 'jam', 'produktif', 'sore', 'mati', 'pagi', 'posisi', 'muko', 'muko', 'kecamatan', 'tanjung', 'raya', 'kabupaten', 'agam', 'sumatera', 'barat', 'januari', 'pelanggan', 'telkomsel', 'berpindah', 'tolong', 'respon', 'berkali', 'laporkan', 'respon', 'klu', 'pelanggan', 'berpindah', 'tolong', 'perbaiki']</t>
  </si>
  <si>
    <t>['telkomsel', 'penipu', 'msh', 'sisa', 'pulsa', 'rb', 'knp', 'skrg', 'tggl', 'rupiah', 'pdhal', 'aktivasi', 'data', 'internet', 'menelpon', 'tlp', 'penipuan', 'dri', 'telkontolmsel']</t>
  </si>
  <si>
    <t>['provider', 'bagus', 'jahat', 'suka', 'nyedot', 'pulsa', 'klaim', 'hadiah', 'daily', 'check', 'dipakai', 'sblm', 'pulsa', 'kesedot', 'habis', 'payah', 'dirubah', 'paketan', 'habis', 'nyedot', 'pulsa', 'utama', 'merugikan']</t>
  </si>
  <si>
    <t>['harga', 'paketnya', 'mahal', 'aplikasi', 'mytelkomsel', 'promo', 'paket', 'harganya', 'ribu', 'tolong', 'bro', 'kasih', 'promo', 'random', 'bot', 'aplikasi', 'telegram', 'ujung', 'ujungnya', '']</t>
  </si>
  <si>
    <t>['telkosmel', 'kesini', 'sinyalnya', 'pdahal', 'dikota', 'hlo', 'tpi', 'sinya', 'down', 'game', 'pingnya', 'merah', 'plis', 'diperbaiki', 'area', 'karanganyar', 'jgan', 'kaya', 'gini', 'trus', '']</t>
  </si>
  <si>
    <t>['bangga', 'kekuatan', 'jaringan', 'telkomsel', 'diplosok', 'desa', 'mengakses', 'internet', 'jaringan', 'terbaik', 'telkomsel', 'mudah', 'tugas', 'sekolah', 'terselesaikan', 'informasi', 'mudah', 'google', 'pertanian', 'terimaksih', 'telkomsel', '']</t>
  </si>
  <si>
    <t>['nanya', 'eror', 'gimana', 'berlangganan', 'disney', 'hotstar', 'pas', 'dipencet', 'beli', 'gagal', 'kesalahan', 'berlangganan', 'aktifnya', 'habis']</t>
  </si>
  <si>
    <t>['jaringan', 'buruk', 'telkomsel', 'telkomsel', 'kesini', 'menurun', 'kualitas', 'jaringan', 'bad', 'sinyal', 'penilaian', 'buruk', 'bintang', 'pastikan', 'pilih', '']</t>
  </si>
  <si>
    <t>['asik', 'main', 'signal', 'jelek', 'sosmed', 'game', 'dll', 'pas', 'transaksi', 'beli', 'paket', 'tulisannya', 'server', 'sibuk', 'tolong', 'harga', 'paket', 'mahal', 'jaringannya', 'tetep', 'lemot', 'maaf', 'telkomsel', 'tolong', 'diperbaiki']</t>
  </si>
  <si>
    <t>['', 'kasih', 'bintang', 'sinyal', 'telkomsel', 'jdi', 'buruk', 'banget', 'sekarng', 'parah', 'tolong', 'perbaiki', 'bagusan', 'indosat', 'sekarng', 'mah', 'bagusan', 'telkomsel', 'sekarng', 'mah', 'buruk', 'banget', 'jaringn', 'parah']</t>
  </si>
  <si>
    <t>['isi', 'pulsa', 'ribu', 'ngga', 'masuk', 'suruh', 'nunggu', 'hello', 'kayak', 'pemakai', 'operator', 'udah', 'nyoba', 'pindah', 'axis', 'puas', 'pelayanan', 'ngga', 'buruk', 'ping', 'pong', 'operatornya', 'terkesan', 'ngga', 'niat', 'kasih', 'solusi', 'suruh', 'nunggu', 'salah', 'pulsa', 'ngga', 'masuk', 'udah', 'payah', 'deh', 'suruh', 'suami', 'anak', 'ngga', 'telkomsel', 'payaaaahh']</t>
  </si>
  <si>
    <t>['mohon', 'bantuannya', 'isi', 'ulang', 'pulsa', 'pulsa', 'habis', 'muncul', 'sms', 'aktifasi', 'paket', 'cek', 'kuota', 'kuota', 'masuk', 'tolong', 'diatasi', '']</t>
  </si>
  <si>
    <t>['sinyal', 'telkomsel', 'daerah', 'majalengka', 'selatan', 'lemah', 'setahun', 'kebelakang', 'sinyal', 'lumayan', 'bln', 'mei', 'smpe', 'skrng', 'sgt', 'lemh', 'sinyal', 'bbrp', 'kali', 'telp', 'sia', 'perbaikan', 'telkomsel', 'hrs', 'niru', 'smarfren', 'desa', 'tetangga', 'sinyal', 'smarfren', 'sgt', 'bagus', 'dibangun', 'mini', 'bts', 'yth', 'direksi', 'telkomsel', 'perbaiki', 'kualitas', 'jaringan', 'terkomsel', 'perkotaan', 'bangun', 'mini', 'bts', 'desa', 'perbaikan', 'konsumen', 'telkomsel', 'pindah', 'operator', '']</t>
  </si>
  <si>
    <t>['pulogadung', 'jakarta', 'timur', 'pinggiran', 'kota', 'jakarta', 'jaman', 'udah', 'merambat', 'boro', 'dapet', 'hadeuuhhh', 'provider', 'kynya', '']</t>
  </si>
  <si>
    <t>['emang', 'busuk', 'buruk', 'jaringan', 'internet', 'lte', 'simpati', 'main', 'game', 'online', 'siang', 'lag', 'parah', 'lemot', 'kuota', 'sengaja', 'lemot', 'buruk', 'jaringan', 'internet', 'takut', 'rugi', 'telkomsel', 'ngasih', 'kuota', 'semoga', 'simpati', 'tinggalkan', 'pelanggannya', 'bangkrut', 'kau', 'simpati', 'jaringan', 'internet', 'terburuk', 'terbusuk', 'nomor', 'indonesia', 'bangke', 'kau', 'simpati', '']</t>
  </si>
  <si>
    <t>['kak', 'gimana', 'beli', 'pulsa', 'paket', 'internet', 'beli', 'ekstra', 'unlimited', 'pas', 'beli', 'pulsa', 'daftar', 'paket', 'ehh', 'udah', 'mohon', 'bantuan', 'kak']</t>
  </si>
  <si>
    <t>['kartu', 'simpati', 'kartu', 'paket', 'combo', 'sakti', 'internet', 'max', 'gimana', 'membeli', 'paket', 'combo', 'sakti', 'download', 'aplikasi', 'telkomsel', 'dikaru', 'paket', 'combo', 'sakti']</t>
  </si>
  <si>
    <t>['tolong', 'kembalikan', 'aktif', 'kartu', 'pakai', 'kartu', 'kartu', 'aktif', 'dipakai', '']</t>
  </si>
  <si>
    <t>['perbaiki', 'sinyal', 'enak', 'main', 'game', 'buru', 'buru', 'lelet', 'kayak', 'siput', 'upgrade', 'pro', 'kecewa', 'telkomsel', 'telkomsel', 'berambisi', 'kuota', 'mahal', 'jaringan', 'lelet', 'kek', 'siput', 'dikecewakan', 'telkomsel', 'udah', 'bertahun', 'kartu', 'harga', 'mahal', 'kualitas', 'sampah', '']</t>
  </si>
  <si>
    <t>['mengecewakan', 'isi', 'pulsa', 'beli', 'paket', 'ceria', 'telkomsel', 'beli', 'pulsa', 'mengurang', 'pulsa', 'tolong', 'perbarui', 'axis', 'pulsa', 'dikunci', 'mengurang', 'tolong', '']</t>
  </si>
  <si>
    <t>['telkomsel', 'yth', 'tolooong', 'jaringan', 'perbaiki', 'daerah', 'jaringan', 'internet', 'sperti', 'hutan', 'daerah', 'serang', 'banten', 'pas', 'perumahan', 'senopati', 'keragilan', 'sya', 'pelanggan', 'telkomsel', 'smenjak', 'sya', 'pindah', 'rumah', 'jaringan', 'internet', 'susah', 'buka', 'aplikasi', 'sperti', 'youtube', 'kebuka', 'ngegame', 'online', 'tmbah', 'parah', 'tolong', 'perbaiki', 'telkomsel', 'smentara', 'sya', 'pke', 'lancar', 'jaya', 'pindah', 'prmanen', '']</t>
  </si>
  <si>
    <t>['adil', 'terkadang', 'membeli', 'paket', 'promonya', 'hilang', 'membeli', 'paket', 'muncul', 'promo', '']</t>
  </si>
  <si>
    <t>['ngasi', 'harga', 'ngotak', 'bang', 'kak', 'harganya', 'ratusan', 'ribu', 'orang', 'dewasa', 'mikir', 'beli', 'paketnya', 'anak', 'kerja', 'senang', 'paket', 'internet', 'gb', 'habis', 'tersisa', 'paket', 'mahal', 'mohon', 'paket', 'paket', 'promk', 'harga', 'paketnya', 'dikurangi', '']</t>
  </si>
  <si>
    <t>['aplikasi', 'gimana', 'pembaruan', 'bukanya', 'joss', 'soyo', 'loyo', 'kalah', 'irex', 'vitamale', 'memuaskan', 'pelanggan', 'lemot', 'wess', 'jand', 'payah', 'jaman', 'maju', 'kusut', 'perupdate', 'ditambahin', 'dimananya', 'trus', 'diperbaiki', 'kek', 'gini', '']</t>
  </si>
  <si>
    <t>['aplikasi', 'penipuan', 'paket', 'enteprise', 'isi', 'paketnya', 'tertera', 'internet', 'unlimited', 'dibeli', 'paket', 'nelpon', 'operator', 'sampe', 'deskripsinya', 'ditulis', 'notifikasi', 'sms', 'masuk', 'ditulis', 'dasar', 'aplikasi', 'penipuan']</t>
  </si>
  <si>
    <t>['halo', 'telkomsel', 'pelayanan', 'aplikasi', 'bagus', 'jangkauan', 'luas', 'sayang', 'produknya', 'mahal', 'pelanggannya', 'kebanyakan', 'pelosok', 'ekonominya', 'minim', 'kartu', 'orang', 'kaya', 'digelar']</t>
  </si>
  <si>
    <t>['parah', 'banget', 'telkomsel', 'beli', 'paket', 'harian', 'tertulis', 'rb', 'pas', 'diklik', 'harganya', 'rb', 'bener', 'menu', 'harian', 'parahhhh', '']</t>
  </si>
  <si>
    <t>['ntaps', 'daily', 'check', 'saldo', 'pulsa', 'kaya', 'kemaren', 'kemaren', 'banyakin', 'promo', 'paket', 'murah', 'murah', 'bagus', 'ehe']</t>
  </si>
  <si>
    <t>['paket', 'gabisa', 'buka', 'zoom', 'udah', 'sampe', 'beli', 'kuota', 'belajar', 'gabisa', 'buka', 'zoom', 'parah', 'kali', 'jaringan', 'telkomsel', 'sumpah', '']</t>
  </si>
  <si>
    <t>['jelek', 'penguna', 'setia', 'telkomsel', 'puluhan', 'tpi', 'promo', 'paket', 'data', 'paket', 'data', 'mahal', 'nyesel']</t>
  </si>
  <si>
    <t>['tolong', 'perbaiki', 'sinyal', 'penggunaan', 'telkomsel', 'berkomentar', 'maaf', 'kasih', 'bintang', 'stabil', 'kasih', 'rating', 'bagus', '']</t>
  </si>
  <si>
    <t>['', 'telkomsel', 'human', 'operator', 'sulit', 'dihubungi', 'bayar', 'jaringan', 'telkomsel', 'stabil', 'sore', 'malam', 'sabtu', 'minggu', 'speed', 'kbps', 'daerah', 'tajur', 'halang', 'kab', 'bogor', 'telkomsel', 'menghilangkan', 'paket', 'murmer', 'gb', 'menit', 'nelp', 'sms', 'facebook', 'twitter', 'telkomsel', 'sediakan', 'akses', 'telp', 'gratis', 'langsung', 'human', 'operator', 'masuk', 'mesin', 'penjawab', '']</t>
  </si>
  <si>
    <t>['halo', 'gaes', 'abis', 'donwload', 'install', 'update', 'lupa', 'tutup', 'aplikasi', 'mytsel', 'ndak', 'update', 'aplikasi', 'dibuka', 'update', 'gitu', 'gajelas', '']</t>
  </si>
  <si>
    <t>['ikutan', 'rating', 'bintang', 'alami', 'pengguna', 'halnya', 'alami', 'kuota', 'mahal', 'jaringan', 'lelet', 'paket', 'internet', 'naiklah', 'woy', 'serius', 'pandemi', 'covid', 'kek', 'gini', 'emangnya', 'gampang', 'nyari', 'duit', 'kagak', 'mikir', 'woy', 'pikiran', 'pakek', 'kasihan', 'keluarganya', 'fuu', '']</t>
  </si>
  <si>
    <t>['developer', 'kpda', 'telkomsel', 'terhormat', 'tolong', 'paket', 'gampang', 'habis', 'cepet', 'banget', 'habis', 'boros', 'make', 'paketnya', 'uang', 'beli', 'paket', '']</t>
  </si>
  <si>
    <t>['telkomsel', 'suka', 'mengambil', 'pulsa', 'paket', 'data', 'habis', 'paket', 'habis', 'menyedot', 'pulsa', 'merugikan', 'rakyat', 'indonesia', '']</t>
  </si>
  <si>
    <t>['aplikasi', 'berat', 'tsel', 'ngirim', 'whatsapp', 'instagram', 'facebook', 'menit', 'bsa', 'ngirim', '']</t>
  </si>
  <si>
    <t>['aplikasinya', 'melabeli', 'paket', 'ceria', 'kode', 'umb', 'promo', 'ceria', 'label', 'kuota', 'paket', 'weekend', 'event', 'dapatkan', 'pecahan', 'internet', 'internet', 'gb', 'jujur', 'kecewa', 'paket', 'kuota', 'tertarik', 'urung', 'membelinya', 'penipuan', 'label', 'kuota', 'ceria', 'jujur', 'sayang', 'three', '']</t>
  </si>
  <si>
    <t>['payaaah', 'telkomsel', 'menangnya', 'migrasi', 'halo', 'prabayar', 'nggak', 'hrs', 'ganti', 'kartu', 'nomer']</t>
  </si>
  <si>
    <t>['update', 'aplikasi', 'lemot', 'login', 'stuck', 'logo', 'aplikasi', 'nunggu', 'sinyal', 'full', 'wifi', 'aplikasi']</t>
  </si>
  <si>
    <t>['pengalaman', 'terindah', 'telkomsel', 'membantu', 'memudahkan', 'dlm', 'berkomunikasi', 'fitur', 'lengkap', 'signal', 'kuat', 'terima', 'kasih', 'telkomsel', 'sukses', '']</t>
  </si>
  <si>
    <t>['parah', 'jaringan', 'telkomsel', 'asli', 'main', 'gamen', 'ngelag', 'parah', 'gajelas', 'pingnya', 'gatetap', 'mati', 'lampu', 'gila', 'ilang', 'jaringannya', 'dikota', 'tolong', 'dibenerin', 'jaringannya', 'enak', 'berlangganan', 'telkomsel', '']</t>
  </si>
  <si>
    <t>['kesini', 'telkomsel', 'sinyalnya', 'lemot', 'trus', 'beli', 'paket', 'habis', 'aktifnya', 'udah', 'mahal', 'aktif', 'berkurang', 'gimana', 'tolong', 'perbaiki', 'mahal', 'kuota', 'worthit', 'dikitlah', 'aktif', 'pas', 'sebulan', 'jaringan', 'lancar', 'udah', 'mahal', 'kesini', 'gajelas', '']</t>
  </si>
  <si>
    <t>['klaim', 'voucher', 'daily', 'check', 'berhasil', 'gagal', 'berhasil', 'pas', 'dipake', 'menyedot', 'kuota', 'utama', 'menyebalkan', 'kayak', 'niat', 'ngasih', 'hadiah', '']</t>
  </si>
  <si>
    <t>['sinyal', 'hilang', 'pulsa', 'raib', 'telkomsel', 'ngga', 'berani', 'aplikasi', 'lock', 'pulsa', 'plz', 'lihat', 'apl', 'axis', 'kunci', 'pulsa', 'sesuai', 'ngga', 'nyuri', 'dosa']</t>
  </si>
  <si>
    <t>['paket', 'kau', 'urus', 'jaringan', 'kau', 'benahi', 'beli', 'paket', 'mahal', 'mahal', 'jaringan', 'beda', 'provider', 'rendahan', 'full', 'koneksi', 'payah', 'banget', 'kau', 'telkomsel', 'nyesel', 'gue', 'pilih', 'provider', 'telkomsel', '']</t>
  </si>
  <si>
    <t>['uda', 'tukar', 'poin', 'ntuk', 'paket', 'gb', 'pulsa', 'aplikasi', 'cari', 'uang', 'gunanya', 'poin', 'mending', 'langsung', 'beli', 'pulsa', 'usa', 'tkar', 'poin', 'beli', 'pulsa', 'poin', 'berkurang', 'poin', 'habis', 'paket', 'pulsa']</t>
  </si>
  <si>
    <t>['paketan', 'mahal', 'jaringan', 'pelayanan', 'buruk', 'dibanggakan', 'rame', 'rame', 'kasih', 'bintang', 'becus', '']</t>
  </si>
  <si>
    <t>['kecewa', 'karna', 'temukannya', 'menu', 'berhenti', 'penggunaan', 'paket', 'gamesmaxx', 'kesulitan', 'menghentikan', 'penggunaan', 'paket', 'gamesmaxx', 'maaf', 'menghargai', 'pembuat', 'aplikasi']</t>
  </si>
  <si>
    <t>['paket', 'combo', 'sakti', 'diganti', 'imternet', 'sakti', 'kuota', 'nonton', 'disney', 'hotstar', 'dll', 'konyol', '']</t>
  </si>
  <si>
    <t>['sinyal', 'parah', 'banget', 'mulu', 'uda', 'coba', 'email', 'kirain', 'mah', 'ngebantu', 'asli', 'kesel', 'banget', 'sinyal', 'berubah', 'mulu', 'stabil', 'bobrok', '']</t>
  </si>
  <si>
    <t>['mengajukan', 'permohonan', 'pengembalian', 'pulsa', 'hilang', 'telegram', 'menunggu', 'seminggu', 'balasan', 'kecewa', 'tolong', 'telkomsel', 'periksa', 'terimakasih']</t>
  </si>
  <si>
    <t>['tolong', 'telkomsel', 'fitur', 'lock', 'pulsa', 'telkomsel', 'kuotanya', 'habis', 'memotong', 'pulsa', 'pulsa', 'terpotong', 'kuota', 'habis', 'pemberitahuan', 'rugi']</t>
  </si>
  <si>
    <t>['aplikasinya', 'untuj', 'membeli', 'paket', 'perangkat', 'membeli', 'paket', 'app', 'langsun', 'sya', 'error', 'menunggu', 'selesai', 'sya', 'hrs', 'menunggu', 'smpai', 'kdang', 'mnt', 'membeli', 'paket', 'kehendaki', 'knp', 'slalu', 'bgtu', 'smntra', 'ktika', 'sya', 'membuka', 'app', 'mslah', 'ayolah', 'perusahaan', 'app', 'bgini', 'sya', 'coba', 'untk', 'uninstal', 'mslah', 'ttp', '']</t>
  </si>
  <si>
    <t>['tolong', 'paket', 'sehari', 'habis', 'beli', 'jam', 'yakali', 'abis', 'jam', 'itungan', 'sehari', 'kagak', 'sehari', 'jam', 'menit', 'ajg', 'buang', 'pulsa', 'doang', 'beli', 'pulsa', 'kagak', 'duit', '']</t>
  </si>
  <si>
    <t>['telkom', 'anjjjjjjjjjjjjjjjjjiiiiiiiiiiiiiiiinnnnnnnngggggggggggggggg', 'kkoooooooooooooooooooooonnnnnnnnnnnnttttttttttttooooooolllllllll', 'sinyal', 'ilang', 'makan', 'gaji', 'buta', 'gua', 'sumpahin', 'meledak', 'kuburm', 'ubek']</t>
  </si>
  <si>
    <t>['jaringan', 'telkomsel', 'nge', 'game', 'ping', 'turun', 'kayak', 'gini', 'jaringan', 'full', 'serius', 'ngegame', 'kesel', 'telkomsel', '']</t>
  </si>
  <si>
    <t>['tolong', 'tingkatkan', 'kualitas', 'jaringan', 'desa', 'tirto', 'raharjo', 'banyuasin', 'sumatera', 'selatan', 'sinyal', 'desa', 'lemah', 'terimakasih', '']</t>
  </si>
  <si>
    <t>['saran', 'tolong', 'diperbaiki', 'sinyal', 'jaringannya', 'player', 'game', 'online', 'puas', 'kondisi', 'pengguna', 'telkomsel', 'daerah', 'puas', 'sinyal', 'nge', 'lag', 'permainan', 'tolong', 'tanggapi', 'ulasan', 'trimakasih', 'telkomsel']</t>
  </si>
  <si>
    <t>['promo', 'tpi', 'alasan', 'offline', 'coba', 'pdhl', 'pke', 'wifi', 'nnton', 'yutub', '']</t>
  </si>
  <si>
    <t>['merugikan', 'pelanggan', 'setia', 'ganti', 'sinyal', 'pulsa', 'langsung', 'habis', 'kuota', 'jaringan', 'perbaiki', 'jaringannya', 'jelek', 'pulsa', 'pelanggan', 'habis', 'pulsa', 'rb', 'habis', 'dikarnakan', 'jaringan', 'error', 'dri', '']</t>
  </si>
  <si>
    <t>['', 'recommended', 'uang', 'dikit', 'pingin', 'beli', 'kuota', 'bonus', 'tinggal', 'desa', 'tinggal', 'daerah', 'kota', 'pinggiran', 'kota', 'udh', 'kecepatan', 'sinyal', 'daerah', 'mb', 'gilak', 'untung', 'bagus', 'hhhh', 'dlu', 'sampe', 'perubahan', '']</t>
  </si>
  <si>
    <t>['jaringan', 'ulasan', 'bintang', 'jaringan', 'stabil', 'balasan', 'kali', 'email', 'bertahun', 'pakai', 'telkomsel', 'koneksi', 'internet', 'stabil', 'perbaiki', 'jaringan', '']</t>
  </si>
  <si>
    <t>['', 'beli', 'kuota', 'game', 'ngelag', 'parah', 'beli', 'kuota', 'kartu', 'udah', 'mahal', 'mahal', 'udah', 'gitu', 'cepet', 'abis', 'males', 'bangat', 'males', '']</t>
  </si>
  <si>
    <t>['update', 'aplikasi', 'bagus', 'tampilannya', 'tolong', 'kasih', 'fitur', 'aplikasi', 'axis', 'stop', 'pemakaian', 'pulsa', 'kuota', 'habis', 'kesedot', 'karna', 'buka', 'sosmed', 'sebentar', 'udah', 'rb', 'berkali', 'kadang', 'beli', 'pulsa', 'lupa', 'aktifkan', 'paket', 'internet', 'kesedot', 'mohon', 'tingkatkan', 'min', 'tolong', 'kasih', 'fitur', 'min', 'pulsa', 'kesedot', 'data', 'habis']</t>
  </si>
  <si>
    <t>['', 'jelek', 'jaringannya', 'mari', 'kritik', 'coba', 'jelek', 'mahal', 'emg', 'ngga', 'coba', 'diturunin', 'harganya', 'melayani', 'jaringan', 'kuat', 'kasih', 'mahal', 'bobrok', 'kuota', 'game', 'pembohong', 'kuota', 'game', 'berguna', 'kuota', 'terkurang', 'gimana', 'bodo', 'udh', 'jelek', 'burik', 'males', 'semoga', 'murah', 'kuat', 'jaringannya']</t>
  </si>
  <si>
    <t>['sinyal', 'telkomsel', 'jelek', 'jarang', 'sinyalnya', 'jelek', 'jelek', 'dipake', 'buka', 'sosial', 'media', 'rugu', 'beli', 'paket', 'internet']</t>
  </si>
  <si>
    <t>['maaf', 'beli', 'kuota', 'game', 'situ', 'keterangan', 'bonus', 'voucher', 'diamond', 'mlbb', 'pas', 'beli', 'lihat', 'voucher', 'gimna']</t>
  </si>
  <si>
    <t>['woi', 'telkomsel', 'giliran', 'harga', 'paket', 'langit', 'kwalitas', 'jaringan', 'murahan', 'bertahun', 'pakai', 'telkomsel', 'mengecewakan', '']</t>
  </si>
  <si>
    <t>['tolong', 'telkomsel', 'kuota', 'game', 'kategori', 'game', 'tolong', 'tolong', 'masukin', 'game', 'genshin', 'impact', 'kategori', 'kuota', 'game', 'semoga', 'ulasan', 'baca', 'perhatikan', 'laksanakan', 'selebihnya', 'mantap', '']</t>
  </si>
  <si>
    <t>['aplikasinya', 'banget', 'gagal', 'proses', 'ngk', 'dibuka', 'simple', 'tinggal', 'buka', 'apk', 'liat', 'pulsa', 'kuota', 'ketik', 'nomor', 'cek', 'sinyal', 'bagus', 'ngk', 'kebuka', 'udah', 'wifi', 'tetep', 'ngk', 'kebuka', 'registrasi', 'ulang', 'trus', '']</t>
  </si>
  <si>
    <t>['knp', 'stlh', 'update', 'jenis', 'paket', 'sakti', 'kecewa', 'bgaimana', 'telkomsel', 'kesulitan', 'skrg', 'ngk', 'paket', 'sakti', 'chat', 'slh', 'admin', 'ngak', 'gunanya', 'alasan', 'jwbn', 'ngak', 'jls', 'kecewa', 'kecewa', 'kecewa', 'kecewa', 'tmn', 'make', 'update', 'nnt', 'pkt', 'combo', 'ilang', 'bibtang', 'kasih']</t>
  </si>
  <si>
    <t>['tolong', 'perbaikiii', 'kesel', 'beli', 'paket', 'combo', 'telkomsel', 'seharga', 'pas', 'klik', 'beli', 'nyuruh', 'tunggu', 'menit', 'sistem', 'eror', 'pas', 'restart', 'apknya', 'masuk', 'pulsa', 'terkuras', 'sampe', 'sisa', 'rp', 'paketnya', 'aktif', 'terbuang', 'sia', 'pulsa', 'mending', 'transaksi', 'apk', 'telkomsel', 'deh', 'rugi', 'perbaiki', 'diperhatikan', 'tolong', 'terimakasih']</t>
  </si>
  <si>
    <t>['sinyal', 'telkomsel', 'buruk', 'game', 'recommended', 'game', 'mobile', 'legends', 'salah', 'satunya', 'hilang', 'koneksi', 'internet', 'bermain', 'game', 'menganjurkan', 'membeli', 'telkomsel', 'kebutuhan', 'bermain', 'game', 'burik', 'banget', 'sinyalnya']</t>
  </si>
  <si>
    <t>['kartu', 'mending', 'ganti', 'parah', 'main', 'game', 'ngeleg', 'parah', 'sinyal', 'susah', 'harga', 'mahal', 'sesuai', '']</t>
  </si>
  <si>
    <t>['saudara', 'teman', 'tetangga', 'tetangga', 'bintang', 'sinyal', 'amburadul', 'sabarin', 'membaik', 'memburuk']</t>
  </si>
  <si>
    <t>['kemaren', 'mendaftar', 'kuota', 'harga', 'murah', 'harganya', 'melonjak', 'derajat', 'berlangganan', 'kuota', 'pandemi', 'belajar', 'online', 'tpi', 'harga', 'berpikir', 'kali', 'membeli']</t>
  </si>
  <si>
    <t>['telkomsel', 'pemotongan', 'pulsa', 'sekian', 'persen', 'tampa', 'tujuan', 'pastikan', 'paket', 'datanya', 'off', 'potong', 'telkom', 'bayar', 'utang', '']</t>
  </si>
  <si>
    <t>['telkomsel', 'buruk', 'signal', 'buruk', 'mahal', 'kyknya', 'bentar', 'telkomsel', 'punah', 'pulsa', 'diambil', 'pdhl', 'udah', 'daftar', 'paket', 'internet', 'ngeselin', 'bnget', '']</t>
  </si>
  <si>
    <t>['telkomsel', 'udah', 'mah', 'pulsa', 'mahal', 'kualitas', 'sinyal', 'jelak', 'sebanding', 'harga', 'paket', 'kesel', 'ngirim', 'data', 'susahnya', 'ampun', '']</t>
  </si>
  <si>
    <t>['', 'udh', 'perubahan', 'telkomsel', 'suka', 'korupsi', 'multimedia', 'beli', 'paket', 'gb', 'gb', 'kuota', 'utama', 'gb', 'multimedia', 'gabungin', 'gb', 'korupsi', 'gabungin', 'gtu', 'ngakunya', 'beriman', 'korupsi', 'jalan', 'makan', 'duit', 'haram', 'muntah', 'darah', 'keluarga', 'loe']</t>
  </si>
  <si>
    <t>['knpa', 'kartu', 'telkomsel', 'knpa', 'beli', 'paket', 'combo', 'seharga', 'ribu', 'bngt', 'beli', 'paket', 'knpa', 'skrng', 'isi', 'pulsa']</t>
  </si>
  <si>
    <t>['sihh', 'kuota', 'unlimited', 'sosmed', 'ngegame', 'tiktok', 'update', 'parah', 'trs', 'pulsa', 'cpt', 'habis', 'perbaiki', '']</t>
  </si>
  <si>
    <t>['lemot', 'parah', 'feronika', 'jwb', 'nyalahin', 'apn', 'mode', 'pesawat', 'udah', 'lemot', 'perbaiki', 'jaringanya', 'bandung', 'signal', 'jelek', 'buka', 'facebook', 'lemot', 'ampun', 'ngeri', 'telkomsel', 'jwab', 'ngasih', 'solusi', 'mah', 'ganti', 'provider', 'bareng', 'bareng', 'lemot', 'harga', 'paket', 'mahal', 'jaringan', 'kek', 'siput', 'telkomsel', 'jelek', 'parah', '']</t>
  </si>
  <si>
    <t>['telkomsel', 'kesini', 'gajelas', 'sinyal', 'pecandu', 'game', 'online', 'nyaman', 'tolong', 'perbaiki', 'terimakasih']</t>
  </si>
  <si>
    <t>['beli', 'kuota', 'bonus', 'diamond', 'mlbb', 'kodenya', 'redeem', 'aneh', 'kesannya', 'menipu', 'pdahal', 'pakai', 'kenal', 'jahatttt']</t>
  </si>
  <si>
    <t>['skr', 'aplikasinya', 'lambat', 'akurasi', 'kecepatan', 'membuka', 'menu', 'bagusan', 'lancar', 'tampilan', 'bagus', 'tertata', 'rapi', 'buka', 'akun', 'menarik', 'tampilkan', 'foto', 'profile', 'akun', 'telkomsel', 'klu', 'skr', 'buka', 'tlp', 'klu', 'sediakan', 'menu', 'memasang', 'foto', 'profile', 'saran', 'terima', 'kasih', '']</t>
  </si>
  <si>
    <t>['pengen', 'sinyal', 'telkomsel', 'kampung', 'cikatomas', 'tasikmalaya', 'hilang', 'berhari', 'mohon', 'tindak', 'lanjuti', '']</t>
  </si>
  <si>
    <t>['tolong', 'perbaiki', 'rugi', 'beli', 'paket', 'promo', 'gb', 'masuk', 'pembelian', 'aplikasi', 'rakyat', 'menengah', 'kebawah', 'sanagat', 'merugikan', 'senang', 'promo', 'kuota', 'beli', 'masuk', 'kesalahan', 'beli', 'paketan', 'harian', 'langsung', 'masuk', 'gimana', 'tolong', 'nunggu', 'paketan', 'pulsa', 'terkuras', 'internet', 'kuota', 'pulsa', 'habis', 'kuota']</t>
  </si>
  <si>
    <t>['hadiah', 'promonya', 'hadir', 'telkomsel', 'kasih', 'rekom', 'teman', 'kolega', 'bisnis', 'saudara', 'semoga', 'kayak', 'indosat', 'kasih', 'kejutan', 'smartphone', 'roq', '']</t>
  </si>
  <si>
    <t>['ehhhh', 'gmn', 'sinyalnya', 'lemot', 'bat', 'telkomsel', 'bozzz', 'dri', 'ganti', 'logo', 'mahal', 'mending', 'benerin', 'sinyalnya', 'mahal', 'doank', 'jakarta', 'bosss', 'kampung', 'watduhhh', 'jelek', 'parah', 'mikir', '']</t>
  </si>
  <si>
    <t>['telkomsel', 'gag', 'enak', 'setip', 'pembelian', 'sifatnya', 'murah', 'mesti', 'eror', 'beli', 'mahal', 'kena', 'kayak', 'ceria', 'telkomsel', 'gan', 'enak', 'koyok', 'jancccc']</t>
  </si>
  <si>
    <t>['bagus', 'menguntungkan', 'promo', 'disediakan', 'menarik', 'murah', 'murah', 'sayang', 'dapetin', 'kupon', 'undi', 'heppy', 'pulsa', 'juta', 'semoga', 'dapet', 'secepatnya', '']</t>
  </si>
  <si>
    <t>['', 'kasih', 'bintang', 'kirain', 'perubahan', 'telkomsel', 'ttg', 'sinyal', 'ngadaaaaat', 'aliaa', 'lelet', 'zero', 'sinyal', 'tanda', 'garis', 'ketip', 'ketip', 'garis', 'truz', 'ilang', 'garisnya', 'gaaa', 'full', 'garis', 'kayak', 'main', 'mata', 'cewek', 'sinyal', 'telkomsel', '']</t>
  </si>
  <si>
    <t>['paket', 'ditawarkan', 'mahal', 'mubazir', 'dibeli', 'pemakaian', 'internet', 'gb', 'perbulan', 'dikasi', 'pilihan', 'gb', 'beli', 'gb', 'angus', 'kepake', 'mgk', 'coba', 'beralih', 'provider', 'friendly', 'harga', 'opsi', 'paketnya', 'fleksibel', '']</t>
  </si>
  <si>
    <t>['telkomsel', 'kemarin', 'isiin', 'pulsa', 'pulsa', 'mna', 'maaf', 'lancang', 'ngetik', 'karna', 'kesal', 'pulsa', 'pagi', 'mohon', 'bantu', 'masyarakat', 'kecewa', 'tks', '']</t>
  </si>
  <si>
    <t>['aplikasi', 'updated', 'bagus', 'bagus', 'harga', 'paket', 'internet', 'beranjak', 'dibarengi', 'peningkatan', 'kecepatan', 'akses', 'internet', '']</t>
  </si>
  <si>
    <t>['sinyal', 'mulu', 'niat', 'tower', 'niat', 'isi', 'paket', 'data', 'elo', 'udah', 'saingan', 'kualitas', 'kayak', 'gini', 'mikir', 'ndk', 'telkomsel', 'males', '']</t>
  </si>
  <si>
    <t>['beli', 'paket', 'internet', 'kesalahan', 'cek', 'koneksi', 'aplikasi', 'lancar', 'admin', 'bot']</t>
  </si>
  <si>
    <t>['jaringan', 'telkomsel', 'anjim', 'banget', 'stabil', 'sinyalnya', 'woy', 'udah', 'udah', 'jamannya', 'canggih', 'niat', 'jaringan', 'niat', 'runtuhkan', 'tower', 'anjim', 'banget', '']</t>
  </si>
  <si>
    <t>['aplikasi', 'ribet', 'membingungkan', 'coba', 'simple', 'tata', 'letak', 'contoh', 'aplikasi', 'pulsa', 'terpotong', 'paket', 'data', 'habis', 'harga', 'paket', 'data', 'tergolong', 'mahal', 'pengguna', 'telkomsel', 'loop', 'murah', 'harga', 'paket', 'data', 'kartu', 'move', 'telkomsel', '']</t>
  </si>
  <si>
    <t>['', 'far', 'enak', 'apps', 'cuman', 'produk', 'bingungin', 'pembagian', 'fungsi', 'entertain', 'suka', 'gakepake', 'unlimited', 'dahlah', 'gosah', 'bahasa', 'terbatas', 'terbatas', 'ujubg', 'dibatasi', 'dibatasi', 'bbrp', 'aplikasi', 'kecepatan', 'mencapai', 'batas', 'yaiyalah', 'dibatasi', 'perusahaan', 'gamau', 'rugi', 'emg', 'perusahaan', 'nenek', 'well', 'gua', 'sahamnya', 'tlkm', 'actually', 'pemilik', 'saham', 'gua', 'diuntungkan', 'cmn', 'sbg', 'konsumen', 'rugi', 'iklan', 'unlimited', '']</t>
  </si>
  <si>
    <t>['keberatan', 'penagihan', 'pelunasan', 'paket', 'darurat', 'telkomsel', 'selesai', 'pengisian', 'pulsa', 'dikenakan', 'tagihan', 'pelunasan', 'paket', 'darurat', 'mengaktifkan', 'paket', 'darurat', 'sistem', 'terkait', 'paket', 'darurat', 'kejadian', 'merugikan', 'pengguna', 'kartu', 'telkomsel', 'paket', 'darurat', 'telkomsel', 'semoga', 'memahami', 'ulasan', 'terimakasih', '']</t>
  </si>
  <si>
    <t>['tolong', 'telkomsel', 'paket', 'unlimited', 'youtube', 'pulsa', 'habis', 'tanggung', 'oprator', 'telkomsel']</t>
  </si>
  <si>
    <t>['transfer', 'pulsa', 'teman', 'masuk', 'jam', 'pulsa', 'terpotong', 'tlp', 'suruh', 'tunggu', 'jam', 'isi', 'pulsa', 'teman', 'bobrok', '']</t>
  </si>
  <si>
    <t>['beli', 'pulsa', 'aplikasi', 'telkomsel', 'ovo', 'saldo', 'uda', 'kepotong', 'pulsa', 'masuk', 'telpon', 'operator', 'suruh', 'tunggu', 'memuaskan', 'pelayanan', 'telkomsel', '']</t>
  </si>
  <si>
    <t>['assalamualaikum', 'mohon', 'maaf', 'telkomsel', 'telkomsel', 'jaringnya', 'lelet', 'lelet', 'beli', 'pulsa', 'bli', 'paket', 'omg', 'internet', 'pakek', 'tolong', 'telkomsel', 'pelangn', 'setia', 'telkomsel', 'mohon', 'bantuannya', 'terima', 'kasih']</t>
  </si>
  <si>
    <t>['stres', 'telkomsel', 'jaringan', 'stabil', 'busuk', 'eror', 'mulu', 'dih', 'najis', 'ganti', 'kartu', 'perdana', 'bro', 'jngan', 'pke', 'telkomsel', 'sesat', 'udah', 'kesini', 'mlah', 'pilihan', 'paket', 'internetnya', '']</t>
  </si>
  <si>
    <t>['sebenernya', 'telkomsel', 'kenapaaaa', 'kemaren', 'gua', 'beli', 'paket', 'pas', 'gua', 'beli', 'pulsa', 'berkurang', 'paket', 'masuk', 'gitu', 'pulsa', 'gua', 'ilang', 'paket', 'masuk', 'sialan', 'rugi', 'gua', 'sinyal', 'lemot', 'harga', 'pilihan', 'gua', 'udah', 'isi', 'pulsa', 'pengen', 'beli', 'paket', 'udah', 'menit', 'gua', 'isi', 'pulsa', 'tolong', 'perbaiki', 'gini', 'mending', 'gua', 'ganti', 'kartu', 'sebelah', 'kayak', 'sodara', 'gua', 'kemaren']</t>
  </si>
  <si>
    <t>['maaf', 'telkomsel', 'beli', 'paket', 'mahal', 'sampe', 'paket', 'rb', 'gb', 'lemot', 'parah', 'beli', 'murah', 'woi', 'beli', 'ribu', 'lemot', 'woiiii', 'sinyal', 'ancor', 'telkomsel', 'astaga', 'mengecewakan', '']</t>
  </si>
  <si>
    <t>['kecewa', 'gue', 'pelanggan', 'setia', 'telkomsel', 'jaringan', 'jelek', 'banget', 'beli', 'kuota', 'mahal', 'jaringan', 'jelek', 'pengen', 'pindah', 'gue', 'provider', 'jaringan', 'telkomsel', 'mengecewakan', '']</t>
  </si>
  <si>
    <t>['', 'update', 'lelet', 'sampah', 'telkomsel', 'gua', 'ngebug', 'masuk', 'kedalam', 'app', 'update', 'parah', 'bener', '']</t>
  </si>
  <si>
    <t>['mudah', 'mudahan', 'pembaruan', 'mudah', 'login', 'nomor', 'dulunya', 'ribet', 'banget', 'ditambah', 'ratingnya', 'udah', 'bagus', 'ribet', '']</t>
  </si>
  <si>
    <t>['lemotd', 'aplikasinya', 'buruk', 'bagusan', 'provider', 'udh', 'mahal', 'lelet', 'lemot', 'pokonya', 'jaringan', 'full', 'tetep', 'lemot', 'aplikasi', 'telkomsel', 'mengecewakan']</t>
  </si>
  <si>
    <t>['beli', 'kuota', 'sinyal', 'tpi', 'dipake', 'perbaiki', 'kualitas', 'sinyalnya', 'busuk', 'sinyalnya', 'malu', 'provider', 'swasta', 'provider', 'plat', 'merah', 'kualitas', 'buruk', 'kuota', 'beli', 'mahal', 'dipake', '']</t>
  </si>
  <si>
    <t>['tolong', 'telkomsel', 'jaringan', 'kek', 'gini', 'pelajar', 'nyaman', 'karna', 'jaringan', 'data', 'suka', 'mati', 'daring', 'harapkan', 'telkom', 'mengembalikan', 'jaringan', 'telkom', 'sedia', 'terimakasih']</t>
  </si>
  <si>
    <t>['sinyal', 'parahhhhh', 'jelek', 'banget', 'parahh', 'parahh', 'diperbaiki', 'sinyal', 'jelek', 'banget', 'dipakai', 'game', 'parahhh', 'bangett', 'sumpah', 'jelek', '']</t>
  </si>
  <si>
    <t>['lemot', 'banget', 'woi', 'harga', 'paket', 'naek', 'jaringan', 'butut', 'udah', 'malem', 'udah', 'kagak', 'dipake', 'saking', 'lemot', 'emosi', 'banget', 'maen', 'game', 'kagak', 'kuat', 'edit', 'sok', 'iye', 'banget', 'ngelayanin', 'butut', 'benerin', 'gausah', 'negara']</t>
  </si>
  <si>
    <t>['', 'telkomsel', 'sial', 'beli', 'pulsa', 'cek', 'nomor', 'udah', 'pas', 'konter', 'udah', 'sukses', 'pengiriman', 'pulsa', 'masuk', 'gantiin', 'konter', 'paketin', 'paket', 'youtube', 'gb', 'rugi', 'rugi', 'banget', 'pulsa', 'ilang', 'internet', 'jalan', 'apes']</t>
  </si>
  <si>
    <t>['paketan', 'youtube', 'unlimited', 'habis', 'beli', 'menunya', 'hilang', 'veronika', 'sistem', 'sibuk', 'clear', 'data', 'update', 'aplikasi', 'menu', 'ketengan', 'youtube', 'denganmu', '']</t>
  </si>
  <si>
    <t>['update', 'apk', 'pelayanan', 'kualitas', 'jaringan', 'mundur', 'untung', 'internet', 'kartu', 'tri', 'update', 'apk', 'update', 'apk', 'jaringan', 'kartu', 'tri', 'karna', 'sinyal', 'telkomsel', 'buruk', 'terima', 'kasih', 'telkomsel']</t>
  </si>
  <si>
    <t>['jaringan', 'bapuk', 'telkomsel', 'lemot', 'parah', 'kemana', 'sinyal', 'telkomsel', 'ngebut', 'kaya', 'dengarkan', 'keluhan', 'pelanggan', 'perbaiki', 'kerusakan', 'tanggapi', 'komplenan', 'pelanggan', 'pelanggan', 'pindah', 'operator']</t>
  </si>
  <si>
    <t>['blng', 'jelek', 'kalah', 'saing', 'semoga', 'telkomsel', 'ubah', 'nominal', 'harga', 'paket', 'internet', 'mencekik', 'stabil', 'ajh', 'pakai', 'puas', 'nyaman', '']</t>
  </si>
  <si>
    <t>['saran', 'telkomsel', 'pengguna', 'combo', 'sakti', 'unlimited', 'kuota', 'utama', 'habis', 'harap', 'memasukkan', 'aplikasi', 'telkomsel', 'aplikasi', 'unlimited', 'telkomsel', 'lambat', 'loading', 'kuota', 'utama', 'habis', '']</t>
  </si>
  <si>
    <t>['nggak', 'dipake', 'coba', 'log', 'langsung', 'mati', 'pantesan', 'orang', 'kasih', 'rating', 'aplikasi', 'relate', 'jelek', 'banget', 'aplikasi', 'mohon', 'dibenerin']</t>
  </si>
  <si>
    <t>['emosi', 'jaringan', 'internet', 'pakek', 'lancar', 'puasa', 'kemaren', 'jaringan', 'stabil', 'gini', 'tolong', 'benerin', 'kasian', 'pengguna', 'pandemi', 'ganti', 'bener', 'gila', 'harga', 'tolong', 'kondisikan', 'udah', 'sesuai', 'ama', 'sinyal', 'internet', 'apalgi', 'keuangan', 'bener', 'hitung', 'bener', 'tolong', 'telkomsel', 'perbaiki', 'kali', 'stabil', 'gini', 'intervies', 'online', 'gagal', 'gegara', 'sinyal']</t>
  </si>
  <si>
    <t>['pas', 'buka', 'aplikasi', 'telkomsel', 'loading', 'info', 'ufdate', 'aplikasi', 'telkomsel', 'ufdate', 'info', 'dial', 'number', 'tolong', 'diperbaiki', 'layanan', 'aplikasi', 'telkomsel', '']</t>
  </si>
  <si>
    <t>['paketan', 'kesini', 'nentu', 'turun', 'harganya', 'jaringan', 'lambat', 'suka', 'bonus', 'daily', 'check', 'kadang', 'jga', 'paketan', 'murah', 'murah', 'banget', 'trs', 'maha', 'mahal', 'ttp', 'oke', 'semoga']</t>
  </si>
  <si>
    <t>['hormat', 'developer', 'telkomsel', 'promo', 'habis', 'tolong', 'dihapus', 'kecewa', 'terlanjur', 'isi', 'pulsa', 'promo', '']</t>
  </si>
  <si>
    <t>['mohon', 'maaf', 'mengurangi', 'hormat', 'paketan', 'tawarkan', 'beda', 'temen', 'aplikasinya', 'terimakasih', '']</t>
  </si>
  <si>
    <t>['telkomsel', 'bener', 'sinyal', 'parah', 'kualitas', 'buruk', 'kuota', 'mahal', 'jelek', 'semoga', 'bangkrut', 'telkomsel', 'semoga', 'saham', 'anjlok', '']</t>
  </si>
  <si>
    <t>['telkomsel', 'parah', 'kenapaa', 'udah', 'pindah', 'kartu', 'halo', 'byar', 'kuotanya', 'lumayan', 'mahal', 'sinyalnya', 'parah', 'tolong', 'donk', 'dibenerin', 'gini', 'pelanggan', 'setia', 'telkomsel', 'pindah', 'perdana']</t>
  </si>
  <si>
    <t>['hmm', 'liat', 'ulasan', 'ngerasain', 'telkomsel', 'udah', 'mahal', 'cepet', 'habis', 'jugaa', 'beli', 'murah', 'unlimited', 'sebulan', 'pas', 'tpi', 'sebulan', 'udah', 'abisss', 'uda', 'kondisi', 'ekonomi', 'sulitt', 'daring', 'sekolah', 'telkomsel', 'miskin', 'ajaaa', '']</t>
  </si>
  <si>
    <t>['maaf', 'ubah', 'bintang', 'bintang', 'karenakan', 'jaringan', 'telkomsel', 'jelek', 'gambar', 'jaringan', 'lemot', 'kuota', 'mahal', 'jaringan', 'lemot', 'ngalamin', 'bukannsaya', 'pribadi', 'teman', 'pengguna', 'telkomsel', 'harap', 'perbaiki', 'pengguna', 'telkomsel', 'kelain', 'hati', 'kartu', 'bay', 'karawang', 'ciampel', '']</t>
  </si>
  <si>
    <t>['akses', 'internet', 'lambat', 'aplikasi', 'lambat', 'harga', 'mahal', 'please', 'dehh', 'provider', 'telkom', 'diminatin', 'orang', 'benahin', 'tuhh', 'sistem', 'internet', 'harga', 'bersaing', 'bnget', 'gilaaa', 'nyari', 'untung', 'banget', 'sihh', 'yaa', 'ampun']</t>
  </si>
  <si>
    <t>['memakai', 'telkomsel', 'bagus', 'murah', 'mahal', 'jaringan', 'jelek', 'memakan', 'pulsa', 'dpt', 'sms', 'paket', 'internet', 'habis', 'masuk', 'aplikasi', 'beli', 'paket', 'pulsa', 'sisa', 'pulsa', 'lenyap', 'menit', 'kecewa', 'telkomsel', 'alami', 'tulisan', 'buktikan', 'kualitas', 'perusahaan', '']</t>
  </si>
  <si>
    <t>['daily', 'stamp', 'level', 'redeem', 'level', 'redeem', 'tulisan', 'klaimnya', 'muncul', 'terkunci', 'stampnya', 'berlebih', 'membuka', 'bonus', 'level', '']</t>
  </si>
  <si>
    <t>['aplikasi', 'jelek', 'banget', 'pas', 'nukar', 'poin', 'aplikasinya', 'macet', 'macet', 'kembaliin', 'aplikasinya', 'macet', 'terpaksa', 'uninstal']</t>
  </si>
  <si>
    <t>['aplikasinya', 'bagus', 'membantu', 'sinyal', 'telkomsel', 'pasca', 'pra', 'bayar', 'didaerah', 'bernung', 'kec', 'gedong', 'tataan', 'parah', 'banget', 'bos', 'tolong', 'diperbaiki', '']</t>
  </si>
  <si>
    <t>['pulsa', 'kesedot', 'isi', 'pulsa', 'udah', 'wifi', 'udab', 'beli', 'paketan', 'bulanan', 'jarang', 'nyalain', 'data', 'knpa', 'pulsa', 'habis', '']</t>
  </si>
  <si>
    <t>['sinyal', 'telkomsel', 'buruk', 'kuota', 'unlimited', 'berguna', 'kuota', 'beli', 'terpakai', 'buruknya', 'sinyal', 'kuota', 'terpakai', 'huh', 'kuota', 'nonton', 'terpakai', 'kuota', 'utama', 'berkali', 'kali', 'komplain', 'loading', 'sosmedan']</t>
  </si>
  <si>
    <t>['pakai', 'telkmsel', 'sinyal', 'tekomsel', 'jelek', 'kayak', 'siput', 'ganti', 'isah', 'pakek', 'kartu', 'telkomsel', 'semkin', 'pakek', 'lelet', 'udah', 'mahal', 'lelet', 'klw', 'tanaya', 'sllu', 'perbaikan', 'udah', 'dipikirkan', 'cman', 'untung', 'ayo', 'tinggalkan', 'telkomsellllllllllll', 'siput']</t>
  </si>
  <si>
    <t>['tolonglah', 'jaringannya', 'perlancar', 'wilayah', 'jambi', 'kerinci', 'tepatnya', 'desa', 'kersik', 'tua', 'main', 'mobile', 'legend', 'jaringan', 'stabil', 'secepatnya', 'tindakan', 'pembenahan', 'puas', 'jaringan', 'telkomsel', 'tnks']</t>
  </si>
  <si>
    <t>['telkomsel', 'buruk', 'jaringan', 'telkomsel', 'buruk', 'segi', 'device', 'paketan', 'diatas', 'pliss', 'tolong', 'diperbaiki', 'jaringannya', 'cuman', 'naikin', 'harganya', '']</t>
  </si>
  <si>
    <t>['tekomsel', 'taik', 'telkomsel', 'taik', 'knpa', 'liat', 'kebawah', 'udah', 'dibilang', 'taik', 'kuota', 'mahal', 'jaringan', 'taik']</t>
  </si>
  <si>
    <t>['telkomsel', 'telkomsel', 'kecewa', 'pakai', 'produk', 'telkomsel', 'klu', 'telkomsel', 'menawarkan', 'omg', 'sesuai', 'harga', 'ditawarkan', 'dlu', 'combo', 'saktinya', 'berubah', '']</t>
  </si>
  <si>
    <t>['ngah', 'telko', 'berubah', 'tampilan', 'telkom', 'copot', 'butuh', 'cek', 'data', 'pasang', 'kecewa', 'keteranganya', 'brubah', 'bahasa', 'inggris', 'pdh', 'orang', 'indonesia', 'ngah', 'orang', 'paham', 'bhs', 'inggris']</t>
  </si>
  <si>
    <t>['saran', 'paket', 'unlimited', 'beli', 'combo', 'sakti', 'muncul', 'paket', 'unlimited', 'unlimited', 'beli', 'combo', 'sakti', 'tolong', 'turunin', 'diperbanyak', 'option', 'harga', 'combonya', 'beli', 'gb', 'haga', 'provider', 'terbaik', 'kali', 'gencar', 'indonesia', 'kesusahan', 'sinyal', 'jangkauan', 'khusus', 'daerah', 'tingkat', 'jaringannya', 'stabil', 'memuaskan', '']</t>
  </si>
  <si>
    <t>['komeksi', 'internet', 'wilayah', 'bandung', 'pangalengan', 'buruk', 'layak', 'beli', 'kuota', 'duit', 'daun', 'pisang', 'ancur', 'parah', 'koneksi', 'internet', '']</t>
  </si>
  <si>
    <t>['sinyal', 'telkomsel', 'jelek', 'dikota', 'demgkat', 'pemancar', 'tetep', 'jelek', 'harga', 'paket', 'mahal', 'tolong', 'diperbaiki', 'jaringan', 'telkomsel', 'pengguna', 'nyaman']</t>
  </si>
  <si>
    <t>['tolong', 'telkomsel', 'diperbaiki', 'jaringan', 'lelet', 'kemdian', 'mengisi', 'pulsa', 'ribu', 'niat', 'membeli', 'paket', 'sampe', 'detik', 'dipotong', 'ribu', 'mengisi', 'ribu', 'dipotong', 'ribu', 'sungguh', 'mengecewakan', 'merugikan', 'konsunem']</t>
  </si>
  <si>
    <t>['jaganlah', 'kebohongan', 'pelanggan', 'kecewa', 'ribu', 'menati', 'bohong', 'usalah', 'jual', 'aplikasi', 'kebohongan', 'poin', 'honda', 'motor', 'bit', 'nga', 'jujurlah', 'pelanggan']</t>
  </si>
  <si>
    <t>['telkomsel', 'branding', 'kayanya', 'kualitas', 'sinyal', 'udah', 'sekelas', 'bagus', 'tolong', 'diperbaiki', 'keluhan', 'perbaikan', '']</t>
  </si>
  <si>
    <t>['aktifin', 'paket', 'combosakti', 'tanggal', 'paket', 'tanggal', 'sebulan', 'lohhh', 'keadilan', 'telkosel', '']</t>
  </si>
  <si>
    <t>['bahasa', 'bahasa', 'indonesia', 'bahasa', 'diubah', 'tergantung', 'pemakai', 'pemakai', 'aplikasi', 'orang', 'indonesia', 'bahasa', 'indonesia', 'wajib', 'donk', 'pakai', 'produk', 'indonesia', 'cintailah', 'bahasa', 'maaf', 'kasih', 'bintang', 'kedepan', 'harap', 'bahasa', 'indonesia', 'bahasa', 'utama', 'pilihan', 'bahasa', 'salam', '']</t>
  </si>
  <si>
    <t>['emng', 'jaringan', 'bagus', 'sinyal', 'penuh', 'main', 'game', 'ping', 'stabil', 'jumping', 'haduh', 'benerin', 'sampe', 'sampe', 'main', 'sinyal', 'kartu', 'stabil', 'banget']</t>
  </si>
  <si>
    <t>['kartu', 'knp', 'isi', 'paket', 'pakai', 'voucher', 'pindahin', 'beli', 'paket', 'ketengan', 'berhasil', 'internet', 'eror', 'langsung', 'masuk', 'sms', 'paket', 'data', 'sisa', 'pulsa', 'lenyap', '']</t>
  </si>
  <si>
    <t>['bener', 'puas', 'sbgai', 'pemakai', 'telkomsel', 'sedari', 'massa', 'gabisa', 'kepake', 'kuota', 'internetnya', 'hadehh', 'dng', 'telkomseellll', 'pdhl', 'sblumnya', 'jaringannya', 'topp', 'cerrr', 'molo', 'kepelosok', 'pedesaan', 'skrng', 'why', 'not', 'miris', 'bngt', 'telkomsel', 'smoga', 'cpet', 'diperbaiki']</t>
  </si>
  <si>
    <t>['kesini', 'mahal', 'paket', 'udah', 'gamau', 'langganan', 'tsel', 'mending', 'pakai', 'wifi', 'tsel', 'pket', 'combo', 'sakti', 'udh', 'ilang', '']</t>
  </si>
  <si>
    <t>['pulsa', 'bnyak', 'mala', 'sms', 'trus', 'notifikasi', 'pulsa', 'mencukupi', 'sms', 'paket', 'internet', 'mahal', 'senua', 'telkomsel', 'mending', 'pakai', 'im', 'udah', 'murah', 'trus', 'jaringan', 'lemot']</t>
  </si>
  <si>
    <t>['paket', 'telkomsel', 'perubahanya', 'jujur', 'kecewa', 'perubahan', 'paket', 'combo', 'unlimited', 'ribu', 'hilangkan', 'tersedia', 'pilihan', 'payaaaaaahhhhhh', '']</t>
  </si>
  <si>
    <t>['internet', 'buruk', 'seburuk', 'buruknya', 'rumah', 'villa', 'kencana', 'cikarang', 'program', 'sejuta', 'rumah', 'pemerintah', 'internet', 'loading', 'vkc', 'menara', 'sinyak', 'menikmati', 'jaringan', 'internet', '']</t>
  </si>
  <si>
    <t>['telkomsel', 'paaling', 'luas', 'jangkauannya', 'kadang', 'kadang', 'suara', 'penelpon', 'udah', 'bicara', 'sekian', 'menit', '']</t>
  </si>
  <si>
    <t>['kacau', 'kuota', 'mahal', 'jaringan', 'lelet', 'kuota', 'cepat', 'habis', 'beli', 'paket', 'unlimited', 'limited', 'kacau', 'telkomsel', 'namanya', 'bagus', 'pandemi', 'murah', 'stabil', 'kegiatan', 'daring']</t>
  </si>
  <si>
    <t>['paketan', 'habis', 'seminggu', 'terahir', 'jaringan', 'jelek', 'akses', 'internet', 'patah', 'patah', 'diperbaiki', 'kasih', 'deh', 'bintang', 'ulasan', 'ganti', 'kasih', 'bintang', 'dirugikan', 'udah', 'paketan', 'mahal', 'akses', 'jaringan', 'putus', 'putus', 'ahir', 'paket']</t>
  </si>
  <si>
    <t>['puas', 'promo', 'terbaru', 'combo', 'sakti', 'promo', 'menguntungtungkan', 'menghemat', 'pengeluaran', 'membeli', 'paket', 'bulannya', 'pokoknya', 'mantul', 'thankyou', 'telkomsel', 'your', 'always', 'heart']</t>
  </si>
  <si>
    <t>['buka', 'sajanyg', 'merasakan', 'pelanggan', 'kecewa', 'tolong', 'perbaiki', 'sistem', 'selesaikan', 'ngisi', 'koment', '']</t>
  </si>
  <si>
    <t>['', 'jam', 'tgl', 'sampe', 'jam', 'tgl', 'jaringan', 'stabile', 'huh', 'buka', 'youtube', 'normal', 'buka', 'google', 'web', 'lemot', 'riset', 'mode', 'pesawat', 'riset', 'apn', 'ttp', 'lemot', 'gimana', 'huh', 'pusing', 'gua', 'gini', 'cepet', 'down', 'padaha', 'make', 'wifi', 'cepet', 'huh', 'pusing', 'gua']</t>
  </si>
  <si>
    <t>['login', 'disuruh', 'update', 'mencoba', 'update', 'namu', 'seharian', 'update', 'loading', 'coba', 'uninstall', 'apk', 'install', 'ulang', 'install', 'bertahun', 'memakai', 'apk', 'kecewa', 'perusahaan', 'kecewa', 'jaringan', 'pakai', 'wifi', 'data', 'selular', 'mengecewakan']</t>
  </si>
  <si>
    <t>['suka', 'aplikasi', 'nengok', '']</t>
  </si>
  <si>
    <t>['tolong', 'telkomsel', 'kuota', 'belajar', 'membuka', 'aplikasi', 'whatsapp', 'jalan', 'guru', 'tugas', 'materi', 'info', 'sekolah', 'pelajar', 'mengalami', 'kesulitan', 'belajar', '']</t>
  </si>
  <si>
    <t>['fahami', 'keluhan', 'pelangganmu', 'respon', 'secepatnya', 'selesaikan', 'tuntas', 'hatur', 'nuhun', 'semoga', 'mytelkomsel', 'terbaik', '']</t>
  </si>
  <si>
    <t>['pakai', 'kartu', 'mahal', 'paketnya', 'undian', 'telkomsel', 'perna', 'menang', 'abis', 'pulsa', 'juta', 'pelit', 'ama', 'hadia']</t>
  </si>
  <si>
    <t>['telkomsel', 'pos', 'mati', 'ditangan', 'orang', 'titipan', 'orang', 'beli', 'paket', 'nelpon', 'disaat', 'uang', 'pas', 'paket', 'masuk', 'telpon', 'disuruh', 'tunggu', 'kerja', 'wfk', 'penjilat', 'pencuri', 'dimana', '']</t>
  </si>
  <si>
    <t>['gimana', 'sinyal', 'full', 'maksimal', 'youtube', 'lemot', 'nggak', 'jalan', 'buka', 'ngadat', 'main', 'game', 'udah', 'beli', 'paket', 'mahal', 'ampas', 'gini', 'mending', 'operator', 'kmaren', '']</t>
  </si>
  <si>
    <t>['hadeh', 'kuota', 'unlimited', 'max', 'tetep', 'ngeleg', 'gimana', 'teerbaik', 'kek', 'gini', 'ngeleg', 'beli', 'unlimited', 'max', 'nggak', 'stabil', 'sinyal', 'nggak', 'banget', 'sumpah', 'beli', 'kuota', 'unlimax', 'kuota', 'utamanya', 'udah', 'habis', 'ngeleg', 'lag', 'terpaksa', 'pindah', 'kartu', 'gini', 'urusannya']</t>
  </si>
  <si>
    <t>['jaringan', 'perbaiki', 'kasih', 'bintang', 'dlu', 'karna', 'ponsel', 'mendukung', 'kecewa', 'telkomsel', 'bertahun', 'tpi', 'kali', 'nyman', 'kasian', 'ponsel', 'mendukung', 'ataw', 'mohon', 'perhatiannya']</t>
  </si>
  <si>
    <t>['jaringan', 'knp', 'min', 'mkin', 'jelek', 'kmar', 'bagus', 'npa', 'jdi', 'jelek', 'banget', 'sinyal', 'mkin', 'tpi', 'genteng', 'tolong', 'min', 'perbaiki', 'secepat', 'jngan', 'kecewa', 'pelnggan']</t>
  </si>
  <si>
    <t>['paket', 'boster', 'hilangin', 'hrus', 'konsisten', 'min', 'hapus', 'ekonomi', 'menengah', 'kebawah', 'berat', 'pilihan', 'paket', 'data', 'telkomsel', 'sekarng', 'tlong', 'benahin', 'daftar', 'pket', 'terjangkau', 'ekonomi', 'menengah', 'kebawah', 'thank', 'krna', 'kta', 'pelanggan', 'setia', 'telkomsel']</t>
  </si>
  <si>
    <t>['oke', 'kritik', 'telkomsel', 'paket', 'data', 'mahal', 'kualitas', 'jaringan', 'stabil', 'perhitungkan', 'mode', 'pesawat', 'menerus', 'jaringan', 'pulih', 'terkadang', 'kilobyte', 'tampilkan', 'data', 'kecewa', 'telkomsel', 'tolong', 'perbaiki', 'dengar', 'keluh', 'kesah', 'konsumen', 'mengecewakan', '']</t>
  </si>
  <si>
    <t>['sebenernya', 'donlod', 'jaringan', 'bagus', 'tower', 'berdiri', 'samping', 'rumah', 'tpi', 'sinya', 'ilang', 'jaringan', 'jelek', 'ehhh', 'ngadat', 'gitu', 'bilange', 'benerin', 'tmbah', 'mentang', 'desa', 'gada', 'sinyal', 'trus', 'enak', 'mending', 'gausah', 'dinkasih', 'sinyal', 'php']</t>
  </si>
  <si>
    <t>['keluarga', 'lahir', 'udah', 'kartu', 'telkomsel', 'kali', 'mengalami', 'kendala', 'sinyal', 'lelet', 'lemot', 'lambat', 'menyusahkan', 'tuk', 'akses', 'aplikasi', 'tengok', 'komenan', 'keluhan', 'sinyal', 'kalina', 'ngapain', 'kerja', 'kaliyan', 'ngapain', 'udah', 'beli', 'paket', 'telkomsel', 'mahal', 'kartu', 'telkomsel', 'mahal', 'trus', 'sinyal', 'kalah', 'murah', '']</t>
  </si>
  <si>
    <t>['sungguh', 'mulia', 'mytelkomsel', 'aplikasi', 'menggunakannya', 'diwnload', 'oppo', 'versi', 'android', 'dpt', 'mendownload', 'aplikasi', 'updute', 'komentar', 'sya', 'kecewa', 'kpd', 'pihat', 'mytelkomsel']</t>
  </si>
  <si>
    <t>['kecewa', 'banget', 'kecepatan', 'internet', 'bener', 'dicekik', 'banget', 'unlimited', 'buka', 'aplikasi', 'gabisa', 'saking', 'lemotnya', '']</t>
  </si>
  <si>
    <t>['tolong', 'perbaiki', 'sinyal', 'nihh', 'ngerasa', 'nyaman', 'bermain', 'game', 'online', 'isi', 'paket', 'perbulan', 'mahal', 'bingung', 'temen', 'isi', 'paket', 'murah', 'harga', 'beda', 'beda', 'harga', 'jelasss', 'nihh', '']</t>
  </si>
  <si>
    <t>['update', 'aperintah', 'ganti', 'kartu', 'halo', 'menyabalkan', 'telkomsel', 'melayani', 'pembelian', 'focer', 'beli', 'langsung', 'diganti', 'cuman', 'kartu', 'halo', 'otoriter', 'diarahkan', 'kartu', 'halo', 'jok', 'kaya', 'profider', 'emang', 'udah', 'ditinggalkan', 'pindah', 'provider', '']</t>
  </si>
  <si>
    <t>['informasi', 'kuotanya', 'akurat', 'lambat', 'banget', 'udah', 'dikit', 'cek', 'kuota', 'suka', 'nyedot', 'pulsaku', 'bintang', 'gedeg', 'pulsa', 'kesedot', 'diitung', 'beli', 'kuota', 'tetep', 'telkomsel', 'nomor', 'udah', 'coba', 'nomor', 'udah', 'ganti', 'butuh', 'nilai', 'elu', 'ngehubungin', 'gua', 'duluan', 'hadeehh']</t>
  </si>
  <si>
    <t>['telkomsel', 'stabil', 'menentu', 'provider', 'utama', 'gangguan', 'ngelag', 'main', 'game', 'bingung', 'telkomsel', 'udah', 'harga', 'ditawarkan', 'lumayan', 'mahal', 'pelayanan', 'didaerah', 'lintas', 'kapal', 'batu', 'bara', 'jaringan', 'stabil', '']</t>
  </si>
  <si>
    <t>['tolong', 'jaringan', 'telkomsel', 'perbaiki', 'beli', 'paket', 'internet', 'mahal', 'bertanggung', 'banget', 'nyesel', 'gua', 'pakai', 'telkomsel', 'taikk', '']</t>
  </si>
  <si>
    <t>['telkomsel', 'daerah', 'signal', 'internetan', 'susah', 'kali', 'terkadang', 'nelpon', 'signal', 'merata', 'ginih', 'tolong', 'donk', 'perluas', 'jangkauan', 'signal', 'khusus', 'daerah', 'bandar', 'meriah', 'sunggal', 'tanks', 'telkom', 'jaringan', 'susah']</t>
  </si>
  <si>
    <t>['tanggal', 'isi', 'pulsa', 'potong', 'kerena', 'beli', 'paket', 'tgl', 'bayar', 'bayar', 'isi', 'pulsa', 'menerima', 'sms', 'belummelunasi', 'sisa', 'ribu', 'pulsa', 'rugi', 'isi', 'pulsa', 'tolong', 'perbaiki', 'sistemnya', 'stakholder', 'telkomsel', 'berlanjut', 'petisi', 'presiden', '']</t>
  </si>
  <si>
    <t>['jujur', 'nyesel', 'telkomsel', 'skrg', 'karna', 'sim', 'provider', 'sim', 'priority', 'udah', 'ganti', 'kayanya', 'harga', 'mahal', 'kualitas', 'jelek', 'sinyal', 'stabil', 'gaming', 'moba', 'game', 'lag', 'parah', 'download', 'lemot', 'lupa', 'ngepaketin', 'data', 'detik', 'pulsa', 'langsung', 'ilang', 'pemerasan', 'disadari', 'top', 'pulsa', 'busuk', 'busuk', 'busuk']</t>
  </si>
  <si>
    <t>['ngisi', 'pulsa', 'ooo', 'hilang', 'data', 'idup', 'hilang', 'kesalahan', 'sambungan', 'mohon', 'tindak', 'lanjuti', 'butuh', 'stabil', 'lan', 'internet', 'kelancaran', 'mohon', 'tindak', '']</t>
  </si>
  <si>
    <t>['nyesel', 'kartu', 'telkomsel', 'kart', 'hallo', 'costumer', 'penjelasan', 'kemudahan', 'kuota', 'unlimited', 'unlimited', 'pakai', 'tiktok', 'chat', 'watsapp', 'watsapp', 'pakai', 'nlpn', 'chat', 'beda', 'paket', 'unlimited', 'telkomsel', 'simpati', 'kartu', '']</t>
  </si>
  <si>
    <t>['tolong', 'jaringan', 'perbaiki', 'kali', 'main', 'game', 'mental', 'suport', 'tpi', 'gini', 'emang', 'jelek', 'manis', 'tpi', 'paktanya', 'buruk']</t>
  </si>
  <si>
    <t>['udah', 'maketin', 'pulsa', 'kuota', 'belajar', 'gabisa', 'jaringan', 'lemot', 'harganya', 'mahal', 'gasesuai', 'harganya', 'maketin', 'pulsa', 'pulsa', 'nnya', 'ikutan', 'habis', 'udah', 'dibeli', 'gabisa', 'belajar', 'kecewa', 'tolong', 'dibenerin', 'jaringan', 'nyaa', 'kecewa', 'udah', 'dibeli', 'gabisa', 'kek', 'gini', 'mending', 'gausah', 'maketin', '']</t>
  </si>
  <si>
    <t>['universitas', 'dev', 'game', 'nama', 'terkenal', 'ehh', 'providernya', 'cacat', 'btw', 'emg', 'provider', 'mending', 'perusahaan', 'gantungan', 'kunci', 'cacat']</t>
  </si>
  <si>
    <t>['bar', 'jaringan', 'penuh', 'kualitas', 'jaringan', 'lelet', 'log', 'kualitas', 'jelek', 'kerja', 'teknisi', 'telkomsel', 'kualitas', 'jaringan', 'internet', 'jelek', 'gimana', 'mengarah', 'pelayanan', 'kualitas', 'jelek', 'ayo', 'perbaiki', 'evaluasi', 'keluhan', 'konsumen', '']</t>
  </si>
  <si>
    <t>['isi', 'pulza', 'pulza', 'jam', 'kmudian', 'cek', 'pulza', 'tinggal', 'bingung', 'kemana', 'pulza', 'penjelasan', 'telkomsel', 'lumayan', 'kesal', 'dibilang', 'sekian', 'terima', 'kasih', '']</t>
  </si>
  <si>
    <t>['telkomsel', 'internet', 'parah', 'abis', 'pdhl', 'gue', 'tinggal', 'depok', 'jawa', 'barat', 'berkali', 'kali', 'tlp', 'perubahan', 'jaringan', 'terluas', 'tercepat', 'bohong', 'berkali', 'kali', 'gue', 'disuruh', 'klik', 'link', 'dikirim', 'telkomsel', 'link', 'klik', 'masuk', 'google', 'play', 'bodoh', 'robot', 'kayak']</t>
  </si>
  <si>
    <t>['maaf', 'bintang', 'sinyal', 'telkomsel', 'susah', 'hilang', 'sinyal', 'telkomsel', 'terkadang', 'chat', 'kuota', 'internet', '']</t>
  </si>
  <si>
    <t>['', 'scrool', 'jam', 'ulasanya', 'positif', 'min', '']</t>
  </si>
  <si>
    <t>['mudah', 'mudahan', 'beruntung', 'dapet', 'samsung', 'meredem', 'point', 'kondisi', 'pandemi', 'kartu', 'udah', 'dapet', 'hadiah', '']</t>
  </si>
  <si>
    <t>['bintang', 'jaringan', 'internet', 'lokasi', 'buruk', 'mohon', 'diefaluasi', 'diperbaiki', 'jaringan', 'internet', 'daerah', 'seindonesia', 'tercinta', 'terimakasih', '']</t>
  </si>
  <si>
    <t>['telkomsel', 'gimana', 'ttp', 'harga', 'paketannya', 'mahal', 'kartu', 'halo', 'harga', 'paketan', 'internetnya', 'mahaaalll', 'haduchhh', 'kerja', 'susah', 'beli', 'paketan', 'mahal', 'harga', 'paketan', 'harga', 'murah', '']</t>
  </si>
  <si>
    <t>['udah', 'ngomng', 'poko', 'love', 'sma', 'telkomsel', 'pelanggan', 'simpati', 'jdi', 'pindah', 'hati', 'sukses', 'trus', 'telkomsel', '']</t>
  </si>
  <si>
    <t>['isi', 'pulsa', 'ambil', 'paket', 'giliran', 'diisi', 'tinggal', 'terpaksa', 'beli', 'karna', 'rupiah', 'bener', 'permainan', 'licik', 'sisa', 'biarpun', 'dikit', '']</t>
  </si>
  <si>
    <t>['hadiah', 'telkomsel', 'pelanggan', 'telkomsel', 'jadul', 'belom', 'hadiah', 'kejutan', 'telkomsel']</t>
  </si>
  <si>
    <t>['harga', 'mahal', 'jaringan', 'stabil', 'jaringan', 'lag', 'banget', 'dibawa', 'main', 'game', 'kelas', 'rendah', 'kuat', 'beli', 'paket', 'unlimited', 'nyesal', 'make', 'kartu', 'telkom', 'kendala', 'jaringan', 'ginj']</t>
  </si>
  <si>
    <t>['sinyal', 'bagus', 'gua', 'udah', 'capek', 'capek', 'ngombulin', 'uang', 'ngeleg', 'jelek', 'banget', 'sinyalny']</t>
  </si>
  <si>
    <t>['puas', 'jaringan', 'mulus', 'kota', 'dataran', 'terkadang', 'terkendala', 'cuaca', 'makasih', 'promo', 'promo', 'murahnya', 'telkomsel', 'boros', 'pulsa', 'irit', 'thanks', 'thanks', 'thanks']</t>
  </si>
  <si>
    <t>['paket', 'unlimited', 'max', 'unlimited', 'kecewa', 'paket', 'unlimited', 'max', 'kuota', 'unlimited', 'media', 'sosial', 'kecepatan', 'kbps', 'batas', 'pemakaian', 'wajar', 'batas', 'pemakaian', 'wajar', 'gb', 'kecepatan', 'perubahan', 'melewati', 'batas', 'pemakaian', 'wajar', 'kecepatan', 'menurun', 'kbps', 'kbps', 'tolong', 'paket', 'unlimited', 'max', 'ditidak', 'adakan', 'batas', 'pemakaian', 'wajar', 'terimakasih']</t>
  </si>
  <si>
    <t>['telkomsel', 'semangkin', 'parah', 'kali', 'beli', 'paket', 'data', 'nda', 'pdahal', 'pakai', 'telkomsel', 'cuaaca', 'bagus', 'mendung', 'hujan', 'parah', 'ambil', 'untung', 'doang', 'perhati', 'kualitas', 'jaringan', 'kota', 'pelosok', 'pelosok', 'haaa', 'gmn']</t>
  </si>
  <si>
    <t>['kecewa', 'telkomsel', 'buka', 'lancar', 'pas', 'masuk', 'game', 'patah', 'patah', 'emosi', 'tolong', 'diperbaiki', 'kinerja', 'jaringannya', 'terimakasih', '']</t>
  </si>
  <si>
    <t>['jaringan', 'tiang', 'tower', 'telkomsel', 'kabupaten', 'humbang', 'hasundutan', 'kecamatan', 'pakkatdahulu', 'survey', 'lokasi', 'tiang', 'eksekusi', '']</t>
  </si>
  <si>
    <t>['', 'kasih', 'bntang', 'baca', 'sinyalnya', 'bagus', 'knpa', 'internet', 'paketan', 'masi', 'pulsa', 'trus', 'telkomsel', 'mlah', 'buruk', '']</t>
  </si>
  <si>
    <t>['sinyal', 'simpati', 'telkomsel', 'buruk', 'kualitas', 'main', 'game', 'browsing', 'lemooot', 'sungguh', 'memalukan', 'sbg', 'konsumen', 'dirugikan', 'miris', 'deh']</t>
  </si>
  <si>
    <t>['update', 'tukar', 'poin', 'tetep', 'telkomsel', 'telkomsel', 'hapus', 'poin', 'kaga', 'cuman', 'pajangan', 'poin']</t>
  </si>
  <si>
    <t>['beli', 'kuota', 'ytb', 'unlimited', 'promo', 'hilang', 'pulsa', 'ngadain', 'promo', 'bnr', 'udah', 'beli', 'kaga']</t>
  </si>
  <si>
    <t>['telkomsel', 'sebagus', 'dlu', 'skrg', 'ngisi', 'kuota', 'boros', 'banget', 'doang', 'nyedot', 'kuotanya', 'dluu', 'kaya', 'gini', 'tolong', 'diperbaiki', 'telkomsel', 'merugikan', 'orang', 'skrg', '']</t>
  </si>
  <si>
    <t>['aplikasi', 'rusak', 'habis', 'login', 'masak', 'force', 'close', 'rusak', 'google', 'ngebug', 'parah', 'hang', 'jaringan', 'stabil', 'ping', 'melonjak', 'main', 'koneksi', 'gini', 'gimana', 'coba', 'migrasi', 'masak', 'gini', 'kualitas', 'perusahaan', 'dibawah', 'plat', 'merah', 'malu', 'developer', 'game', 'swasta', 'intinya', 'kecewa', '']</t>
  </si>
  <si>
    <t>['install', 'buka', 'nda', 'buka', 'tlng', 'benahi', 'berlangganan', 'telkomsel', 'puluhan', 'masak', 'hrs', 'hilang', 'kepercayaan', 'gara', 'mslh', '']</t>
  </si>
  <si>
    <t>['telkmsel', 'parah', 'kouta', 'tolong', 'emang', 'kerusakan', 'tlkmsel', 'cepet', 'perbaiki', 'gini', 'ujung', 'mimin', 'telkmsel', 'normal', 'terimakasi', '']</t>
  </si>
  <si>
    <t>['', 'kuota', 'mahal', 'jaringan', 'bener', 'jaringan', 'telkomsel', 'kayk', 'bener', 'marah', 'kenyataannya', 'gitu', 'beli', 'dpt', 'gb', 'jaringan', 'beli', 'unlimited', 'klok', 'jaringan', 'lelet', 'mending', 'lelet', 'lelet', 'lagiii', '']</t>
  </si>
  <si>
    <t>['pakai', 'sel', 'bertahun', 'kli', 'bingung', 'nomer', 'tergolong', 'komunitas', 'perbulan', 'daftar', 'gratis', 'telfon', 'angoota', 'komunitas', 'tpi', 'kmarin', 'danftar', 'daftarnya', 'sukse', 'tpi', 'pke', 'telfon', 'aneh', 'banget', 'kecewa', '']</t>
  </si>
  <si>
    <t>['mengalami', 'telkomsel', 'pelayanan', 'internetnya', 'lemote', 'cepat', 'sperti', 'langganan', 'indihome', 'mbps', 'masuk', 'mbps', 'bayar', 'mbps', '']</t>
  </si>
  <si>
    <t>['telkomsel', 'ppkm', 'jelek', 'sinyal', 'mentok', 'edge', 'hilang', 'ngedadak', 'rumah', 'kampung', 'sampe', 'jelek', 'stia', 'telkomsel', 'cileat', 'gardusayang', 'kec', 'cisalak', 'kab', 'subang', 'cepet', 'cepet', 'stabil']</t>
  </si>
  <si>
    <t>['telkomsel', 'kesini', 'meningkatkan', 'jaringan', 'lelet', 'banget', 'malam', 'pengen', 'ngamuk', 'rasane', 'tolong', 'diperbaiki', 'makasih']</t>
  </si>
  <si>
    <t>['kuota', 'jual', 'kuota', 'nonton', 'kuota', 'music', 'kepake', 'hooq', 'euro', 'ntah', 'kuota', 'internet', 'perbanyak', 'pilihan', 'bingung', 'beli', 'kuota', '']</t>
  </si>
  <si>
    <t>['mohon', 'jaringan', 'distabilin', 'mohon', 'banget', 'jaringan', 'udah', 'kek', 'gggggggggggggggggggggggggg', 'mohon', 'distabilin', '']</t>
  </si>
  <si>
    <t>['', 'downgrade', 'paket', 'halo', 'fit', 'maafkan', 'kak', 'downgrade', 'tingkat', 'yaudah', 'turunkan', 'maaf', 'kak', 'member', 'download', 'grade', 'ngapa', 'ngomong', 'dri', 'tdi', 'anying', '']</t>
  </si>
  <si>
    <t>['kualitas', 'sambungan', 'juara', 'terbaik', 'terluas', 'dimaintain', 'konsumen', 'jaringan', 'penuh', 'ditambah', 'jaringan', 'kualitas', 'menurun', 'terimakasih']</t>
  </si>
  <si>
    <t>['', 'kecewa', 'pelayanan', 'telkomsel', 'sinyal', 'gangguan', 'paketnya', 'mahal', 'pulsa', 'hilang', 'misterius', 'alias', 'dicuri', 'telkomsel', 'perubahan', 'pelayanan', 'ganti', 'operator', 'telkomsel', 'hancurkan', '']</t>
  </si>
  <si>
    <t>['telkomsel', 'sinyal', 'parah', 'dikota', 'jelek', 'harga', 'kuota', 'mahal', 'pengguna', 'kecewa', 'gini', 'teruss', 'pindah', 'sebelah', 'murah', 'sinyal', 'aman', 'makasih']</t>
  </si>
  <si>
    <t>['infokan', 'jaringan', 'buruk', 'ditempat', 'skrg', 'msh', 'berpindah', 'hati', 'informasi', 'kartu', 'telkomsel', 'msh', '']</t>
  </si>
  <si>
    <t>['semenjak', 'komisaris', 'utamamu', 'ganti', 'gini', 'aplikasimu', 'dibuka', 'ganti', 'komisaris', 'utamamu', 'ngerti', 'teknologi', 'hancur', 'kepercayaan', 'masyarakat', 'bumn', 'tekor', 'terusss', '']</t>
  </si>
  <si>
    <t>['buka', 'menu', 'telkomsel', 'ngk', 'disuruh', 'update', 'berpuluh', 'kali', 'coba', 'puta', 'ngk', 'update', 'tolong', 'parah', 'signal', 'fiturnya', 'buka', '']</t>
  </si>
  <si>
    <t>['', 'telkomsel', 'nda', 'beres', 'miskin', 'aplikasinya', 'sebentar', 'apdet', 'udah', 'nda', 'gunain', 'cek', 'paket', 'butuh', 'nda', 'beres', '']</t>
  </si>
  <si>
    <t>['yakn', 'jaringan', 'kuat', 'layanan', 'telkom', 'provider', 'jaringan', 'applikasinya', 'kirim', 'haduah', 'nomer', 'simpaty', 'istri', 'suka', 'error', 'alias', 'toling', 'perbaiki', 'layanan', 'jaringan', 'applikasi', 'telkomsel', 'setahun', 'bagus', 'menurun', '']</t>
  </si>
  <si>
    <t>['kemarin', 'sisa', 'kuota', 'diakumulasikan', 'kuota', 'internet', 'diisi', 'habis', 'skrg', 'sisa', 'kuota', 'hilang', 'diisi', 'habis', '']</t>
  </si>
  <si>
    <t>['sinyal', 'kadang', 'bagus', 'kadang', 'jelek', 'tergantung', 'dimana', 'posisi', 'membantu', 'beraktivitas', 'belajar', 'mengajar', 'trims', 'telkomsel']</t>
  </si>
  <si>
    <t>['jaringan', 'sinyal', 'full', 'kadang', 'nonton', 'streaming', 'lag', 'buffering', 'jenis', 'paket', 'internet', 'terbilang', 'mahal', 'kuota', '']</t>
  </si>
  <si>
    <t>['tampilan', 'versi', 'terbaru', 'fitur', 'user', 'friendly', 'menarik', 'versi', 'tampila', 'menu', 'menarik', 'user', 'friendly']</t>
  </si>
  <si>
    <t>['kmrn', 'beli', 'paket', 'blm', 'udh', 'isi', 'pulsa', 'update', 'beli', 'paket', 'saran', 'blm', 'beli', 'paket', 'pulsa', 'diisi', 'pulsa', 'sesuai', 'harga', 'paket', 'silahkan', 'update', 'dlu', 'apk', 'apk', 'blm', 'update', '']</t>
  </si>
  <si>
    <t>['tampilan', 'bagus', 'tpi', 'pilih', 'paket', 'rumit', 'harga', 'tpi', 'terlibat', 'kuota', 'dibeli', 'tekan', 'tombol', 'back', 'menu', 'utama', 'jdi', 'masuk', 'tlg', 'diperbaiki', 'bagus', 'versi', '']</t>
  </si>
  <si>
    <t>['komplen', 'aplikasi', 'update', 'beli', 'paket', 'beli', 'beli', 'nga', 'sesuai', 'lokasi', 'tolong', 'perbaiki', 'paket', 'dibawah', 'jelek', 'jelek', 'kecepatan', 'jaringan', 'lelet', 'banget']</t>
  </si>
  <si>
    <t>['aplikasi', 'update', 'sayangnya', 'perubahan', 'mohon', 'pandemi', 'diskon', 'paket', 'harganya', 'jaringannya', 'jelek', 'beli', 'mahal', 'mahal', 'poin', 'pakai', 'tukar', 'pulsa', 'kuota', 'pakai', 'undian', 'menang', 'sayangnya', 'kecewa', '']</t>
  </si>
  <si>
    <t>['telkomsel', 'bagus', 'tingkatkan', 'jaringannya', 'lambat', 'usahakan', 'promo', 'menarik', 'paket', 'merakyat', '']</t>
  </si>
  <si>
    <t>['poin', 'tukar', 'pulsa', 'kartu', 'sim', 'versi', 'harga', 'paketnya', 'mahal', 'kartu', 'sim', 'paket', 'internet', 'murah', 'murah', '']</t>
  </si>
  <si>
    <t>['puas', 'telkomsel', 'puas', 'terpilih', 'pemenang', 'penukaran', 'telkomsel', 'poin', 'menukarkan', 'poin', 'beruntung', 'semoga', 'kali', 'terpilih', 'pemenang', 'amin']</t>
  </si>
  <si>
    <t>['knp', 'telkomsel', 'lelet', 'banget', 'kangen', 'telkomsel', 'sinyalnya', 'kuat', 'internetan', 'cepat', 'kecewakan', 'jutaan', 'orang', 'percaya', 'telkomsel', '']</t>
  </si>
  <si>
    <t>['sinyal', 'buruk', 'harga', 'poin', 'dikurangi', 'paket', 'bersahabat', 'kantong', 'memaksakan', 'harga', 'kualitas', 'minim', 'disuruh', 'pindah', 'haluan', 'kartu', 'halo', 'harganya', 'bersahabat', 'kantong', 'kecewa', 'telkomsel', '']</t>
  </si>
  <si>
    <t>['lockdown', 'rakyat', 'disuruh', 'dirumah', 'pas', 'dirumah', 'maen', 'sinyal', 'parah', 'beli', 'data', 'mahal', 'sinyal', 'parah', 'mohon', 'telkomsel', 'pedesaan', 'kontrol', 'kekuatan', 'sinyal', 'beli', 'data', 'pakai', 'uang', '']</t>
  </si>
  <si>
    <t>['versi', 'terbaru', 'send', 'gift', 'paket', 'internet', 'malam', 'pakai', 'tagihan', 'kartu', 'halo', 'tulisan', 'balance', 'not', 'enough', 'versi', 'gift', 'paket', 'internet', 'malam']</t>
  </si>
  <si>
    <t>['bayar', 'paket', 'darurat', 'nama', 'paket', 'darurat', 'ngisis', 'trs', 'bayar', 'paket', 'darurat', 'tolong', 'telkomsel', 'bijak', 'donk', 'pakai', 'paket', 'darurat', 'pulsa', 'kesedot', 'bayar', 'paket', 'darurat', 'tolong', 'perbaiki', 'sistem', 'terima', 'kasih', '']</t>
  </si>
  <si>
    <t>['tolong', 'bedakan', 'paket', 'telkomsel', 'sakti', 'mahal', 'paket', 'mahal', 'paket', 'murah', 'murah', 'simpati', 'mahal', 'adil', 'bos']</t>
  </si>
  <si>
    <t>['lumayan', 'membantu', 'liat', 'paket', 'saldo', 'puas', 'kualitas', 'signal', 'buruk', 'daerah', 'sumatera', 'utara', 'tks', '']</t>
  </si>
  <si>
    <t>['sinyalnya', 'jaringan', 'internet', 'tunjukkan', 'bar', 'sinyal', 'maksudnya', 'konspirasi', 'udh', 'gitu', 'main', 'game', 'jaringan', 'ilang', 'apasih', 'bosan', 'ngilang', 'gitu', '']</t>
  </si>
  <si>
    <t>['sebenernya', 'jaringan', 'bagus', 'mengecewakan', 'tolonglah', 'harga', 'fantastis', 'barengi', 'pandemi', 'hargai', 'konsumen', 'setia', 'mahalnya', 'tarif', 'paket', 'sanggupi', 'mengerti', 'askes', 'stabil', 'tersedotnya', 'pulsa', 'karenakan', 'membeli', 'tarif', 'paket', 'internet', 'meninggalkan', 'provider', 'terima', 'kasih']</t>
  </si>
  <si>
    <t>['apk', 'mudah', 'bgi', 'smua', 'pelanggan', 'telkomsel', 'diakses', 'dimana', 'tpi', 'kayaknya', 'paket', 'internet', 'internet', 'org', 'beli', 'paket', 'internet', 'pket', 'internet', 'maxstream', 'gb', 'smua', 'pelanggan', 'telkomsel', 'minat', 'pda', 'maxstream', 'jdi', 'tolonglah', 'dibedakan', 'paket', 'internet', 'sepaket', 'ama', 'maxstream', 'makasih']</t>
  </si>
  <si>
    <t>['harga', 'paket', 'unlimitied', 'whatsapp', 'dikembalikan', 'murahin', 'lahhh', 'mahalin', 'isi', 'pulsa', 'gara', 'gara', 'harganya', 'pengeluaran', 'bertambah', 'pandemi', 'harga', 'paket', 'internet', 'murahin', 'membantu', 'dimasa', 'covid', 'min', 'sekian', 'saran', 'terima', 'kasih', 'wassalam', '']</t>
  </si>
  <si>
    <t>['kecewa', 'jaringannya', 'buruk', 'data', 'geratis', 'jelek', 'banget', 'jaringannua', 'tolong', 'diperbaiki', 'jaringan', 'stabil', 'trims', 'perubahan', 'memuaskan', 'terpaksa', 'pindah', 'rumah', 'nyaman']</t>
  </si>
  <si>
    <t>['sampah', 'udah', 'update', 'dibuka', 'update', 'klik', 'update', 'permintaan', 'update', 'playstore', 'ngaco', 'aplikasi', 'gini', 'aplikasi', 'ngasal', 'jdnya', 'abal', '']</t>
  </si>
  <si>
    <t>['audah', 'signal', 'simpati', 'jelek', 'tolong', 'perbaiki', 'signal', 'simpati', 'main', 'game', 'ngeleg', 'trus', 'buka', 'jga', 'loading', 'pengguna', 'simpati', 'kali', 'bener', 'kecewa', 'signal', 'simpati', 'tolong', 'secepatnya', 'perbaiki', '']</t>
  </si>
  <si>
    <t>['sinyal', 'telkomsel', 'bermasalah', 'paket', 'gb', 'kecewa', 'telkomsel', 'mohon', 'perbaikannya', 'telkomsel', 'daerah', 'wringinagung', 'jombang', 'jember', 'jatim', '']</t>
  </si>
  <si>
    <t>['isi', 'cek', 'pulsa', 'masuk', 'dipemberitahuan', 'beli', 'paket', 'internet', 'saldo', 'mencukupi', 'auto', 'kaget', 'kemana', 'pulsaku', 'isi', 'didepan', 'kedai', 'pulsa', 'telkomsel', 'aneh', 'sungguh', 'merugikan', '']</t>
  </si>
  <si>
    <t>['sedot', 'kuota', 'internet', 'ajh', 'kenceng', 'banget', 'sinyalnya', 'maen', 'game', 'sinyal', 'putus', 'pingnya', 'ijo', 'kuning', 'merah', 'game', 'giliran', 'buka', 'yutup', 'lancar', 'jaya', 'nyedot', 'kuota', 'amjinc', 'banget', '']</t>
  </si>
  <si>
    <t>['jaringan', 'telkomsel', 'kota', 'hancurr', 'udah', 'mahal', 'lemot', 'bersaing', 'jaringan', 'prubahan', 'fix', 'deh', 'tetangga', 'sebelah', '']</t>
  </si>
  <si>
    <t>['aplikasinya', 'bagus', 'layanan', 'bagus', 'sedih', 'tagihan', 'bulanan', 'mahal', 'pemakaian', 'jarang', 'telkomsel', 'operator', 'sayang', 'lamar', 'kerja', 'dll', 'tagihannya', 'mahal', 'dlu', 'kerja', 'kerasa', 'udah', 'penghasilan', 'semenjak', 'covid', 'berasa', 'tagihan', 'mahal', 'banding', 'operator', 'allah', 'ampuni', 'udah', 'bahas', 'telkomsel', '']</t>
  </si>
  <si>
    <t>['kecewa', 'pulsa', 'dipotong', 'aktif', 'paket', 'aktif', 'paket', 'aktif', 'trus', 'komplain', 'pusat', 'bantuan', 'veronica', 'slow', 'respon', 'solusi', 'ngemis', 'ngemis', 'rating', 'bagus', 'kacau', 'telkomsel']</t>
  </si>
  <si>
    <t>['logonya', 'jelek', 'ciri', 'khas', 'telkomsel', 'daerah', 'jaringan', 'internet', 'buruk', 'jelek', 'kuat', 'akses', 'internet', 'buka', 'youtube', 'lodinhnya', 'penggunanya', 'dimasa', 'pandemi', 'pengguna', 'meningkat', 'lokasi', 'desa', 'pulau', 'sengkilo', 'kec', 'kelayang', 'kab', 'indragiri', 'hulu', 'mohon', 'dicek', 'towernya', 'min', 'perangkatnya', 'ganti', 'ngadat', 'sedih', 'pelanggan', 'telkomsel', 'terimakasih', '']</t>
  </si>
  <si>
    <t>['heh', 'paketan', 'harga', 'berubah', 'harganya', 'asulah', 'harganya', 'lemot', 'sadar', 'hey', 'sadar', 'bukanya', 'stabil', 'turun', 'pingnya']</t>
  </si>
  <si>
    <t>['', 'telkomsel', 'kesulitan', 'buka', 'aplikasinya', 'bukanya', 'pelayanan', 'buruk', '']</t>
  </si>
  <si>
    <t>['kecewa', 'ama', 'telkomsel', 'buka', 'aplikasi', 'gabisa', 'data', 'axis', 'paket', 'axis', 'nonton', 'buka', 'twitter', 'buka', 'telkomsel', 'gabisa', 'belinya', 'masuk', 'telkomsel', 'posisi', 'kuota', 'telkom', 'abis', 'beli', 'kuota', 'axis', 'murah', 'beli', 'telkomsel', 'gabisa', 'login', 'axis', 'pulsa', 'galucu', 'pokonya', 'kecewa', 'kasih', 'bintang', '']</t>
  </si>
  <si>
    <t>['error', 'ajah', 'telkomsel', 'jaringannya', 'kek', 'buruk', 'paketnya', 'mahal', 'kode', 'paket', 'kartu', 'asemmm']</t>
  </si>
  <si>
    <t>['maaf', 'beli', 'kuota', 'mytelkomsel', 'kuotanya', 'suka', 'dipake', 'kirakira', 'suka', 'pemberitahuan', 'pembayaran', 'gagal', 'pulsa', 'kepotong', '']</t>
  </si>
  <si>
    <t>['kuota', 'ketenangan', 'instagram', 'keterangan', 'ditulis', 'unlimited', 'batasan', 'kecepatan', 'dipakai', 'mb', 'udah', 'notif', 'batas', 'pemakaian', 'wajar', 'habis', 'kecepatan', 'sesuaikan', 'udah', 'dipakai', 'lelet', 'naudzubillah', 'pakai', 'nipu', 'gitu', 'dipakau', 'dibilang', 'unlimited', 'unlimited', 'pakai', 'mb', 'udah', 'dipakai', 'boro', 'boro', 'liat', 'vidio', 'instagram', 'buka', 'gambar', 'plong', 'kosong', 'nipu', '']</t>
  </si>
  <si>
    <t>['bermanfaat', 'mempermudah', 'transaksi', 'promo', 'menarik', 'saran', 'mytelkomsel', 'coba', 'promo', 'ekonomis', 'masyarakat', 'didalam', 'pandemi', 'terimakasih', 'telkomsel']</t>
  </si>
  <si>
    <t>['aplikasi', 'udah', 'nyaman', 'jaringan', 'telkomsel', 'bermasalah', 'lelet', 'sesuai', 'harga', 'beli', 'klau', 'udah', 'perbaiki', 'jaringan', 'bintang']</t>
  </si>
  <si>
    <t>['maaf', 'bintang', 'aturan', 'konsumsi', 'paket', 'telkomsel', 'diubah', 'mengkonsumsi', 'paket', 'aktif', 'mementingkan', 'untung', 'pikirkan', 'kenyamanan', 'pengguna', 'membeli', 'paket', 'unlimited', 'harian', 'habis', 'paket', 'internet', 'lokal', 'paket', 'unlimited', 'terpakai', 'ruginya', 'paket', 'unlimited', 'dikonsumsi', '']</t>
  </si>
  <si>
    <t>['ngeprank', 'udah', 'isi', 'pulsa', 'perpanjang', 'paket', 'paketnya', 'tersedia', 'promonya', 'agustus', 'telkomsel', 'kayak', 'taeiiii', '']</t>
  </si>
  <si>
    <t>['bintang', 'benarnya', 'pelanggan', 'telkomsel', 'berniat', 'membeli', 'kuota', 'internet', 'kondisi', 'pulsa', 'mepet', 'beli', 'paket', 'internetnya', 'pulsa', 'terpotong', 'otomatis', 'membeli', 'kuota', 'internet', 'tarif', 'normal', 'pulsa', 'habis', 'kuota', 'internet', 'saran', 'cobalah', 'perbaiki', 'sistemnya', 'masyarakat', 'ppkm', 'tertolong', 'pulsa', '']</t>
  </si>
  <si>
    <t>['', 'knapa', 'applikasi', 'kaya', 'abal', 'buka', 'app', 'paksa', 'download', 'versi', 'terbaru', 'sehabis', 'update', 'kaga', 'buka', 'applikasinya', 'developer', 'naikin', 'mutu', 'app', 'bro', '']</t>
  </si>
  <si>
    <t>['update', 'terbaru', 'pas', 'buka', 'aplikasinya', 'disuruh', 'perbarui', 'pencet', 'masuklah', 'play', 'store', 'diperbarui', 'dipencet', 'buka', '']</t>
  </si>
  <si>
    <t>['jalan', 'sinyal', 'hancur', 'harga', 'paket', 'data', 'termahal', 'niat', 'melayani', 'pelanggan', 'bubarkan', '']</t>
  </si>
  <si>
    <t>['sistem', 'bisnis', 'telkomsel', 'curangnya', 'barokah', 'penipuan', 'dikamuflase', 'potong', 'pulsa', 'haram', 'pakai', 'cadangan', 'kadang', 'belinya', '']</t>
  </si>
  <si>
    <t>['', 'update', 'dibuka', 'buka', 'aplikasi', 'muncul', 'link', 'perbaharui', 'masuk', 'play', 'store', 'terupdate', 'klik', 'buka', 'kya', 'gitu', 'doank', '']</t>
  </si>
  <si>
    <t>['gimana', 'pembaruan', 'tapinya', 'kebuka', 'aplikasinya', 'jaringan', 'internet', 'gangguan', 'pelayanan', 'jelek']</t>
  </si>
  <si>
    <t>['mengganti', 'oprator', 'telkomsel', 'kali', 'sungguh', 'kecewa', 'telkomsel', 'tukar', 'point', 'menukar', 'point', 'point', 'telkomsel', 'menyukupi', 'kali', 'mohon', 'perbaiki', 'merugikan', 'orang', '']</t>
  </si>
  <si>
    <t>['gimana', 'beli', 'paket', 'kombo', 'sakti', 'dapet', 'internet', 'gb', 'multi', 'media', 'dipake', 'youtubeban', 'kepake', 'paket', 'internet', 'aplikasi', 'youtube', 'paket', 'multimedia', 'utuh', 'gazebo', '']</t>
  </si>
  <si>
    <t>['kuat', 'ngatasi', 'jaringan', 'jaringan', 'tsel', 'percumah', 'tsel', 'pelayanan', 'jaringanya', 'sesuai', 'tsel', 'lemah', 'koneksi', 'jaringanya', 'pengguna', 'indonesia', 'ngeluh', 'pelayanan', 'tsel', 'tolonglah', 'perbaiki', 'tingkat', 'pelayanan', 'koneksi', 'jaringanya', 'paham']</t>
  </si>
  <si>
    <t>['aplikasi', 'bagus', 'min', 'kadang', 'kendala', 'membeli', 'paket', 'promo', 'aktif', 'banget', 'kadang', 'aktif', 'aktif', 'beli', 'paket', 'paket', 'promo', 'kuota', 'langsung', 'aktif', 'terimakasih', '']</t>
  </si>
  <si>
    <t>['tolong', 'perbaiki', 'jaringan', 'kutai', 'barat', 'jaringannya', 'jelek', 'dsini', 'cuman', 'telkomsel', 'indosat', 'psti', 'pilih', 'indosat', 'murah', 'telkomsel', 'tarif', 'mahal', 'pelayanan', 'jelekkk']</t>
  </si>
  <si>
    <t>['telkomsel', 'garang', 'buka', 'internet', 'download', 'youtube', 'main', 'game', 'online', 'suka', 'merah', 'trs', 'kota', 'mantul', 'beranak', 'bye', '']</t>
  </si>
  <si>
    <t>['penampilan', 'beranda', 'aplikasi', 'lambang', 'telkomsel', 'bagus', 'elegan', 'pas', 'perbahuri', 'perbahuri', 'kaya', 'aneh', 'sumpah', 'liatnya', 'enak', 'gimana', 'teaa', 'jaringan', 'mantap', 'betulll', 'ngeleg', 'ngeleg', 'perangkat', 'jaringan', 'indonesia', 'brapo', 'love', 'telkomsel', '']</t>
  </si>
  <si>
    <t>['maaf', 'cabut', 'bintang', 'limanya', 'karna', 'kouta', 'stengah', 'habis', 'menit', 'aneh', 'banget', 'sedengkan', 'kartu', 'laen', 'lumayan', 'awet', 'pindah', 'laen', 'perbaiki', '']</t>
  </si>
  <si>
    <t>['barusan', 'buka', 'aplikasi', 'trs', 'disuruh', 'update', 'pas', 'udah', 'selesai', 'diupdate', 'disuruh', 'update', 'klik', 'muncuk', 'play', 'store', 'tulisannya', 'tinggal', 'buka', 'pas', 'dibuka', 'muncul', 'suruh', 'update', 'tolong', 'diperbaiki', 'muter', 'muter', 'trs']</t>
  </si>
  <si>
    <t>['update', 'buka', 'update', 'ehhh', 'udah', 'update', 'dibuka', 'gimana']</t>
  </si>
  <si>
    <t>['udah', 'telkomsel', 'tpi', 'kali', 'nyaman', 'karna', 'suka', 'ngilang', 'jaringan', 'jdi', 'keganggu', 'bermain', 'game', 'tolong', 'kebijakan', 'admin', 'terimakasih']</t>
  </si>
  <si>
    <t>['jaringannya', 'stabilkan', 'sya', 'main', 'game', 'jaringan', 'buka', 'aplikasi', 'jaringan', 'tolong', 'distabilkan', 'jaringan', 'gara', 'jaringan', 'sya', 'kalah', 'main', 'game', 'terusan', 'sya', 'pakai', 'operator']</t>
  </si>
  <si>
    <t>['mahal', 'banget', 'internet', 'suruh', 'update', 'beralih', 'wifi', 'ttp', 'beli', 'internet', 'karnw', 'wifi', 'kagak', 'dibawakan', 'plss', 'diperbaiki', 'update', 'mulu', 'kasian', 'internet', 'merugi', 'update', 'aplikasi', 'mulu', 'internet', 'ditarik', 'bwt', 'update', 'aplk', 'gedew', 'jaringan', 'kadang', 'suka', 'eror', 'pulkam', 'kadang', 'suka', 'nge', 'leg', 'terbiasa', 'kota', 'kampung', 'betulin', 'beralih', '']</t>
  </si>
  <si>
    <t>['gunanya', 'paket', 'unlimited', 'max', 'udah', 'beli', 'dimakan', 'kuota', 'utama', 'kuota', 'unlimited', 'kepake', 'mending', 'indosat', 'murah', 'nggak', 'nipu', 'saran', 'mending', 'ganti', 'teknisinya', 'pecat', 'jajaran', 'pemasaran', 'bohong', 'kuota', 'unlimited']</t>
  </si>
  <si>
    <t>['bgke', 'nomor', 'dpt', 'hadiah', 'syarat', 'isi', 'pulsa', 'nmor', 'coustemer', 'apalah', 'enak', 'kumpulin', 'point', 'telkomsel', 'jaringannya', 'kek', 'bgke', 'lelet', 'dasar', 'bgke', 'pulsa', 'paket', 'data', 'doang', 'mahal', 'pelayanan', 'kualitasnya', 'rendah', 'bgkee']</t>
  </si>
  <si>
    <t>['aplilakasi', 'telkomsel', 'mudah', 'informasi', 'kartu', 'telkomsel', 'semoga', 'tingkatkanya', 'pelayan', 'jaringan']</t>
  </si>
  <si>
    <t>['kuota', 'habis', 'otomatis', 'pulsa', 'nyedot', 'pulsa', 'ngotak', 'nyalain', 'data', 'muncul', 'notif', 'udh', 'angus', 'trus', 'kmren', 'kuotanya', 'abis', 'malem', 'pas', 'lgi', 'tidur', 'bangun', 'udah', 'abis', 'pulsa', 'sistem', 'sampah', 'gaguna', 'cari', 'cuan']</t>
  </si>
  <si>
    <t>['', 'bintang', 'nomor', 'nggak', 'paket', 'internet', 'wouuuww', 'sakit', 'hati', 'lihat', 'nomor', 'tsel', 'teman', 'paketnya', 'murah', 'kuota', 'berlimpah', 'tsel', 'keluarin', 'paket', 'nomor', 'berbeda', 'duitnya', 'beda', 'nilainya', '']</t>
  </si>
  <si>
    <t>['telkom', 'babi', 'emg', 'telkomsel', 'suka', 'lag', 'babi', 'emg', 'marah', 'kau', 'enak', 'lag', 'coba', 'lag', 'hei', 'benerin', 'jaringan', 'kntl']</t>
  </si>
  <si>
    <t>['stelah', 'gnti', 'kartu', 'halo', 'mlh', 'rugikan', 'ktnya', 'stlh', 'kuota', 'utama', 'hbis', 'unlimited', 'btasi', 'gb', 'doang', 'penipu', 'non', 'aktfkan', 'pketnya', 'ktnya', 'sruh', 'gnti', 'nomer', 'bru', 'skrg', 'bnyk', 'nyambung', 'app', 'atm', 'ribet', 'gnti', 'nomer', 'gtu', 'pas', 'grapari', 'ternyta', 'bntu', 'krna', 'dftrny', 'lwt', 'service', 'center', 'ribet', 'mls', 'pke', 'telkom', '']</t>
  </si>
  <si>
    <t>['coba', 'benahi', 'sinyal', 'nyo', 'bos', 'lelet', 'pengguna', 'kartu', 'paket', 'udah', 'mahal', 'boros', 'ngak', 'full', 'habis', 'terbagi', 'paket', 'multimedia', 'terguna', 'lelet', 'dri', 'paket', 'reguler', 'imingan', 'beli', 'paket', 'mahal', 'banyk', 'tpi', 'separuh', 'lelet', 'sarani', 'mikir', 'pakai', 'telkomsel', 'perbaikan', 'dri', 'telkomsel', 'operator', 'murah', 'tpi', 'sesuai', 'dgan', 'produknya', 'mahal', 'tpi', 'memuaskan', 'terima', 'kasih']</t>
  </si>
  <si>
    <t>['applikasi', 'buka', 'muncul', 'your', 'sesion', 'expired', 'bla', 'bla', 'pengguna', 'telkomsel', 'thn', 'masuk', 'thn', 'kualitas', 'jaringan', 'inet', 'lelet', 'kualitas', 'bumn', '']</t>
  </si>
  <si>
    <t>['kasi', 'bintang', 'pulsa', 'ngak', 'kunci', 'kuota', 'habis', 'langsung', 'nyedot', 'pulsa', 'perbaikan', 'layanan', 'paket', 'kuota', 'habis', 'pulsa', 'terkunci', 'koneksi', 'berhenti', 'kadang', 'ngak', 'nge', 'paket', 'habis', 'ngak', 'trimakasi']</t>
  </si>
  <si>
    <t>['tolong', 'perbaiki', 'yutub', 'lancar', 'donlod', 'lancar', 'tpi', 'main', 'game', 'ping', 'stabil', 'tes', 'jaringan', 'ping', 'komen', 'msalah', 'telkomsel', 'ktika', 'main', 'game', 'onlen']</t>
  </si>
  <si>
    <t>['perusahan', 'iwip', 'jaringan', 'nelpon', 'buruk', 'internet', 'lalodnya', 'ampun', 'diharap', 'telkomsel', 'kekuatan', 'jaringan', 'internetnya', 'terima', 'kasih', '']</t>
  </si>
  <si>
    <t>['sinyal', 'buruk', 'sekelas', 'telkomsel', 'tinggal', 'kota', 'jaminan', 'internet', 'lancar', 'lemot', 'banget', 'paketan', 'parah', 'pengin', 'pindah', 'haluan']</t>
  </si>
  <si>
    <t>['beli', 'paket', 'mytelkosel', 'bayar', 'pakai', 'ovo', 'paketnya', 'dikirim', 'udah', 'udah', 'konfirmasi', 'ovo', 'pembayaran', 'berhasil', 'disuruh', 'konfirmasi', 'telkomsel', 'terkait', 'udah', 'hubungin', 'chat', 'messager', 'suruh', 'tunggu', 'jam', 'udah', 'tunggu', 'konfirmasi', 'ngirim', 'email', 'telkomsel', 'suruh', 'tunggu', 'kerja', 'intinya', 'kecewa', 'telkomsel', 'kali', 'user', 'rugikan', 'terimakasih', '']</t>
  </si>
  <si>
    <t>['mahal', 'internet', 'tolong', 'aplikasi', 'dibatasi', 'pengambilan', 'kuota', 'youtube', 'snexvidio', 'tiktok', 'facebook', 'dll', 'cerita', 'diluar', 'negeri', 'isi', 'pulsa', 'internet', 'seratus', 'ribu', 'sebulan', 'jam', 'tolong', 'perhatikan', 'rakyat', 'nikmati', 'internet', 'terimakasih']</t>
  </si>
  <si>
    <t>['telkomsel', 'knp', 'sulit', 'jaringan', 'telkomsel', 'lte', 'tepatnya', 'sumsel', 'oki', 'muak', 'telkomsel', 'enak', 'ntah', 'knp', 'susah', 'tolong', 'perbaiki', 'berubah', 'pikiran']</t>
  </si>
  <si>
    <t>['muaaahaaall', 'paket', 'murah', 'pilih', 'pilih', 'lokasi', 'unlimited', 'fup', 'hoaaxx', 'unlimiteedd', 'mari', 'berbondong', 'bondong', 'pindah', 'kartuuuuu', 'balesannya', 'cuman', 'silahkan', 'hubungi', 'mimin', 'memalulii', 'bla', 'blaa', 'blaaa', '']</t>
  </si>
  <si>
    <t>['telkomsel', 'terbaik', 'jaringan', 'pelosok', 'pelosok', 'negeri', 'butuh', 'internet', 'butuh', 'jaringan', 'telpon', 'maju', 'semangat', '']</t>
  </si>
  <si>
    <t>['beli', 'paket', 'unlimited', 'max', 'paket', 'internet', 'cepet', 'habis', 'awet', 'banget', 'tambahin', 'kuota', 'tetep', 'cepat', 'abis', 'pemakaian', 'wajar']</t>
  </si>
  <si>
    <t>['beli', 'kuota', 'unlimited', 'youtube', 'minggu', 'pas', 'buka', 'youtube', 'paketin', 'kuota', 'tiktok', 'pas', 'buka', 'apk', 'tiktok', 'beli', 'kuota', 'segitu', 'berharga', 'kali', 'nipu', 'gitu', 'udah', 'komplain', 'tanggapan', 'menjengkelkan', 'banget']</t>
  </si>
  <si>
    <t>['sorry', 'sinyal', 'telkop', 'rumah', 'lemot', 'game', 'lancar', 'kasih', 'bintang', '']</t>
  </si>
  <si>
    <t>['telkomsel', 'jaringannya', 'buruk', 'sinyal', 'suka', 'hilang', 'nggak', 'layanan', 'tolong', 'telkomsel', 'diperbaiki', 'jaringannya', 'daring', 'susah', 'bener', 'bener', 'nggak', 'bar', 'jaringannya', 'udah', 'jaringan', 'telkomsel', 'buruk', 'udah', 'ngalah', 'ngalahin', 'axis', 'jeleknya', 'tolong', 'telkomsel', 'diperhatikan', 'kayak', 'gini', 'terimakasih', '']</t>
  </si>
  <si>
    <t>['emng', 'kali', 'telkomsel', 'contoh', 'sms', 'maksut', 'paket', 'combo', 'sakti', 'harga', 'rb', 'kuota', 'gb', 'internetan', 'nelpon', 'sms', 'cek', 'telkomsel', 'beli', 'dikonter', 'terdekat', 'skb']</t>
  </si>
  <si>
    <t>['pelanggan', 'halo', 'corporate', 'tanggal', 'layanan', 'kasih', 'hadiah', 'suruh', 'bayar', 'pengguna', 'corporate', 'limite', 'perbulannya', '']</t>
  </si>
  <si>
    <t>['tolong', 'diperbaiki', 'serasa', 'tinggal', 'hutan', 'pakai', 'telkomsel', 'jaringannya', 'ampunnn', 'kirim', 'susah', 'aplikasi', 'mengisi', 'ulang', 'update', 'isi', 'saldo', 'mohon', 'keluhan', 'diperbaiki', 'mengalami', 'trimakasih']</t>
  </si>
  <si>
    <t>['paket', 'mahal', 'terbuang', 'sia', 'sia', 'emang', 'provider', 'niat', 'mnding', 'hengkang', 'telkomsel', 'jaringan', 'sllu', 'hilang', 'full', 'tower', 'berfungsi', 'kartu', 'jaringan', 'terbaik', '']</t>
  </si>
  <si>
    <t>['kuota', 'mahal', 'jaringan', 'buruk', 'pagi', 'jaringan', 'pas', 'malam', 'jaringan', 'tinggal', 'kota', 'plosok', 'sok', 'parah', 'jaringannya', '']</t>
  </si>
  <si>
    <t>['hmm', 'harap', 'updait', 'mohon', 'updait', 'kayak', 'gini', 'mending', '']</t>
  </si>
  <si>
    <t>['aplikasi', 'burikkk', 'ong', '']</t>
  </si>
  <si>
    <t>['', 'telkomsel', 'parah', 'buka', 'aplikasinya', 'kemarin', 'udah', 'coba', 'buka', 'tolong', 'min', '']</t>
  </si>
  <si>
    <t>['update', 'aplikasi', 'mytelkomsel', 'versi', 'terbaru', 'menu', 'paket', 'combo', 'sakti', 'hilang', 'tersedia', 'paketan', 'combo', 'sakti', 'kemana', 'kecewa', 'paket', 'data', 'kuota', 'combo', 'sakti', 'mahal', 'cepat', 'habis', 'disitu', 'menu', 'pekerja', 'membutuhkan', 'paket', 'data', 'kuota', 'menonton', 'disney', 'apalah', 'lainya', 'semoga', 'komen', 'dibaca', 'perbaikan', '']</t>
  </si>
  <si>
    <t>['telkomsel', 'tolong', 'fitur', 'ngekunci', 'pulsa', 'kayak', 'aplikasi', 'sebelah', 'emosi', 'pulsa', 'habis', 'paket', 'tolong', 'tolong', 'bangeeetttttt']</t>
  </si>
  <si>
    <t>['tekomsel', 'masker', 'kualitas', 'jaringannya', 'lemot', 'lemot', 'bintang', 'ayo', 'migrasi', 'provider', 'sebelah', 'copy', 'paste', 'wkwkkwk', 'kreatif', 'mah', '']</t>
  </si>
  <si>
    <t>['kecewa', 'banget', 'paket', 'data', 'unlimited', 'mahal', 'juli', 'kenaikan', 'harga', 'pokoknya', 'udah', 'kecewa', 'pakai', 'telkomsel', 'paket', 'data', 'naikkkkkkkkk', '']</t>
  </si>
  <si>
    <t>['pulsa', 'sedot', 'paket', 'data', 'aktif', 'tanggung', 'perusahaan', 'pelayanan', 'pencuri', 'pulsa', 'rakyat', 'susah', 'solusi']</t>
  </si>
  <si>
    <t>['pandemi', 'juli', 'jaringan', 'internet', 'lancar', 'didaerah', 'paket', 'internet', 'beli', 'kuota', 'ketengan', 'mb', 'kuota', 'malem', 'gb', 'tolong', 'developer', 'telkomsel', 'harga', 'kembalikan', 'emulaa', 'memakai', 'membeli', 'paket', 'kuota', 'orang', 'kaya', 'pandemi', 'broo', '']</t>
  </si>
  <si>
    <t>['membeli', 'produk', 'sms', 'telkomsel', 'masuk', 'bertulisan', 'unlimited', 'max', 'kuota', 'gb', 'hrg', 'ribu', 'puas', 'chat', 'sosmed', 'nonton', 'video', 'aktifkan', 'mytelkomsel', 'outlet', 'grapari', 'skb', 'kouta', 'sosmed', 'hiasan', 'doang', 'semenjak', 'gua', 'males', 'beli', 'paket', 'unlimited', 'unlimited', 'beda', 'ama', 'dlu', 'memuaskan', 'pelanggan', 'unlimited', 'udh', 'berbatas', 'maaf', 'lancang']</t>
  </si>
  <si>
    <t>['apk', 'buruk', 'sumpah', 'klik', 'pinjam', 'gb', 'sistem', 'eror', 'biarin', 'selang', 'jam', 'beli', 'pulsa', 'langsung', 'cok', 'barengan', 'pemotongan', 'pulsanya', 'dapet', 'sms', 'intinya', 'selamat', 'paket', 'gb', 'aktif', 'otomatis', 'pulsa', 'kepotong', '']</t>
  </si>
  <si>
    <t>['pengguna', 'telkomsel', 'kecewa', 'jaringan', 'kuota', 'internet', 'unlimited', 'social', 'media', 'paket', 'data', 'favorit', 'tgl', 'tertera', 'kuota', 'unlimited', 'social', 'media', 'berlaku', '']</t>
  </si>
  <si>
    <t>['harga', 'quota', 'mahal', 'kualitas', 'sinyal', 'bobrok', 'gausah', 'sok', 'beralih', 'beres', 'tangani', 'mending', 'beralih', '']</t>
  </si>
  <si>
    <t>['telkomsel', 'salah', 'tel', 'ekomunikasi', 'kom', 'ersil', 'sel', 'alu', 'signal', 'buruk', 'jagonya', 'buffering', 'tarif', 'sultan', 'promo', 'janji', 'kayak', 'sales', 'obat', 'cari', 'untung', 'provider', 'buruk', 'dibenahi', 'gamau', 'keluhan', 'pemakai', '']</t>
  </si>
  <si>
    <t>['combo', 'sakti', 'unlimited', 'telkomsel', 'mantap', 'dipaket', 'multimedianya', 'berlaku', 'aplikasi', 'youtube', 'twitter', 'dikasih', 'direkomendasi', 'aplikasi', 'byk', 'pemakaiannya', '']</t>
  </si>
  <si>
    <t>['jaringan', 'jaringan', 'udah', 'ppkm', 'sinyal', 'full', 'tinggal', 'titik', 'ngelag', 'ampun', 'tolong', 'perbaiki', '']</t>
  </si>
  <si>
    <t>['kasih', 'ulasan', 'puas', 'bintang', 'tpi', 'provider', 'telkomsel', 'seakan', 'memperhatikan', 'baginya', 'kasih', 'ulasan', 'bagus', 'tpi', 'berlangganan', 'membeli', 'paketannya', 'telkomsel', 'peduli', 'bintang', 'ulasan', 'contoh', 'hahahahahaha', 'sialnya', 'telkomsel', 'dagang', '']</t>
  </si>
  <si>
    <t>['', 'pilihan', 'beli', 'kuota', 'keluarga', 'perpanjangan', 'kuota', 'keluarga', 'penjelasan', 'berkali', 'dicoba', 'error', 'mending', 'berhasil', 'giliran', 'update', 'error']</t>
  </si>
  <si>
    <t>['kesini', 'telkom', 'ancur', 'bagusnya', 'tolong', 'perbaiki', 'kualitas', 'jaringannya', 'nge', 'game', 'bnget', 'lag', 'esmosi', 'ajj']</t>
  </si>
  <si>
    <t>['min', 'faham', 'bahasa', 'inggris', 'merubah', 'bahasa', 'indonesia', 'mytelkomsel', 'full', 'berbahasa', 'inggris', 'tolong', 'bantu', 'pengaturan', 'lihat', 'temukan', 'pilihan', 'bahasa', '']</t>
  </si>
  <si>
    <t>['aplikasi', 'membantu', 'mudah', 'simpel', 'kalah', 'menukar', 'point', 'beruntung', 'bawa', 'pulang', 'hadiahnya', 'terimakasih', 'telkomsel', 'salam', 'anak', 'desa', 'timur', '']</t>
  </si>
  <si>
    <t>['tolong', 'developer', 'kasih', 'jaringan', 'daerah', 'daerah', 'kota', 'pengguna', 'menyarankan', 'memperluas', 'koneksi', 'diberbagai', 'pelosok', 'daerah', 'meningkatkan', 'komunikasi', 'didaerah', 'pelosok', 'pelosok', 'desa', 'sekain', 'terima', 'kasih', 'jaga', 'kesehatan', 'kawan', 'lawan', 'covid', 'gaya', 'hidup', 'sehat', 'taat', 'protok', 'kesehatan', 'lupa', 'memakai', 'masker', 'berkerumun', 'jaga', '']</t>
  </si>
  <si>
    <t>['sinyal', 'busuk', 'chat', 'whatsap', 'pending', 'kecewa', 'telkonsel', 'kualitasnya', 'buruk']</t>
  </si>
  <si>
    <t>['sumpah', 'jaringan', 'simpati', 'jelek', 'parah', 'gada', 'koneksi', 'harga', 'lumayan', 'mahal', 'seimbang', 'koneksinya', 'setia', 'pakai', 'simpati', 'pikir', 'eror', 'beli', 'tolong', 'diperbiki', 'pelanggan', 'kecewa', 'terimakasih']</t>
  </si>
  <si>
    <t>['kasih', 'rating', 'bagus', 'logonya', 'dlu', 'kuota', 'mahal', 'gimana', 'anak', 'kuliah', 'kuotanya', 'mahal', 'otomatis', 'ganti', 'kartu', 'operator', 'mohon', 'bantuannya', '']</t>
  </si>
  <si>
    <t>['nggak', 'login', 'aplikasi', 'disaat', 'ngirim', 'notifikasi', 'nggak', 'langsung', 'masuk', 'klik', 'kalinya', 'notifikasi', 'masuk', '']</t>
  </si>
  <si>
    <t>['harga', 'paket', 'data', 'penguna', 'telkomsel', 'keadilan', 'sosial', 'rakyat', 'indonesia', 'fair', 'bisnis', '']</t>
  </si>
  <si>
    <t>['kartu', 'mahal', 'jaringan', 'putus', 'tolong', 'perbaikki', 'area', 'kecamatan', 'somba', 'opu', 'kelurahan', 'tamarunang', 'kabupaten', 'gowa', 'jaringan', 'telkomsel', 'perna', 'hancur', 'putus', 'jaringanx', 'tolong', 'perbaikki', 'area', 'jangkaux', '']</t>
  </si>
  <si>
    <t>['', 'lemot', 'jaringan', 'telkomsel', 'sengaja', 'dilemotin', 'produk', 'laku', 'gimick', 'kaya', 'ganti', 'nama', 'doang', 'jaringan', 'truekah', 'min', 'parah', 'bener', 'mah']</t>
  </si>
  <si>
    <t>['telkomsel', 'terpuruk', 'sinyal', 'buruk', 'mikir', 'beli', 'paket', 'telkomsel', 'jaringan', 'hilang', 'timbul', 'penipuan', 'telkomsel', 'daerah', 'pekan', 'tri', 'mantap', 'bonus', 'abal', 'beli', 'paket', 'bonus', 'pulsa', 'sehari', 'tlpn', 'kesesama', 'gila', 'bener', '']</t>
  </si>
  <si>
    <t>['date', 'susah', 'berat', 'membutuhkan', 'ruang', 'kebanyakan', 'konten', 'promo', 'susah', 'dibukanya', 'update', 'berkali', 'bukanya', 'parah', '']</t>
  </si>
  <si>
    <t>['pengguna', 'setia', 'kartu', 'simpati', 'kartu', 'simpati', 'sayangnya', 'simpati', 'menjual', 'mahal', 'kuota', 'paket', 'internet', 'termahal', 'kartu', 'indonesia', '']</t>
  </si>
  <si>
    <t>['pulsa', 'kesedot', 'pulsa', 'rb', 'buka', 'telkomsel', 'pas', 'cek', 'rp', 'tolong', 'penjelasannya', 'telkomsel']</t>
  </si>
  <si>
    <t>['telkomsel', 'aneh', 'knapa', 'isi', 'pulsa', 'ptotong', 'teruss', 'alasan', 'karna', 'dikenakan', 'biaya', 'kuota', 'internet', 'non', 'paket', 'paket', 'nge', 'bug', 'trus', 'coba', 'ganti', 'nomor', 'trus', 'nomor', 'hasil', 'pulsanya', 'ilang', 'jengkel', 'jengkel', 'seandai', 'dikenakan', 'biaya', 'non', 'paket', 'kasih', 'pemberitahuan', 'donk', 'gini', 'takut', 'isi', 'pulsa', '']</t>
  </si>
  <si>
    <t>['kualitas', 'speed', 'internet', 'sungguh', 'membagongkan', 'wilayah', 'gue', 'speed', 'aslinya', 'bener', 'dikeluarinnya', 'jam', 'sungguh', 'membagongkan', 'dipake', 'penunjang', 'kerjaan', 'wfh', 'sungguh', 'mwmbagongkan', '']</t>
  </si>
  <si>
    <t>['paket', 'datanya', 'mahal', 'berbulan', 'gb', 'harga', 'rb', 'rb', 'sinyalnya', 'lemah', 'surabaya', 'pusat', 'maksimal', 'garis', 'sinyal', 'datanya', 'jarang', 'kb', 'grapari', 'bbrp', 'kali', 'solusi', 'penjelasan', 'kualitas', 'jaringan', 'telkomsel', 'buruk', 'puluhan', 'pakai', 'telkomsel', 'sinyalnya', 'bagus', 'bbrp', 'buruk', '']</t>
  </si>
  <si>
    <t>['bener', 'harga', 'bulanan', 'mahal', 'jaringan', 'hancur', 'namanya', 'buatan', 'manusia', 'sempurna', 'semoga', 'kedepannya', 'telkomsel']</t>
  </si>
  <si>
    <t>['jelek', 'banget', 'njir', 'telkomsel', 'kesini', 'enak', 'mahal', 'paket', 'unlimited', 'masi', 'dipake', 'instagram', 'sma', 'facebook', 'gabisa', 'jalan', 'paket', 'unlimited', 'doang', 'tolong', 'diperbaiki', 'udah', 'mahal', 'jelek', 'udah', 'lapor', 'kali', 'ttep', 'gaaada', 'kemajuan', 'paket', 'unlimited', 'gabisa', 'jalan', 'hadeh', 'kacau', 'mending', 'ganti', 'telkomsel', '']</t>
  </si>
  <si>
    <t>['sudahhh', 'kali', 'telkom', 'jaringan', 'terburuk', 'harga', 'termahal', 'beli', 'data', 'buka', 'google', 'sampe', 'menit', 'menit', 'blum', 'buka', 'intinya', 'harga', 'mahal', 'sesuai', 'jaringan', 'mending', 'operator', 'kayak', 'haaa', 'ngeleg', 'truss', 'jaringannya', 'ahhh', 'pokonya', 'terburuk']</t>
  </si>
  <si>
    <t>['telkomsel', 'lelet', 'mahal', 'coba', 'bandingkan', 'ama', 'provider', 'ketinggalan', 'ayo', 'kriatip', 'dikit', 'telkomsel', '']</t>
  </si>
  <si>
    <t>['mahal', 'paket', 'game', 'mobile', 'legend', 'game', 'pubg', 'buka', 'paket', 'ketengan', 'youtube', 'buka', 'paket', 'utama', 'tolong', 'kasian', 'daerah', 'pelosok', 'signal', 'telkomsel', 'mbok', 'paket', 'sesuai', 'kemampuan', 'org', 'plissss', 'bantu', 'org', 'menengah', '']</t>
  </si>
  <si>
    <t>['telkomsel', 'tinggal', 'tangerang', 'jaringan', 'buruk', 'telkomsel', 'jaringannya', 'lancar', 'walaw', 'mahak', 'banding', 'kena', 'eror', 'sampe', '']</t>
  </si>
  <si>
    <t>['pagi', 'isi', 'pulsa', 'pket', 'nelpon', 'sisa', 'malem', 'pulsa', 'dipake', 'koneksi', 'jelek', 'banget', 'gangguang', 'paket', 'internet', 'mahal', 'kualitas', 'internet', 'buruk', 'kecewa', 'bagusan', 'pakai', 'provider', 'rip', 'telkomsel', '']</t>
  </si>
  <si>
    <t>['jaringan', 'cacat', 'udah', 'pagi', 'siang', 'malam', 'jaringannya', 'buruk', 'mahalnya', 'doamg', 'simpati', 'jaringannya', 'kaya', 'tri', 'simpati', 'kecewa', 'keluhan', 'jaringan', 'didengar', 'jaringannta', 'pindah', 'haluan']</t>
  </si>
  <si>
    <t>['habis', 'paketan', 'pulsa', 'tersedot', 'cepat', 'merugikan', 'harga', 'paket', 'pulsa', 'tersedot', 'berkali', 'kali', 'lipat', 'pulsa', 'tersedot', 'byk', 'keluhan', 'kenp', 'diperbaiki', 'pelayanannya', 'mohon', 'diperhatikan', '']</t>
  </si>
  <si>
    <t>['aplikasi', 'mudah', 'pembelian', 'paket', 'data', 'mudah', 'pengecekan', 'paket', 'data', 'tersisa', 'pulsa', 'kartu', 'sim']</t>
  </si>
  <si>
    <t>['promo', 'paket', 'data', 'promo', 'murah', 'dibandingkan', 'provider', 'harga', 'paket', 'data', 'dibilang', 'mahal']</t>
  </si>
  <si>
    <t>['telkomsel', 'plis', 'naikin', 'harga', 'paket', 'sinyal', 'tolong', 'permudah', 'lgi', 'main', 'game', 'mlh', 'jaringan', 'mutar', 'bagus', 'tolong', 'kasih', 'bintang', 'enak', 'terima', 'kasih', '']</t>
  </si>
  <si>
    <t>['paket', 'mahal', 'halo', 'simpati', 'milik', 'telkomsel', 'mahal', 'paketnya', 'keluhan', 'jeleknya', 'sinyal', 'telp', 'tanggapan', '']</t>
  </si>
  <si>
    <t>['tuker', 'poin', 'gb', 'poin', 'trus', 'pulsa', 'kepotong', 'balikin', 'pulsa', 'gitu', 'beli', 'kuota', 'rb', 'berkurang', 'pulsa', 'beli', 'kuota', 'taii', 'luh']</t>
  </si>
  <si>
    <t>['maaf', 'perbarui', 'buka', 'aplikasi', 'gimana', 'perbarui', 'jaringan', 'lemot', 'udah', '']</t>
  </si>
  <si>
    <t>['bertahun', 'pengguna', 'provider', 'telkomsel', 'sinyal', 'telkomsel', 'mantap', 'jujur', 'kecewa', 'kualitas', 'koneksi', 'telkomsel', 'buruk', 'koneksi', 'jaringan', 'buruk', 'aktifitas', 'dunia', 'online', 'mengecewakan', 'orang', '']</t>
  </si>
  <si>
    <t>['parah', 'ngasih', 'bintangnya', 'perbaiki', 'menghapusnya', '']</t>
  </si>
  <si>
    <t>['provider', 'pelayanan', 'terburuk', 'paket', 'multimedia', 'gue', 'paket', 'booster', 'hilang', 'jaringan', 'stabil', 'putus', 'putus', 'kasih', 'solusi', 'haduhh', 'gue', 'kecewa', 'telkom', 'lihat', 'view', 'timbang', 'timbang', 'telkom']</t>
  </si>
  <si>
    <t>['tower', 'telkomsel', 'diperbanyak', 'bonus', 'pulsa', 'diperbnyk', 'suka', 'paket', 'combo', 'sakti', 'penggemar', 'telkomsel', 'paket', 'combo', 'sakti', 'sja', 'dikalkulasi', 'aktif', 'habis', 'sisa', 'pulsa', 'hilang']</t>
  </si>
  <si>
    <t>['telkomsel', 'jaringan', 'terburuk', 'terlambat', 'paket', 'internet', 'mahal', 'sesuai', 'harga', 'jaringannya', 'uji', 'indosat', 'tri', 'bagus', 'indosat', 'tri', 'kecepatan', 'jaringannya', 'lipat', 'telkomsel']</t>
  </si>
  <si>
    <t>['telkomsel', 'sinyalnya', 'ngak', 'kaya', 'sekelas', 'telkomsel', 'perusahaan', 'kesini', 'jelek', 'bagus', 'nomer', 'telp', 'udah', 'ganti', '']</t>
  </si>
  <si>
    <t>['yayel', 'ihhh', 'kesalahan', 'sistem', 'terussss', 'tolong', 'benerin', 'udah', 'top', 'pulsa', 'gabisa', 'beli', 'kuotanya', 'gitu', 'bayar', 'metode', 'pilihannya', 'sebal', '']</t>
  </si>
  <si>
    <t>['sinyalnya', 'parah', 'banget', 'skrg', 'males', 'paketin', 'hilang', 'koneksi', 'internet', 'lemot', 'mending', 'provider', 'murah', 'kualitas', 'sinyalnya', 'baguss', 'mohon', 'perbaiki', 'udh', 'kecewa', 'kualitas', 'telkomsel', 'sekarangg', 'terimakasihh']</t>
  </si>
  <si>
    <t>['knp', 'isi', 'pulsa', 'potong', 'beli', 'kepotong', 'pulsa', 'knp', 'gitu', 'dapet', 'percaya', 'telkomsel']</t>
  </si>
  <si>
    <t>['kartu', 'telkomsel', 'kartu', 'simpati', 'kartu', 'sakti', 'kartu', 'simpati', 'nomor', 'angka', 'telpon', 'data', 'disitu', 'terjangkau', 'paket', 'harganya', 'melonjak', 'mahal', 'karuan', 'kartu', 'pilih', 'kartu', 'sakti', 'paketnya', 'murah', 'simpati', 'dibanding', 'providen', 'mahal', 'khusus', 'data', 'simpati', 'dipertahankan', 'nomor', 'sanak', 'saudara', 'sahabat', 'rekanan', 'bisnis', '']</t>
  </si>
  <si>
    <t>['telkomsel', 'mahal', 'alhamdllh', 'dpt', 'promo', 'kualitas', 'jaringan', 'tergantung', 'daerah', 'telkomsel', 'jaringan', 'anti', 'badai', 'hujan', 'petir', 'menggoyahkan', 'sinyal', '']</t>
  </si>
  <si>
    <t>['yth', 'scurity', 'telkom', 'indonesia', 'tolong', 'pilih', 'penampilan', 'support', 'event', 'telkom', 'masuk', 'loading', 'beda', 'in', 'pengguna', 'telkomsel', 'jaman', 'belom', 'android', 'pilih', 'penampilan', 'belom', 'pakaian', 'rapi', 'niatnya', 'makan', 'nasi', 'pilih', '']</t>
  </si>
  <si>
    <t>['cobalah', 'telkomsel', 'perkuat', 'sinyalnya', 'murahkan', 'harga', 'paket', 'internetnya', 'malu', 'tower', 'jaringannya', 'lemot', 'mahal', 'gimana', 'indonesia', 'maju', 'sinyal', 'paketnya', 'mahal', 'indonesia', 'kebanyakan', 'telkomsel', 'golongan', 'menengah', 'kalah', 'jaringan', 'sebelah', '']</t>
  </si>
  <si>
    <t>['harga', 'paketnya', 'mahal', 'jaringan', 'jelek', 'coba', 'jaringan', 'kartu', 'udah', 'berpindah', 'telkomsel', '']</t>
  </si>
  <si>
    <t>['ngambil', 'pulsa', 'sembarangan', 'alasannya', 'paket', 'darurat', 'apanya', 'paket', 'darurat', 'ambil', 'nanggung']</t>
  </si>
  <si>
    <t>['', 'telkomsel', 'beli', 'paket', 'rekomendasi', 'gagal', 'menarik', 'perhatian', 'gimana', 'mohon', 'diperbaiki', 'terimakasih', '']</t>
  </si>
  <si>
    <t>['telkomsel', 'babi', 'haram', 'sedot', 'pulsa', 'rp', 'sampe', 'nyedot', 'operator', 'sial', 'otak', 'binatang', 'jaringan', 'internet', 'lelet', 'semoga', 'mati', '']</t>
  </si>
  <si>
    <t>['sistem', 'bobrok', 'pulsa', 'tersedot', 'isi', 'pulsa', 'nggak', 'daftar', 'paket', 'pas', 'cek', 'transaksi', 'akses', 'internet', 'pakai', 'tarif', 'normal', 'helooooowwwwww', 'paket', 'data', 'dimatikan', 'lho', 'wifi', 'bisanya', 'akses', 'internet', 'tarif', 'normal', 'alias', 'pulsa', 'modus', 'beli', 'pulsa', 'nggak', 'pandemi', 'kayak', 'gini', 'woy', 'dzolim', 'banget', 'mengecewakan', '']</t>
  </si>
  <si>
    <t>['beli', 'paket', 'data', 'tlp', 'memiliki', 'pilihan', 'beli', 'paket', 'mahal', 'pilihan', 'murah', 'berbeda', 'kelas', 'pelanggan', 'beli', 'tekomsel', 'dicounter', 'minimarket', 'pilihan', 'paket', 'murah', 'menyulitkan', 'beli', 'paket', 'mahal', 'pemaksaan', 'diskriminasi', 'telkomsel', '']</t>
  </si>
  <si>
    <t>['bintag', 'tarik', 'aplikasinya', 'keluarin', 'playstore', 'nontifikasi', 'paket', 'data', 'habis', 'isi', 'aplikasinya', 'ngk', 'penipu', 'pemaksaan', 'maaf', 'bintang', 'tarik', 'nyuruh', 'isi', 'paket', 'data', 'jam', 'aplikasinya', 'abal', 'abal', 'nich', 'klau', 'terpaksa', 'copot', 'instalasi', '']</t>
  </si>
  <si>
    <t>['setia', 'layanan', 'sungguh', 'kecewa', 'sumpah', 'signal', 'telkomsel', 'lelet', 'signal', 'suka', 'hilang', 'mendadak', 'apunnnn', 'dehhh', 'tolong', 'perbaiki', 'layanan', 'signal', 'telkomsel', 'setia', 'telkomsel', 'tolong', 'pelanggan', 'kecewa', 'menerus', 'beli', 'paket', 'gitu', 'mahal', 'signal', 'kayak', 'gini', 'udh', 'berkali', 'kali', 'mikir', 'pindah', 'layanan', 'setia', 'layanan', 'mohon', 'diperbaiki', '']</t>
  </si>
  <si>
    <t>['isi', 'pulsa', 'kepotong', 'dipakai', 'telpon', 'contoh', 'kemarin', 'isi', 'pulsa', 'tinggal', 'pakai', 'telpon', 'internet', 'telkomsel', 'mengecewakan', 'namanya', 'merugikan', 'konsume', 'malas', 'isi', 'pulsa', 'telkomsel', 'isi', 'kepotong']</t>
  </si>
  <si>
    <t>['byk', 'keluhannya', 'jaringan', 'stabil', 'pakai', 'paket', 'data', 'wifi', 'keluhan', 'jaringan', 'telkom', 'malam', 'subuh', 'stabil', 'tolong', 'telkomsel', 'jaringan', 'perbaiki', 'costumer', 'senang', '']</t>
  </si>
  <si>
    <t>['jaringan', 'telkomsel', 'melemah', 'jaringan', 'telkomsel', 'unggul', 'bandingkan', 'im', 'ixas', 'jujur', 'sbg', 'pengguna', 'setia', 'telkomsel', 'kecewa']</t>
  </si>
  <si>
    <t>['tolong', 'jaringan', 'internet', 'unlimited', 'perbaiki', 'karna', 'kuota', 'internet', 'habis', 'tersisa', 'kuota', 'unlimited', 'chat', 'music', 'game', 'sosmed', 'you', 'tube', 'jaringan', 'buruk', 'trkadang', 'brjalan', 'kecewa', 'dngan', 'layanan', 'jaringan', 'tlkomsel', 'beli', 'kartu', 'paketnya', 'mahal', 'memuaskan', 'pelangan', 'setia', 'knp', 'skrng', 'kecewa', 'mohon', 'perbaiki', 'trimksh', 'telkomsel']</t>
  </si>
  <si>
    <t>['harga', 'paket', 'data', 'jaringan', 'telkom', 'kadang', 'hilang', 'aman', 'telkom', '']</t>
  </si>
  <si>
    <t>['kecewa', 'beli', 'paket', 'internet', 'combo', 'kuota', 'internet', 'telphone', 'all', 'operator', 'pulsa', 'reguler', 'terpotong', 'pulsa', 'telphone', 'all', 'operatornya', '']</t>
  </si>
  <si>
    <t>['telkomsel', 'cocok', 'banget', 'daerahnya', 'berbukit', 'bukit', 'telkomsel', 'sinyalnya', 'sangaaaat', 'kuat', 'telkomsel', 'memanjakan', 'pelanggannya', 'hadiah', 'hadiah', 'gratisan', 'contohnya', 'cekin', 'hariannya', 'terimakasih', 'telkomsel', '']</t>
  </si>
  <si>
    <t>['mas', 'mbak', 'bingung', 'pas', 'telkomsel', 'lancar', 'lancar', 'suka', 'lemot', 'jaringannya', 'daerah', 'sidoarjo', 'tolong', 'diperbaiki', 'daring', '']</t>
  </si>
  <si>
    <t>['tolong', 'admin', 'dengarkan', 'kasih', 'bintang', 'turunkan', 'bintang', 'beli', 'paket', 'kuota', 'masuknya', 'prosesnya', 'terlambat', 'terkadang', 'memotong', 'pulsa', 'paket', 'dibeli', 'kunjung', 'masuk']</t>
  </si>
  <si>
    <t>['tolonglah', 'unreg', 'paket', 'gimana', 'paket', 'terdaftar', 'beli', 'unreg', 'gabisa', 'pulsa', 'beli', 'langsung', 'ludes']</t>
  </si>
  <si>
    <t>['', 'upgrade', 'jdi', 'tmbh', 'jelek', 'pindah', 'nomer', 'nomer', 'nomer', 'verifikasi', 'nomer', 'dipasang', 'diantena', 'iya', 'turun', 'genteng', 'kacauu']</t>
  </si>
  <si>
    <t>['maaf', 'telkomsel', 'kasih', 'bintang', 'karna', 'pelanggan', 'telkomsel', 'setia', 'kecewa', 'pembaharuan', 'memuaskan', 'jaringan', 'stabil', 'hilang', 'pembelian', 'paket', 'kuota', 'internet', 'udah', 'mohon', 'tindakan', 'optimal', '']</t>
  </si>
  <si>
    <t>['kuota', 'kuota', 'internet', 'multimedia', 'youtube', 'giliran', 'buka', 'youtube', 'berkurang', 'kuota', 'internet', 'kuota', 'multimedia', 'telkomsel', 'melegakan', 'pelanggan', 'karna', 'pelanggan', 'tidur', 'nyenyak', 'karna', 'pelanggan', 'lintah', 'sakitnya', 'nggak', 'kerasa', 'darah', 'terkuras', '']</t>
  </si>
  <si>
    <t>['kuota', 'mahal', 'pakai', 'dipisahin', 'kuota', 'lokal', 'kuota', 'nasional', 'tolonglah', 'bumn', 'berpihaklah', 'kepda', 'masyarakat', 'modalin', 'pakai', 'uang', 'rakyat', 'uang', 'bosmu', '']</t>
  </si>
  <si>
    <t>['jaringan', 'telkomsel', 'jelek', 'banget', 'gitu', 'gua', 'ngepush', 'jaringan', 'ilang', 'mulu', 'gfull', 'beda', 'banget', 'kaya', 'mengecewakan', '']</t>
  </si>
  <si>
    <t>['jaringannya', 'lemot', 'abis', 'sampe', 'kesel', 'jaringannya', 'terbaik', 'sskarang', 'terburuk', 'dibandingkan', 'operator', 'udah', 'harga', 'kuotanya', 'mahal', 'dibanding', 'jaringan', 'stabil', 'sempurna', '']</t>
  </si>
  <si>
    <t>['sinyal', 'buruk', 'stabil', 'paket', 'mahal', 'jakarta', 'stabil', 'pelayanan', 'recommended', 'solusinya', 'chat', 'app', 'udah', 'trus', 'berubah', 'sinyal', 'recommended', 'mahal', 'doang']</t>
  </si>
  <si>
    <t>['paket', 'internet', 'hilang', 'mahal', 'pengguna', 'kalah', 'kompetitor', 'harganya', 'relatif', 'murah', 'paket', 'internetnya']</t>
  </si>
  <si>
    <t>['gunanya', 'pakai', 'beres', 'sinyalnya', 'bagus', 'sinya', 'kartu', 'murah', 'tolonglah', 'diperbaikin', 'sinyal', 'jaringannya']</t>
  </si>
  <si>
    <t>['tgl', 'juni', 'jam', 'pulsa', 'beli', 'via', 'gopay', 'rb', 'raib', 'hilang', 'pdhl', 'gopay', 'tertransfer', 'bukti', 'scrnsht', 'gimana', 'telkomsel', 'yth', '']</t>
  </si>
  <si>
    <t>['', 'beda', 'kemajuan', 'kemunduran', 'sinyal', 'down', 'sinyalnya', 'ohh', 'kualitas', 'bumn', 'kyk', 'gini', 'susah', 'orang', 'rugi', 'urusin', 'sampe', 'ditinggalkan', 'dipikirkan', 'pengguna', 'telkom', 'terganggu', 'kualitas', 'buka', 'susah', 'web', 'stengah', 'mati', 'tolong', 'mengerti', 'butuh', 'sinyal', 'membeli', 'paket', 'tgl', '']</t>
  </si>
  <si>
    <t>['sebenernya', 'pelanggan', 'telkomsel', 'lemot', 'parah', 'isi', 'kuota', 'harga', 'udah', 'lemoot', 'pindah', 'haluan', 'kenceng', 'internetnya', '']</t>
  </si>
  <si>
    <t>['kuota', 'pulsa', 'internet', 'dipake', 'pandemi', 'tsel', 'keluhan', 'kali', 'laporan', 'internet', 'dipake', 'dri', 'tgl', 'sampe', 'tgl', 'tindaklanjutnya', 'saran', 'udh', 'dicoba', 'disuruh', 'coba', 'divice', 'ttep', 'dipake', 'internetnya', 'kecewa', 'banget', 'telkomsel', 'kerja', 'maksinal', 'dipercaya', 'dipilih', 'cari', 'terbaik', 'sampe', 'detik', 'terpaksa', 'provider', 'tsel', 'dipake', 'samsek']</t>
  </si>
  <si>
    <t>['', 'aduh', 'gila', 'parah', 'jga', 'beli', 'kuota', 'mahal', 'sampe', 'hangus', 'nawar', 'in', 'upgrade', 'kartu', 'halo', 'jaringan', 'kayak', 'gitu', 'orang', 'pikir', 'kuota', 'rb', 'sampe', 'rb', 'dipake', 'paket', 'kartu', 'halo', 'rb', 'dipake', 'auto', 'bingung', 'komplain', 'tanggepin', 'kuota', 'cma', 'pajangan', '']</t>
  </si>
  <si>
    <t>['tolong', 'sinyal', 'perbaiki', 'harga', 'paket', 'bagus', 'sinyal', 'jelek', 'skrng', 'tanggal', 'juli', 'sinyal', 'lemot', 'banget', 'nonton', 'youtube', 'muter', 'tolong', 'perbaiki', '']</t>
  </si>
  <si>
    <t>['sinyalnya', 'beli', 'harga', 'kuotanya', 'mahal', 'jaga', 'konsumennya', 'takutnya', 'pelanggannya', 'beralih', '']</t>
  </si>
  <si>
    <t>['cuman', 'paket', 'disney', 'hostar', 'chat', 'sosial', 'media', 'nonton', 'tiktok', '']</t>
  </si>
  <si>
    <t>['perusahaan', 'torgolong', 'aplikasi', 'tergolong', 'kaleng', 'kaleng', 'aplikasi', 'berat', 'loading', 'membuka', 'aplikasi', 'tampilan', 'penambahan', 'login', 'virifikasi', 'sms', 'kunjung', 'login', 'login', 'lag', 'sendirinyai', 'login', 'ribet', 'aplikasi', 'rempong', '']</t>
  </si>
  <si>
    <t>['slalu', 'telkomsel', 'ahir', 'ahir', 'sinyanya', 'stabil', 'sinyal', 'bagus', 'rumah', 'sinyal', 'lemot', 'kadang', 'bar', 'sja', 'mohon', 'perbaiki', 'internenya', 'lemot', 'sekarqng', '']</t>
  </si>
  <si>
    <t>['tolong', 'telkomsel', 'berlangganan', 'dri', 'knpa', 'sinyal', 'susah', 'bngt', 'jangkau', 'zoom', 'metting', 'pdhl', 'posisi', 'jakarta', 'paketan', 'mahal', 'imbangin', 'jaringan']</t>
  </si>
  <si>
    <t>['haloo', 'min', 'jaringan', 'telkomsel', 'hilang', 'yaa', 'kiraa', 'bermasalah', 'jaringanya', 'stabil', 'mohon', 'dibantu', 'min', 'karna', 'paket', 'terpakai', 'rugii', 'beli', 'paketan', 'provider', 'kirain', 'bener', 'perubahan', 'terimakasih', 'mohon', 'responya', 'min']</t>
  </si>
  <si>
    <t>['nyesel', 'bnget', 'beli', 'kuota', 'simpati', 'udah', 'harga', 'trus', 'lemot', 'bnget', 'main', 'game', 'sumpah', 'nyesel', 'banget', '']</t>
  </si>
  <si>
    <t>['heran', 'update', 'kemarin', 'gabisa', 'log', 'pas', 'masuk', 'pembaruan', 'pdhal', 'udah', 'update', 'playstore', 'udah', 'updtae', 'tulisannya', 'buka', 'suka', 'logo', 'telkomsel', 'udah', 'update', 'aneh', 'ciri', 'khas', 'telkomsel', '']</t>
  </si>
  <si>
    <t>['gua', 'beli', 'paket', 'kuota', 'unlimited', 'list', 'aplikasi', 'telkomsel', 'update', 'bener', 'parah', 'banget', 'paket', 'pendidikan', 'malem', 'butuh', 'kyk', 'gitu', 'butuhnya', 'unlimited', 'wooii']</t>
  </si>
  <si>
    <t>['menggembirakan', 'paket', 'kuota', 'internet', 'mahal', 'trus', 'jaringannya', 'super', 'lelet', 'beralih', 'logo', 'apk', 'mengecewakan', 'harga', 'kuota', 'mahal', '']</t>
  </si>
  <si>
    <t>['payah', 'telkomsel', 'jaringan', 'lemot', 'banget', 'kaya', 'perbaiki', 'bos', 'udah', 'langganan', 'puluhan', 'kecewa', 'banget', 'perbaiki', 'bos', 'pliiis', '']</t>
  </si>
  <si>
    <t>['pulsa', 'kepotong', 'ribu', 'udah', 'ribu', 'kuota', 'gitu', 'mengakses', 'internet', 'tarif', 'non', 'paket', 'kuota', 'internet', 'sebel', 'banget']</t>
  </si>
  <si>
    <t>['halo', 'maaf', 'mengganggu', 'beli', 'paket', 'gb', 'catatan', 'paket', 'habis', 'cek', 'paket', 'beli', 'catatan', 'mohon', 'beritahu', '']</t>
  </si>
  <si>
    <t>['tolong', 'jaringannya', 'diperbaiki', 'masak', 'mati', 'lampu', 'jaringan', 'hilang', 'pulsaku', 'terpotong', 'pas', 'nelpon', 'gratisan', 'telepon', 'kagak', 'takut', 'ditagih', 'diakhirat', '']</t>
  </si>
  <si>
    <t>['', 'bener', 'telkomsel', 'skarang', 'udah', 'beli', 'mahal', 'jaringn', 'stabil', 'ngeleg', 'idup', 'kota', 'udah', 'kaya', 'idup', 'hutan', 'tolong', 'telkomsel', 'emng', 'perbaiki', 'jaringn', 'murahin', 'harga', '']</t>
  </si>
  <si>
    <t>['hai', 'telkomsel', 'terhormat', 'berpendidikan', 'pelayanan', 'kecewakan', 'pelayanan', 'why', 'barusan', 'membeli', 'paket', 'internet', 'combo', 'ribu', 'kuota', 'internet', 'gb', 'kuota', 'sosial', 'chat', 'jangka', 'membeli', 'why', 'why', 'membaca', 'aktif', 'aplikasi', 'mytelkomsel', 'tulisan', 'aktif', 'agustus', 'hran', 'membeli', 'tgl', 'juli', 'jangkanya', 'tgl', '']</t>
  </si>
  <si>
    <t>['jaringan', 'telkomsel', 'stabil', 'buka', 'instagram', 'gambarnya', 'kebuka', 'tolong', 'tindak', 'lanjuti', 'pelangga', 'kartu', 'telkomsel', 'smk']</t>
  </si>
  <si>
    <t>['beli', 'pulsa', 'pulsa', 'masuk', 'berkurang', 'isi', 'ulang', 'pulsa', 'sisa', 'pulsa', 'bukanya', 'bertambah', 'ilang', '']</t>
  </si>
  <si>
    <t>['penipu', 'pencuri', 'pembohong', 'mahal', 'suka', 'hilangin', 'sisa', 'pulsa', 'kemarin', 'saldo', 'simsalabim', 'lenyap', 'malu', 'telkomsel', 'mengirimkan', 'pesan', 'promo', 'memikirkan', 'provider', 'mentari', 'silahkan', 'ambil', 'sampah', 'kartu', 'simpati']</t>
  </si>
  <si>
    <t>['mantap', 'fungsi', 'membeli', 'kecepatan', 'internet', 'kartu', 'telkomsel', 'depannya', 'terimakasih']</t>
  </si>
  <si>
    <t>['update', 'emangnya', 'udah', 'aplikasi', 'telkomsel', 'maksudnya', 'gimana', 'ngerti', 'arah', 'ketik', 'nmor', 'ponsel', 'udah', 'ketik', 'gagal', 'beli', 'pulsa', 'uang', 'hasil', 'keringat', 'bos', 'orang', 'kecewa', 'tolong', 'perbaiki', 'aplikasi', '']</t>
  </si>
  <si>
    <t>['telkomsel', 'sebulan', 'sinyal', 'membeli', 'kuota', 'aplikasi', 'telkomsel', 'gb', 'terpakai', 'sinyal']</t>
  </si>
  <si>
    <t>['admin', 'tolong', 'jaringan', 'telkomsel', 'tingkatikan', 'udh', 'kartu', 'telkomsel', 'terkhusus', 'ank', 'sekolah', 'jaringan', 'lelet', 'kali', 'saran', 'tolong', 'jaringannya', 'tingkatkan', 'mohon', 'kali', 'telkom', 'tolong', 'tingkatkan', 'jaringan', 'terimakasih', '']</t>
  </si>
  <si>
    <t>['pulsa', 'ribu', 'isi', 'kuota', 'harga', 'pulsa', 'ribu', 'notif', 'pulsa', 'mencukupi', 'telkomsel', 'tolong', 'jelasin']</t>
  </si>
  <si>
    <t>['beli', 'paketan', 'unlimited', 'youtube', 'penipuan', 'lakuin', 'provider', 'gede', 'kirain', 'gada', 'penipuan', 'nyesel', 'nyesel', 'telkomsel']</t>
  </si>
  <si>
    <t>['sinyal', 'oke', 'bagus', 'ngegame', 'ngelag', 'mulu', 'kuota', 'mahal', 'kek', 'gini', 'puas', 'pelanggan', 'benerin', 'min', 'mahal', 'harganya', 'hadehh', 'semoga', 'cepat', 'respond', 'benahi']</t>
  </si>
  <si>
    <t>['telkomsel', 'buruk', 'sengaja', 'ganti', 'telkomsel', 'ngajar', 'subsidi', 'kuota', 'yayasan', 'dipindahkan', 'telkomsel', 'iya', 'ganti', 'udah', 'habis', 'aktifnya', 'seminggu', 'maksimal', 'terpakai', 'ngajar', 'kartu', 'indosat', 'toloooooooooong', '']</t>
  </si>
  <si>
    <t>['berulang', 'kali', 'update', 'lemot', 'ngak', 'berkurang', 'aplikasi', 'kah', '']</t>
  </si>
  <si>
    <t>['sinyalnya', 'memburuk', 'buka', 'app', 'telkomsel', 'update', 'diupdate', 'permintaan', 'update', 'maaf', 'berpaling', 'provider', 'semoga', 'kedepan', 'kualitas', '']</t>
  </si>
  <si>
    <t>['telkomsel', 'provider', 'terluas', 'sekecamatan', 'luasin', 'daya', 'jelajahnya', 'turun', 'lapangan', 'cobain', 'sinyal', 'dimana', 'kuat', 'kuat', 'perbaikin', 'tambahin', 'tiang', 'tiangnya', 'iklan', 'doang', 'dibaik', 'baikin', 'harga', 'doang', 'dimahal', 'mahalin', 'setia', 'telkomsel', 'taun', 'mudah', 'perbaikan', '']</t>
  </si>
  <si>
    <t>['jaringan', 'internet', 'stabil', 'mengecewakan', 'mohon', 'perbaikan', 'jaringan', 'dipercepat', 'dikawasan', 'kab', 'deli', 'serdang', 'kec', 'hamparan', 'perak', 'terimakasih']</t>
  </si>
  <si>
    <t>['jaringan', 'telkomsel', 'jelek', 'kampung', 'lumayan', 'lancar', 'jalan', 'tolong', 'perbaiki', 'paketan', 'data', 'mahal', 'konter', 'mahal', 'jaringan', 'buruk', 'tolonglah']</t>
  </si>
  <si>
    <t>['apk', 'hbs', 'prbaharui', 'bagus', 'mlah', 'blank', 'putih', 'trus', 'jyga', 'pas', 'make', 'apk', 'login', 'trus', 'krna', 'exp', 'login', 'naon', 'tah', 'apknya', 'heh', 'signalnya', 'lelet', 'weh', 'benerin', 'min', 'pokoknya', '']</t>
  </si>
  <si>
    <t>['sinyal', 'sukodono', 'sidoarjo', 'jawa', 'timur', 'combo', 'sakti', 'berasa', 'kesaktiannya', 'gini', 'gaada', 'sinyal', 'tanggung', 'telkomsel', '']</t>
  </si>
  <si>
    <t>['pulsa', 'ambil', 'isi', 'kepake', 'abis', 'berlangganan', 'tolong', 'diperbaiki', 'isi', 'pulsa', 'trus', 'abis']</t>
  </si>
  <si>
    <t>['terang', 'telkomsel', 'jaringannya', 'lemot', 'mahal', 'jaringan', 'putus', 'nyambung', 'tolong', 'telkomsel', 'konsisten', 'jaringannya', 'pakai', 'telkomsel', 'jaringannya', 'kuat', 'jakarta', 'ppkm', 'jaringannya', 'ppkm', '']</t>
  </si>
  <si>
    <t>['telkomsel', 'beli', 'paket', 'data', 'mahal', 'mahal', 'sinyal', 'zonk', 'lelet', 'banget', 'sumpahh', 'tolong', 'perbaiki', 'sinyal', 'telkomsel', 'udah', 'beli', 'mahal', 'mahal', 'mengecewakan', 'sinyal', 'tekomsell', 'sudahh', 'nggak', 'andel', 'masalh', 'sinyal', 'mahal', 'doang', 'tpi', 'sinyall', 'lelet', 'kek', 'siput']</t>
  </si>
  <si>
    <t>['', 'bener', 'aje', 'udah', 'nyedot', 'pulsa', 'kayak', 'vampire', 'kaga', 'makan', 'abad', 'claim', 'internet', 'direfund', 'point', 'telkomsel', 'doang', 'gue', 'lupa', 'masang', 'paketan', 'internet', 'cepet', 'banget', 'nyedot', 'pulsa', 'koneksi', 'banget', 'jatoh', 'pas', 'download', 'parah', 'gopay', 'udah', 'terpotong', 'paket', 'internet', 'masuk']</t>
  </si>
  <si>
    <t>['pembelian', 'paket', 'data', 'aplikasi', 'kendala', 'koneksi', 'terputuslah', 'ngelag', 'responsif', 'mengulang', 'kali']</t>
  </si>
  <si>
    <t>['', 'beli', 'paket', 'unlimited', 'sosmed', 'youtube', 'game', 'knp', 'terpake', 'cuman', 'gbnya', 'unlimitednya', 'nggak', 'kemarin', 'beli', 'bebas', 'unlimited', 'tolong', 'lahhh', 'telkomsel', 'mahal', 'bei', 'ribu', 'dapatnya', 'cuman', 'gb', 'menu', 'kuotanya', 'tertulis', 'unlimited', 'kecewa', 'bangettttt', 'telkomsel']</t>
  </si>
  <si>
    <t>['complain', 'jaringan', 'internet', 'tinggal', 'kepulauan', 'lumayan', 'luas', 'tower', 'telkomsel', 'jaringan', 'stabil', 'hilang', 'mengupdate', 'aplikasi', 'butuh', 'menit', '']</t>
  </si>
  <si>
    <t>['tolong', 'membeli', 'paket', 'sinyal', 'buruk', 'pakai', 'tanda', 'tolong', 'perbaiki', '']</t>
  </si>
  <si>
    <t>['mengecewakan', 'segi', 'apapun', 'komen', 'dibalas', 'balasan', 'template', 'plat', 'merah', 'ambyar', '']</t>
  </si>
  <si>
    <t>['yth', 'telkomsel', 'pliss', 'mentang', 'telkomsel', 'penggunanya', 'reward', 'aturannya', 'sesukanya', 'pliss', 'daily', 'check', 'hadiah', 'utama', 'kuota', 'gb', 'simpan', 'kadang', 'sllu', 'check', 'sehari', 'kelewat', 'udah', 'hadiahnya', 'cmn', 'daerahku', 'udah', 'pindah', 'jaringan', 'tinggal', 'memikirkan', 'harap', 'developer', 'membaca', 'terimakasih', '']</t>
  </si>
  <si>
    <t>['kuota', 'nyaa', 'paalinggg', 'mahaal', 'nambah', 'mahal', 'ngga', 'dibawah', 'pelajar', 'boros', 'banget', 'dipake', 'sekola', 'daring', 'kak', 'tolong', 'kak', 'harga', 'kuota', 'nyaa', 'turunin', 'dikit', 'pandemi', 'kek', 'gini', 'susah', 'cari', 'uang', '']</t>
  </si>
  <si>
    <t>['mohon', 'maaf', 'beli', 'kuota', 'aplikasi', 'telkomsel', 'kuota', 'hilang', 'masuk', 'kendala', 'bug', 'transaksi', 'dana', '']</t>
  </si>
  <si>
    <t>['tolong', 'perbaiki', 'paketan', 'chat', 'musik', 'sosmed', 'game', 'paketannya', 'pakai', 'kuota', 'utama', 'habis', 'sekian', 'terimakasih', '']</t>
  </si>
  <si>
    <t>['pulsa', 'disedot', 'mencek', 'penggunaan', 'pulsa', 'internet', 'internet', 'terima', '']</t>
  </si>
  <si>
    <t>['boros', 'banget', 'paket', 'telkomsel', 'udah', 'harganya', 'mahal', 'dapetnya', 'trus', 'unlimited', 'rbu', 'gila', 'gtu', 'kali', 'hemat', 'matiin', 'sosmed', 'mainin', 'whatsapp']</t>
  </si>
  <si>
    <t>['update', 'aplikasinya', 'berat', 'dibuka', 'sempet', 'paket', 'ditampilkan', 'paket', 'internet', 'gb', 'beli', 'paket', 'jaringan', 'internetnya', 'buruk', 'mohon', 'diperbaiki', 'terima', 'kasih', '']</t>
  </si>
  <si>
    <t>['maaf', 'seblumnya', 'kualitas', 'jaringan', 'seluler', 'internet', 'telkomsel', 'drastis', 'menurun', 'memuaskan', 'nelpon', 'gangguan', 'jaringan', 'internet', 'lelet', 'padal', 'penyebabnya', 'padahalnya', 'modem', 'router', 'orbit', 'produk', 'telkomsel', 'fasilitasi', 'jaringn', 'lemot', 'possi', 'tmpat', 'tinggal', 'sutet', 'tower', 'pemncar', 'jaringn', 'khusus', 'tlkomsl', 'kalimantan', 'des', 'taringen']</t>
  </si>
  <si>
    <t>['tolong', 'keadilan', 'telkomsel', 'pengguna', 'setia', 'kartu', 'pembelian', 'paket', 'wajar', 'sibuk', 'memikirkan', 'ekspansi', 'pikirkan', 'loyalti', 'bersabar', 'mohon', 'perhatian', 'semoga', 'perusahaan', 'pimpin', 'sukses', 'jaya', '']</t>
  </si>
  <si>
    <t>['koneksinya', 'tolong', 'ktanya', 'provider', 'terhebat', 'down', 'koneksinya', 'hayolah', 'dapet', 'customer', 'nyaman', '']</t>
  </si>
  <si>
    <t>['kuota', 'mahal', 'jaringan', 'down', 'gimana', 'ntar', 'video', 'ngeleg', 'nyawa', 'taruhan', 'dahlah', 'males', 'make', 'telkomsel', 'mending', 'make', 'murah', 'trus', 'ping', 'turun', 'nge', 'game', '']</t>
  </si>
  <si>
    <t>['setalah', 'update', 'terbaru', 'lemot', 'udah', 'confirm', 'paket', 'terbeli', 'pulsa', 'berkurang', 'menit', 'masuk', 'penberitahuan', 'pembayaran', 'gagal', 'pas', 'ulang', 'gitu', '']</t>
  </si>
  <si>
    <t>['jujur', 'telkomsel', 'udah', 'jelek', 'banget', 'udah', 'kayak', 'paket', 'datanya', 'udah', 'beres', 'beli', 'paket', 'gb', 'gb', 'kepake', 'udah', 'peringatan', 'kuota', 'tersisa', 'mb', 'gmna', '']</t>
  </si>
  <si>
    <t>['pulsa', 'dipotong', 'pakai', 'telp', 'paket', 'data', 'pakai', 'operator', 'jaringan', 'telkomsel', 'buruk', 'lemot', 'telkomsel', 'mencari', 'untung', 'malas', 'isi', 'pulsa', 'telkomsel', 'mengecewakan', '']</t>
  </si>
  <si>
    <t>['telkomsel', 'sinyal', 'bener', 'lemot', 'tarif', 'internet', 'abis', 'isi', 'dipae', 'yutub', 'dipake', 'download', 'bener', 'nyedot', 'telkomsel', 'bangkrut', 'good', 'bye', 'telkomsel', '']</t>
  </si>
  <si>
    <t>['buruk', 'jaringannya', 'telkomsel', 'bersaing', 'hitung', 'pelanggan', 'puas', 'layanan', 'jaringan', 'terburuk', 'telkomsel', '']</t>
  </si>
  <si>
    <t>['beli', 'paket', 'internet', 'dibeli', 'notifikasi', 'berlangganan', 'otomatis', 'berhenti', 'telkomsel', 'app', 'cari', 'telkomsel', 'app', 'menu', 'berhenti', 'berlangganan', 'berlangganan', '']</t>
  </si>
  <si>
    <t>['sinyal', 'full', 'batangnya', 'lemotnya', 'pengguna', 'heran', 'tolong', 'diperbaiki', 'telkomsel', 'engkau', 'harapan', 'orang', 'tinggal', 'perdesaan', 'karna', 'jangkauan', 'sinyal', 'telkomsel', 'luas', 'sinyal', 'dipakai', 'covid', 'uda', 'meresahkan', 'ditambah', 'jaringan', 'internet', 'lambat', 'tolong', 'diperbaiki', '']</t>
  </si>
  <si>
    <t>['tolong', 'update', 'aplikasi', 'buka', 'update', 'pelanggan', 'ber', 'alih', 'layanan', 'oprator', 'jadikan', 'lahan', 'bisnis']</t>
  </si>
  <si>
    <t>['turun', 'bintang', 'maaf', 'gimana', 'internetnya', 'kemajuan', 'paket', 'puluhan', 'giga', 'nongkrong', 'kepake', 'make', 'lemot', 'boong', 'tolong', 'diperbaiki', 'min', '']</t>
  </si>
  <si>
    <t>['telkomsel', 'kualitasnya', 'jdi', 'nurun', 'minggu', 'internetan', 'msi', 'lancar', 'internet', 'whatsapp', 'jamread', 'puas', 'pakenya', '']</t>
  </si>
  <si>
    <t>['klik', 'link', 'aktivasi', 'redmi', 'note', 'gagal', 'pas', 'diklik', 'muncul', 'link', 'valid', 'kadaluarsa', 'simcard', 'kartu', 'aplikasi', 'mytelkomsel', 'ponsel', 'posisi', 'simcard', 'udah', 'dipindahin', 'sim', 'udah', 'direset', 'instal', 'ulang', 'restart', 'hape', 'pindah', 'hape', 'samsung', 'galaxy', 'tab', 'simcard', 'aplikasi', 'mytelkomsel', 'gagal', '']</t>
  </si>
  <si>
    <t>['aplikasi', 'update', 'koneksi', 'jelek', 'banget', 'sinyal', 'full', 'ohh', 'kau', 'telkomsel', 'koneksi', 'aplikasi', '']</t>
  </si>
  <si>
    <t>['yth', 'telkomsel', 'dimeja', 'tugas', 'maraknya', 'penipuan', 'mengatas', 'namakan', 'undian', 'telkomsel', 'berharap', 'informasikanlah', 'pelanggan', 'telkomsel', 'moment', 'telkomsel', 'undian', 'hadiah', 'langsung', 'pelanggan', 'resah', 'sms', 'via', 'email', 'dalih', 'undian', 'berhadiah', 'berharap', 'telkomsel', 'berkala', 'menginformasikan', 'pelanggan', 'via', 'sms', 'aplikasi', 'via', 'email', 'terimakasih']</t>
  </si>
  <si>
    <t>['daerah', 'sinyal', 'telkomsel', 'jelek', 'full', 'tpi', 'internet', 'lemot', 'gila', 'main', 'game', 'sblm', 'telkomsel', 'tlg', 'perbaiki', 'daerah', 'riwang', 'tanah', 'gerogot', 'kalimantan', 'timur', 'mhn', 'perhatian', 'daerah', 'pakai', 'telkomsel', 'terima', 'kasih']</t>
  </si>
  <si>
    <t>['kesini', 'bobrok', 'sinyalnya', 'beli', 'kuota', 'bayar', 'provider', 'layanan', 'semestinya', 'malu', 'ama', 'provider', 'kasih', 'layanan', 'kuota', 'levih', 'murah', 'koneksi', 'lancar', 'sok', 'sokan', 'duluan', 'hadehhh', '']</t>
  </si>
  <si>
    <t>['bintang', 'kuota', 'mahal', 'promo', 'gb', 'unlimited', 'berlaku', 'cuman', 'berlangganan', 'pelanggan', 'kecewa', 'berat', 'pandemi', 'cari', 'uang', 'susah', 'ditambah', 'harga', 'paket', 'internet', 'melonjak', 'mahal', '']</t>
  </si>
  <si>
    <t>['sengaja', 'kasih', 'bintang', 'baca', 'parah', 'telkomsel', 'kesini', 'mahal', 'paket', 'internetnya', 'krisis', 'covid', 'harga', 'paket', 'mahal', 'mah', 'auto', 'off', 'telkomsel', 'good', 'bye', 'telkomsel', 'parah', '']</t>
  </si>
  <si>
    <t>['for', 'telkomsel', 'emang', 'telkomsel', 'diandelin', 'urusan', 'sinyal', 'sinyal', 'down', 'nge', 'game', 'jaringan', 'bagus', 'diluar', 'cacad', 'sebagi', 'pengguna', 'kecewa', 'sinyal', 'bangga', 'banggain', 'kayak', 'gini']</t>
  </si>
  <si>
    <t>['bener', 'sinyal', 'ilang', 'trus', 'lemot', 'pdhal', 'kecewa', 'udh', 'telkomsel', 'ngecewain', 'bngt', 'tlong', 'min', 'sinyal', 'perbaiki', 'dapet', 'kode', 'verifikasi', 'skrng', 'mah']</t>
  </si>
  <si>
    <t>['', 'makan', 'duit', 'haram', 'jaringan', 'lelet', 'ampun', 'mahal', 'mahal', 'kualitas', 'jaringan', 'buruk', 'mending', 'pindah', 'sebelah', 'sok', 'sokan', 'leletnya', 'ampun', 'bener', 'woi', 'kualitasnya']</t>
  </si>
  <si>
    <t>['tolong', 'telkomsel', 'perbaiki', 'jaringan', 'suka', 'stabil', 'paketan', 'harganya', 'kualitas', 'jaringan', 'rendah', 'suka', 'stabil', 'mohon', 'perbaiki', 'kelancaran', 'customer', 'beraktivitas', 'terimakasih', '']</t>
  </si>
  <si>
    <t>['berharab', 'promo', 'unlimit', 'cuman', 'promo', 'seterus', 'piliah', 'paketan', 'karna', 'harga', 'komposisi', 'paket', 'perminggu', 'membantu', 'sekiat', 'terimakasih']</t>
  </si>
  <si>
    <t>['jaringan', 'mengecewakan', 'udah', 'kapok', 'kartu', 'jaringan', 'sial', 'bener', 'sinyal', 'dimana', 'sinyal', 'kenceng', 'pas', 'internetan', 'lemot', 'sial', 'kapok', 'gue', 'melayani', 'masyarakat', 'konsisten', 'untung', 'jaringan', 'indonesia', 'udah', 'merusak', 'jaringan', 'operator', '']</t>
  </si>
  <si>
    <t>['wilayah', 'papua', 'dispesialkanlah', 'dipapua', 'telkomsel', 'unggul', 'dibandingkan', 'tingkat', 'harga', 'sesuai', 'wilayah', 'mohon', 'telkomsel', 'dpt', 'menjadikan', 'komentar', 'acuan', 'saran', 'posotif']</t>
  </si>
  <si>
    <t>['jaringan', 'perbaiki', 'bos', 'dibikin', 'sperti', 'kepaksa', 'provider', 'sprti', 'pengguna', 'menikmati', 'layanan', 'tolong', 'utamakan', 'kualitasnya']</t>
  </si>
  <si>
    <t>['pelayanan', 'buruk', 'tarif', 'paket', 'berlangganan', 'sesuka', 'hati', 'dinaikan', 'free', 'nelponny', 'berkurang', 'seharus', 'ditambah', 'tarif', 'kecewalah', '']</t>
  </si>
  <si>
    <t>['telkomsel', 'payah', 'tarif', 'tpi', 'lemot', 'buka', 'laman', 'shopee', 'lemotnya', 'emosi', 'gtu', 'main', 'potong', 'pulsa', 'pdhl', 'berlangganan', 'aplikasi', 'play', 'store', 'tlp', 'jwbannya', 'memuaskan', 'disuruh', 'unreg', 'tpi', 'sms', 'dri', 'sel', 'google', 'bsa', 'replay', 'pulsaku', 'trs', 'lari', 'kmna', 'sebnyk', 'tkutnya', 'bln', 'kepotong', 'segitu', 'gtu', 'aplikasi', 'telkomsel', 'fiturku', 'fitur', 'combo', 'sakti', 'pnya', 'tmnku', 'tarifnya', 'beda', 'membedakan', '']</t>
  </si>
  <si>
    <t>['kecewa', 'ama', 'kualitas', 'jaringan', 'banggain', 'jaringan', 'telkomsel', 'sekitaran', 'rumah', 'buruk', 'jaringannya', 'malu', 'tuk', 'rekomendasi', 'temen', '']</t>
  </si>
  <si>
    <t>['sinyal', 'telkomsel', 'daerah', 'ogan', 'ilir', 'sumatera', 'selatan', 'buruk', 'tolong', 'perbaiki', 'trima', 'kasih', 'kek', 'gini', 'mending', 'axis', 'udah', 'murah', 'event', 'gratisnya', 'geratis', 'mnt', 'pulsa', 'sinyalnya', 'bagusan', 'axis', 'telkomsel', 'jaman', 'perbakilah', 'sinyal', 'telkomsel', 'ganti', 'kartu']</t>
  </si>
  <si>
    <t>['koneksi', 'stabil', 'harga', 'kejelasan', 'udah', 'thn', 'pakek', 'telkomsel', 'tolong', 'pelayanan', 'penyelesaian', 'cepat', 'kpd', 'konsumen', 'setia', 'telkomsel', 'gini', 'udah', 'mending', 'ganti', 'kartu', 'ajalah', '']</t>
  </si>
  <si>
    <t>['kecewa', 'aplikasi', 'update', 'log', 'memasukkan', 'telvon', 'terdaftar', 'sms', 'link', 'mengklik', 'link', 'aplikasinya', 'link', 'kadaluarsa', 'tolong', 'aplikasi', 'jaringannya', 'lelet', 'bener', 'sungguh', 'mengecewakan', 'bersihkan', 'cache', 'bersihkan', 'data', 'paksa', 'berhenti', 'akses']</t>
  </si>
  <si>
    <t>['aplikasi', 'nggak', 'daftar', 'nomor', 'kali', 'masuk', 'aplikasi', 'kirim', 'link', 'magic', 'tekan', 'link', 'kadaluwarsa', 'maksud', 'genap', 'menit', 'link', 'kadaluarsa']</t>
  </si>
  <si>
    <t>['disaat', 'karpoin', 'sibuk', 'poin', 'gue', 'udah', 'mencukupi', 'pulsa', 'data', 'dilayan', 'belinlagi', 'dasar', 'berguna']</t>
  </si>
  <si>
    <t>['kouta', 'kartu', 'hallo', 'boros', 'download', 'kesimpulan', 'hasil', 'pendapat', 'bicarakan', 'tolong', 'diperbaiki', 'aplikasi', 'rincian', 'pemakaian', 'sesuai', 'kouta', 'berlangganan']</t>
  </si>
  <si>
    <t>['hai', 'telkomsel', 'knp', 'ganti', 'logo', 'mytelkomselku', 'update', 'benefitnya', 'takutnya', 'ilang', 'mestinya', 'kompensasi', 'perpanjang', 'kuota', 'ato', 'liay', 'komen', 'tempatku', 'lemot', 'dibiarin', 'merana', '']</t>
  </si>
  <si>
    <t>['ngeselin', 'sumpah', 'paketan', 'gatau', 'berlangganan', 'udah', 'beli', 'paket', 'berlangganan', 'isi', 'pulsa', 'ketarik', 'habis', 'habis', 'ratusan', 'ribu', 'paketannya', 'abis', 'gaada', 'batalin', 'paket', 'berlangganan', 'butuh', 'pulsa', 'bego', 'telkomsel', 'gabisa', 'verif', 'mbanking', 'keperluan', 'pulsa', 'emosi', 'udah', 'berbulan', 'paketan', 'berlangganan', 'kunjung', 'abis', 'plis', 'kasih', 'stop', 'langganan', 'tips', 'google', 'gaada', '']</t>
  </si>
  <si>
    <t>['telkomsel', 'sadar', 'dosa', 'menghantuimu', 'masak', 'paket', 'data', 'habis', 'alias', 'expired', 'ditarik', 'uang', 'kembalikan', 'paket', 'udah', 'habis', 'periode', 'tarik', 'sisanya', 'duit', 'konsumen', 'balikin', 'sesuai', 'harga', 'sisa', 'tarik', 'duit', 'konsumen', 'ditarik', 'plus', 'sisa', 'paket', 'ditarik', 'nggak', 'perpanjang', 'habis', 'paket', 'konsumen', 'sampe', 'dosa', 'jutaan', 'rakyat', 'telkomsel']</t>
  </si>
  <si>
    <t>['isi', 'pulsa', 'beli', 'paket', 'harga', 'harapan', 'sisanya', 'dipake', 'telponan', 'gitu', 'ngerti', 'ilang', 'kemana', 'isi', 'pulsa', 'beli', 'paketan', 'seharga', 'gabisa', 'error', 'mulu', 'emang', 'niatnya', 'pelanggan', 'telkomnyet', 'ngisi', 'pulsa', 'disedot', 'gimana', '']</t>
  </si>
  <si>
    <t>['maaf', 'resah', 'paket', 'darurat', 'telkomsel', 'suka', 'aktif', 'otomatis', 'mengaktifkan', 'mengisi', 'paket', 'paket', 'habis', 'halnya', 'perampokan', 'meresahkan', '']</t>
  </si>
  <si>
    <t>['udah', 'diupdate', 'stres', 'aplikasi', 'disuruh', 'login', 'login', 'email', 'jdi', 'login', 'aduh', 'parah', 'telkomsel', 'jaringan', 'aplikasi', 'stres', 'aduh', 'maaf', 'klok', 'kasar', 'min', 'karna', 'kecewa', '']</t>
  </si>
  <si>
    <t>['percaya', 'kartu', 'karna', 'lag', 'meyebabkan', 'sya', 'kalah', 'main', 'game', 'keluhan', 'respon', 'terima', 'kasih', 'pelayan', 'buruk']</t>
  </si>
  <si>
    <t>['paketan', 'mahal', 'koneksi', 'buruk', 'giliran', 'telfon', 'oprator', 'alasannya', 'perbaikkan', 'jaringan', 'udh', 'tlfn', 'sampe', 'berkali', 'tlfn', 'alasannya', 'ituuu', 'trs', 'bener', 'kapok', 'mahal', 'kualitas', 'plh', 'buruk', '']</t>
  </si>
  <si>
    <t>['kapok', 'make', 'telkomsel', 'paket', 'beli', 'kemaren', 'gb', 'masasekarang', 'tinggal', 'kuota', 'sosmed', 'bagus', 'pke', 'indosat', 'jaringan', 'joss', 'lelet', 'kuota', 'pisah', '']</t>
  </si>
  <si>
    <t>['telkomsel', 'kartu', 'jaringan', 'sultan', 'pengguna', 'kelas', 'kartu', 'mewah', 'mahal', 'jaringan', 'udah', 'kaya', 'berlangganan', 'pengguna', 'udah', 'tahunan', 'jaringan', 'gini', 'gini', 'mulu', 'peningkatan', 'cobalah', 'telkomsel', 'kalah', 'kartu', 'murah', 'lancar']</t>
  </si>
  <si>
    <t>['kirain', 'ngeluh', 'signal', 'telkomsel', 'sekuat', 'dlu', 'korbannya', 'kapok', 'pakai', 'telkomsel', 'ditawarkan', 'paket', 'murah', 'signal', 'pulsa', 'kesedot', 'omigot', '']</t>
  </si>
  <si>
    <t>['kritikan', 'lemot', 'parah', 'telkomsel', 'ambil', 'untung', 'doang', 'tower', 'btsnya', 'umkm', 'menjerit', 'signal', 'lemot', 'mohon', 'maaf', 'telkomsel', 'pindah', '']</t>
  </si>
  <si>
    <t>['mengecewakan', 'sinyalnya', 'pulsa', 'suka', 'termakan', 'pas', 'beli', 'paket', 'internet', 'pulsanya', 'tpi', 'keterangannya', 'pulsa', 'mencukupi', 'teruss']</t>
  </si>
  <si>
    <t>['beli', 'pulsa', 'tuker', 'kuota', 'pulsa', 'ribu', 'malam', 'besok', 'pagi', 'hilang', 'kuota', 'multimedia', 'tiktok', 'hilang', 'besok', 'beli', 'pulsa', 'tuker', 'paket', 'pulsa', 'sisa', 'pas', 'kuota', 'udah', 'abis', 'pulsa', 'pulsa', 'sampe', 'tetep', 'beli', 'uang', 'eih', 'syedih']</t>
  </si>
  <si>
    <t>['ngke', 'beli', 'paket', 'maaf', 'mengalami', 'gangguan', 'gangguan', 'udh', 'emng', 'guuoooblikkk', 'telkomsel', '']</t>
  </si>
  <si>
    <t>['', 'nanya', 'developer', 'emang', 'paket', 'game', 'klean', 'gua', 'main', 'ngelag', 'kuota', 'utama', 'lancar', 'pengguna', 'telkomsel', 'kecewa', 'sok', 'jaringan', 'jaringan', 'belom', 'merata', 'daerah', 'dasar', 'kuota', 'mahal', 'lemot', 'maaf', 'kasar', 'klean', 'tersinggung', 'silahkan', '']</t>
  </si>
  <si>
    <t>['terima', 'kasih', 'kesempatan', 'pengalaman', 'telkomsel', 'puas', 'memudahkan', 'keperluan', 'kebutuhan', 'sekalilagi', 'terima', 'kasih']</t>
  </si>
  <si>
    <t>['gua', 'hapus', 'bintangnya', 'telkom', 'nge', 'lunjak', 'rumah', 'gua', 'tower', 'sinyalnya', 'jelek', 'trus', 'njir', 'lemotnya', 'main', 'kadang', 'jaringan', 'hilang', 'perbaiki']</t>
  </si>
  <si>
    <t>['paket', 'combo', 'saktinya', 'pembatasannya', 'tanggung', 'minggu', 'udah', 'dipake', 'kecewa', 'banget', 'sumpah', 'elit', 'telkomasel', 'duitmya', 'gimana', 'ngotak', 'kadang', 'beli', 'paketnya', 'mahal', 'dijaman', 'sulit', 'gini', 'nusahin', 'pelanggan', 'kecewa', 'sumpah', '']</t>
  </si>
  <si>
    <t>['', 'kesini', 'paket', 'hilangan', 'cuman', 'beli', 'udah', 'hilang', 'belom', 'combo', 'sakti', 'murah', 'meriah', 'hilang', 'harga', 'kuotanya', 'melonjak', 'rb', '']</t>
  </si>
  <si>
    <t>['kuota', 'khusus', 'simpati', 'loop', 'hilang', 'rb', 'gb', 'makah', 'diganti', 'rb', 'gb', 'pembelian', 'udah', 'gb', 'tolong', 'min', 'daftar', 'kuota', 'jels', 'berubah', 'ubah', 'ditambah', 'jaringan', 'tolong', 'buatkan', 'tower', 'desa', 'desa', 'bumi', 'kencana', 'sungai', 'lilin', 'musi', 'banyuasin', 'sumatera', 'selatan', '']</t>
  </si>
  <si>
    <t>['mengecewakan', 'berguna', 'saben', 'masuk', 'disuruh', 'update', 'update', 'ttp', 'akses', 'lemot', 'buaangeet', 'intinya', 'berguna', 'nyusahin', 'sekelas', 'telkomsel', 'sinyal', 'lemot', 'telkomsel', 'mengecewakan', '']</t>
  </si>
  <si>
    <t>['parah', 'jaringan', 'telkomsel', 'terkenal', 'jaringan', 'aman', 'kecewa', 'banget', 'make', 'telkomsel', 'kali', 'kecewa', 'jaringan', '']</t>
  </si>
  <si>
    <t>['simple', 'stabil', 'good', 'job', 'tampilan', 'antarmukanya', 'polos', 'berwarna', 'tampilannya', 'bintang', '']</t>
  </si>
  <si>
    <t>['kecewa', 'aplikasi', 'sulit', 'dibuka', 'berat', 'lemot', 'beli', 'paketan', 'sulit', 'error', 'trs', 'maunya', 'sich', 'pelayanan', 'diperbaiki', 'hancur', 'setia', 'pakai', 'telkomsel', 'provider', 'mikirin', 'pengguna', '']</t>
  </si>
  <si>
    <t>['mantap', 'saran', 'dimurahkan', 'aktif', 'kuota', 'data', 'pas', 'ngisi', 'pulsa', 'massa', 'aktif', 'kartu', 'nambahnya', 'nggak', 'nyampe', 'sad']</t>
  </si>
  <si>
    <t>['turun', 'rolercoster', 'kedap', 'kedip', 'lampu', 'daya', 'tarik', 'ulur', 'teroooss', 'kek', 'layangan', 'suka', 'php', 'jaringan', 'lekas', 'membaik', 'pusing', 'jaringan', 'bgni', 'download', 'mb', 'jam', 'masyaallah', 'quota', 'penyimpanan', 'lapang', 'jaringan', 'detik', 'detik', 'sampe', 'berjam', 'jam', 'salahku', '']</t>
  </si>
  <si>
    <t>['', 'bintang', 'ilang', 'maaf', 'min', 'knp', 'paket', 'combo', 'sakti', 'diapk', 'diperbaharuin', 'ilang', 'gb', 'sdgkan', 'pnya', 'suami', 'msh', 'emg', 'bedanya', 'simpati', 'provider', '']</t>
  </si>
  <si>
    <t>['telkomsel', 'proveder', 'terpercaya', 'handal', 'hambatan', 'jaringan', 'kualitasnya', 'menurun', 'proveder', 'belajar', 'kembalikan', 'kejayaan', 'telkomsel', 'menambah', 'fikiran', 'extra', 'terdepan']</t>
  </si>
  <si>
    <t>['gunta', 'ganti', 'tampilan', 'perbaiki', 'bug', 'kasih', 'bintang', 'lag', 'engga', 'aplikasi', 'update', 'tampilan', 'nambah', 'nambah', 'bug']</t>
  </si>
  <si>
    <t>['terimakasi', 'telkomsel', 'kartu', 'hallo', 'gratisan', 'berlaku', 'otomatis', 'harga', 'ringankan', 'proses', 'belajar', 'drmh', 'berjalan', 'lancar', '']</t>
  </si>
  <si>
    <t>['woyyy', 'min', 'kemarin', 'telkomsel', 'buang', 'skrng', 'udah', 'beli', 'mohon', 'dibantu', 'diem', 'beli', 'masuk', 'aplikasi', 'telkomsel', 'karna', 'sms', 'verifikasinya', 'masuk', 'masuk', 'nomer', 'telkomsel', 'isi', 'pulsa', 'jawaben', 'telkomsel', '']</t>
  </si>
  <si>
    <t>['lemod', 'skrg', 'mah', 'singnalnya', 'trs', 'nelp', 'hrs', 'isi', 'pulsa', 'hangus', 'jatah', 'nelpnya', 'bonus', 'nelp', 'jatah', 'nelp', 'pakai', 'sms', 'pulsa', 'suka', 'potong', 'pdhl', 'jatah', 'sms', 'gmn', 'skrg', 'telkomsel', 'bohongnya']</t>
  </si>
  <si>
    <t>['membohongi', 'konsumen', 'keluarnya', 'telkomsel', 'memakainya', 'kecewa', 'mementingkan', 'konsumen', 'karna', 'konsumen', 'hidup', 'karna', 'konsumen', 'terbaik', 'konsumen', 'kibarkan', 'bendera', 'putih', 'terimakasih', 'developer', 'semoga', 'membacanya', 'merenungkannya']</t>
  </si>
  <si>
    <t>['ayolahhh', 'sekelas', 'telkomsel', 'gaji', 'programmer', 'aplikasi', 'ringan', 'cepat', 'jaringan', 'provider', 'terbesar', 'indonesia', 'pendapatan', 'bersih', 'milyaran', 'malu', '']</t>
  </si>
  <si>
    <t>['malem', 'disconnect', 'drop', 'jaringannya', 'langsung', 'turun', 'disconnect', 'pas', 'reconnect', 'tolong', 'diperhatikan', 'diperbaiki', '']</t>
  </si>
  <si>
    <t>['pelanggan', 'setia', 'telkomsel', 'kemari', 'sinyal', 'telkomsel', 'buruk', 'mati', 'lampu', 'sinyal', 'hilang', 'bbrpa', 'sinyal', 'tolong', 'diperhatikan', 'kemaren', 'hubgi', 'pusat', 'diperbaiki', 'masi', 'sprti', 'mohon', 'direspon', 'seblom', 'bbrpa', 'plggan', 'setia', 'beralih', 'oprtor', 'makasih', 'telkomsel', '']</t>
  </si>
  <si>
    <t>['aplikasi', 'terkendala', 'kecewa', 'aplikasi', 'terbuka', 'diselanjutnya', 'disuruh', 'perbarui', 'diperbaruipun', 'dibuka', 'kendala', 'melayani', 'konsumen', '']</t>
  </si>
  <si>
    <t>['jenis', 'kuota', 'kuota', 'internet', 'kuota', 'chat', 'sosmed', 'games', 'memakai', 'apk', 'sosial', 'media', 'games', 'kuota', 'terpakai', 'kuota', 'internet', 'kuota', 'sosmed', 'chat', 'games', 'membeli', 'paket', 'combo', 'sakti', 'gb', 'ribu']</t>
  </si>
  <si>
    <t>['harga', 'mahal', 'kuota', 'berkurang', 'kualitas', 'jaringan', 'buruk', 'makasih', 'telkomsel', 'love', 'ganti', 'provider', '']</t>
  </si>
  <si>
    <t>['tolong', 'perbaiki', 'kualitas', 'layanan', 'pengguna', 'telkomsel', 'puas', 'kualitas', 'layanan', 'inet', 'cuaca', 'buruk', 'terimakasih']</t>
  </si>
  <si>
    <t>['umur', 'nomor', 'udah', 'gapernh', 'dpt', 'promo', 'harga', 'kuota', 'mahal', 'kualitas', 'jaringan', 'busuk', 'beli', 'kuota', 'gamesmax', 'gabisa', 'dipake', 'dasar', 'penipu', '']</t>
  </si>
  <si>
    <t>['mohon', 'maaf', 'kasi', 'bintang', 'sinyal', 'parah', 'banget', 'rumah', 'stasiun', 'kereta', 'kalaw', 'pas', 'kereta', 'sinyal', 'ilang']</t>
  </si>
  <si>
    <t>['kartu', 'mahal', 'jaringan', 'sesuai', 'harga', 'jaringan', 'tolong', 'diperbaiki', 'pengguna', 'telkomsel', 'pindah', 'haluan', 'jaringan']</t>
  </si>
  <si>
    <t>['kesini', 'suka', 'kartu', 'telkomsel', 'upgrade', 'aplikasi', 'telkomsel', 'lebihg', 'seru', 'redeem', 'point', 'berkesempatan', 'hadiah', 'menarik', 'tunggu', 'temen', 'teman', 'mari', 'beralih', 'kartu', 'telkomsel', 'pengguna', 'dam', 'canggih', 'good', 'luck', 'telkomsel', '']</t>
  </si>
  <si>
    <t>['gmn', 'buka', 'telkomsel', 'perbarui', 'perbarui', 'update', 'buka', 'heloooo', 'telkomsel', '']</t>
  </si>
  <si>
    <t>['aplikasi', 'telkomsel', 'membantu', 'kebutuhan', 'sehari', 'pandemi', 'ribet', 'ribet', 'rumah', 'beli', 'paket', 'tinggal', 'pilih', 'aplikasi', 'telkomsel', 'trima', 'kasih', 'telkomsel', 'jaya', 'aaaammmiinnn', 'kasih', 'bintang', '']</t>
  </si>
  <si>
    <t>['tampilan', 'bagus', 'cuman', 'sygnya', 'hubungi', 'veronica', 'terbatas', 'menu', 'sediakan', 'kode', 'referal', 'veronika', 'kode', 'referal', 'nanya', 'hadeuh', 'tolong', 'bantu', 'min', 'diperbaiki', 'makasih']</t>
  </si>
  <si>
    <t>['pgi', 'telkomsel', 'mahal', 'pulsax', 'kuotax', 'tpi', 'jaringanx', 'jelej', 'aduh', 'telkomsel', 'murah', 'operator', '']</t>
  </si>
  <si>
    <t>['syhalom', 'telkomsel', 'zalvaro', 'karubuy', 'papua', 'ucapkan', 'terima', 'kasih', 'tuhan', 'berkati', 'telkomsel', 'karna', 'memakai', 'apk', 'telkomsel', 'mudah', 'mengakses', 'dunia', 'belajar', 'kemudah', 'kasih', 'telkomsel', 'terima', 'tuhan', 'berkati', 'tugas', 'tanggun', 'melayani', 'masyarakat', 'indonesia']</t>
  </si>
  <si>
    <t>['provider', 'termahal', 'ter', 'aneh', 'pakettanya', 'sinyal', 'busuk', 'tinggal', 'desa', 'jenekan', 'kel', 'sugihmas', 'kec', 'grabag', 'kab', 'magelang', 'yaa', 'alloh', 'bener', 'memprihatinkan', 'sinyalnya', 'panggilan', 'darurat', 'mulu', 'mohon', 'pemerintah', 'daerah', 'pusat', 'tegur', 'nie', 'provider', 'telkomsel', 'ngaku', 'jaringan', 'terluas', 'jaringannya', 'sebatas', 'mata', 'memangdang', 'sanpai', 'sinyal', 'pohon', 'genteng', 'daring', 'kesusahan', 'tolong', 'yaa']</t>
  </si>
  <si>
    <t>['knp', 'check', 'didaily', 'check', 'jawabanya', 'check', 'gagal', 'untung', 'gini', 'promonya', 'bener', 'dasar', 'somplak', 'gini', 'jaringan', 'murah', 'dasar', 'somplak']</t>
  </si>
  <si>
    <t>['sebenernya', 'ngasih', 'rate', 'star', 'gegara', 'fup', 'turunin', 'starnya', 'pakai', 'fup', 'pakai', 'config', 'injector', 'kecewa', 'user', 'jujur', 'yamg', 'merusak', 'dikasih', 'fup', 'mending', 'naikin', 'harga', 'dikit', 'unlimited', 'kek', 'unlimax', 'combo', 'sakti', 'user', 'tetep', 'betah', 'operator', 'sekian', 'thx']</t>
  </si>
  <si>
    <t>['berhenti', 'berlangganan', 'salah', 'kuota', 'internet', 'anehnya', 'berhenti', 'berlangganannya', 'hubungi', 'app', 'telkomsel', 'menu', 'berhenti', 'berlangganannya', 'emosi']</t>
  </si>
  <si>
    <t>['tarif', 'mahal', 'sinyal', 'internet', 'lemot', 'susah', 'kalah', 'ama', 'oporator', 'tarifnya', 'murah', 'dibenahi', 'telkomsel', 'kehilangan', 'pelanggan']</t>
  </si>
  <si>
    <t>['mahal', 'menipu', 'kuota', 'dipecah', 'pecah', 'kuota', 'nasional', 'kuota', 'local', 'lucunya', 'udah', 'beli', 'kuota', 'local', 'dipake', 'ganti', 'kartu', 'merk', '']</t>
  </si>
  <si>
    <t>['beli', 'sinyal', 'rumah', 'bagus', 'banget', 'main', 'game', 'lag', 'sinyal', 'game', 'tolong', 'benerin']</t>
  </si>
  <si>
    <t>['elegan', 'versi', 'terbarunya', 'pelanggan', 'telkomsel', 'bersekolah', 'sekolah', 'dasar', 'suka', 'pengalaman', 'aplikasi', 'mytelkomsel', 'kece', 'pilihan', 'bintang', 'miliaran', 'bintang', 'langit', '']</t>
  </si>
  <si>
    <t>['aplikasi', 'mytelkomsel', 'bagus', 'iklan', 'sindir', 'murah', 'jaringan', 'murahan', 'mahal', 'jaringan', 'murahan', 'mahal', 'jaringan', 'murahan', 'keluarin', 'sperti', 'bagus', 'pulsa', 'mahalin', 'bisnis', 'yari', 'untung', 'kasi', 'untung', 'pelanggan', 'bisnis', '']</t>
  </si>
  <si>
    <t>['jelek', 'layanan', 'kualitas', 'jaringan', 'tsel', 'toraja', 'modus', 'ubah', 'kartu', 'halo', 'menipu', 'dijanjikan', 'kecepatan', 'bertambah', 'kuota', 'habis', 'kecepatan', 'sedot', 'batas', 'belanja', 'habis', 'menit', 'ribu', 'tolong', 'telkomsel', 'evaluasi']</t>
  </si>
  <si>
    <t>['telkomsel', 'tolong', 'koneksi', 'jaringannya', 'diperbaiki', 'lelet', 'turun', 'jaringannya', 'penuh', 'bulak', 'menghidup', 'matikan', 'mode', 'terbang', 'maaf']</t>
  </si>
  <si>
    <t>['jaringan', 'masang', 'harga', 'ngga', 'sesuai', 'performa', 'mending', 'make', 'provider', 'gangguan', 'gangguan', 'sarapan', '']</t>
  </si>
  <si>
    <t>['tolong', 'telkomsel', 'kuota', 'data', 'habis', 'langsung', 'putus', 'koneksi', 'internetnya', 'dialihkan', 'pulsa', 'ganti', 'kuota', 'data', 'program', 'pulsa', 'safe', 'kuota', 'habis', 'custommer', 'nyaman', 'provider', 'telkomsel', 'terima', 'kasih']</t>
  </si>
  <si>
    <t>['perbaharui', 'tetep', 'buka', 'mending', 'uinstall', 'kecewa', 'aplikasi', 'beli', 'mahal', 'gunanya']</t>
  </si>
  <si>
    <t>['update', 'logo', 'telkomsel', 'pilihan', 'paket', 'gag', 'pelanggan', 'kasih', 'fasilitas', 'tarif', 'lgsg', 'suruh', 'pkai', 'disamakan', 'paket', 'data', 'simpati', 'halo', 'dll', 'bersaing', 'operator', 'terimakasih']</t>
  </si>
  <si>
    <t>['gimana', 'aplikasi', 'update', 'bagus', 'hancur', 'jenis', 'paket', 'hilang', 'berubah', 'total', 'harganya', 'ngajak', 'melarat', 'keturunan', 'tolong', 'admin', 'pengguna', 'setia', 'telkomsel', 'kecewa', 'berat', 'aplikasi', 'tolong', 'pahami', 'standar', 'ekonomi', 'tolong', 'sengsara', 'miskin', 'karna', 'harga', 'kuota', 'melambung', 'mohon', 'konfirmasinya', 'telkomsel', '']</t>
  </si>
  <si>
    <t>['telkomsel', 'the', 'best', 'keluarga', 'telkomsel', 'blom', 'keluhan', 'enjoy', 'enjoy', 'jaya', 'telkomsel', '']</t>
  </si>
  <si>
    <t>['maaf', 'telkomsel', 'keluhan', 'pas', 'membeli', 'telkomsel', 'kecewa', 'karna', 'membeli', 'paket', 'masuk', 'paket', '']</t>
  </si>
  <si>
    <t>['alhamdulillah', 'jaringan', 'teratasi', 'ganti', 'kartu', 'provider', 'wkwkwk', 'nomor', 'tsel', 'akun', 'terlanjur', 'disimpan', 'teman', 'orang', 'dear', 'tsel', 'terima', 'kasih', 'menemaniku', '']</t>
  </si>
  <si>
    <t>['telkomsel', 'udah', 'kyk', 'dlu', 'lgi', 'enak', 'ganti', 'kartu', 'seru', 'dikit', 'ilang', 'ayo', 'respon', 'sekira', 'benerin', 'ganti', 'kartu', 'capek', 'nunggu', 'sinyal', 'pulih', 'trus', 'tanggapan', 'admin', 'kagak', 'burik', 'kartu']</t>
  </si>
  <si>
    <t>['halo', 'kak', 'login', 'otp', 'klik', 'muncul', 'link', 'valid', 'kedaluwarsa', '']</t>
  </si>
  <si>
    <t>['tolong', 'jaringan', 'sinyal', 'perbaiki', 'perbagus', 'wilayah', 'kalideres', 'jak', 'bar', 'warung', 'gantung', 'kojan', 'tolong', 'tindak', 'lanjuti', 'kirim', 'email', 'buatlah', 'customer', 'kecewa', 'customer', 'udah', 'bayar', 'mahal', 'mahal', 'kalah', 'sinyal', 'provider', 'tolong', 'perbaikin', 'sinyal', 'jaringan']</t>
  </si>
  <si>
    <t>['', 'memiliki', 'saldo', 'pulsa', 'rb', 'pembelian', 'internet', 'malam', 'seharga', 'rb', 'pemakaian', 'internet', 'diatas', 'jam', 'itupun', 'memakai', 'jam', 'akses', 'internet', 'diakses', 'diberitahu', 'melampaui', 'pemakaian', 'harian', 'coba', 'mengecek', 'sisa', 'kuota', 'tersisa', 'gb', 'mengisi', 'gb', 'mengecek', 'sisa', 'saldo', 'pulsa', 'tinggal', 'rb', 'kemana', 'sisa', 'saldo', 'raib', '']</t>
  </si>
  <si>
    <t>['banget', 'log', 'out', 'chek', 'tulisannya', 'koneksi', 'stabil', 'aplikasi', 'aman', 'harga', 'kuotanya', 'mahal', 'jaringan', 'stabil', 'tolong', 'update', 'diperbaiki', 'bagus', 'nambah', 'buruk', '']</t>
  </si>
  <si>
    <t>['', 'allah', 'kesini', 'hallo', 'buruk', 'bayar', 'mah', 'bayar', 'sinyalnya', 'jelek', 'sadissss', 'boros', 'cepet', 'abis', 'tagihan', 'sesuai', 'limit', 'gitu', 'kecewa']</t>
  </si>
  <si>
    <t>['update', 'kuota', 'gb', 'nahh', 'update', 'tinggal', 'mb', 'heran', 'lihat', 'aplikasi', 'ditambah', 'buka', 'aplikasi', 'eror', 'muncul', 'notif', 'game', 'turbo', 'pelanggan', 'telkomsel', 'ceritanya', 'langsung', 'hapus', 'aplikasi', 'mending', 'beralih', 'kartu', '']</t>
  </si>
  <si>
    <t>['ngelawak', 'kuotanya', 'dibikin', 'mahal', 'batasan', 'penggunaan', 'internet', 'contohnya', 'kayak', 'combo', 'sakti', 'perasaan', 'unlimited', 'taunya', 'limited', '']</t>
  </si>
  <si>
    <t>['pulsa', 'terllu', 'mahal', 'jaringan', 'merata', 'kota', 'daerah', 'menyakitkan', 'tolong', 'telkomsel', 'jaringan', 'mendingan', 'perluas', 'jaringan', 'bagus', 'khusus', 'pelosok', 'indonesia', '']</t>
  </si>
  <si>
    <t>['maaf', 'bintang', 'pakain', 'kartu', 'telkomsel', 'harga', 'kuota', 'pas', 'anak', 'pelajar', 'kesini', 'mahal', 'kuota', 'multimedia', 'buka', 'whatsapp', 'line', 'doang', 'kemaren', 'kemaren', 'buka', 'game', 'tiktok', 'kesannya', 'gimana', 'gitu', 'kuota', 'internet', 'lokalnya', 'abis', 'tinggal', 'kuota', 'multimedia', 'doang', 'berasa', 'bosen', 'whatsapp', 'line', 'doang', 'tolong', 'kuota', 'multimedia', 'buka', 'google', 'game', 'whatsapp', '']</t>
  </si>
  <si>
    <t>['cek', 'mytsel', 'update', 'pas', 'udah', 'update', 'isi', 'pulsa', 'pagi', 'juni', 'malemnya', 'masuk', 'ganti', 'kartu', 'ikhlasin', 'pulsa', 'akses', 'jaringan', 'internet', 'takdirnya', 'pakai', 'kartu', 'saranin', 'pakai', 'tsel', 'problem', 'dikit', 'ganti', 'langsung', 'oke', 'selamat', 'mencoba', '']</t>
  </si>
  <si>
    <t>['telkomsel', 'menjarah', 'duit', 'ribu', 'beli', 'paket', 'isi', 'langsung', 'dibuatkan', 'pembelian', 'giga', 'penipuan', '']</t>
  </si>
  <si>
    <t>['berjanji', 'apk', 'ahir', 'hidupku', 'apk', 'tua', 'tida', 'sakti', 'kmu', 'orang', 'miskin', 'uninstal', 'apk', 'cocok', 'orang', '']</t>
  </si>
  <si>
    <t>['kartu', 'unlimited', 'tpi', 'main', 'aplikasi', 'instagram', 'tiktok', 'facebook', 'main', 'game', 'suka', 'ngelag', 'telkomsel']</t>
  </si>
  <si>
    <t>['kasih', 'bintang', 'karna', 'kuota', 'abis', 'peringatan', 'ama', 'maksud', 'gimana', 'pulsa', 'kesedot', 'gara', 'gara', 'ginian', 'tanggung']</t>
  </si>
  <si>
    <t>['gimana', 'masukin', 'nomer', 'woy', 'gua', 'udah', 'instal', 'kali', 'ngabis', 'ngabisin', 'kuota', 'apk', 'telkomsel', 'ribet', 'gajelas', 'aing', 'nginstal', 'babaraha', 'kali', 'parah', 'nipu', 'liat', 'kondisi', 'parah', 'coba', 'elo', 'ditipu', 'gimana']</t>
  </si>
  <si>
    <t>['wow', 'kuota', 'ngisi', 'kecepatannya', 'dtk', 'server', 'menyarankan', 'penggunakan', 'kartu', '']</t>
  </si>
  <si>
    <t>['provider', 'sultan', 'maen', 'nambah', 'dosa', 'bibir', 'sabar', 'menahan', 'beli', 'mahal', 'internet', 'berwujud', 'kadang', 'sampe', 'nangis', 'karna', 'kesel', 'lag', 'mulu', 'dikatain', 'tim', 'makasih', 'telkom']</t>
  </si>
  <si>
    <t>['bli', 'paket', 'youtube', 'ketengan', 'gunain', 'aplikasi', 'youtube', 'browser', 'laen', 'padahl', 'paket', 'aktif', 'sumpah', 'pulsa', 'terbuang', 'sia', 'sia', '']</t>
  </si>
  <si>
    <t>['ilang', 'smsnya', 'ilang', 'gimana', 'update', 'make', 'eror', 'ribet', 'amet', 'masuk', 'udah', 'daftar', '']</t>
  </si>
  <si>
    <t>['kecewa', 'telkomsel', 'login', 'susah', 'udah', 'link', 'dibuka', 'udah', 'salin', 'ngk', 'buka', 'kecewa', 'kecewa', 'kecewa', 'mohon', 'diperbaiki', '']</t>
  </si>
  <si>
    <t>['telkomsel', 'telkomsel', 'burik', 'coba', 'perbaikilah', 'heran', 'telkomsel', 'ngurusin', 'covid', 'ngurusin', 'signal', '']</t>
  </si>
  <si>
    <t>['sedih', 'banget', 'jaringan', 'nge', 'game', 'loncat', 'kalah', 'provider', 'sebelah', 'iklan', 'jaringan', 'stabil', 'plosok', 'gua', 'kota', 'susah', 'tempekk']</t>
  </si>
  <si>
    <t>['halo', 'telkomsel', 'aplikasi', 'aplikasi', 'login', 'jaringan', 'stabil', 'koneksi', 'internet', 'buruk', 'deksripsi', 'bug', 'diperbaiki', 'error']</t>
  </si>
  <si>
    <t>['aplikasi', 'buka', 'menit', 'update', 'terulang', 'tolong', 'perbaiki']</t>
  </si>
  <si>
    <t>['buruk', 'jaringan', 'telkomsel', 'dibiarin', 'menerus', 'pindah', 'orang', 'orang', 'kartu', 'mohon', 'diperbaiki', 'kartunya', 'orang', 'terimakasih', '']</t>
  </si>
  <si>
    <t>['kecewa', 'telkomsel', 'biayanya', 'mahal', 'sesuai', 'biayanya', 'biaya', 'mahal', 'kualitas', 'murahan', 'tolong', 'diperbaiki', '']</t>
  </si>
  <si>
    <t>['heran', 'beli', 'paket', 'paket', 'sosmed', 'youtube', 'dll', 'dipakai', 'kuota', 'utama', 'paket', 'kecewa', 'berat']</t>
  </si>
  <si>
    <t>['berguna', 'mengecek', 'kuota', 'diperangkat', 'sayang', 'logout', 'verifikasi', 'ulang', 'verifikasinya', 'sms', 'masuk', 'facebook', 'akun', 'googlenya', 'fungsi', 'gagal', '']</t>
  </si>
  <si>
    <t>['gini', 'beli', 'pulsa', 'buka', 'telkomsel', 'beli', 'paket', 'pesan', 'pulsa', 'pas', 'cek', 'berkurang', 'pulsanya', 'paketnya', 'masuk', 'pulsa', 'gimana', '']</t>
  </si>
  <si>
    <t>['', 'komennyh', 'kyk', 'bener', 'tanda', 'nyh', 'kgk', 'udh', 'telkom', 'kartu', 'sultan', 'mahal', 'sinyal', 'tergantung', 'nyh', '']</t>
  </si>
  <si>
    <t>['udah', 'update', 'susah', 'banget', 'log', 'ribettttt', 'trus', 'quota', 'unlimited', 'dibatesin', 'namanya', 'unlimited', 'bambang', 'cepett', 'abisnya', 'aneh', 'hadehhhh', 'udah', 'mahal', 'jaringan', 'kadang', 'jelekk', 'knp', 'kesini', 'jelekk', 'ningkat', 'pelanggan', 'kecewa', 'pindah', 'provider', 'murah', 'berkualitas', 'mohon', 'dibaca', 'diperbaiki', 'iya', 'telkomsel', 'engga', 'kedepan', 'ditinggal', 'pelanggan', 'beralih', 'provider', '']</t>
  </si>
  <si>
    <t>['', 'pakai', 'telkomsel', 'thn', 'hrg', 'kartux', 'msh', 'percaya', 'puas', 'layanan', 'jaringanx', 'kali', 'kecewa', 'telkomsel', 'jaringanx', 'kian', 'jelek', 'harga', 'kuota', 'mahal', 'pembagian', 'kuotax', 'baxk', 'lbh', 'baxk', 'mubasir', 'drpd', 'terpakai', 'layanan', 'kemudahan', 'kenyamanan', 'konsumen', 'persatu', 'hapus', 'sperti', 'combo', 'mania', 'dll', 'klopun', 'sejenisx', 'hargax', 'selangit', 'trus', 'pembagian', 'kuota', 'kecewa', '']</t>
  </si>
  <si>
    <t>['applikasi', 'logout', 'tindakan', 'logout', 'manual', 'pulsa', 'quota', 'login', 'kadang', 'nerima', 'link', 'login', 'lambat', 'mengefisienkan', '']</t>
  </si>
  <si>
    <t>['kesini', 'telkomsel', 'buruk', 'mahal', 'kuotanya', 'abis', 'pindah', 'telkom', 'unlimitednya', 'sampe', 'gaada', 'batasan', 'batasan', 'jaringan', 'oke', 'jelek', 'gapapa', 'kuota', 'bener', 'gabisa', 'tolong', 'diperbaiki', 'terimakasih']</t>
  </si>
  <si>
    <t>['your', 'apps', 'and', 'your', 'connection', 'suck', 'kesini', 'koneksi', 'drop', 'sinyal', 'penuh', 'jaringan', 'orang', 'beli', 'quota', 'mahal', 'layanan', 'internet', 'nol', 'jaringan', 'jaringan', 'kayak', 'siput', 'connection', 'perbaikin', 'infrastructur', 'jaringan', '']</t>
  </si>
  <si>
    <t>['layanan', 'memuaskan', 'kualitas', 'sinyal', 'kuat', 'pedalaman', 'semoga', 'telkomsel', 'pelayanan', 'terbaik', 'penggunanya', '']</t>
  </si>
  <si>
    <t>['jaringan', 'telkomsel', 'membantu', 'browsing', 'sosmed', 'jaringan', 'kencang', 'banding', 'yuk', 'telkomsel', 'kecepatan', 'jaringan', 'banding', 'brand', '']</t>
  </si>
  <si>
    <t>['telkomsel', 'skarang', 'bokbrok', 'udah', 'jaringan', 'lelet', 'pulsa', 'ilang', 'pdahal', 'ikutan', 'game', 'sms', 'kuis', 'amanda', 'sms', 'pulsa', 'kepotong', 'unreg', 'tmbah', 'boros', 'pulsa', '']</t>
  </si>
  <si>
    <t>['pulsa', 'terpotong', 'pemberitahuan', 'sms', 'layanan', 'isi', 'cuman', 'layan', 'cloudmax', 'layanan', 'cloudmax', 'potongannya', 'sampe', 'gitu', 'tolong', 'telkomsel', 'perbaiki', 'sms', 'layanan', 'pelanggan', 'telkomsel', 'buruk', 'layanan']</t>
  </si>
  <si>
    <t>['maaf', 'kak', 'nulis', 'keluhan', 'update', 'lancar', 'sulit', 'digunain', 'apk', 'beli', 'paket', 'nggk', 'berhasil', 'udah', 'nggk', 'pemberitahuan', 'paket', 'berhasil', 'nggk', 'pulsa', 'kesedot', 'iya', 'jujur', 'kecewa', 'banget', 'tolong', 'diperbaiki', 'kak', 'kedepannya', 'makasih', '']</t>
  </si>
  <si>
    <t>['pemakai', 'menikmati', 'pelayanan', 'telkomsel', 'sinyal', 'jaringan', 'telkomsel', 'stabil', 'harganya', 'mahal', 'kebanyakan', 'diskon', 'harga', 'kuota', 'dll', 'mbps', 'diturunkan']</t>
  </si>
  <si>
    <t>['telkomsel', 'jaringannya', 'stabil', 'susah', 'ngegame', 'online', '']</t>
  </si>
  <si>
    <t>['isi', 'pulsa', 'beli', 'paket', 'ribu', 'tulisannya', 'pulsa', 'mencukupi', 'udah', 'pulsa', 'telkomsel', 'mengecewakan', '']</t>
  </si>
  <si>
    <t>['udah', 'seminggu', 'buka', 'aplikasi', 'telkomsel', 'disitu', 'disuruh', 'log', 'udah', 'diikuti', 'trus', 'sms', 'suruh', 'klik', 'link', 'udah', 'diikuti', 'dibuka', 'suruh', 'buy', 'new', 'card', 'maksudnya', 'sii', 'suruh', 'ganti', 'kartu', 'gitu', 'mohon', 'penjelasan']</t>
  </si>
  <si>
    <t>['', 'thn', 'pke', 'tlkomsel', 'knp', 'bkn', 'tmbah', 'bagus', 'internet', 'lag', 'pdhl', 'sinyal', 'paket', 'full', 'aneh', 'kdng', 'bbrapa', 'jam', 'akses', 'internet', 'tolong', 'telkomsel', 'diperbaiki', 'paketmu', 'mahal', 'jngn', 'smpe', 'ganti', 'provider', '']</t>
  </si>
  <si>
    <t>['heran', 'telkomsel', 'sibuk', 'gonta', 'ganti', 'cek', 'fls', 'cek', 'paket', 'pengguna', 'telkomsel', 'ribet', 'enak', 'cari', 'gini', 'udah', 'ganti', 'telkomsel', 'piln', 'plan', '']</t>
  </si>
  <si>
    <t>['adakan', 'ssuatu', 'mnhasilkan', 'koin', 'pulsa', 'hdiah', 'laennya', 'tambhkan', 'smacam', 'tugas', 'harian', 'game', 'undian', 'hnya', 'sgelintir', 'orng', 'mnikmatinya', 'jga', 'pelanggan', 'prlu', 'diprhatikan', 'tolong', 'tarif', 'internetnya', 'disesuaikan', 'mahal', 'bnget', 'sperti', 'produk', 'trgolong', 'kalangan', 'ber', 'uang', 'mmbayar', 'mmbeli', 'paket', 'data', 'telpon', 'dngan', 'harga', 'stinggi', 'mhon', 'kbijakannya', '']</t>
  </si>
  <si>
    <t>['mohon', 'maaf', 'telkomsel', 'apps', 'update', 'terhenti', 'semenjak', 'pakai', 'telkomsel', 'inet', 'lemot', 'pdhl', 'tercepat', 'smp', 'kanto', 'sekeluarga', 'ganti', 'telkomsel', 'tergolong', 'mahal', 'imbangi', 'kualitas', 'skrg', 'stabil', 'jaringannya', 'kadang', 'loading', 'lamaa', 'panas', 'versi', 'update', 'aplikasinya', 'parah', 'terhenti', 'tolong', 'benahi', 'kualitas', 'layanannya']</t>
  </si>
  <si>
    <t>['maaf', 'bintangnya', 'hapus', 'sya', 'kecewa', 'kecewa', 'paket', 'unlimited', 'pakai', 'batasan', 'kouta', 'mlah', 'boros', 'pakai', 'telkomsel', 'pakai', 'kepake', 'seminggu', 'mnding', 'ganti', 'kartu', '']</t>
  </si>
  <si>
    <t>['', 'buatmu', 'kecewa', 'maaf', 'bintang', 'hapus', 'karna', 'promo', 'paket', 'telkomsel', 'pas', 'kantong', 'enak', 'paket', 'unlimitednya', 'payaahh', '']</t>
  </si>
  <si>
    <t>['mohon', 'maaf', 'penilaian', 'kendala', 'membuka', 'aplikasi', 'mytelkomsel', 'sulit', 'reloadnya', 'sinyal', 'telkomsel', 'lamban', 'daerah', 'mati', 'lampu', 'sinyal', 'telkomsel', 'ikutan', 'mati', 'menit', 'towernya', 'penyimpanan', 'listrik', 'klau', 'lapor', 'kemana', 'disisi', 'telkomsel', 'merata', 'keplosok', 'desa', 'sinyalnya', 'turun', 'membantu', '']</t>
  </si>
  <si>
    <t>['udah', 'langganan', 'isi', 'pulsa', 'isi', 'paket', 'mahal', 'tpi', 'jaringan', 'sesuai', 'harga', 'dibayar', 'komplen', 'pulsa', 'ilang', 'ajh', 'diganti', 'skrg', 'jaringan', 'ajh', 'lemot', 'harga', 'paket', 'sesuai', 'jaringan', 'internet', 'dikasih', 'mahal', '']</t>
  </si>
  <si>
    <t>['mampus', 'review', 'bintang', 'provider', 'bapuk', 'paket', 'internet', 'mahal', 'sinyal', 'ancur', 'sinyal', 'modar', 'kemarin', 'sabar', 'sinyal', 'ancur', 'skrg', 'ancur', 'mending', 'jualan', 'cimol', 'provider', '']</t>
  </si>
  <si>
    <t>['telkomsel', 'parah', 'skrg', 'jaringan', 'payah', 'tlp', 'jwban', 'maaf', 'ujung', 'suruh', 'tunggu', 'jam', 'hasil', 'jelek', 'cek', 'kantor', 'turun', 'lapangan', 'lihat', 'situasi', 'klau', 'jaringan', 'bagus', 'laporan', 'org', 'santai', 'bro', 'kayak', 'duduk', 'dikantor', 'telkomsel', 'payah']</t>
  </si>
  <si>
    <t>['stiap', 'buka', 'aplikasi', 'layarnya', 'putih', 'cek', 'kuota', 'menyebalkan', 'main', 'game', 'mobile', 'legend', 'setabil', 'mainin', 'cma', 'leg', 'smua', 'operator', 'sinyal', 'bagus', 'cma', 'kota', 'kampung', 'mencret']</t>
  </si>
  <si>
    <t>['ngelag', 'tpi', 'boong', 'hayuk', 'palapala']</t>
  </si>
  <si>
    <t>['hallo', 'telkomsel', 'musim', 'harga', 'paket', 'mahal', 'setia', 'pengguna', 'telkomsel', 'maaf', 'kasih', 'bintang', 'kecewa', 'telkomsel', '']</t>
  </si>
  <si>
    <t>['aneh', 'informasi', 'paket', 'habis', 'telat', 'pulsa', 'terpakai', 'habis', 'masuk', 'sms', 'paket', 'habis', 'menjengkelkan', 'paket', 'murah', 'nikmati', 'dinaikkan', 'bonusnya', 'kurangi', 'aneh', 'pandemi', 'dimurahkan', 'harga', 'dinaikkan', '']</t>
  </si>
  <si>
    <t>['kuota', 'aktifnya', 'lbh', 'roli', 'hr', 'mlh', 'kesedot', 'duluan', 'dibanding', 'kuota', 'bonus', 'dci', 'hr', 'aktifnya', 'kuota', 'habis', 'langsung', 'nyedot', 'pulsa', 'perasaan', 'provider', 'egk', 'deh', 'dihentikan', 'koneksi', 'net', 'ngecek', 'pulsa', 'kuotanya', 'abis', 'blm', 'pulsa', 'byk', 'blm', 'sempet', 'dipaketin', 'mlh', 'udh', 'abis', 'kesedot', 'dlm', 'bbrpa', 'detik', 'rugi', 'rugi', 'rugi', 'merugiiii', '']</t>
  </si>
  <si>
    <t>['komitmen', 'layanannya', 'harganya', 'mahal', 'kemarin', 'unlimited', 'dibatasi', 'menit', 'harganya', 'mahal', 'rb', 'rb', 'ayo', 'tinggalkan', 'provider', 'telkomsel', 'beralih']</t>
  </si>
  <si>
    <t>['telkomsel', 'super', 'lelet', 'data', 'error', 'nggak', 'buka', 'internet', 'harga', 'kwota', 'telkomsel', 'mahal', 'imbangi', 'kwalitas', 'buruk', 'telkomsel', 'kalah', 'operator', 'sebelah', '']</t>
  </si>
  <si>
    <t>['mohon', 'maaf', 'kali', 'masuk', 'aplikasi', 'masukkan', 'nomor', 'itupun', 'konfirmasi', 'sms', 'berkali', 'login', 'susah', '']</t>
  </si>
  <si>
    <t>['internet', 'kotamu', 'support', 'jelek', 'faktanya', 'emang', 'bener', 'trus', 'jaringan', 'bawahnya', 'bego', 'banget', 'main', 'jaringan', 'mendadak', 'berupah', 'gitu', 'main', 'game', 'kartu', 'sultan', 'kualitas', 'jaringan', 'sampah', 'banget', 'sesuai', 'ama', 'sebutan', 'kartu', 'mahal', 'kouta', 'kualitas', 'intinya', 'bego', 'masi', 'bawahnya', 'support', 'bego', 'banget']</t>
  </si>
  <si>
    <t>['kecewa', 'telkomsel', 'paket', 'unlimited', 'batas', 'wajar', 'unlimited', 'namanya', 'anak', 'anak', 'butuh', 'kuota', 'belajar', 'memeras', 'menuntut', 'membalikkan', 'kuota', 'combo', 'sakti', 'batas', 'wajar']</t>
  </si>
  <si>
    <t>['telkomsel', 'parah', 'mengalami', 'potong', 'pulsa', 'isi', 'ulang', 'pulsa', 'telkomsel', 'berlangganan', 'apapun', 'isi', 'pulsa', 'pulsa', 'terpotong', 'bengini', 'ganti', 'jaringan', 'provider', 'sinyal', 'telkomsel', 'parah', 'suka', 'lte', 'lelet', 'harga', 'paketan', 'mahal', 'event', 'event', 'kereset', 'provider']</t>
  </si>
  <si>
    <t>['unlimitied', 'batas', 'pemakaian', 'smpai', 'batas', 'wajar', 'unlimitied', 'namanya', 'kayak', 'gini', 'beralih', 'operator', 'kuota', 'mahal', '']</t>
  </si>
  <si>
    <t>['harga', 'paketan', 'internet', 'mahal', 'kartu', 'murah', 'bedakan', 'pengguna', 'setia', 'kasih', 'harga', 'sepesial', 'kasih', 'harga', 'mahal', '']</t>
  </si>
  <si>
    <t>['apk', 'harga', 'paket', 'mahal', 'kualitas', 'jaringan', 'minim', 'harga', 'sesuai', 'dikit', 'ngga', 'orang', 'membelinya', 'jaringan', 'memburuk', '']</t>
  </si>
  <si>
    <t>['kecewa', 'banget', 'unlimited', 'kaga', 'batas', 'kuota', 'batasin', 'kecewa', 'sumpah', 'ngotak', 'banget', 'mna', 'keluhan', 'orang', 'dengerin', 'cari', 'untung', 'kelewatan', 'mah', 'unlimited', 'lgi', 'woyyt', 'batas', 'pemakaian', 'ngotak', 'dehh', 'mah', 'unlimited', 'batas', 'kasih', 'bintang', 'full', 'kaga', 'dehh', 'bintang', 'dngrin', 'keluh', 'kesah', 'pelanggan', 'setia', 'lho']</t>
  </si>
  <si>
    <t>['aplikasi', 'masuk', 'mulu', 'ditambah', 'log', 'nomer', 'telfon', 'mulu', 'doang', 'log', 'innya', 'eror', 'mulu', 'buka', 'langsung', 'kebuka']</t>
  </si>
  <si>
    <t>['membeli', 'paket', 'internet', 'harian', 'harga', 'rp', 'jam', 'paket', 'internet', 'masuk', 'sampe', 'membeli', 'apk', 'mytelkomsel', 'metode', 'pembayaran', 'gopay', '']</t>
  </si>
  <si>
    <t>['tolong', 'sinyal', 'perbaiki', 'beli', 'paket', 'gratis', 'jdi', 'tolong', 'sinyal', 'perbaiki', 'main', 'sinyal', 'jelek', 'lucu', 'low', 'jlek', 'mending', 'ganti', 'kartu', '']</t>
  </si>
  <si>
    <t>['masuk', 'aplikasi', 'susah', 'gagal', 'mengecewakan', 'komplain', 'bilangnya', 'diperbaiki', 'kenyataannya', 'tolong', 'masuk', 'aplikasi', 'nggak', 'susah', '']</t>
  </si>
  <si>
    <t>['maaf', 'min', 'apk', 'mytelkomsel', 'logout', 'disuruh', 'login', 'pas', 'login', 'kelogout', 'login', 'nda', 'buka', 'apk', 'mohon', 'bantuannya', 'min', 'terimakasiih']</t>
  </si>
  <si>
    <t>['jaringan', 'telkomsel', 'jelek', 'paket', 'data', 'beli', 'mahal', 'habis', 'gara', 'buka', 'sosmed', 'game', 'you', 'tube', 'tiktok', 'loding', 'menit', 'tolong', 'telkomsel', 'perbaiki', 'jaringan', '']</t>
  </si>
  <si>
    <t>['gimana', 'niat', 'beli', 'paketan', 'games', 'stabil', 'sinyal', 'sengaja', 'paket', 'regulernya', 'abis', 'pas', 'coba', 'main', 'game', 'internet', 'customer', 'care', 'suruh', 'beli', 'paket', 'reguler', 'kepakai', 'deskripsi', 'pembelian', 'kasih', 'keterangan', 'gitu', 'paket', 'reguler', 'habis', 'login', 'game', 'gitu', 'enak', '']</t>
  </si>
  <si>
    <t>['membantu', 'daily', 'check', 'lumayan', 'kuota', 'gratis', 'loadingnya', 'suka', 'buka', 'aplikasinya', 'koneksi', 'internet', 'bagus', 'kuota', 'unlimited', 'batas', 'pemakaian', 'wajar', 'gila', 'harga', 'mahal', 'kualitas', '']</t>
  </si>
  <si>
    <t>['telkomsel', 'harga', 'paket', 'internetnya', 'mahal', 'beli', 'paket', 'telkomsel', 'kemahalan', 'telkomsel', 'nyedot', 'pulsa', 'paket', 'data', 'promo', 'ngak', 'dibeli', 'beda', 'kecewa']</t>
  </si>
  <si>
    <t>['koneksi', 'internet', 'berubah', 'ubah', 'lemot', 'kaya', 'signal', 'pengaturan', 'sesuai', 'tolong', 'ditingkatkan', 'pelayanannya', 'mengecewakan']</t>
  </si>
  <si>
    <t>['pelanggan', 'telkomsel', 'kali', 'kecewa', 'telkomsel', 'membantu', 'karna', 'paket', 'ekstra', 'unlimited', 'dimasa', 'pandemi', 'tanggal', 'juli', 'pembaharuan', 'hilang', 'paket', 'ayo', 'egois', 'bantu', 'pelanggan', 'udh', 'setia', 'telkomsel', 'sampe', 'pelanggan', 'puas', 'pandemi', 'minimal', 'paket', 'ekstra', 'unlimited', 'diadain', 'semoga', 'bahan', 'evaluasi', 'terimakasih']</t>
  </si>
  <si>
    <t>['lbh', 'murah', 'lgi', 'promo', 'paket', 'internet', 'paket', 'bulanan', 'jngan', 'trus', 'promo', 'trus', 'menerus', 'peminat', 'mkin', 'nmbah', 'bnyak', '']</t>
  </si>
  <si>
    <t>['telkomsel', 'tolong', 'perbaiki', 'system', 'nyedot', 'pulsa', 'paket', 'koutanya', 'pulsa', 'dimakan', 'data', 'internet', 'kouta', 'bnyak', 'pulsa', 'makan', 'perampokan', 'namanya', 'kecewa', 'kali']</t>
  </si>
  <si>
    <t>['pulsa', 'dipalingin', 'isi', 'pulsa', 'kesedot', 'internet', 'kuota', 'kejadian', 'kali', 'makannya', 'screenshot', 'bukti', 'pulsa', 'dipalingin', 'provider', '']</t>
  </si>
  <si>
    <t>['telkomsel', 'hilang', 'sinyal', 'jaringan', 'masuk', 'jam', 'jam', 'kesel', 'campur', 'emosi', 'internetan', 'hilang', 'sinyal', 'udah', 'migguan', 'cookjancoook']</t>
  </si>
  <si>
    <t>['minggu', 'pakek', 'internetan', 'woiiiii', 'tlo', 'respon', 'pembaruan', 'diperbarui', 'muter', 'ngunduh', 'catat', 'wilayah', 'surabaya', 'barat', 'tepatnya', 'kandangan', 'minggu', 'trouble', 'internet', 'tolong', 'perbaiki']</t>
  </si>
  <si>
    <t>['suwe', 'masuk', 'login', 'terusss', 'bintang', 'sajah', 'jaringan', 'panggilan', 'anak', 'langsung', 'hilang', 'kekuatan', 'panggilan', 'infinix', 'hot', 'kecewaaaa', 'sayaaaaaa', 'taeee', 'tinggal', 'pergudangan', 'green', 'sedayu', 'bizpak', 'daanmogot', 'blok', 'buka', 'aplkasi', 'youtube', 'situs', 'situs', 'kekuatan', 'sinyalnya', 'buka', 'langaung', 'hilang', 'tolong', 'cilacap', 'barat', 'kondisi', 'telkomsel', '']</t>
  </si>
  <si>
    <t>['najis', 'udh', 'provider', 'mahal', 'kauta', 'mahal', 'jaringan', 'lemot', 'bener', 'najis', 'jaringan', 'buruk', 'dapi', 'provider', 'indosat', '']</t>
  </si>
  <si>
    <t>['menyedihkan', 'telkomsel', 'pengguna', 'setia', 'paket', 'mahal', 'sesuai', 'unlimited', 'kuota', 'utama', 'makan', 'buka', 'youtube', 'gua', 'buka', 'aplikasi', 'karna', 'kuota', 'utama', 'gua', 'habis', 'beli', 'bertahan', 'main', 'game', 'gangguan', 'kecewa', 'telkomsel', '']</t>
  </si>
  <si>
    <t>['telkomsel', 'beda', 'kain', 'sinyal', 'jelek', 'jawa', 'barat', 'paketnya', 'mahal', 'banget', 'ayo', 'rame', 'pindah', 'oplator', 'telkomsel', 'memperhatikan', 'kondisi', 'jaringan', 'daerah', 'jelek', '']</t>
  </si>
  <si>
    <t>['jaringan', 'kopet', 'tuyul', 'pulsa', 'app', 'fungsi', 'berat', 'sia', 'beli', 'quota', 'nyedot', 'pulsa', 'utama', 'gila', 'sehari', 'bablas', 'berbekas', 'pdhl', 'udah', 'beli', 'quota', 'wuaaasssyyy', '']</t>
  </si>
  <si>
    <t>['bobrokkk', 'telkomsel', 'udah', 'paketnya', 'mahal', 'lemotttttttt', 'lemotttttttttt', 'bos', 'pakai', 'telkomsel', 'mengecewakan', 'beralih', 'pelanggan', 'im', 'kencang', 'paket', 'murah', '']</t>
  </si>
  <si>
    <t>['telkomsel', 'udah', 'bertahun', 'meningkat', 'kualitas', 'menurun', 'sinyalnya', 'bagus', 'jam', 'sore', 'langsung', 'down', 'udah', 'berbulan', 'kayak', 'gini', 'ganti', 'kartu', '']</t>
  </si>
  <si>
    <t>['paket', 'combo', 'sakti', 'suka', 'telkomsel', 'telkomsel', 'harapan', 'semoga', 'paket', 'combo', 'sakti', 'kuota', 'unlimited', 'lemot', 'katika', 'kuota', 'utama', 'habis', 'situ', 'jaringan', 'lemot', '']</t>
  </si>
  <si>
    <t>['telkomsel', 'mahal', 'datanya', 'persulit', 'naa', 'kasih', 'sulit', 'masyarakat', 'kalangan', 'jaringan', 'putus', 'putus', 'pakai', 'kartu', 'karna', 'telkomsel', 'jelek', 'jaringan', 'telpon', 'internet', '']</t>
  </si>
  <si>
    <t>['kemarin', 'beli', 'pulsa', 'paketkan', 'gb', 'kuoata', 'masuk', 'pulsa', 'hilang', 'telkomsel', 'buruk', 'sisa', 'hilang', 'dimasa', 'pandemi', 'berharga', 'pelanggan', 'telkomsel', 'dikecewakan']</t>
  </si>
  <si>
    <t>['pelanggan', 'telkomsel', 'kecewa', 'nelfon', 'call', 'center', 'susah', 'beli', 'paket', 'bln', 'nelpon', 'menit', 'data', 'beli', 'nelfon', 'mnit', 'uda', 'gitu', 'paket', 'nelfonnya', 'habis']</t>
  </si>
  <si>
    <t>['sya', 'suka', 'sistem', 'telekomsell', 'kecurangan', 'masak', 'isi', 'paket', 'tlpn', 'menit', 'paket', 'kuota', 'internet', 'habis', 'isi', 'paket', 'tlpn', 'kemarin', 'ngak', '']</t>
  </si>
  <si>
    <t>['bahasanya', 'ngaur', 'bahasa', 'indonesia', 'kadang', 'paham', 'karna', 'sesuai', 'tbah', 'ribet', 'bahasa', 'asing', 'tolong', 'pilihan', 'bahasa', '']</t>
  </si>
  <si>
    <t>['uninstal', 'aplikasi', 'dumpster', 'knapa', 'msh', 'kenakan', 'biaya', 'harap', 'hnya', 'kali', 'mohon', 'telkomsel', 'lindungi', 'konsument', 'rugikan', 'terima', 'kasih', '']</t>
  </si>
  <si>
    <t>['beli', 'paket', 'internet', 'mahal', 'daerah', 'tinggal', 'membaik', 'buruk', 'jaringan', 'internet', 'akses', 'internet', 'pengaduan', 'pengaduan', 'kemajuan', 'payah', 'mengecewakan', '']</t>
  </si>
  <si>
    <t>['', 'sayangkan', 'nelpon', 'pulsa', 'berkurang', 'paket', 'nelpon', 'telkomsel', 'operator', 'seerti', 'gunanya', 'paket', 'nelpon', 'tolong', 'min', 'slalu', 'terbuang', 'sia', 'pulsa']</t>
  </si>
  <si>
    <t>['telkomsel', 'cikampek', 'butut', 'banget', 'plis', 'deh', 'perhatikan', 'jaringan', 'daerah', 'kecewa', 'banget', 'sebenernya', 'aktifkan', 'terganggu', 'gara', 'gara', 'jaringan', 'jelek']</t>
  </si>
  <si>
    <t>['assalamualaikum', 'aplikasinya', 'bagus', 'bagus', 'banget', 'tolong', 'telkomsel', 'tolong', 'tambahkan', 'kuota', 'kejutan', 'gamesmax', '']</t>
  </si>
  <si>
    <t>['gimna', 'mksdnya', 'udah', 'log', 'tpi', 'suruh', 'masukin', 'ttep', 'msuk', 'mlah', 'kluar', 'kluar', 'lgi', 'sampe', 'update', 'perasaan', 'ribet', 'skrang', 'mlh', 'mkin', 'ribet', 'tolong', 'pnjlsaanya', 'pdhl', 'cumn', 'bli', 'pketan', 'mlah', 'jdi', 'ribet', 'gini', '']</t>
  </si>
  <si>
    <t>['telkomsel', 'mohon', 'datanya', 'berbahasa', 'indonesia', 'pelanggan', 'ngerti', 'bahasa', 'inggris', 'perbaiki', 'saberi', 'bintang', '']</t>
  </si>
  <si>
    <t>['hay', 'kak', 'nomor', 'masuk', 'telkomsel', 'sebulan', 'coba', 'masuk', 'sampe', 'bolak', 'instal', 'uninstal', 'telkomsel', 'nggak', 'instal', 'telkomsel', 'memudahkan', 'beli', 'paket', 'cek', 'promo', 'ehh', 'nggak', 'masuk', 'tolong', 'butuh', 'kakak', 'tolongin', '']</t>
  </si>
  <si>
    <t>['kecewa', 'banget', 'ama', 'telkomsel', 'telkomsel', 'enak', 'pakek', 'nge', 'game', 'maklumi', 'kouta', 'telkomsel', 'mahal', 'karna', 'kecepatan', 'koneksinya', 'main', 'tpi', 'skarang', 'udah', 'tetep', 'mahal', 'jaringan', 'buruk', 'turun', 'hadehhh', 'gagal', 'push', 'congqu', '']</t>
  </si>
  <si>
    <t>['maaf', 'aktif', 'kartu', 'desember', 'mengecek', 'pulsa', 'menelpon', 'menerima', 'otp', 'ketiga', 'dll', 'intruksi', 'veronica', 'berpengaruh', 'mencoba', 'nihil', 'tolong', 'perbaiki', 'digit', 'makasih']</t>
  </si>
  <si>
    <t>['ajg', 'gue', 'membeli', 'paket', 'game', 'max', 'silver', 'pesanan', 'diamond', 'mobile', 'legends', 'masuk', 'gue', 'membeli', 'paket', 'game', 'max', 'mengharapkan', 'diamond', 'mobile', 'legends', 'masuk', 'masuk', 'masuk', 'jam', 'gue', 'uang', 'mohon', 'bantuannya']</t>
  </si>
  <si>
    <t>['', 'sinyal', 'telkomsel', 'lemot', 'udah', 'off', 'data', 'off', 'air', 'plane', 'pindahin', 'jaringan', 'udah', 'restart', 'ngeleg', 'harga', 'paket', 'mahal', 'paket', 'mlm', 'murah', 'sampe', 'jam', 'ubah', 'paket', 'mlm', 'sampe', 'jam', 'pagi', '']</t>
  </si>
  <si>
    <t>['telkomsel', 'propider', 'plat', 'merah', 'murah', 'banding', 'propider', 'bukanya', 'trs', 'harga', 'paket', 'data', 'cepat', 'habis', 'kuotanya', 'bangkrut', 'telkomsel', 'bangkrut', 'koruptor', '']</t>
  </si>
  <si>
    <t>['telkomsel', 'sisa', 'pulsa', 'tersisa', 'habis', 'ludes', 'heran', 'paketan', 'udah', 'komplit', 'gedek', 'tolong', 'operator', 'diperbaiki', 'rugikan']</t>
  </si>
  <si>
    <t>['min', 'tolong', 'sinyal', 'jaringan', 'jelek', 'sumpah', 'gada', 'dikota', 'gaada', 'jaringan', 'telkomsel', 'mohon', 'tindak', 'lanjuti', 'min', 'gini', 'nyaman', 'komunikasi']</t>
  </si>
  <si>
    <t>['tolong', 'kestabilan', 'jaringan', 'utamakan', 'kejelasan', 'paket', 'unlimited', 'internet', 'buka', 'situs', 'fup', 'habis', 'kbs', 'kbs', 'kenyataanya', 'kbs', 'tembus', 'sinyal', 'full', 'unlimited', 'nama', '']</t>
  </si>
  <si>
    <t>['telkomsel', 'mengalami', 'kerugian', 'ambil', 'jaringan', 'kek', 'gini', 'karna', 'uda', 'jaringan', 'jaringan', 'redam', 'kecewa', 'telkomsel', 'bentar', 'pindah']</t>
  </si>
  <si>
    <t>['kenapaa', 'login', 'aplikasinya', 'ribet', 'amaat', 'kendala', 'kaga', 'dibuka', 'mending', 'ngga', 'aplikasi', 'susah', 'hidup', 'orang', 'ntr', 'susah', 'urusan', 'mempermudah', 'mempersulit']</t>
  </si>
  <si>
    <t>['semoga', 'mytelkomsel', 'mempermudah', 'segi', 'sll', 'setia', 'pakai', 'kartu', 'telkomsel', 'puluhan', 'jalani', 'berharap', 'hadiah', 'terduga', 'terkomsel', '']</t>
  </si>
  <si>
    <t>['telkomsel', 'sinyal', 'mati', 'nyala', 'udah', 'beli', 'mahal', 'gede', 'trs', 'gaada', 'sinyal', 'sampe', 'sisa', 'udah', 'deket', 'tanggal', 'depannya', 'rumah', 'bagus', 'sinyalnya', 'mati', 'tolong', 'diperbaiki', 'mahal', 'kualitas', 'bagus', 'rugi', 'kecewa', '']</t>
  </si>
  <si>
    <t>['buruk', 'layanan', 'provider', 'terbaik', 'kronologi', 'membeli', 'paket', 'internet', 'aplikasi', 'terbaca', 'sukses', 'notifikasi', 'membeli', 'berhasil', 'notif', 'kuota', 'internet', 'beli', 'cek', 'pulsa', 'hilang', 'paket', 'internet', 'aplikasi', 'telkomsel', 'pelayanan', 'buruk', 'kuota', 'mahal', 'pelayanan', 'aplikasi', 'buruk', '']</t>
  </si>
  <si>
    <t>['asuu', 'bintang', 'minusss', 'sudi', 'ngasih', 'bintangnya', 'jelek', 'banget', 'aplikasinya', 'kesini', 'dipersulit', 'pas', 'masuk', 'nunggu', 'sms', 'masukin', 'nomer', 'masuk', 'kelo', 'vitur', 'bintang', 'minus', 'gua', 'pilih', 'mines', 'anjeng', '']</t>
  </si>
  <si>
    <t>['isi', 'ulang', 'pulsa', 'data', 'matikan', 'tersedot', 'pulsa', 'trus', 'aktifkan', 'data', 'wifi', 'pulsa', 'tetep', 'tersedot', 'isi', 'berberapa', 'kali', 'tersedot', 'pahadal', 'data', 'mati', 'wifi', 'daftarin', 'paket', 'responnya', 'maaf', 'gangguan', 'coba', '']</t>
  </si>
  <si>
    <t>['semoga', 'beli', 'paket', 'apapun', 'terhubung', 'dompet', 'digital', 'pulsa', 'merepotkan', 'aplikasi', 'bagus', 'memuat', 'halaman', 'jaringan', 'lumayan', 'bagus', '']</t>
  </si>
  <si>
    <t>['hai', 'telkomsel', 'pulsa', 'dipotong', 'rp', 'memiliki', 'kuota', 'tolong', 'perbaiki']</t>
  </si>
  <si>
    <t>['kecewa', 'operator', 'kubanggain', 'sampe', 'kurekomendasiin', 'keluarga', 'simcard', 'kesini', 'ancur', 'browsing', 'lag', 'game', 'lag', 'chat', 'doang', 'lag', 'harga', 'paket', 'mahal', 'kualitas', 'kacau']</t>
  </si>
  <si>
    <t>['pas', 'membeli', 'paket', 'promo', 'pulsa', 'paket', 'dipake', 'pulsa', 'hilang', 'gabisa', 'beli', 'paketnya', 'kembalikan', 'pulsa', 'diambil', '']</t>
  </si>
  <si>
    <t>['login', 'persulit', 'jaringan', 'data', 'gimana', 'pulsa', 'paketin', 'hidupin', 'data', 'disaat', 'pulsa', 'terdaftar', 'paket', 'login', 'app', 'telkomsel', 'bundir', 'ehk', 'bener', 'kejadian', 'detik', 'hidupin', 'data', 'login', 'langsung', 'hangus', 'pulsa', '']</t>
  </si>
  <si>
    <t>['logonya', 'keren', 'sinyal', 'busuk', 'dana', 'meningkatkan', 'kualitas', 'jaringan', 'pembuatan', 'logo', 'wkwkwkwk']</t>
  </si>
  <si>
    <t>['aplikasi', 'giblokkkkkkkkkkkkkkkkkkkkkkkkkkkkkkkkkkkkkkkkkkkkkkkkkkkkkkkkkkkkkkkkkkkkkkkkkkkkkkkkkkkkkkkkkkkkkkkkkkkkkkkkkkkkkkkkkkkkkkkkkkkkkkkkkkkkkkkkkkkkkkkkkkkkkkkkkkkkkkkkkkkkkkkkkkkkkkkkkkkkkkkkkkkkkkkkkkkkkkkkkkkkkkkkkkkkkkkkkkkkkkkkkk', 'boong']</t>
  </si>
  <si>
    <t>['gabisa', 'log', 'telkomsel', 'update', 'gabisa', 'app', 'diciptain', 'memudahkan', 'pengguna', 'telkomsel', 'ngeribetin', 'mohon', 'diperbaiki', 'min', '']</t>
  </si>
  <si>
    <t>['tolong', 'donk', 'min', 'pengguna', 'telkomsel', 'bangga', 'telkomsel', 'buka', 'aplikasi', 'susah', 'mati', 'login', 'susah', 'gmn', 'crita', 'duhh', 'benerin', 'lbh', 'praktis', 'habis', 'login', 'doank']</t>
  </si>
  <si>
    <t>['aplikasinya', 'bagus', 'membantu', 'beli', 'paket', 'data', 'telpon', 'semenjak', 'update', 'aps', 'menerima', 'tautan', 'sms', 'login', 'karna', 'login', 'bantu', 'telkomsel', 'permasalahan', '']</t>
  </si>
  <si>
    <t>['keluarga', 'pengguna', 'telkomsel', 'kualitas', 'signal', 'kualitas', 'signal', 'hancur', 'labur', 'harga', 'kuota', 'data', 'internet', 'melambung', 'keluarga', 'data', 'internet', 'provider', 'telkomsel', 'sanggup', 'mending', 'menyerah', 'diserahkan', 'provider']</t>
  </si>
  <si>
    <t>['pelanggan', 'harga', 'ditetapkan', 'telkomsel', 'paket', 'internet', 'memuaskan', 'perbaiki', 'jaringan', 'jaringan', 'kek', 'sampah', 'login', 'facebook', 'nunggu', 'jam', '']</t>
  </si>
  <si>
    <t>['sinyal', 'telkomsel', 'tiada', 'lawan', 'terkadang', 'kendala', 'aplikasinya', 'separah', 'provider', 'semoga', 'ditingkatkan', 'kualitasnya', 'promo', 'deal', 'unlimitednya', 'thx', 'telkomsel', 'semoga', 'terbaik', '']</t>
  </si>
  <si>
    <t>['tpi', 'buka', 'aplikasi', 'terdaftar', 'udah', 'thn', 'ribet', 'jaringan', 'melemah', 'buka', 'aplikasi', 'login', 'ulang', 'bosen', 'error', 'mulu', '']</t>
  </si>
  <si>
    <t>['pulsa', 'kebuang', 'sia', 'sia', 'gua', 'masi', 'paket', 'gb', 'pulsa', 'gua', 'ditarik', 'dapet', 'sms', 'dri', 'telkomsel', 'gua', 'internetan', 'paket', 'kuota', 'gua', 'plis', 'ngerugiin', 'orang', 'orang', 'susah', 'nyari', 'duit', 'disedot', '']</t>
  </si>
  <si>
    <t>['jaringan', 'udah', 'burik', 'paket', 'internet', 'mahal', 'kalah', 'im', 'indosat', 'oredoo', 'kaya', 'telkongslet', 'mahal', 'burik']</t>
  </si>
  <si>
    <t>['mohon', 'maaf', 'min', 'ngak', 'gratis', 'kuota', 'nonton', 'viu', 'dll', 'kuota', 'gratis', 'facebook', 'youtubu', 'tik', 'tok', 'instragram', 'ama', 'whatsapp', 'mohon', 'kasih', 'min', '']</t>
  </si>
  <si>
    <t>['banget', 'buka', 'apk', 'pas', 'login', 'susah', 'banget', 'buka', 'link', 'expired', 'google', 'berhenti', 'pesan', 'berhenti', 'keamanan', 'berhenti', 'salah']</t>
  </si>
  <si>
    <t>['', 'kbps', 'lambatt', 'main', 'game', 'lelet', 'gimana', 'coba', 'ngabisinya', 'tolong', 'donk', 'kbps', 'teruntuk', 'paket', 'unlimited', 'puas', 'menikmatinya', 'terima', 'kasih']</t>
  </si>
  <si>
    <t>['kartu', 'mcm', 'ngisi', 'pulsa', 'apain', 'abis', 'sedot', 'providernya', 'dih', 'via', 'twiter', 'jawabanya', 'nyambung', 'kartu', 'pejabat', 'suka', 'korupsi', 'digital', 'digital', 'bangsa', 'mementingkan', 'kb', 'mending', 'make', 'kuning', 'ngebut', 'siang', 'mlm']</t>
  </si>
  <si>
    <t>['kecewa', 'update', 'aplikasi', 'lambat', 'masuk', 'sinyal', 'jelek', 'gonta', 'ganti', 'mohon', 'seger', 'diperbaiki', '']</t>
  </si>
  <si>
    <t>['mengaktifkan', 'paket', 'ekstra', 'unlimited', 'paket', 'membeli', 'paket', 'bulanan', 'paket', 'ekstra', 'unlimited', 'hilang', 'tolong', 'perbaiki', 'telkomsel', 'harga', 'kuota', 'mahal', 'kuota', 'ekstra', 'unlimited', 'hapus']</t>
  </si>
  <si>
    <t>['maaf', 'telkomsel', 'saran', 'keluh', 'kesah', 'mengupgrade', 'alangkah', 'baiknya', 'meratakan', 'gnya', 'karna', 'maksimal', 'memaksakan', 'masuknya', 'ngotak', 'ntah', 'lancar', 'terimakasih']</t>
  </si>
  <si>
    <t>['telkomsel', 'buruk', 'jaringan', 'kuota', 'mahal', 'kualitas', 'kaya', 'jelek', 'maen', 'game', 'stabil', '']</t>
  </si>
  <si>
    <t>['mudah', 'kuota', 'data', 'batas', 'kecewa', 'pulsanya', 'berkurang', '']</t>
  </si>
  <si>
    <t>['aplikasi', 'kntl', 'knp', 'mkin', 'kesini', 'mkin', 'ribet', 'login', 'nomor', 'udh', 'bener', 'aktif', 'pulak', 'wktu', 'verifikasi', 'bkin', 'emosi', 'mulu', '']</t>
  </si>
  <si>
    <t>['tolong', 'update', 'beliin', 'adekku', 'kartu', 'simpati', 'paketannya', 'lumayan', 'mahal', 'mahal', 'sekolah', 'dirumah', 'share', 'paketan', 'internet', 'simpati', 'lumayan', 'murah', 'beli', 'kartu', 'barunya', 'membuka']</t>
  </si>
  <si>
    <t>['mengecewakan', 'membeli', 'pulsa', 'aplikasi', 'pulsanya', 'kunjung', 'masuk', 'poin', 'masuk', 'kapok', 'beli', 'pulsa', 'telkomsel', '']</t>
  </si>
  <si>
    <t>['kasih', 'bintang', 'karn', 'pulsa', 'sya', 'ribu', 'bli', 'pket', 'ketengan', 'bsa', 'bli', 'paket', 'promo', 'ribu', 'ehhh', 'bli', 'ulang', 'jga', 'ktnya', 'tunggu', 'sms', 'masuk', 'sms', 'jga', 'masuk', 'sampe', 'data', 'mb', 'hbis', 'jga', 'info', 'paket', 'hbis', 'jengkel', 'promonya', 'hilangkan', 'sja', 'promo', 'hoaks']</t>
  </si>
  <si>
    <t>['udah', 'pengguna', 'telkomsel', 'kecewa', 'telkomsel', 'aplikasi', 'log', 'out', 'suruh', 'verifikasi', 'nomer', 'udah', 'verifikasi', 'tetep', 'log', 'out', 'keterangan', 'karna', 'kehabisan', 'bener', 'emang', 'motongin', 'pulsa', 'kejadian', '']</t>
  </si>
  <si>
    <t>['daftar', 'paket', 'tambahin', 'tarif', 'tambahin', 'tambahin', 'giliran', 'jaringan', 'bener', 'bsa', 'ngelolala', 'tolol', 'orang', 'emosi', 'beli', 'paket', 'mahal', 'duit', 'giliran', 'sinyal', 'lancar', 'ngotak', 'mulu', 'hidup', 'njing', '']</t>
  </si>
  <si>
    <t>['sinyal', 'telkomsel', 'jelek', 'mhal', 'doang', 'kalah', 'sinyalnya', 'kartu', 'smartfren', 'lbh', 'kurah', 'murah', 'lbh', 'bagus', 'sinyalnya', 'mahal', 'simpati', '']</t>
  </si>
  <si>
    <t>['buffering', 'memuat', 'halaman', 'saran', 'aplikasi', 'pengembangan', 'perbaikan', 'mewah', 'disederhanakan', 'function', 'konektivitasnya', '']</t>
  </si>
  <si>
    <t>['pelanggan', 'setia', 'peningkatan', 'telkomsel', 'buruk', 'jaringanya', 'wooooyyyy', 'malu', 'jaringanya', 'kenceng', 'harga', 'mahal', 'beli', 'tolong', 'perbaikilah', '']</t>
  </si>
  <si>
    <t>['muda', 'mengakses', 'aplikasinya', 'login', 'sukses', 'tinggal', 'mencari', 'promosi', 'tawarkan', 'sesuai', 'kebutuhan', 'telkomsel', 'paket', 'data', 'paket', 'telpon', 'penawaran', 'mytelkomsel', 'prosesnya', 'mudah', '']</t>
  </si>
  <si>
    <t>['apk', 'membantu', 'menemukan', 'beragam', 'kuota', 'sesuaikan', 'kebutuhan', 'terkhusus', 'pandemi', 'covid']</t>
  </si>
  <si>
    <t>['sya', 'downlod', 'aplikasi', 'ttp', 'masuk', 'npa', 'olah', 'beli', 'transaksi', 'pulza', 'konter', 'wktu', 'cek', 'plza', 'cek', 'saldo', 'kuota', 'sya', 'daftar', 'aplikasi', 'ttp', 'masuk', 'alasan', 'koneksi', 'buruk', 'trs', '']</t>
  </si>
  <si>
    <t>['telkomsel', 'hasil', 'dapatkan', 'paket', 'internet', 'nomor', 'mahal', 'kartu', 'pengguna', 'loyal', 'hargai', '']</t>
  </si>
  <si>
    <t>['kecewa', 'telkomsel', 'sinyalnya', 'buruk', 'kasih', 'binatang', 'perbaiki', 'koneksinya', 'bintang', '']</t>
  </si>
  <si>
    <t>['memilih', 'telkomsel', 'harga', 'paketannya', 'mahal', 'ketimbang', 'provider', 'kualitas', 'kecepatan', 'internetnnya', 'memuaskan', 'kantor', 'telkomsel', 'disaat', 'provider', 'signal', 'mengecewakan', 'pindah', 'provider', '']</t>
  </si>
  <si>
    <t>['kpd', 'yth', 'depeloper', 'pengembangan', 'telkomsel', 'mohon', 'perhatiannya', 'koneksi', 'internet', 'mohon', 'perbaiki', 'diam', 'memilih', 'telkomsel', 'karna', 'koneksi', 'jaringan', 'kuat', 'lemot', 'verofider', 'mukin', 'pindah', 'terima', 'kasih']</t>
  </si>
  <si>
    <t>['menyimpan', 'pulsa', 'telkomsel', 'sedot', 'paket', 'data', 'internet', 'paketan', 'habis', 'otomatis', 'maketin', 'mending', 'ganti', 'nomer']</t>
  </si>
  <si>
    <t>['bertambah', 'bertambah', 'buruk', 'koneksi', 'internet', 'mohon', 'perbaiki', 'mengecewakan', 'konsumen', 'beli', 'kuota', 'mahal', 'sesuai', 'kualitas', 'jaringan', '']</t>
  </si>
  <si>
    <t>['isi', 'paket', 'promo', 'cuman', 'rp', 'gb', 'klik', 'bayar', 'sms', 'pulsa', 'berpikir', 'munkin', 'isi', 'dngan', 'pulsa', 'pas', 'pasan', 'isi', 'pulsa', 'rp', 'klik', 'bayar', 'maksudnya', 'promo']</t>
  </si>
  <si>
    <t>['suka', 'tsel', 'ganti', 'logo', 'kehilangan', 'ciri', 'khas', 'tsel', 'menarik', 'paketnya', 'mahal', 'mahal', 'kualitas', 'jaringan', 'sebagus', 'kecewa', 'kecewa', 'logonya', 'tolong', 'dipertahankan']</t>
  </si>
  <si>
    <t>['paket', 'data', 'mahal', 'jaringan', 'lemoott', 'sebanding', 'pindah', 'providerrrr', 'huancuurrr', 'sinyal', '']</t>
  </si>
  <si>
    <t>['kartu', 'perdana', 'gb', 'unlimited', 'isi', 'ulang', 'paket', 'aplikasi', 'hrs', 'beli', 'perdana', 'tolong', 'tsel', 'pilihan', 'paket', 'perdananya']</t>
  </si>
  <si>
    <t>['kasih', 'bintang', 'ssmoga', 'jaringan', 'internet', 'telkomsel', 'perbaiki', 'tinggal', 'kota', 'jaringannya', 'separah', 'tinggal', 'pelosok', 'tolong', 'perbaiki', 'donk', 'telkomsel', 'setia', 'telkomsel', 'handphone', 'udah', 'milih', 'telkomsel', '']</t>
  </si>
  <si>
    <t>['telkomsel', 'memberitahukan', 'paket', 'unlimited', 'tersisa', 'tida', 'pakai', 'mohon', 'penjelasannya', 'telkomsel', 'terimakasih', '']</t>
  </si>
  <si>
    <t>['woy', 'min', 'nomer', 'nda', 'bsa', 'daftar', 'link', 'eror', 'teruss', 'kecepatan', 'tangan', 'detik', 'iniii', 'gila', 'kali', 'link', 'eror', 'tolong', 'perbaikilah', 'ganti', 'nomer', '']</t>
  </si>
  <si>
    <t>['jelek', 'kali', 'jaringan', 'nengok', 'jelek']</t>
  </si>
  <si>
    <t>['tolong', 'admin', 'telkomsel', 'baca', 'negara', 'terkena', 'musibah', 'virus', 'corona', 'kena', 'imbasnya', 'terkena', 'dampaknya', 'kerja', 'susah', 'nyari', 'duit', 'susah', 'beli', 'mahal', 'bali', 'paket', 'nelpon', 'internetan', 'mahalnya', 'allah', 'membunuh', 'rakyat', 'indonesia', 'perlahan', 'gimana', 'tolong', 'kesadarannya', 'susah', 'hidup', 'senang', 'tolong', 'bijak', 'murahkan', 'harga', 'paketnya', 'trimakasih']</t>
  </si>
  <si>
    <t>['tolong', 'perbaiki', 'jaringan', 'data', 'mahal', 'jaringan', 'kaga', 'bagus', 'lemot', 'tolong', 'perbaiki', 'beli', 'data', 'data', 'tolong', 'perbaiki']</t>
  </si>
  <si>
    <t>['minn', 'aplikasi', 'kebuka', 'jaringanku', 'bagus', 'uda', 'coba', 'tpi', 'gitu', 'masukkan', 'nomor', 'telepon', 'nomor', 'telepon', 'uda', 'tersimpan', 'aplikasi', 'gimana', '']</t>
  </si>
  <si>
    <t>['kecewa', 'kali', 'kartu', 'telkomsel', 'ngeleg', 'kali', 'paketnya', 'habis', 'aplikasinya', 'telkomsel', 'udah', 'ajah', 'kecewa', 'kartu', 'paten', 'kartunya', 'semoga', 'kedepannya', 'perbaiki', 'semuah', 'kendala', 'kendala', 'sekian', 'terimah', 'kasi']</t>
  </si>
  <si>
    <t>['halo', 'telkomsel', 'rakus', 'pulsa', 'reguler', 'disikat', 'habis', 'paket', 'data', 'pulsa', 'telpon', 'dilalap', 'habis', 'nol', 'keluarga', 'nomor', 'telkomsel', 'pakai', 'data', 'internet', 'pulsa', 'telpon', 'sedot', 'habis', 'merugikan', 'kali', 'isi', 'ulang', 'pulsa', 'sekejap', 'langsung', 'nol', '']</t>
  </si>
  <si>
    <t>['daily', 'check', 'ulang', 'maunya', 'gimana', 'tetep', 'pakai', 'telkomsel', 'kecewa', '']</t>
  </si>
  <si>
    <t>['kartu', 'telkomsel', 'pakai', 'harga', 'paket', 'internet', 'kartu', 'mahal', 'kartu', 'pengguna', 'pelanggan', 'telkomsel', 'wajib', 'beli', 'kartu', 'ganti', 'kartu', 'gimana', 'telkomsel', 'kartu', 'saran', 'pelanggan', 'dipermudah', 'persulit', 'telkomsel', 'mempertahankan', 'pelanggan', 'setia', '']</t>
  </si>
  <si>
    <t>['update', 'login', 'kali', 'coba', 'masuk', 'nomor', 'notifnya', 'link', 'kadaluarsa', 'nomor', 'aktif', 'pulsa', 'tetep', 'isi', '']</t>
  </si>
  <si>
    <t>['saran', 'tombol', 'aktif', 'nonaktif', 'paket', 'data', 'ngatur', 'paket', 'dipake', 'niat', 'pengen', 'habisin', 'kuota', 'kadaluarsa', 'ngehabisin', 'kuita', 'jadinyakan', 'rugi', 'lainya', 'mantap', 'developer', 'tingkatkan', 'aplikasi', 'pelanggan', 'puas', '']</t>
  </si>
  <si>
    <t>['kecewa', 'telkomsel', 'login', 'muncul', 'link', 'verifikasi', 'masuk', 'tolong', 'pertanggung', 'terimakasih']</t>
  </si>
  <si>
    <t>['operator', 'telkon', 'tol', 'nyesel', 'isi', 'paket', 'temkomtol', 'mahal', 'doang', 'kualitas', 'internet', 'burik', 'kurap', 'signal', 'turun', 'chatingan', 'pending', 'buka', 'aplikasi', 'lelet', 'yutub', 'muter', 'pakai', 'internet', 'telkomtol', 'pengen', 'bakar', 'gedung', 'telkomtol', 'merugikan', 'konsumen', 'mulu']</t>
  </si>
  <si>
    <t>['inalilahi', 'rip', 'telkomsel', 'anjeng', 'ngomongin', 'lemot', 'tobat', 'ngelankh', 'maaf', 'kasar', 'urgent', 'benerin', 'kulitas', 'kirim', 'sms', 'verivikasi', 'masuk', 'isi', 'paket', 'data', 'menit', 'proses', 'apaaaaaa', 'sayangggg', 'udah', 'pantes', 'kualitasnya', 'kaya', 'bagus', 'apaaaaaaa', '']</t>
  </si>
  <si>
    <t>['sengaja', 'bertemu', 'semartfren', 'naas', 'semartfren', 'sulit', 'dimiliki', 'berjuang', 'duduk', 'mempertahankan', 'sinyalnya', 'sungguh', 'naif', 'intuk', 'dimiliki', 'menumukan', 'telkomsel', 'lantas', 'tinggalkan', 'semartfren']</t>
  </si>
  <si>
    <t>['download', 'lagu', 'mb', 'menit', 'baca', 'komik', 'tenang', 'main', 'game', 'nge', 'lag', 'sinyal', 'buruk', 'pokoknya', 'sinyalnya', 'jelek', 'jarang', 'kali', 'sinyal', 'beneran', 'bagus']</t>
  </si>
  <si>
    <t>['telkomsel', 'nyaman', 'gini', 'tolonglah', 'diperbaiki', 'jaringannya', 'memburuk', 'kecewakan', 'pelanggan', 'setia', 'telkomsel', 'tolong', 'perbaiki', 'min']</t>
  </si>
  <si>
    <t>['jaringan', 'eror', 'isi', 'paket', 'data', 'pulsa', 'kepotong', 'emang', 'eror', 'coba', 'kasih', 'sms', 'gitu', '']</t>
  </si>
  <si>
    <t>['maaf', 'jaringan', 'telkimselnya', 'muncul', 'jaringan', 'internetnya', 'muncul', 'khusus', 'stabil', 'kali', '']</t>
  </si>
  <si>
    <t>['pas', 'beli', 'paket', 'terpakai', 'langsung', 'dibeli', 'terpakai', 'paket', 'gb', 'sayang', 'hangus', 'sia', 'sia', '']</t>
  </si>
  <si>
    <t>['telkomsel', 'koq', 'keki', 'suruh', 'daftar', 'ulang', 'emang', 'nomer', 'udah', 'daftar', 'ulang', 'email', 'ditarima', 'email', 'maksudnya', 'kayanya', 'kena', 'hasut', 'orang', 'dengki', 'masuk', 'udah', 'klik', 'link', 'nerima', 'diulang', 'woyy']</t>
  </si>
  <si>
    <t>['sinyal', 'telkomsel', 'buruk', 'telkomsel', 'auto', 'uninstal', 'ganti', 'nomor', 'kebanyakan', 'sms', 'promo', 'bonus', 'apl', 'mytsl', 'tpi', 'kenyataan', 'nihil', '']</t>
  </si>
  <si>
    <t>['kak', 'ngecek', 'kuota', 'suruh', 'masukin', 'nomor', 'trs', 'dikirim', 'sms', 'link', 'masuk', 'pas', 'saga', 'klik', 'linknya', 'masuk', 'suruh', 'masukin', 'nomor', 'kirim', 'sms', 'lihat', 'kuota']</t>
  </si>
  <si>
    <t>['kapok', 'telkomsel', 'semenjak', 'simpati', 'dll', 'dlebur', 'paket', 'mahal', 'cpt', 'habis', 'mending', 'pakai', 'tetangga', 'sebelah', 'asli', 'sm', 'dpakai', 'youtube', 'pakai', 'simpati', 'cpt', 'kuota', 'habis', 'pakai', 'tetangga', 'sblh', 'mah', 'irit', 'udh', 'bbrp', 'pakai', 'simpati', 'memutuskan', 'tetangga', 'sblh', 'gtu', 'omg', 'youtube', 'kuota', 'utama', 'habis', 'duluan', 'trus', 'nyedot', 'pulsa', 'kuota', 'omgnya', 'bye']</t>
  </si>
  <si>
    <t>['aplikasi', 'kntl', 'masuk', 'cek', 'kuota', 'susahnya', 'ampun', 'sinyal', 'lag', 'koplok', 'gmna', 'hubungi', 'buka', 'telkomsel', 'masuk', 'harga', 'sesuai', 'kwalitas', 'mahal', 'susah', 'jelek', 'sinyal']</t>
  </si>
  <si>
    <t>['lemot', 'apliksinya', 'muter', 'susah', 'login', 'tolong', 'diperbaiki', 'knp', 'lemot', 'krna', 'daily', 'check', 'lemot', 'parrraaaaaahhhhhh']</t>
  </si>
  <si>
    <t>['sinyal', 'hilang', 'sim', 'tanda', 'kartu', 'sim', 'hilang', 'kosong', 'pindahkan', 'sim', 'menit', 'hilang', 'sinyalnya', 'tanda', 'kartu', 'tri', 'kaga', 'hilang', 'dapet', 'orderan', 'gofood', 'nyaman', 'terimakasih', '']</t>
  </si>
  <si>
    <t>['selamat', 'siang', 'telkomsel', 'nyesek', 'pakek', 'telkomsel', 'karna', 'sinyal', 'paketan', 'ngirim', 'sekolah', 'onlen', 'telkomsel', 'bagus', 'knp', 'kek', 'gini', 'nyesek', 'langanan', 'telkomsel', '']</t>
  </si>
  <si>
    <t>['masuk', 'apk', 'error', 'gmn', 'kuota', 'abis', 'beli', 'apk', 'telkomsel', 'tolong', 'masuk', 'apk', '']</t>
  </si>
  <si>
    <t>['ponsel', 'ber', 'antena', 'ber', 'sim', 'card', 'telkomsel', 'ratusan', 'ribu', 'sinyal', 'telkomsel', 'barangkali', 'urusan', 'grapari', 'urus', 'aplikasi', 'pilih', 'kuota', 'pilih', 'harga', 'murah', 'mahal', 'kota', 'kota', 'telkomsel', 'menemani', 'terimakasih', 'telkomsel', 'sekeluarga', 'salam', 'perpisahan', 'pindah', 'sinyal', 'mumpuni', '']</t>
  </si>
  <si>
    <t>['bayar', 'kartu', 'halo', 'virtual', 'account', 'error', 'mulu', 'gabisa', 'dapetin', 'virtual', 'account', 'numbernya', 'bayar', 'ovo', 'transaksi', 'selesai', 'tetep', 'statusnya', 'dibayar', 'ampas', 'ngeselin', 'banget']</t>
  </si>
  <si>
    <t>['paket', 'mahal', 'kuota', 'kurangin', 'kecepatan', 'lambat', 'buruk', 'udah', 'ber', 'telkomsel', 'buruk', '']</t>
  </si>
  <si>
    <t>['sinyal', 'jelek', 'banget', 'ngapain', 'liat', 'kebawah', 'sinyalnya', 'jelek', 'dimana']</t>
  </si>
  <si>
    <t>['bagus', 'layanannya', 'pulsa', 'rb', 'trus', 'paket', 'telfonnya', 'telfonan', 'pulsa', 'berkurang', 'rb', 'tolong', 'diperbaiki', 'kejadian', 'rugi']</t>
  </si>
  <si>
    <t>['gimana', 'udh', 'beli', 'paketan', 'masuk', 'mohon', 'bantuannya', 'hub', 'pusat', 'bantuan', 'telkomsel', 'line', 'paket', 'masuk', 'duit', 'woyyyyyy']</t>
  </si>
  <si>
    <t>['min', 'telkomsel', 'sinyal', 'dirumh', 'pusing', 'min', 'layanan', 'aduan', 'dimana', 'min', 'memudahkan', 'twitter', 'line', 'aduaanya', 'kirain', 'cepet', 'smakin', 'kesini', 'lemot', 'rumhq', 'dilewati', 'sinyal', 'telkomsel', 'ato', 'menghalangi', 'min', '']</t>
  </si>
  <si>
    <t>['sma', 'smpe', 'jaringan', 'telkom', 'lemot', 'kuota', 'habis', 'emng', 'lemot', 'tmn', 'telkomsel', 'telkom', 'skrg', 'lemot', 'jaringannya', 'pdhl', 'dulunya', 'jaringan', 'terbaik', 'menurutku', 'membeli', 'kuota', 'telkom', 'ngga', 'murah', 'biaya', 'telfon', 'ngga', 'murah', 'knp', 'jaringanya', 'skrg', 'lemot', 'kalah', 'jaringan', 'sebelah', '']</t>
  </si>
  <si>
    <t>['pembelian', 'paket', 'bermasalah', 'koneksi', 'lancar', 'tolong', 'admin', 'atasi', 'udah', 'minggu', 'kendalanya', 'maaf', 'system', 'sibuk', 'sibuk', 'berhenti', 'provider', '']</t>
  </si>
  <si>
    <t>['telkomsel', 'brusaha', 'curang', 'cek', 'kuota', 'berkali', 'blasan', 'mentang', 'masi', 'sisa', 'pulsa', 'uda', 'gitu', 'kuota', 'habis', 'mudahnya', 'mengirim', 'pesan', 'maaf', 'sisa', 'kuota', 'habis', 'kenakan', 'biaya', 'penggunaan', 'internet', 'cek', 'pulsa', 'uda', 'habis', 'hisapnya', 'doakn', 'semoga', 'jaringan', 'masuk', 'ganti', 'kartu', 'secepatnya', 'sya', 'pastikan', 'orang', 'sprti']</t>
  </si>
  <si>
    <t>['update', 'perubahannya', 'efisien', 'efektif', 'dukung', 'kesel', 'aplikasi', 'error', 'uninstall', 'diupdate']</t>
  </si>
  <si>
    <t>['knp', 'aplikasinya', 'buka', 'jaringan', 'lemot', 'pas', 'cek', 'satunya', 'tetep', 'masuk', 'tolong', 'diperbaiki', 'knp', 'aplikasinya', 'turun', 'kualitasnya', '']</t>
  </si>
  <si>
    <t>['app', 'rusak', 'liat', 'sisa', 'kuota', 'masuk', 'nomer', 'bolak', 'trus', 'kebuka', 'kebuka', 'sinyal', 'ditempat', 'jelek', 'stabil', 'main', 'game', 'stabil', 'tolong', 'dibenarkan', 'telkomsel', 'hujan', 'jelek', 'ditanggapin', 'sya', 'pindah', 'kartu', '']</t>
  </si>
  <si>
    <t>['tolong', 'login', 'jaringan', 'oke', 'pakai', 'wifi', 'beli', 'kuota', 'terhambat', 'something', 'wrong', 'apanya', 'something', 'wrong', 'sms', 'masuk', 'link', 'klik', 'tulisan', 'sesi', 'gimana', 'maksudnya', 'tolong', 'app', 'kayak', 'link', 'login', 'login', 'kayak', 'gini', 'meresahkan', '']</t>
  </si>
  <si>
    <t>['aplikasi', 'ribet', 'pke', 'magic', 'link', 'expired', 'simple', 'stlh', 'pke', 'metode', 'link', 'dikirim', 'sms', 'jdi', 'susah', 'proses', 'login', 'update', 'mudah']</t>
  </si>
  <si>
    <t>['', 'betah', 'betahin', 'sempet', 'speak', 'beli', 'paket', 'data', 'nunggunya', 'banget', 'keburu', 'butuh', 'paket', 'datanya', 'sampe', 'diulang', 'ulang', 'tetep', 'nggak', 'masuk', 'masuk', 'aplikasi', 'nge', 'lag', 'udah', 'update', 'terbaru', 'mohon', 'diitngkatkan', 'nunggu', 'regristasi', 'beli', 'paket', 'data', '']</t>
  </si>
  <si>
    <t>['tolong', 'telkomsel', 'sediain', 'layanan', 'top', 'dunia', 'game', 'top', 'murah', 'weekend', 'membantu', 'player', 'event', '']</t>
  </si>
  <si>
    <t>['paket', 'unlimited', 'youtube', 'hilang', 'sinyal', 'buruk', 'paket', 'paket', 'internet', 'pakai', 'hilang', 'payah', 'nggak']</t>
  </si>
  <si>
    <t>['apasih', 'telkomsel', 'kesel', 'kesini', 'kemaren', 'gabisa', 'paketin', 'karna', 'pilihan', 'gabisa', 'kebuka', 'aplikasi', 'gabisa', 'dibuka', 'ane', 'kasih', 'video', 'ane', 'kirim', 'udah', 'reinstall', 'kali', 'tetep', 'gabisa', 'sory', 'bintang', '']</t>
  </si>
  <si>
    <t>['aplikasi', 'update', 'tibak', 'buka', 'buka', 'aplikasi', 'telkomsel', 'uninstall', 'install', 'buka', 'lakukan', 'masuk', 'aplikasi', 'telkomsel', 'update']</t>
  </si>
  <si>
    <t>['disuruh', 'masukin', 'menerus', 'notif', 'exp', 'session', 'udah', 'langsung', 'masuk', 'gitu', 'telkomsel', 'buruk', 'jaringan', 'hilang', 'susah', 'masuk', 'aplikasinya', 'jugaa', 'harga', 'mahal', 'sinyal', 'busuk', '']</t>
  </si>
  <si>
    <t>['aplikasinya', 'login', 'mulu', 'pas', 'login', 'buka', 'login', 'kali', 'ribet', 'banget', 'aplikasi', '']</t>
  </si>
  <si>
    <t>['folder', 'keluhan', 'hnya', 'veronika', 'robot', 'paket', 'data', 'lemod', 'komplain', 'kali', 'transfer', 'pulsa', 'berhasil', 'pulsa', 'kepotong', 'penyelesaian', 'cwo', 'ketus', 'berpengalaman', 'bawahan', 'bgitu', 'pecat', 'merugikan', 'telkomesl', '']</t>
  </si>
  <si>
    <t>['kuota', 'combo', 'sakti', 'unlimited', 'unlimited', 'nda', 'dikurangi', 'kecepatan', 'jaringannya', 'kbps', 'kuota', 'unlimited', 'lelet', 'nda', 'pakai', 'disney', 'hotstar', 'musik', 'pas', 'dipakai', 'lelet', 'ampun', 'gunanya', 'penipuan', 'namanya', 'uninstall', 'mending', 'pakai', '']</t>
  </si>
  <si>
    <t>['sekian', 'make', 'parah', 'jaringannya', 'semoga', 'sukses', 'coment', 'trakhir', 'gua', 'make', 'pket', 'jual', 'makasih', 'udah', 'hati', 'campur', 'aduk', 'karna', 'jaringan', 'parah', 'makasih']</t>
  </si>
  <si>
    <t>['kecewa', 'kesini', 'paketnya', 'ngga', 'namanya', 'kuota', 'unlimited', 'emang', 'unlimited', 'embel', 'quota', 'utama', 'quota', 'multimedia', 'dll', 'ribettt', 'sinyal', 'lemot', '']</t>
  </si>
  <si>
    <t>['telkomsel', 'membangun', 'anak', 'bangsa', 'berkwalitas', 'bidang', 'iptek', 'bermanfaat', 'pengguna', 'telkomsel', 'mencari', 'info', 'menarik', 'medsos', 'semoga', 'may', 'telkomsel', 'jaya', 'perkembangan', 'dunia', 'semkin', 'moderen', 'sukses', '']</t>
  </si>
  <si>
    <t>['dear', 'telkomsel', 'jujur', 'prihatin', 'market', 'leader', 'anak', 'usaha', 'bumn', 'kualitas', 'layanan', 'sinyal', 'dirumah', 'buruk', 'sinyal', 'muncul', 'kadang', 'kecepatan', 'rendah', 'kegiatan', 'lakukan', 'jeda', 'lemot', 'sekedar', 'info', 'soc', 'mumpuni', 'snapdragon', 'pakai', 'provider', 'paket', 'data', 'anehnya', 'kompetitor', 'smooth', 'kendala', 'harapan', 'jaringan', 'telkomsel', 'tolong', 'diperbaiki']</t>
  </si>
  <si>
    <t>['telkomsel', 'aktifasi', 'paket', 'masuk', 'masuk', 'kuotanya', 'tulisannya', 'aktivasi', 'paket', 'sampe', 'esoknya', 'masuk', '']</t>
  </si>
  <si>
    <t>['aplikasi', 'membantu', 'praktis', 'isi', 'pulsa', 'data', 'paket', 'kirim', 'hadiah', 'nomor', 'lbh', 'enak', 'poinku', 'kemana', 'poin', 'trus', 'dak', 'bertambah', '']</t>
  </si>
  <si>
    <t>['turun', 'kualitas', 'telkomsel', 'udah', 'puluhan', 'produk', 'telkomsel', 'udah', 'terkenal', 'kemalahannya', 'kesini', 'trouble', 'koneksi', 'stabil', 'pokoknya', 'kali', 'bener', 'kecewa', 'telkomsel']</t>
  </si>
  <si>
    <t>['pulsa', 'terpotong', 'riwayat', 'pemakaian', 'keterangannya', 'emang', 'miskin', '']</t>
  </si>
  <si>
    <t>['bener', 'telkomsel', 'harga', 'kuota', 'kuota', 'kagak', 'bertambah', 'moga', 'uang', 'dapet', 'perusahaan', 'telkom', 'kagak', 'berkah', 'gegara', 'korupsi', 'harga', 'kuota', 'balance', '']</t>
  </si>
  <si>
    <t>['paket', 'data', 'internetnya', 'skg', 'aga', 'cepat', 'berkurang', 'dibandingkan', 'update', 'terbiasa', 'hapal', 'pengeluaran', 'data', 'internet', 'berbedaanya', 'lumayan', 'gb', 'dlm', 'jangka', 'seminggu', 'semoga', 'masuk', 'akal', 'sesuai', 'telkomsel', 'dibandingkan', 'mencoba', 'lainya', 'perbandingan', 'skg', 'kuning', '']</t>
  </si>
  <si>
    <t>['aplikasinya', 'bagus', 'kesini', 'paketanya', 'jelek', 'unlimeted', 'batasi', 'rb', 'emang', 'pindah', 'operator', 'bye', 'telkomcel']</t>
  </si>
  <si>
    <t>['slmt', 'mlm', 'mohon', 'diutamakan', 'kepuasan', 'kebijakan', 'pelanggan', 'kartu', 'berkualiatas', 'cuman', 'segi', 'pelayanan', 'jaringan', 'wilayah', 'kota', 'jalur', 'alternatif', 'puncak', 'kendala', 'jaringan', 'down', 'iklan', 'provider', 'jaringan', 'terbaik', 'buktinya', 'nihil', 'diwilayah', 'harga', 'paket', 'kualitas', 'jaringan', 'terbaik', 'buktinya', 'beli', 'harga', 'gmna', 'ttp', 'down', 'complain', 'nunggu', 'jm', 'bner', 'butuhnya', 'jga', 'secepatnya', '']</t>
  </si>
  <si>
    <t>['bertahun', 'pakai', 'telkomsel', 'jaringannya', 'emang', 'lemot', 'mahal', 'berani', 'beli', 'udah', 'zaman', 'sekolah', 'pakai', 'jaringannya', 'jelek', 'banget', 'beli', 'mahal', 'mahal', 'memuaskan', 'nonton', 'viu', 'jaringannya', 'jelek', 'banget', 'asli', 'pelanggan', 'setia', 'udah', 'berlangganan', 'percaya', 'telkomsel', 'kecewa', 'berharap', 'kedepannya', '']</t>
  </si>
  <si>
    <t>['provider', 'seluler', 'ter', 'mahal', 'diimbangi', 'kualitas', 'ngakunya', 'terbaik', 'tercepat', 'ndas', 'signal', 'full', 'main', 'game', 'butuh', 'koneksi', 'lag', 'ampun', 'jam', 'bs', 'disconeccted', 'berkali', 'tanggapi', 'keluhan', 'pelanggan', 'woi', 'pelanggan', 'setia', 'muak', 'pelayanan', '']</t>
  </si>
  <si>
    <t>['kntl', 'udah', 'kemaren', 'ngasih', 'ulasan', 'respon', 'tytyd', 'udah', 'kali', 'kesalahan', 'apk', 'beli', 'paket', 'udah', 'proses', 'pembeliannya', 'menunggu', 'kelar', 'data', 'masuk', 'pulsa', 'habis', 'terpotong', 'apk', 'ngontl', '']</t>
  </si>
  <si>
    <t>['telkomsel', 'jelek', 'sinyalnya', 'nonton', 'youtube', 'durasi', 'menit', 'bufringnya', 'jam', 'gini', 'ganti', 'profider']</t>
  </si>
  <si>
    <t>['skrg', 'jaringan', 'hancur', 'jaringan', 'telkom', 'beban', 'sumpah', 'masi', 'telkom', 'buru', 'ganti', 'kartu']</t>
  </si>
  <si>
    <t>['kartu', 'sultan', 'tpi', 'main', 'game', 'lag', 'parah', 'bukti', 'emg', 'jaringan', 'masak', 'kalah', 'paketan', 'mahal', 'jaringan', '']</t>
  </si>
  <si>
    <t>['mahal', 'unlimited', 'ubah', 'signal', 'lelet', 'menutup', 'orang', 'lari', 'sebelah', 'semwnjak', 'signal', 'sebelah', 'kuat', 'ramai', 'ganti', 'krtu', 'internet', 'murah', 'mahal', '']</t>
  </si>
  <si>
    <t>['', 'telkomsel', 'membantu', 'bernama', 'adjie', 'udah', 'nyampein', 'keluhan', 'suruh', 'nuggu', 'kabur', 'ilang', 'pelayanan', 'burukdan', 'mengec', 'wakan', 'keluhan', 'teratasi', 'pelanggan', 'kesal', 'kecewa', 'bintang', 'telkomsel']</t>
  </si>
  <si>
    <t>['baca', 'komentar', 'pelanggan', 'mengeluh', 'namanya', 'bisnis', 'mementingkan', 'keuntungan', 'mementingkan', 'kepuasan', 'pelanggan', 'operator', 'lemot', 'emosi', 'struk']</t>
  </si>
  <si>
    <t>['layanan', 'telkomsel', 'skrg', 'beda', 'dri', 'telkomsel', 'dlu', 'skrg', 'dibikin', 'rumit', 'lemot', 'pakek', 'ngecek', 'pulsa', 'data', 'pilih', 'nomor', 'kayak', 'pas', 'cek', 'langsung', 'sisa', 'pulsa', 'sebenar', 'canggih', 'teknologi', 'memudah', 'orang', 'nggak', '']</t>
  </si>
  <si>
    <t>['telkomsel', 'mohon', 'update', 'terbaru', 'pastiin', 'dlu', 'kualitas', 'jaringanya', 'terjaga', 'karna', 'lelet', 'jaringanya', 'dlu', 'telkom', 'daerah', 'separah', 'mohon', 'kualitas', 'jaringanya', 'teratasi', 'karna', 'klu', 'trus', 'terpaksa', 'pindah', 'operator', 'sekian', 'trima', 'kasih', '']</t>
  </si>
  <si>
    <t>['mahal', 'doang', 'kualitas', 'jaringan', 'kek', 'internet', 'sosmed', 'lancar', 'giliran', 'maen', 'game', 'lag', 'parah', 'jaringan', 'stel', 'prioritas', 'turun', 'maen', 'game']</t>
  </si>
  <si>
    <t>['cacat', 'telkomsel', 'jelek', 'sinyal', 'ngegame', 'bertahun', 'telkomsel', 'update', 'kandas', 'sinyal', 'ganti', 'kartu', 'pelanggan', 'setia', 'telkomsel', '']</t>
  </si>
  <si>
    <t>['bagus', 'mendukung', 'pengguna', 'telkomsel', 'bertransaksi', 'informasi', 'menarik', 'promo', 'telkomsel', 'semoga', 'promosi', 'min', '']</t>
  </si>
  <si>
    <t>['sdah', 'buln', 'telkomsel', 'gangguan', 'data', 'jam', 'sore', 'sampe', 'jam', 'malam', 'signal', 'data', 'hilang', 'dijam', 'dri', 'telkomsel', 'apakh', 'saiber', 'masuk', 'signal', 'telkom', 'mengganggu', 'pekerjaan']</t>
  </si>
  <si>
    <t>['suka', 'aplikasi', 'update', 'aplikasi', 'gimna', 'aplikasinya', 'suka', '']</t>
  </si>
  <si>
    <t>['jaringan', 'telkomsel', 'lelet', 'wilayah', 'mohon', 'perusahaan', 'menindaklanjuti', 'kenyamanan', 'konsumen', 'kasihan', 'belajar', 'daring', 'dll', 'terimakasih', 'salam', 'hormat', '']</t>
  </si>
  <si>
    <t>['telkomsel', 'bdok', 'pengong', 'main', 'licik', 'data', 'beli', 'kasi', 'trus', 'jaringan', 'parah', 'susah', 'bos', 'klw', 'nda', 'membantu', 'parah', 'btul', 'telkomsel', 'kezaman', 'aneh']</t>
  </si>
  <si>
    <t>['aplikasi', 'bodoh', 'kesini', 'jelek', 'telkomsel', 'udah', 'kuotanya', 'susah', 'jaringan', 'jelek', 'mahal', 'mahal', 'bagus', 'nyesel', 'pakenya', 'kartu', 'kuota', 'susahnya', 'ampun', 'males', 'makenya']</t>
  </si>
  <si>
    <t>['telkomsel', 'korupsi', 'pulsa', 'udah', 'klik', 'beli', 'proses', 'pulsa', 'hanguss', 'habisss', '']</t>
  </si>
  <si>
    <t>['semkain', 'tsel', 'penghitungan', 'kuota', 'bobrok', 'kuota', 'habis', 'habis', 'pulsa', 'kesedot', 'paket', 'data', 'bumn', 'sapi', 'perah', 'pelayanan', 'kinerja', 'nol', 'sya', 'kasih', 'bintang', 'kinerja', 'tsel']</t>
  </si>
  <si>
    <t>['memiliki', 'rupiah', 'berlaku', 'pkl', 'kuota', 'tsel', 'rupiah', 'berlaku', 'pkl', 'cek', 'kuota', 'paket', 'mytelkomsel', 'tsel', 'info', 'tsel']</t>
  </si>
  <si>
    <t>['jaringan', 'baikin', 'kota', 'jaringan', 'saran', 'pengguna', 'telkom', 'recomended', 'download', 'bermain', 'game', 'saran', 'memakai', 'telkom', 'menjelek', 'kenyataan', 'ngelag', 'ping', 'setabil']</t>
  </si>
  <si>
    <t>['jaringan', 'telkom', 'ancur', 'leletnya', 'ampun', 'main', 'game', 'kayak', 'gini', 'cek', 'dmn', 'pengguna', 'senang', 'jaringan', 'glte', '']</t>
  </si>
  <si>
    <t>['maaf', 'telkomsel', 'ditempatku', 'pengalihan', 'enok', 'kab', 'indragiri', 'hilir', 'telkomsel', 'jaringan', 'lelet', 'tolong', 'servis', 'ulang', 'konektivitasny', 'pelangganny', 'adem', '']</t>
  </si>
  <si>
    <t>['parah', 'sel', 'jaringan', 'habis', 'fikir', 'kumat', 'ampun', 'download', 'main', 'game', 'online', 'sosmed', 'nonton', 'youtub', 'zaman', 'coba', 'fikirin', 'swatch', 'switch', 'alasan', 'jaringan', 'alhasilnya', 'gitu', 'tolong', 'paketnya', 'bedain', 'internet', 'multimedia', 'koneksi', 'butuh', 'akses', 'contoh', 'axis', 'nyesal', 'ubun', 'ubun', 'pengguna', 'sel', 'apk', 'kyk', 'taik', '']</t>
  </si>
  <si>
    <t>['suka', 'telkomsel', 'cepatnya', 'ketulungan', 'lemot', 'lemot', 'tolong', 'perbaiki', 'kecepatan', 'terimakasih', 'pelanggal', 'setia', 'telkomsel', '']</t>
  </si>
  <si>
    <t>['berungkali', 'verifikasi', 'masuk', 'klik', 'link', 'sms', 'verifikasi', 'ulang', 'udah', 'pakai', 'apk', 'buruk', 'pelayanan', 'mohon', 'diperbaiki', 'tanggapi', 'keluhan', 'konsumen']</t>
  </si>
  <si>
    <t>['kecewa', 'berat', 'semenjak', 'adakannya', 'stabil', 'lemot', 'rugi', 'beli', 'paket', 'mahal', 'sinyal', 'bertahun', 'adakannya', 'lancar', 'gimana', 'telkomsel', 'perbaikannya', 'setia', 'telkomsel', 'berpindah']</t>
  </si>
  <si>
    <t>['aplikasinya', 'kalah', 'berguna', 'aplikasi', 'provider', 'top', 'kuota', 'paket', 'data', 'provider', 'appnya', 'scan', 'vocer', 'mudah', 'pakai', 'salah', 'tolong', 'terterakan', 'vocer', 'permudah', 'app', 'disisi', 'berusaha', 'memasukan', 'kode', 'vocer', 'kali', 'muncul', 'jaringan', 'sibuk', 'trus', 'maunya', 'isi', 'vocer', 'grapari', '']</t>
  </si>
  <si>
    <t>['buruk', 'sinyla', 'telkomsel', 'sekrang', 'beda', 'dengna', 'lemot', 'obat', 'sampe', 'pengin', 'banting', 'good', 'bye', 'tekomsel', 'thn', 'menemani', '']</t>
  </si>
  <si>
    <t>['jaringan', 'main', 'game', 'hijau', 'merah', 'beli', 'paketan', 'murah', 'lho', 'percaya', 'telkomsel', 'jaringannya', 'bagus', 'jelek', 'ampe', 'main', 'game', 'susah', '']</t>
  </si>
  <si>
    <t>['gatau', 'jaringan', 'simpati', 'gua', 'lelet', 'ato', 'apk', 'payah', 'masuk', 'aga', 'buka', 'pas', 'buka', 'ribet', 'males', 'ribet']</t>
  </si>
  <si>
    <t>['transaksi', 'mudah', 'banget', 'lamaaaaaaaaaaaaaaa', 'banget', 'beli', 'ulang', 'puluhan', 'kali', 'tetep', 'paketan', 'masuk', 'jelek', 'banget', '']</t>
  </si>
  <si>
    <t>['udh', 'beli', 'paket', 'data', 'sia', 'bsa', 'pakai', 'maaf', 'orang', 'kaya', 'bsa', 'beli', 'beli', 'tolong', 'solusinya', 'pket', 'terpakai', 'telkomsel', 'terkenal', 'kartu', 'mahal', 'klau', 'respon', 'gmn', '']</t>
  </si>
  <si>
    <t>['senang', 'telkomsel', 'telkomsel', 'semoga', 'keberuntungan', 'tangan', 'amin']</t>
  </si>
  <si>
    <t>['', 'bagus', '']</t>
  </si>
  <si>
    <t>['beli', 'pulsa', 'paket', 'mudah', 'pembayaran', 'terhubung', 'via', 'gopay', 'pembayaran', 'praktis', 'isi', 'pulsa', 'beli', 'paket', 'internet']</t>
  </si>
  <si>
    <t>['telkomsel', 'sinyal', 'ngelek', 'cok', 'udah', 'mahal', 'ngelek', 'pulak', 'enak', 'belajar', 'mobil', 'yakan', 'tolong', 'murah', 'harga', 'kuotanya', 'sesuai', 'harganya', 'ngotak', 'kecepatan', 'sinyalnya', 'lemooooootnya', 'sampe', 'ubun', 'pokoknya', 'ngotak', 'untung', 'pindah', 'indosat', 'murah', 'ngelek', 'byyyyyyy', 'lemooot', 'murahin', 'telkomtot', '']</t>
  </si>
  <si>
    <t>['gue', 'telkomsel', 'gue', 'beli', 'paket', 'data', 'simpati', 'beli', 'data', 'gb', 'maen', 'mobil', 'legend', 'bufring', 'koneksi', 'stabil', 'kemari', 'keblangsak', 'bangkeeee']</t>
  </si>
  <si>
    <t>['telkomsel', 'boongnya', 'masak', 'dikala', 'pulsa', 'tinggal', 'dikit', 'tawaran', 'extra', 'kuota', 'gg', 'rb', 'isi', 'pulsa', 'tawaran', 'lenyap', 'bekas', 'model', 'kayak', 'gini', 'bagus', 'kecewa', 'amatiran', 'kaya', 'penipu', 'kelas', 'teri', 'sial', '']</t>
  </si>
  <si>
    <t>['harap', 'perbaiki', 'koneksinya', 'beli', 'paket', 'surprise', 'deal', 'unlimited', 'kecepatannya', 'ngga', 'sampe', 'mbps', 'ngga', 'ngirim', 'pesan', 'gambar', 'jam', 'doang', '']</t>
  </si>
  <si>
    <t>['udah', 'kecewa', 'telkomsel', 'jaringan', 'lelet', 'maen', 'pas', 'maen', 'game', 'jaringan', 'stabil', 'download', 'aplikasi', 'playstore', 'jaringan', 'hilang', 'timbul', 'ganti', 'pasang', 'wifi', 'telkomsel', 'kecewa', 'berat']</t>
  </si>
  <si>
    <t>['aneh', 'masuk', 'apps', 'verifikasi', 'gagal', 'linknya', 'udah', 'klik', 'udah', 'kali', 'coba', 'gitu', 'masuk', 'jaringannya', 'ngawur', 'nyesal', '']</t>
  </si>
  <si>
    <t>['asli', 'ngerti', 'telkomsel', 'parah', 'banget', 'jaringan', 'buka', 'aplikasi', 'sosmed', 'instagram', 'tiktok', 'youtube', 'lancar', 'pas', 'main', 'mobile', 'lagends', 'hilang', 'muncul', 'hilang', 'muncul', 'game', 'gitu', 'jaringan', 'hilang', 'muncul', 'hilang', 'singkat', 'pas', 'main', 'game', 'sinyal', 'lancar', 'pakai', 'telkomsel', 'smp', 'kerja', 'asli', 'parah', 'bener', 'kecewa']</t>
  </si>
  <si>
    <t>['bagus', 'jaringannya', 'perbaiki', 'donk', 'buka', 'verifikasi', 'udh', 'verifikasi', 'lemot', 'ampuuuun', '']</t>
  </si>
  <si>
    <t>['telkomsel', 'mengecewakan', 'isi', 'data', 'pemberitahuan', 'datanya', 'masuk', 'pulsa', 'sedot', 'duluan', 'dasar', 'perushaan', '']</t>
  </si>
  <si>
    <t>['maaf', 'ratingnya', 'turun', 'harga', 'kuota', 'tersedia', 'mahal', 'telkomsel', 'seakan', 'mengambil', 'kesempatan', 'dibalik', 'kesempitan', 'pertahankan', 'sifat', 'pelitnya', 'customers', 'meninggalkanmu', '']</t>
  </si>
  <si>
    <t>['telkomsel', 'gimana', 'kuota', 'terpotog', 'sja', 'perasaan', 'beli', 'kuota', 'koq', 'abis', 'tarif', 'non', 'paket', 'trs', 'siih', 'paketan', 'tuuh', 'berlaku', 'nasional', 'giliran', 'beli', 'paket', 'semarang', 'dipake', 'jkt', 'kuota', 'lokal', 'hadeewww']</t>
  </si>
  <si>
    <t>['gila', 'beli', 'paket', 'proses', 'banget', 'diulang', 'berkali', 'kali', 'ngak', 'namanya', 'veronika', 'ngak', 'gunanya', 'direspon']</t>
  </si>
  <si>
    <t>['maaf', 'admin', 'nomor', 'log', 'telkomsel', 'app', 'coba', 'log', 'memasukkan', 'nomor', 'klik', 'langsung', 'mohon', 'bantuannya', 'diperbaiki', 'terima', 'kasih']</t>
  </si>
  <si>
    <t>['aplikasi', 'log', 'udah', 'dikirim', 'link', 'buka', 'ehh', 'link', 'kadaluwarsa', '']</t>
  </si>
  <si>
    <t>['login', 'susah', 'verifikasi', 'dikirim', 'expired', 'trs', 'login', 'metode', 'email', 'blm', 'terdaftar', 'gimana', 'daftarnya', 'petunjuk', 'gimana', 'aplikasinya', 'emosi', 'udah', 'apps', 'login', 'susah', 'mahal', 'paket', 'datanya', 'ketengan', 'jenggotan', 'apanya', 'jenggotan', 'dipake', 'datanya', '']</t>
  </si>
  <si>
    <t>['benerin', 'sinyalnya', 'jaringan', 'macet', 'harga', 'mahal', 'kualitas', 'buruk', 'sibuk', 'maksimal', 'capek', 'mode', 'pesawat', 'bos', '']</t>
  </si>
  <si>
    <t>['hih', 'gajelas', 'email', 'banget', 'balesnya', 'nomer', 'msh', 'mada', 'tenggang', 'isi', 'pulsa', 'aplikasi', 'mytelkomsel', 'ditanyain', 'email', '']</t>
  </si>
  <si>
    <t>['bodohi', 'perusaha', 'beli', 'mahal', 'sinyal', 'jelek', 'mintak', 'ampun', 'telkomsel', 'kelancara', 'buka', 'telkomsel', 'trus', 'sinyal', 'bagus', 'ambil', 'untung', 'tpi', 'kualitas', 'msh', 'jelek', '']</t>
  </si>
  <si>
    <t>['beli', 'paket', 'ngga', 'anjrit', 'update', 'ngga', 'beli', 'paket', 'kuota', 'sekarat', 'beli', 'paket', 'ngga', 'pulsanya', 'kesedot']</t>
  </si>
  <si>
    <t>['layanan', 'memburuk', 'harga', 'kuota', 'mahal', 'telkomsel', 'memperhatikan', 'kepuasan', 'pelanggan', 'keluhan', 'akses', 'internet', 'lambat', 'kecepatan', 'stabil', 'harga', 'mahal']</t>
  </si>
  <si>
    <t>['telkomsel', 'kesini', 'mantapp', 'ehh', 'gini', 'njirr', 'sinyal', 'baguss', 'kuota', 'mask', 'msk', 'dll', 'kuota', 'mahal', 'jaringan', 'bangke', '']</t>
  </si>
  <si>
    <t>['semoga', 'telkomsel', 'penggunanya', 'indonesia', 'dunia', 'paket', 'murah', 'kualitas', 'signal', 'lancar', 'telkomsel', 'jaya', '']</t>
  </si>
  <si>
    <t>['', 'paket', 'combo', 'sakti', 'unlimited', 'hrga', 'ribu', 'ubah', 'unlimited', 'apps', 'khusus', 'batasi', 'kouta', 'apps', 'khusus', 'unlimited', 'namai', 'paket', 'unlimited', 'kecewa']</t>
  </si>
  <si>
    <t>['jelek', 'kali', 'aplikasi', 'nyaa', 'dahh', 'update', 'terbaru', 'beli', 'paket', 'berulang', 'kali', 'transaksi', 'berhasil', 'masuk', 'ppaket', 'pulsa', 'potong', 'aplikasi', 'beli', 'paket', 'gabisa']</t>
  </si>
  <si>
    <t>['parah', 'signal', 'jelek', 'signal', 'browsing', 'lelet', 'tolong', 'prioritas', 'kepuasan', 'pelanggan', 'telkomsel', 'nama', 'pelayanan', '']</t>
  </si>
  <si>
    <t>['kartu', 'telkomsel', 'puluhan', 'bonus', 'kuota', 'hadiah', 'undian', 'telkomsel', 'aktif', 'penukaran', 'poin', 'telkomsel', '']</t>
  </si>
  <si>
    <t>['menguatkan', 'pendapat', 'perusahaan', 'plat', 'merah', 'mahal', 'doang', 'beres', 'boro', 'boro', 'menjangkau', 'pelosok', 'kota', 'sinya', 'empot', 'empotan', 'bye', 'ganti']</t>
  </si>
  <si>
    <t>['masuk', 'aplikasi', 'telkomsel', 'login', 'ulang', 'aplikasi', 'sebelah', 'login', 'ulang', 'ribet', 'masuk', 'aplikasi', 'telkomsel', 'darurat', 'kehabisan', 'kuota', 'kesusahan', 'login', 'aplikasi', 'membuka', 'link', 'sms', 'verifikasi', 'tolong', 'diperbaiki', 'fungsi', 'menu', 'masuk', 'aplikasi', 'berguna', 'login', 'ulang', '']</t>
  </si>
  <si>
    <t>['', 'udh', 'apl', 'buka', 'pdhl', 'sblumnya', 'hrus', 'update', 'dlu', 'pemaksaan', 'update', 'buka', 'gpp', 'coba', 'update', 'dlu', 'tolong', 'pulsa', 'safety', 'kuota', 'habis', 'langsung', 'main', 'potong', 'pulsa', 'knp', 'putus', 'internet', 'pemberi', 'tahuan', 'telat', 'isi', 'ulang', 'udh', 'pemberitahuan', 'kuota', 'abis', 'bkin', 'was', 'tolong', 'perbaiki', 'nyaman']</t>
  </si>
  <si>
    <t>['login', 'telkomsel', 'untung', 'kaya', 'raya', 'bisain', 'loginnya', 'sekarah', 'malas', 'tolol', 'login', 'gimana', 'beli', 'paketan', 'mahal', 'terkenal', 'jelek', 'dibikin', 'kecewa', 'kaya', 'gini', 'konsumen', 'ganti', 'provider', 'ntarr', 'bangkrut', 'mewek', 'nangis', 'ahh', 'dasar', 'sampah', 'pemerintahan', 'najis', 'negara', 'sukanya', 'menjajah', 'masyarakat', '']</t>
  </si>
  <si>
    <t>['nomer', 'kali', 'verifikasi', 'masuk', 'udah', 'gitu', 'habis', 'masuk', 'linknya', 'masuk', 'tulisanya', 'verifikasi', 'your', 'experied', 'please', 'login', 'again', 'udah', 'coba', 'kayak', 'gitu', 'mohon', 'tindak', 'sekian']</t>
  </si>
  <si>
    <t>['telkom', 'cek', 'kuota', 'ketik', 'angka', 'masuk', 'sms', 'aplikasi', 'mytelkomsel', 'login', 'telkom', 'telkom', 'paket', 'doang', 'mahal', 'iklan', 'pelayanan', 'kaya', 'gini', 'mending', 'ganti']</t>
  </si>
  <si>
    <t>['', 'musim', 'pandemi', 'telkomsel', 'bijak', 'rakyat', 'ngeluh', 'telkomsel', 'mengambil', 'kesempatan', 'kesempitan', 'bukanya', 'turun', 'harga', 'angin', 'kecewa', 'telkomsel']</t>
  </si>
  <si>
    <t>['telkomsel', 'parah', 'kartu', 'gold', 'terdaftar', 'bgni', 'mending', 'ganti', 'kartu', 'parah', 'telkomsel', '']</t>
  </si>
  <si>
    <t>['maaf', 'kak', 'update', 'masuk', 'apk', 'something', 'wrong', 'mohon', 'dibantu', 'pdhl', 'bagus', 'pakai', 'telkomsel', '']</t>
  </si>
  <si>
    <t>['kuota', 'ceria', 'beli', 'pdhl', 'sekrng', 'kuota', 'tersedia', 'beran', 'telkomsel', 'tolong', 'perbaiki', 'pindah', 'im']</t>
  </si>
  <si>
    <t>['jaringan', 'jelek', 'banget', 'trus', 'harga', 'kuota', 'mahal', 'udah', 'gitu', 'bonus', 'kuotanya', 'operator', 'seluler', 'gtu', 'paraahh', 'dehh', '']</t>
  </si>
  <si>
    <t>['th', 'telkomsel', 'rasakan', 'buruk', 'mengecewakan', 'registrasi', 'kartu', 'kualitas', 'sinyal', 'kian', 'memburuk', 'lambat', 'merespons', 'keluhan', 'direspons', 'membeli', 'kuota', 'harga', 'kuota', 'nomor', 'mahal', 'nomor', 'pengguna', 'layanan', 'konsumen', 'ujung', 'ujungnya', 'disuruh', 'grapari', '']</t>
  </si>
  <si>
    <t>['', 'ksh', 'bintang', 'skrg', 'turunkan', 'bintangnya', 'bbrp', 'buka', 'apk', 'telkomsel', 'langsung', 'log', 'out', 'jaringan', 'aduh', 'susah', 'pelanggan', 'lho', 'pakai', 'telkomsel', 'tolonglah', 'diperhatikan', 'kualitasnya', 'nmbh', 'fitur', 'blm', 'sepenuhnya', '']</t>
  </si>
  <si>
    <t>['menyesal', 'telkomsel', 'pulsa', 'berkurang', 'pakai', 'jaringan', 'lemot', 'internet', 'masuk', 'apk', 'mytelkomsel', 'susah', 'masuk', 'apk', 'login', 'udh', 'login', 'jga', 'tetep', 'gabisa', 'masuk', 'uptade', 'apk', 'jelek', 'semoga', 'cepat', 'atasi', 'konsumen', 'ganti', 'kartu']</t>
  </si>
  <si>
    <t>['kasih', 'bintang', 'sinyal', 'turun', 'andalan', 'mendukung', 'usaha', 'mudah', 'mudahan', 'kedepannya', 'bintang']</t>
  </si>
  <si>
    <t>['perbarui', 'sulit', 'masuk', 'aplikasi', 'memasukkan', 'nomor', 'klik', 'masukkan', 'nomor', 'tolong', 'kendala', 'cepat', 'perbaiki']</t>
  </si>
  <si>
    <t>['kecewa', 'program', 'daily', 'checkin', 'telkomsel', 'checkin', 'nukarnya', 'mohon', 'perbaikannya', 'bantu', 'chat', 'online', 'responnya', 'keburu', 'lupa', 'haissss', '']</t>
  </si>
  <si>
    <t>['kecewa', 'telkomsel', 'beli', 'paket', 'pulsa', 'mahal', 'jaringa', 'jelek', 'sebenar', 'kenpa', 'sperti', 'harga', 'mahal', 'kualitas', 'jaringan', 'buruk']</t>
  </si>
  <si>
    <t>['tolong', 'kekuatan', 'sinyalnya', 'diperbaikin', 'sisa', 'gb', 'lemot', 'gojek', 'semangat', 'kwalitas', 'kwanitas', 'sinyal', 'jaringannyaaaa', 'terima', 'kasih', '']</t>
  </si>
  <si>
    <t>['', 'good', 'mahal', 'potong', 'duit', 'nsp', 'ketik', 'nsp', 'main', 'potong', 'masuk', 'sesuka', 'hati', 'namanya', 'unlimited', 'anlimited', 'kota', 'berbatas', 'bkn', 'unlimited', 'namanya', 'jaringan', 'ngelek', 'paket', 'bulanan', 'mangkin', 'mangkin', 'jelek', 'bkn', 'mkn', 'bgs', 'kualitas', '']</t>
  </si>
  <si>
    <t>['login', 'disuruh', 'beli', 'kartu', 'barusan', 'beli', 'pulsa', 'terkirim', 'masuk', '']</t>
  </si>
  <si>
    <t>['maaf', 'developer', 'mytelkomsel', 'bug', 'nggak', 'nomor', 'nggak', 'mntak', 'masukin', 'link', 'muncul', 'masuk', 'tulis', 'nggak', 'masuk', 'gimana', 'tante', 'mohon', 'perbaiki', 'terimakasih']</t>
  </si>
  <si>
    <t>['jelek', 'buka', 'app', 'susah', 'tmbh', 'jaringan', 'tsel', 'jelek', 'hujan', 'dikit', 'jaringan', 'langsung', 'alias', 'error', '']</t>
  </si>
  <si>
    <t>['upgrade', 'log', 'berkali', 'kali', 'masuk', 'nomor', 'sms', 'tautan', 'verifikasi', 'masuk', 'lolanya', 'jaringan', 'ampun', 'deh', 'sinyal', 'penuh', '']</t>
  </si>
  <si>
    <t>['beli', 'paket', 'promo', 'nelpon', 'telkomsel', 'nomor', 'berbeda', 'pulsa', 'dipotong', 'pesan', 'masuk', 'spy', 'nunggu', 'notifikasi', 'smp', 'berhari', 'notifikasi', 'masuk', 'dipake', 'nelpon', 'pulsanya', 'kepake', 'gimana', 'telkomsel', 'ngadain', 'promo', 'bbrp', 'kali', 'aplikasi', 'mytelkomsel', 'khusus', 'nanganin', 'komplain', 'customer', 'ganti', 'rugi', 'blm', 'tempatnya', '']</t>
  </si>
  <si>
    <t>['semenjak', 'update', 'jelek', 'apk', 'telkomsel', 'massa', 'beli', 'paketan', 'nyoba', 'masuk', 'masuk', 'hadeuhh', 'gimana', 'telkomsel', 'update', 'bagus', 'jelek', 'kaya', 'gini', '']</t>
  </si>
  <si>
    <t>['woyt', 'telkomsel', 'knpa', 'paket', 'unlimited', 'max', 'ubah', 'biasamya', 'batas', 'skrng', 'harga', 'tpi', 'ubah', 'jdi', 'pemakaian', 'batas', 'wajar', 'gb', 'internet', 'lokal', 'gb', 'internet', 'gb', 'bodoh', 'sumpah', 'kesalahn', 'kacau', 'parah', 'pindah', 'kartu', 'jdinya', 'bego', 'tekkonsel', '']</t>
  </si>
  <si>
    <t>['bagus', 'menyusah', 'jaringan', 'telkomsel', 'masuk', 'log', 'habis', 'susah', 'masuk', 'gemna', 'nyaranin', 'temen', 'aplikasi', 'pelayanannya', 'jelek', 'banget']</t>
  </si>
  <si>
    <t>['info', 'pembelian', 'paketnya', 'dibeli', 'uda', 'berlangganan', 'aplikasinya', 'lelet', 'error', '']</t>
  </si>
  <si>
    <t>['kuota', 'dibilang', 'lumayan', 'gb', 'udh', 'masuk', 'magrib', 'gabisa', 'ngapa', 'in', 'sinyal', 'penuh', 'internet', 'lumpuh', 'payah', 'sekedar', 'balas', 'nggak', 'make', 'kuota', 'full', 'jam', 'kecewa', 'dirugikan', 'tolong', 'diperbaiki']</t>
  </si>
  <si>
    <t>['telkomsel', 'sinyalnya', 'beli', 'paket', 'tolong', 'developer', 'telkomsel', 'benarkan', 'aplikasi', 'kecewa', '']</t>
  </si>
  <si>
    <t>['update', 'aplikasi', 'beli', 'paket', 'kek', 'org', 'gila', 'konek', 'tlpnan', 'paket', 'bicara', 'menit', 'biayanya', 'ribu', '']</t>
  </si>
  <si>
    <t>['telkomsel', 'mantap', 'cepat', 'fiturnya', 'menarik', 'mudah', 'penggunaan', 'pokoknya', 'rekomended', '']</t>
  </si>
  <si>
    <t>['koneksi', 'telkomsel', 'skrg', 'lelet', 'login', 'telkomsel', 'verifikasi', 'sms', 'detik', 'sms', 'verifikasi', 'login', 'telkomsel', 'kecewa']</t>
  </si>
  <si>
    <t>['undian', 'periode', 'umumin', 'tgl', 'mei', 'udah', 'nuker', 'poin', 'pengumumannya', 'hoakz', 'udah', 'gitu', 'curang', 'check', 'udah', 'ngulang', 'tinggal', 'klaim', 'bonus', 'quota', 'gb', 'aplikasi', 'rugi', 'sampah', '']</t>
  </si>
  <si>
    <t>['paaarah', 'baaangeet', 'pokok', 'simpati', 'pulsa', 'rb', 'habis', 'aplikasi', 'paketan', 'msh', 'aplikasi', 'ambil', 'pulsa', 'trs', 'rb', 'abis', 'tolong', 'perbaiki', 'makan', 'halal', 'ikhlas', 'costumer', 'penyakit', 'lho']</t>
  </si>
  <si>
    <t>['harga', 'berubah', 'ubah', 'mahal', 'beli', 'paketan', 'harga', 'beli', 'harga', 'udh', 'kemarin', 'paketan', 'gb', 'gda', 'tolong', 'harga', 'turunin', 'dikit']</t>
  </si>
  <si>
    <t>['buka', 'apk', 'telkomsel', 'yaa', 'klik', 'link', 'sms', 'dikirim', 'telkomsel', 'klik', 'session', 'abis', 'timingnya', 'jalan', 'tlg', 'susah', '']</t>
  </si>
  <si>
    <t>['suka', 'telkomsel', 'membeli', 'paket', 'aplikasi', 'telkomsel', 'kadang', 'error', 'sdkit', 'kecewa', 'mengakses', 'mksh', '']</t>
  </si>
  <si>
    <t>['jaringannya', 'stabil', 'main', 'game', 'online', 'tolong', 'diperbaiki', 'kualitas', 'jakarta', 'telkomsel', 'jelek', '']</t>
  </si>
  <si>
    <t>['tolong', 'perhatiaannya', 'provider', 'udh', 'beli', 'paket', 'sebulan', 'kemarin', 'pulsa', 'ilang', 'pdhl', 'kuotanya', 'udh', 'gitu', 'pas', 'beli', 'kuota', 'belajar', 'pdhl', 'nanya', 'call', 'center', 'tulisannya', 'jaringan', 'perbaikan', 'perbaikan', 'sebulan', 'udah', 'gitu', 'isi', 'pulsa', 'dapet', 'cashback', 'reward', 'kalogini', 'trus', 'respon', 'provider', 'layanan', 'berbayar', 'telkomsel', '']</t>
  </si>
  <si>
    <t>['bayar', 'paket', 'mahal', 'jaringan', 'kek', 'kura', 'lemot', 'ampun', 'sungguh', 'mengecewakan', 'fendor', 'memperhatikan', 'kepuasan', 'kenyamanan', 'pelanggan', 'terima', 'kasih', '']</t>
  </si>
  <si>
    <t>['harga', 'doang', 'mahal', 'sinyal', 'kaya', 'babi', 'main', 'game', 'nge', 'lag', 'kartu', 'sim', 'terburuk', 'sumpah', 'ngak', 'benerin', 'jaringan', 'mementingkan', 'uang', 'dibanding', 'barang', 'jual', 'operator', 'males', 'benerin', 'telkomsel', 'burik', 'burik', 'burik', 'burik', 'burik', 'kartu', 'sim', '']</t>
  </si>
  <si>
    <t>['udah', 'kena', 'kejadian', 'kali', 'paket', 'data', 'abis', 'pulsa', 'rb', 'paket', 'abis', 'pesan', 'mengakses', 'internet', 'tarif', 'non', 'paket', 'kejadian', 'udah', 'kali', 'total', 'rb', 'pulsa', 'abis', 'kesedot', 'pemakaian', 'bebarapa', 'doang', 'jebakan', 'gimana', 'sistem', 'safe', 'pulsa', 'reguler', 'alhamdulillah', 'solusi', 'teratasi', 'pulsanya', 'kesalahan', 'tambahin', 'ratingnya', '']</t>
  </si>
  <si>
    <t>['paket', 'data', 'unlimited', 'memburuk', 'jaringan', 'lemah', 'layak', 'bermain', 'game', 'online', 'mohon', 'perbaikannya', 'unlimited', 'terima', 'kasih', '']</t>
  </si>
  <si>
    <t>['lemot', 'skrg', 'jaringan', 'harga', 'mahal', 'udh', 'th', 'telkomsel', 'bru', 'kli', 'lemot', 'tolong', 'perbaiki', 'sblm', 'telkomsel', 'pindah', 'hati', '']</t>
  </si>
  <si>
    <t>['kecewa', 'banget', 'telkomsel', 'gue', 'penguna', 'kyk', 'gini', 'mah', 'mending', 'pindah', 'poin', 'pas', 'ditukerin', 'dimintain', 'pulsa', 'kek', 'beli', 'kuota', 'pulsa', 'namanya', 'dahlah', 'maaf', 'nie', 'keknya', 'gue', 'pindah', 'haluan', 'bye', 'bye']</t>
  </si>
  <si>
    <t>['mohon', 'banget', 'tolong', 'perbaiki', 'jaringan', 'telkomsel', 'beli', 'paket', 'mahal', 'mahal', 'jaringan', 'lelet', 'emosi', 'main', 'gams', 'mobile', 'legnd', 'lelet', 'gini', 'ganti', 'langganan', 'paket', '']</t>
  </si>
  <si>
    <t>['telkontolsel', 'kont', 'llll', 'perbaiki', 'jaringan', 'duitnya', 'paket', 'mahal', 'senasional', 'kualitas', 'terburuk', 'dinasional', '']</t>
  </si>
  <si>
    <t>['hai', 'telkomseeelllll', 'baby', 'honeeyyyy', 'paket', 'mahal', 'yaahh', 'kualitas', 'jaringan', 'perbaiki', 'okeee', 'good', 'luck', 'smoga', 'uang', 'rakyat', 'membeli', 'operator', 'telkomsel', 'smakin', 'jaya', 'like', 'telkomsel', 'mengecewakan', 'lbih', 'puji', 'kecewa', 'dri', 'hujat', 'sungguh', 'mengecewakan', '']</t>
  </si>
  <si>
    <t>['jaringannya', 'udah', 'minggu', 'jelek', 'banget', 'maen', 'game', 'beli', 'paket', 'mahal', 'kualitas', 'jaringan', 'bagus', 'geleng', 'kepala', 'deh', 'jaringannya', 'tolong', 'diperbaiki', 'semoga', 'dibaca', 'deh', '']</t>
  </si>
  <si>
    <t>['paket', 'unlimited', 'telkomsel', 'rekomendasi', 'banget', 'udah', 'jaringan', 'lambat', 'banget', 'streaming', 'main', 'game', 'lemot', 'banget', 'batas', 'pemakaian', 'wajar', '']</t>
  </si>
  <si>
    <t>['', 'aplikasi', 'promo', 'paket', 'combo', 'sakti', 'isi', 'ulang', 'pulsa', 'promo', 'paketnya', 'beli', 'muncul', 'tulisan', 'gangguan', 'banner', 'promo', 'beli', 'merugikan', 'customer', 'gini', 'sia', 'isi', 'ulang', 'pulsa']</t>
  </si>
  <si>
    <t>['mohon', 'perbaikan', 'sinyal', 'ditiap', 'daerah', 'disayangkan', 'telkomsel', 'sedari', 'dipercaya', 'kalangan', 'masyarakat', 'problem', 'dijaringannya', 'teruntuk', 'harga', 'mahal', 'jaringan', 'semangkin', 'bagus', 'semangkin', 'dipakai', 'semoga', 'kedepannya', 'mohon', 'dengarkan', 'suara', 'konsumen', 'sukses', 'tertandingin', 'brand', 'salam', 'damai']</t>
  </si>
  <si>
    <t>['update', 'buka', 'langsung', 'error', 'diulang', 'uninstal', 'kemudiang', 'unstal', 'ulang', 'pemilihan', 'ijinkan', 'pengelolaan', 'panggilan', 'telpon', 'hang', 'tape', '']</t>
  </si>
  <si>
    <t>['sedih', 'pakai', 'telkomsel', 'skrng', 'kartu', 'combosakti', 'gada', 'fup', 'unlimited', 'batas', 'kecepatan', 'batalin', 'unlimited', 'gb', 'marketing', 'yahh', '']</t>
  </si>
  <si>
    <t>['woii', 'telkomsel', 'paket', 'internet', 'khusus', 'ojol', 'klw', 'habis', 'ngga', 'pajang', 'isi', 'plsa', 'klik', 'beli', 'paket', 'habis', 'tolollll', 'telokmsel', 'paket', 'mahal', 'operator', 'membantu', 'rakyat', 'bawa']</t>
  </si>
  <si>
    <t>['paket', 'mahal', 'keluhan', 'jaringan', 'internet', 'lambal', 'telpon', 'oprator', 'kali', 'lambat', 'lmot', 'oprator', 'tunggu', 'tunggu', 'udah', 'minggu', 'gada', 'perobahan', 'parah', 'telkomsel', 'gabisa', 'memperbaiki', 'keluhan', 'pelanggan']</t>
  </si>
  <si>
    <t>['login', 'telkomsel', 'tulisannya', 'expired', 'mulu', 'kaya', 'gitu', 'diperbaiki', 'customer', 'kecewa', '']</t>
  </si>
  <si>
    <t>['aplikasi', 'suruh', 'masukin', 'udah', 'login', 'pengguna', 'telkomsel', 'jngn', 'susah', 'beli', 'paket', 'gara', 'suruh', 'masukin', 'masukin', 'updet', 'kayak', 'gini', 'pas', 'updet', 'aduhduhduhduh']</t>
  </si>
  <si>
    <t>['simpati', 'jaringan', 'terbesar', 'indonesia', 'kualitas', 'dibawah', 'paket', 'kouta', 'mahal', 'kualitas', 'buruk', 'mending', 'pindah', 'internet', '']</t>
  </si>
  <si>
    <t>['woy', 'kuota', 'unlimited', 'ato', 'buka', 'tik', 'tok', 'jalan', 'buka', 'gambarnya', 'main', 'game', 'log', 'kuota', 'murah', 'kayak', 'gitu', '']</t>
  </si>
  <si>
    <t>['sayang', 'cuman', 'telkom', 'sinyal', 'udah', 'gue', 'ganti', 'kartu', 'gue', 'harga', 'ngak', 'gotak', 'mahal', 'kali', 'beli', 'paket', 'data', 'harga', 'berlipat', 'data', 'habis', 'cepat', 'banget', 'ngak', 'sesuai', 'pemakaian', 'mudah', 'mudah', 'tower', 'cepat', 'benari', 'ganti', 'kartu', 'enakan', 'indosat', 'sesuai', 'data', 'pakai', 'indosat', 'kasih', 'paket', 'datanya', 'telkom', 'pelit', 'mudah', 'cepat', 'bangkrut']</t>
  </si>
  <si>
    <t>['maksud', 'aplikasi', 'update', 'udah', 'login', 'logout', 'login', 'verifikasi', 'sms', 'logout', 'berkali', 'kali', 'mulu', 'uedannn']</t>
  </si>
  <si>
    <t>['aplikasinya', 'perbaikan', 'cek', 'billing', 'pascabayar', 'ditampilkan', 'billing', 'akun', 'orang', 'dienkripsi', 'tanggal', 'lahir', 'file', 'pdf', 'nama', 'orang', 'informasi', 'rahasia', 'billing', 'harap', 'diperbaiki']</t>
  </si>
  <si>
    <t>['minggu', 'beli', 'plus', 'kartu', 'sim', 'sampe', 'skrg', 'daftar', 'aplikasi', 'link', 'valid', 'trus', 'regestrasi', 'sukses', 'beli', 'kuota', 'lwt', 'telpon', 'login', 'aplikasi', 'aneh', 'kyk', 'pemerintah']</t>
  </si>
  <si>
    <t>['paket', 'setan', 'julukanya', 'cek', 'msh', 'hilang', 'kemana', 'kuotanya', 'logikanya', 'paket', 'habis', '']</t>
  </si>
  <si>
    <t>['bertahun', 'telkomsel', 'kali', 'kecewa', 'berat', 'diisi', 'pulsa', 'langsung', 'kesedot', 'habis', 'paketan', 'sistem', 'provider', 'unreg', 'stop', 'beli', 'pulsa', 'telkomsel', 'kartu', 'buang', 'repot', 'mesti', 'kasih', 'orang', 'nomer', 'operator', 'gimana', 'telkomsel', '']</t>
  </si>
  <si>
    <t>['udah', 'daftar', 'paket', 'khusus', 'ntn', 'youtube', 'pulsa', 'duluan', 'diambil', 'sampe', 'habis', 'paket', 'youtube', 'gmn', 'bedain', 'udah', 'daftar', 'paket', '']</t>
  </si>
  <si>
    <t>['jaringan', 'telkomsel', 'lemot', 'aplikasinya', 'telkomsel', 'payah', 'log', '']</t>
  </si>
  <si>
    <t>['', 'honest', 'gua', 'download', 'apk', 'telkomsel', 'cuman', 'ngasih', 'ulasan', 'kartu', 'ampas', 'kuota', 'macan', 'sinyal', 'kucing', 'rugi', 'ngtd', 'gua', 'beli', 'kuota', 'mahal', 'mahal', 'sinyal', 'murahan', 'admin', 'baca', 'ulasan', 'gua', 'benerin', 'ajg', 'temen', 'gua', 'beban', 'maen', 'game', 'sinyal', 'telkomtod', 'ikutan', 'beban', 'bab', '']</t>
  </si>
  <si>
    <t>['pulsa', 'berkurang', 'internet', 'kuota', 'kuotanya', 'pulsa', 'dipake', 'sms', 'telpon', 'aneh', 'ilang', '']</t>
  </si>
  <si>
    <t>['', 'pulsa', 'mahal', 'jaringan', 'tahek', 'bener', 'bener', 'jaringan', 'telkomsel', 'buruk', 'banget', 'mulay', 'bagus', 'jam', 'malem', 'doang', 'kasih', 'binatang', 'karna', 'enak', 'udah', 'bcd', 'kasih', 'bintang', '']</t>
  </si>
  <si>
    <t>['lihat', 'pendapat', 'pendapat', 'tanggapi', 'admin', 'telkomsel', 'beli', 'paket', 'aplikasinya', 'loadingnya', 'banget', 'buka', 'jaringannya', 'full', 'musti', 'ganti', 'paca', 'bayar', '']</t>
  </si>
  <si>
    <t>['hii', 'telkomsel', 'please', 'heard', 'our', 'west', 'papua', 'butuh', 'jaringan', 'prima', 'optimal', 'papua', 'jaringan', 'maintenance', 'berkala', 'kwalitasnya', 'seimbang', 'harganya', 'mahal', 'thanks', 'you', 'hope', 'you', 'more', 'better', 'telkomsel', '']</t>
  </si>
  <si>
    <t>['kesel', 'main', 'niatnya', 'beli', 'pulsa', 'memperpanjang', 'paket', 'data', 'aplikasi', 'dibuka', 'cek', 'pulsa', 'habis', 'tinggal', 'rp', 'batas', 'kuota', 'habis', 'malam', 'jam', 'ayolah', 'telkomsel', 'pakai', 'kartu', 'ngeselin', 'banget', 'astagfirullah', 'maaf', 'kasih', 'rating', 'perubahan', 'insya', 'allah', 'naikkan', 'bintangnya', '']</t>
  </si>
  <si>
    <t>['berulang', 'kali', 'mengubungi', 'veronika', 'nihil', 'kirim', 'email', 'smpe', 'skrg', 'respon', 'tolong', 'fastrespon', 'kesini', 'pelayanannya', 'buruk', 'tolong', 'perbaiki', 'sistemnya', 'nambah', 'bintang', '']</t>
  </si>
  <si>
    <t>['jaringan', 'lemot', 'ngga', 'stabil', 'harga', 'kuota', 'mahal', 'telkomsel', 'milik', 'bumn', 'alias', 'milik', 'negara', 'kesannya', 'memudahkan', 'nyengsarakan', 'rakyat']</t>
  </si>
  <si>
    <t>['coba', 'deh', 'fitur', 'ganti', 'jdi', 'paket', 'data', 'habis', 'tinggal', 'layanan', 'internet', 'ttep', 'ngasih', 'layanan', 'internet', 'tpi', 'pulsaa', 'tibabtiba', 'pulsa', 'rb', 'hilang', 'dlam', 'mnt', 'berasa', 'rampok', 'kadang', 'suka', 'aktifin', 'paket', 'darurat', 'sepengetahuan', 'alhasil', 'isi', 'pulsa', 'rampok', 'tolong', 'sangay', 'adil']</t>
  </si>
  <si>
    <t>['', 'asik', 'pas', 'claim', 'hadiah', 'check', 'apk', 'dbuka', 'server', 'erorr', 'mulu', 'pas', 'paket', 'mnipis', 'lancar', 'niat', 'gasih', 'kasih', 'hadiah', 'hadiahnya', 'pke', 'jtuh', 'tempo', 'kzlll']</t>
  </si>
  <si>
    <t>['jujur', 'pelanggan', 'setia', 'telkomsel', 'kartu', 'simpati', 'kecewa', 'pelayanan', 'jaringan', 'telkomsel', 'stabil', 'jaringan', 'suka', 'hilang', 'terkadang', 'berubah', 'kali', 'menelepon', 'customer', 'service', 'telkomsel', 'membantu', 'mending', 'promosikan', 'betulkan', 'jaringan', 'harga', 'kuota', 'internet', 'murah', '']</t>
  </si>
  <si>
    <t>['ngomong', 'telkomsel', 'terbaik', 'sekedar', 'saran', 'kuota', 'internet', 'habis', 'langsung', 'distop', 'sampe', 'menggerogoti', 'sisa', 'pulsa', 'bos', '']</t>
  </si>
  <si>
    <t>['tolong', 'diperbaiki', 'pulsa', 'pagi', 'tinggal', 'nggak', 'bales', 'nguras', 'uang', 'gimana', 'pulsa', 'cepat', 'diperbaiki', 'bagus', 'erorr', 'potong', 'pulsa', '']</t>
  </si>
  <si>
    <t>['dear', 'telkomsel', 'kecewa', 'banget', 'knpa', 'paket', 'data', 'internet', 'unilimitid', 'hilang', 'ganti', 'omg', 'dengar', 'harga', 'berbeda', 'kuota', 'sesuai', 'harga', 'sampe', 'perna', 'isi', 'pulsa', 'karna', 'kecewa', 'mohon', 'penjelasan', 'klau', 'kembalikan', 'paket', 'dlu', 'terimakasih', '']</t>
  </si>
  <si>
    <t>['aplikasi', 'mytelkomsel', 'cek', 'kuota', 'aplikasi', 'coba', 'update', 'aplikasinya', 'terupdate', 'jaringannya', 'telkomsel', 'sdg', 'gangguan', 'mohon', 'telkomsel', 'semoga', 'penjelasan', 'terimakasih']</t>
  </si>
  <si>
    <t>['telkomsel', 'top', 'paket', 'spesial', 'murah', 'terjangkau', 'dimasa', 'pandemi', 'sprti', 'berguna', 'bwt', 'kena', 'dampak', 'dirumah', '']</t>
  </si>
  <si>
    <t>['komplain', 'jaringan', 'buruk', 'paket', 'serba', 'mahal', 'tlkomsel', 'kalah', 'tetangga', 'sblh', 'bnyk', 'pilihan', 'kuota', 'murah', 'jaringan', 'stabil', 'trtama', 'donload', 'bermain', 'gme', 'ping', 'serendah', 'ms', 'migrasi', 'perbaiki']</t>
  </si>
  <si>
    <t>['harga', 'data', 'sinyal', 'buruk', 'promo', 'nggk', 'berguna', 'nggak', 'paket', 'combo', 'kesini', 'nggk']</t>
  </si>
  <si>
    <t>['tolong', 'menaikan', 'harga', 'kuota', 'kualitas', 'jaringan', 'tingkatkan', 'kuota', 'mahal', 'harganya', 'jaringanya', 'lambat', 'tinggal', 'jam', 'siang', 'malem', 'lancar', 'main', 'game', 'mobile', 'legent', 'main', 'kuota', 'mahal']</t>
  </si>
  <si>
    <t>['gimana', 'aplikasi', 'telkomsel', 'dikit', 'logout', 'login', 'ulang', 'susahhhhh', 'coba', 'kek', 'sidik', 'jari', 'gmna', 'repot', 'magic', 'link', 'apalah', 'tolong', 'log', 'out', 'otomatis', 'repot', 'coba', 'tiru', 'aplikasi', 'kyk', 'mobile', 'banking', 'bagus', '']</t>
  </si>
  <si>
    <t>['main', 'game', 'online', 'telkomsel', 'ngebuat', 'afk', 'jaringan', 'buruk', 'harga', 'mahal', 'cocok', 'nge', 'game', 'mending', 'indosat', 'sinyal', 'stabil', 'ngegame']</t>
  </si>
  <si>
    <t>['yth', 'mytelkomsel', 'aplikasi', 'beli', 'pulsa', 'rb', 'beli', 'paket', 'data', 'gada', 'panas', 'gada', 'hujan', 'pulsa', 'kepotong', 'dipakai', '']</t>
  </si>
  <si>
    <t>['pelanggan', 'telkomsel', 'setia', 'udh', 'puluhan', 'pdhl', 'sgt', 'keluhan', 'pemakai', 'telkomsel', 'cepat', 'ditanggapi', 'ditanggulangi', 'jaringn', 'telkomsel', 'tolong', 'cepat', 'perbaiki', 'jaringan', 'lemot', 'semoga', 'kedepanya', 'puas', 'ksh', 'bintang', 'klu', 'mksh', '']</t>
  </si>
  <si>
    <t>['habis', 'update', 'pulsa', 'hilang', 'gila', 'gmn', 'pertanggung', 'jawabanya', 'mohon', 'baca', 'telkomsel', '']</t>
  </si>
  <si>
    <t>['teknologi', 'terbarukan', 'sinyal', 'telkomsel', 'lemot', 'ancur', 'kali', 'sinyal', 'bah', 'tolonglah', 'diperbaik', 'kualitas', 'jaringan', 'ngebuat', 'pelanggan', 'setia', 'telkomsel', 'kecewa', 'pelayanan', 'thanks']</t>
  </si>
  <si>
    <t>['pulsa', 'kesedot', 'dipake', 'matiin', 'data', 'pakai', 'wifi', 'harga', 'kuota', 'bener', 'habis', 'pikir', 'kualitas', 'jaringan', 'kayak', 'simcard', 'harga', 'mahal', 'kualitas', 'buruk', '']</t>
  </si>
  <si>
    <t>['login', 'link', 'dikirim', 'sms', 'sms', 'berlaku', 'detik', 'sms', 'diterima', 'detik', 'link', 'not', 'valid', 'expired', 'bahasa', 'inggris', 'indonesia', 'coba', 'sms', 'diterima', 'detik', 'login', 'kontak', 'result', '']</t>
  </si>
  <si>
    <t>['masukan', 'ngasih', 'sms', 'pemberitahuan', 'terkait', 'paket', 'promo', 'paket', 'dibeli', 'udah', 'kali', 'sms', 'paket', 'internet', 'promo', 'dibeli', 'pelanggan', 'kecewa']</t>
  </si>
  <si>
    <t>['langganan', 'telkomsel', 'kemarin', 'kasi', 'bintang', 'kasi', 'bintang', 'aplikasi', 'dibuka', '']</t>
  </si>
  <si>
    <t>['telkomsel', 'banget', 'nyedot', 'pulsa', 'nelpon', 'sms', 'wifi', 'data', 'seluler', 'matiin', 'nyedot', 'pulsa', 'heraan', 'baca', 'commentar', 'mencuri']</t>
  </si>
  <si>
    <t>['apl', 'maunya', 'bukanya', 'pke', 'jaringan', 'bagus', 'banget', 'wifi', 'kebuka', 'update', 'rusak']</t>
  </si>
  <si>
    <t>['enak', 'pakai', 'aplikasi', 'berlangganan', 'orbit', 'terkendala', 'login', 'aplikasi', 'orbit', 'telkomsel', 'cek', 'kuota', 'pembelian', 'data']</t>
  </si>
  <si>
    <t>['udah', 'product', 'telkom', 'indihome', 'kartu', 'perdana', 'telkom', 'mengecewakan', 'leg', 'teruss', 'maen', 'game', 'kentang', 'ping', 'jelek', 'signal', 'ngaceng', 'ping', 'jelek', '']</t>
  </si>
  <si>
    <t>['aplikasi', 'udah', 'membaik', 'gua', 'mao', 'beli', 'paketan', 'kaga', 'login', 'nomer', 'gua', 'aplikasinya', 'gmna', 'kasih', 'terbaik', 'buruk', 'kasih', 'konsumen', 'kenyaman', 'gua', 'udah', 'beli', 'pulsa', 'mao', 'beli', 'paket', 'login', 'nmr', 'gua', 'gabagus', 'memburuk', 'aplikasi']</t>
  </si>
  <si>
    <t>['pakai', 'kartu', 'unlimitid', 'regis', 'aktif', 'nomornya', 'jaringannya', 'lumayan', 'bagus', 'paketnya', 'habis', 'belli', 'jaringannya', 'jelek', 'aktif', 'paket', 'liat', 'aplikasi', 'pas', 'beli', 'paketnya', 'berlakunya', 'tanggal', 'udah', 'jaringan', 'lemot', 'aktif', 'paketnya', 'tolong', 'balasannya', 'jaringannya', 'bagus', 'kasi', 'bintang', 'daerah', 'bulukumba', 'sulsel', '']</t>
  </si>
  <si>
    <t>['aktifasi', 'paket', 'susah', 'error', 'harga', 'lumayan', 'mahal', 'dibanding', 'jaringan', 'kasih', 'bintang', 'pelayanan', 'dimudahkan', '']</t>
  </si>
  <si>
    <t>['paket', 'combo', 'sakti', 'terjangkau', 'list', 'jga', 'pengen', 'ganti', 'operator', 'kadang', 'aplikasi', 'macet', 'paket', 'trrjangkau', 'ilang', 'trimakasih', 'telkomsel', 'pelayanannya', '']</t>
  </si>
  <si>
    <t>['paket', 'darurat', 'udah', 'bayar', 'tagih', 'kesel', 'pulsa', 'ambil', 'teruss', '']</t>
  </si>
  <si>
    <t>['tolong', 'kembalilah', 'jaringan', 'telkomsel', 'cepet', 'nggak', 'kaya', 'lemottt', 'kaya', 'unlimitidnya', 'smartfrend', 'udah', 'mahal', 'lemot', 'tinggal', 'pelosok', 'banget', 'tower', 'deket', 'sinyal', 'kaya', 'jam', 'segini', 'bagus', 'entar', 'lemot', 'akses', 'youtube', 'browser', 'cepet', 'main', 'game', 'menghadehhh', 'sinyal', 'nggak', 'ketolong', 'main', 'game', 'tolong', 'jaman', 'kjayaan', 'sprti', 'dlu', 'hrga', 'pket', 'bleh', 'mhal', 'tpi', 'kwalitas', 'sinyal', '']</t>
  </si>
  <si>
    <t>['kasih', 'kuota', 'game', 'pubg', 'mobile', 'gausah', 'tulis', 'deskripsi', 'kali', 'orang', 'gimana', 'marah', 'kesini', 'jaringan', 'paketan', 'harga', 'beli', 'kuota', 'gamemax', 'main', 'game', 'doang', 'mending', 'gausah', 'adain', 'paketan', 'deskripsi', 'php', '']</t>
  </si>
  <si>
    <t>['gila', 'pagi', 'ampe', 'jam', 'jaringan', 'jam', 'nonton', 'lemot', 'mulu', 'kecuali', 'instagram', 'pikir', 'kartu', 'gue', 'beli', 'murah', 'ribu', 'mahal']</t>
  </si>
  <si>
    <t>['jualan', 'kasihan', 'anak', 'istri', 'dirumah', 'makan', 'hasil', 'nipu', 'customer', 'unlimited', 'isinya', 'sesuai', 'unlimited', 'combo', 'sakti', 'hilang', 'kuota', 'mahal', 'maslah', 'jaringan', 'parah', 'dimana', 'semoga', 'cepat', 'sadar', '']</t>
  </si>
  <si>
    <t>['bagus', 'tingkah', 'jaringan', 'murah', 'hadiahnya', 'orang', 'kaya', 'hadiah', 'pakai', 'telkomsel', 'ekonominya', '']</t>
  </si>
  <si>
    <t>['mohon', 'diperbaiki', 'jaringan', 'error', 'pagi', 'sore', 'menghambat', 'pekerjaan', 'kirim', 'laporan', 'tolong', 'diperbaiki', 'parah', 'sinyal', 'area', 'jateng', 'semarang', 'terima', 'kasih']</t>
  </si>
  <si>
    <t>['', 'knpa', 'pilihan', 'harga', 'paket', 'data', 'combo', 'sakti', 'tersedia', 'under', 'masuk', 'aplikasi', 'promo', 'paket', 'combo', 'sakti', 'harganya', 'murah', 'pas', 'klik', 'tersedia', 'tetep', 'muncul', 'mahal', 'mohon', 'jawabannya']</t>
  </si>
  <si>
    <t>['pulsa', 'habis', 'gapernah', 'make', 'paket', 'data', 'notifikasi', 'paket', 'data', 'habis', 'langsung', 'matiin', 'data', 'pas', 'cek', 'udah', 'habis', 'pulsa', 'lumayan', 'beli', 'sehari', 'ganas', 'motongnya', '']</t>
  </si>
  <si>
    <t>['keluhan', 'nyaman', 'puas', 'pemakaian', 'jaringan', 'apk', 'telkomsel', 'login', 'mengalamai', 'session', 'expired', 'alasan', 'login', 'apk', 'akses', 'apapun', 'kebijakan', 'telkom', 'konsisten', 'pelayanan', 'kuota', 'kuota', 'unlimited', 'dibatasi', 'jaringan', 'full', 'bar', 'buffering', 'streaming', 'lagging', 'bermain', 'game', 'pulsa', 'terpotong', 'pemberitahuan', 'etc', '']</t>
  </si>
  <si>
    <t>['kebangeten', 'telkomsel', 'jaringan', 'dlm', 'rumahku', 'hilang', 'keluaf', 'rumah', 'dpt', 'strip', 'kota', 'jaringan', 'data', 'lambat', 'banget', 'hadewh', 'pindah', 'provider', 'kayanya', '']</t>
  </si>
  <si>
    <t>['top', 'sinyal', 'dimana', 'harga', 'paketan', 'tergolong', 'mahal', 'telkomsel', 'the', 'best', 'udah', 'bertahun', 'setia', 'telkomsel', 'sukses', 'maju', 'telkomsel']</t>
  </si>
  <si>
    <t>['hei', 'listen', 'pilihan', 'menonaktifkan', 'salah', 'paket', 'internet', 'kuota', 'persatu', 'perbaiki', 'update', 'harga', 'kualitas', 'bertambah', 'buruk', '']</t>
  </si>
  <si>
    <t>['sinyal', 'dikompleks', 'perumahan', 'buruk', 'bbrp', 'pengaduan', 'telkomsel', 'kunjung', 'dperbaiki', 'kualitas', 'sinyalnya', 'rumah', 'tower', 'telkomsel', 'berdasarkan', 'informasi', 'telkomsel', 'jarak', 'sinyal', 'dirumah', 'layak', 'pakai', 'kendala', 'telkomsel', 'dlm', 'menangani', 'bertahun', 'pelanggan', 'tinggal', 'dibawah', 'tower', 'sinyal', 'layak', 'terimakasih', '']</t>
  </si>
  <si>
    <t>['hallo', 'admin', 'telkomsel', 'terhormat', 'mengeluhkan', 'sekelas', 'telkomsel', 'jaringan', 'kaya', 'tinggal', 'tanah', 'visi', 'misi', 'berubah', 'mengecewakan', 'konsumen', 'jaringan', 'buruk', 'harga', 'mahal', 'telkomsel', 'berdiri', 'karna', 'sdm', '']</t>
  </si>
  <si>
    <t>['harga', 'paket', 'combo', 'unlimited', 'rb', 'rb', 'rbnya', 'nominal', 'rb', 'isi', 'pulsa', 'rb', 'sisa', 'rb', 'hilang', 'nggak', 'tolonglah', 'telkomsel', 'provider', 'jujur', 'cari', 'untung', '']</t>
  </si>
  <si>
    <t>['update', 'update', 'paket', 'tolong', 'kuota', 'rekomendasi', 'habis', 'limit', 'update', 'berharap']</t>
  </si>
  <si>
    <t>['kemari', 'jaringan', 'telkomsel', 'buruk', 'jelek', 'udah', 'harganya', 'jaringannya', 'ancur', 'tolong', 'perbaiki', 'pengguna', 'telkomsel', 'kecewa', 'kinerja', 'jaringan', 'telkomsel']</t>
  </si>
  <si>
    <t>['semenjak', 'update', 'lemot', 'total', 'in', 'elah', 'daftar', 'paketan', 'isi', 'pulsa', 'dicek', 'semoga', 'diperbaiki', '']</t>
  </si>
  <si>
    <t>['mundur', 'telkomsel', 'versi', 'beli', 'pulsa', 'beli', 'kuota', 'internet', 'paket', 'susah', 'jaringan', 'nga', 'taulah', 'kesel', 'giliran', 'nga', 'taunya', 'pulsa', 'terpotong', 'copot', 'pasang', 'aplikasi', 'hasil', 'nyesel', 'perbarui', 'mendi', 'kesel', 'dikir', 'min', '']</t>
  </si>
  <si>
    <t>['gimana', 'kuota', 'mahal', 'signal', 'kususnya', 'gemolong', 'seragen', 'padakerja', 'tidur', 'operator', 'tsel', '']</t>
  </si>
  <si>
    <t>['mohon', 'maaf', 'masuk', 'aplikasi', 'susah', 'halaman', 'login', 'klik', 'link', 'sms', 'kepental', 'login']</t>
  </si>
  <si>
    <t>['telkomsel', 'operator', 'lengkap', 'takut', 'hilang', 'jaringan', 'dimana', 'ktr', 'telkom', 'disitu', 'tower', 'ujung', 'sabang', 'spi', 'ujung', 'merauke', 'ujung', 'miangas', 'spi', 'timor', 'ber', 'ria', 'tingkatkan', 'pelayanannya', 'telkomsel']</t>
  </si>
  <si>
    <t>['aplikasinya', 'ngk', 'bermutu', 'isi', 'pulsa', 'muncul', 'notifikasi', 'gangguan', 'sistem', 'pas', 'dibuka', 'pulsa', 'udah', 'ilang', 'sampe', 'rugi', 'ribu']</t>
  </si>
  <si>
    <t>['nggak', 'puas', 'aplikasi', 'pulsa', 'kesedot', 'isiin', 'pulsa', 'rupiah', 'bangun', 'pagi', 'habis', 'kesedot', 'ganti', 'rugi', 'buktinya', '']</t>
  </si>
  <si>
    <t>['', 'telkomsel', 'applikasi', 'cek', 'pulsa', 'kuota', 'akun', 'udah', 'akun', 'niat', 'pakai', 'applikasi', 'mempermudah', 'mempersulit', 'mancing', 'emosi', 'niat', 'applikasi', '']</t>
  </si>
  <si>
    <t>['mytelkomsel', 'paket', 'habis', 'pulsa', 'potong', 'daftar', 'paket', 'error', 'terpaksa', 'daftar', 'terdaftar', 'error', 'maksudnya', 'aplikasi', 'kuota', 'internet', 'habis', 'aktif', 'berkurang', '']</t>
  </si>
  <si>
    <t>['gua', 'kasih', 'bintang', 'karna', 'aplikasi', 'buruk', 'update', 'bru', 'masuk', 'udah', 'ngak', 'nge', 'check', 'developer', 'ngak', 'kasih', 'kuota', 'gratis', 'ngak', 'mslh', 'cmn', 'bilng', 'mmng', 'telkomsel', 'kasih', 'kuota', 'gratis', 'janjikan', 'fix', 'brrti', 'telkomsel', 'sultan', 'krna', 'aplikasi', 'jutaan', 'orng', 'woi', 'kasih', 'bukti', '']</t>
  </si>
  <si>
    <t>['', 'telkomsel', 'pulsa', 'hilang', 'gini', 'ribu', 'trus', 'hilang', 'trus', 'aplikasinya', 'sebel']</t>
  </si>
  <si>
    <t>['buruk', 'beli', 'paket', 'tulisannya', 'berhasil', 'masuk', 'pulsa', 'hilang', 'notif', 'error', 'kirain', 'bagus', 'update', 'burik']</t>
  </si>
  <si>
    <t>['promo', 'paket', 'murah', 'tolong', 'admin', 'telkomsel', 'kartu', 'mahal', 'kabulin', 'ganti', 'kartu', 'indosat', 'kasih', 'bintang', 'kabulin', 'permintaan', 'saa', 'kasih', 'full', 'bintangnya', '']</t>
  </si>
  <si>
    <t>['hai', 'admin', 'aplikasi', 'knp', 'lelet', 'pdhal', 'sdha', 'upgrade', 'kartu', 'halo', 'ttap', 'spertu', 'kartu', 'jaringannya', 'sellau', 'lelet', 'tolong', 'tingkatkan', 'fasilitas', 'jaringan', 'cpat', 'admin', 'pliss', 'udah', 'byak', 'bget', 'ngeluh', 'planggan', 'tsel', 'krna', 'signal', 'jaringan', '']</t>
  </si>
  <si>
    <t>['halo', 'telkomsel', 'seminggu', 'akses', 'aplikasi', 'uninstal', 'instal', 'ulang', 'hubungi', 'telkomsel', 'tetep', 'solusi', 'telkomsel', 'tolong', 'dibantu', 'makasi']</t>
  </si>
  <si>
    <t>['percaya', 'telkomsel', 'habis', 'paket', 'kartu', 'buang', 'jaringan', 'busuk', 'pulsa', 'utama', 'habis', 'padahan', 'kuota', 'internet', 'kecewa', '']</t>
  </si>
  <si>
    <t>['sebulan', 'penuh', 'daily', 'check', 'reward', 'klaim', 'skrg', 'lemot', 'banget', 'beralih', 'jaringan', 'lemot', 'inipun', 'skrg', 'login', 'sesion', 'login', 'has', 'expired', 'mulu']</t>
  </si>
  <si>
    <t>['diberanda', 'aplikasi', 'tertulis', 'aktif', 'nomer', 'tenggang', 'diganti', 'dlm', 'tenggang', 'gini', 'customer', 'ngiranya', 'dipakai', 'aktif', 'habis', 'maksudnya', 'aktif', 'nomer', 'dipakai', 'hangus', 'langsung', 'memahami', 'maksud', 'dibalik', 'aktif', '']</t>
  </si>
  <si>
    <t>['kadang', 'sinyal', 'susah', 'membalik', 'trus', 'muncul', 'pemberitahuan', 'seakan', 'link', 'telkomsel', 'alat', 'mendownload', 'pdhl', 'situs', 'telkomsel', 'alat', 'dibuka', '']</t>
  </si>
  <si>
    <t>['update', 'ancur', 'pulsa', 'ngisi', 'ngilang', 'telepon', 'solusinya', '']</t>
  </si>
  <si>
    <t>['upgrade', 'jelek', 'banget', 'bayar', 'linkaja', 'aplikasi', 'login', 'berkali', 'kali', 'kadang', 'login', 'mohon', 'diperbaiki', 'mytelkomsel', 'mengecewakan']</t>
  </si>
  <si>
    <t>['sialan', 'keseringan', 'banget', 'telkomsel', 'motongin', 'pulsa', 'org', 'kecuali', 'paket', 'data', 'habis', 'pa', 'main', 'potong', 'pulsa', 'jdi', 'males', 'isi', 'pulsa', 'takut', 'dimalingin', 'telkomsel', '']</t>
  </si>
  <si>
    <t>['aplikasi', 'teliti', 'abis', 'update', 'masuk', 'paket', 'internet', 'tolong', 'perhatikan', 'bug', 'bug', 'kesalahan', 'sistem', 'tolong', 'perhatikan', 'kenyamanan', 'pengguna', 'gimana', 'kalinya', 'alami', 'versi', 'udah', 'mengalami']</t>
  </si>
  <si>
    <t>['bintang', 'kurangin', 'yach', 'maaf', 'rada', 'repot', 'yach', 'masuk', 'kirim', 'link', 'dapet', 'sms', 'masuk', 'aplikasi', 'membal', 'sms', 'masuk', 'aplikasi', 'terpaksa', '']</t>
  </si>
  <si>
    <t>['', 'notifikasi', 'sms', 'paket', 'ceria', 'tanggal', 'jam', 'wib', 'pas', 'lihat', 'aplikasi', 'mytelkomsel', 'paket', 'ceria', 'tertera', 'error', 'kuatirnya', 'paket', 'ceria', 'tgl', 'juli', 'pemakaian', 'data', 'internet', 'membegal', 'pulsa', 'tersimpan', '']</t>
  </si>
  <si>
    <t>['knpa', 'telkomsel', 'suka', 'makan', 'uang', 'haram', 'pulsa', 'suka', 'habis', 'pdhal', 'jaringan', 'internet', 'kartu', 'tsb', 'krna', 'sanggup', 'gaji', 'karyawan', 'mencuri', 'dri', 'konsumen', 'emang', 'nilainya', 'tpi', 'ambil', 'sluruh', 'konsumen', 'indo', 'mah', 'dpt', 'bnyak', 'tong', 'kbiasaan', 'buruk', 'hilang', 'dri', 'tsel']</t>
  </si>
  <si>
    <t>['', 'dperbarui', 'jelek', 'aplikasi', 'yaz', 'tdnya', 'lancar', 'update', 'bahasanya', 'bhs', 'inggris', 'ubah', 'gaada', 'pengaturan', 'pngaturan', 'bhs', 'udh', 'setting', 'indo', 'ttp', 'ubah', 'settin', 'bhs', 'aplikasi', 'ngelihat', 'paket', 'ribet', 'skrg', 'bagusan', 'deh', 'pulsa', 'bkurang', 'deh', '']</t>
  </si>
  <si>
    <t>['paket', 'gamsmax', 'bermain', 'game', 'games', 'mllb', 'pubgm', 'nggak', 'pakai', 'pembodohan', 'mending', 'paket', 'paket', 'reguler', 'kepakai', 'harga', 'paket', 'doang', 'dimahalin', 'tpi', 'kenyaman', 'pengguna', 'diutamakan', 'harap', 'teman', 'baca', 'komen', 'setuju', 'krna', 'merugikan', 'pengguna', 'paket', 'gamesmax', '']</t>
  </si>
  <si>
    <t>['update', 'terbaru', 'loading', 'masuk', 'aplikasi', 'butuh', 'menit', 'berhasil', 'masuk', 'kuota', 'gb', 'jaringan', '']</t>
  </si>
  <si>
    <t>['ribet', 'mahal', 'paket', 'lengkap', 'unlimited', 'speed', 'kaya', 'keong', 'lelet', 'fix', 'buang', 'kartunya']</t>
  </si>
  <si>
    <t>['gmn', 'daily', 'chekin', 'kuota', 'ketengan', 'utama', 'kemana', 'daily', 'chekin', 'status', 'terklaim', 'kuota', 'masuk', 'bli', 'kuota', 'ketengan', 'pulsa', 'udh', 'potong', 'kuota', 'masuk', 'kirim', 'email', 'slow', 'respon', 'giliran', 'respon', 'mempersulit', 'data', 'mending', 'stlah', 'kirim', 'data', 'kelar', 'mah', 'fast', 'respon', 'twiter', 'membantu', 'mecahin', 'promo', 'daily', 'chekin', 'habis', 'kuota', 'kemana', '']</t>
  </si>
  <si>
    <t>['telkomsel', 'kemaren', 'kuota', 'masuk', 'coba', 'login', 'sms', 'cuman', 'login', 'jelasin', 'langsung', 'komentar', 'email']</t>
  </si>
  <si>
    <t>['jaringan', 'telkomsel', 'kecewa', 'pelayanan', 'telkomsel', 'buruk', 'telkomsel', 'kebanyakan', 'tidur', '']</t>
  </si>
  <si>
    <t>['', 'daerah', 'sinyalnya', 'super', 'lemot', 'terburuk', 'bar', 'bar', 'rumah', 'jaraknya', 'tower', 'bts', 'km', 'lemot', 'superrr', 'lemot', 'semoga', 'masukan', 'terbaik', 'telkomsel', 'kartu', 'telkomsel', 'kartu', 'ngeseelin', 'sinyalnya', 'semoga', 'perbaikan', 'kedepannya', 'update', 'sulit', 'nambah', 'kartu', 'prabayar', 'orbit', 'susah', 'mati', 'sms', 'liat', 'apliks', 'orbit', 'nambah', 'email', 'nggak', 'duhhh']</t>
  </si>
  <si>
    <t>['gimana', 'bingung', 'apk', 'karna', 'layanannya', 'buruk', 'aneh', 'pulsa', 'menerus', 'kepotong', 'memiliki', 'kuota', 'aneh', 'mengakses', 'apk', 'menerus', 'diperingati', 'login', 'ulang', 'tolong', 'bertanggung', 'memperbaiki', 'mengganti', 'kerugian', 'kerugiannya', 'terimakasih', '']</t>
  </si>
  <si>
    <t>['sinyal', 'susah', 'padhal', 'telkomsel', 'sinyal', 'pling', 'bagus', 'knpa', 'skrang', 'menurun', 'kualitasnya', 'pulsa', 'gitu', 'habis', 'intrnetan', 'pdhl', 'udah', 'dftr', 'internet', 'berhsl', 'dftr', 'knpa', 'skrng', 'telkomsel', 'kualitasnya', 'jelek', 'skli', 'beli', 'kuota', 'mahal', 'sinyal', 'jelek', 'merugikan', 'pelanggan']</t>
  </si>
  <si>
    <t>['telkomsel', 'mohon', 'perbaiki', 'jaringan', 'koto', 'kampar', 'hulu', 'riau', 'kecewa', 'memakai', 'telkomsel', 'promo', 'beli', 'promo', '']</t>
  </si>
  <si>
    <t>['paket', 'combo', 'sakti', 'bohong', 'paket', 'internet', 'reguler', 'habis', 'pulsa', 'kepotong', 'paket', 'unlimited', 'multimedia', 'jalan', 'dijanjikan', 'parah', '']</t>
  </si>
  <si>
    <t>['aplikasi', 'haram', 'knapa', 'kartu', 'kuota', 'internet', 'kemana', 'knapa', 'hilang', 'smua', 'cek', 'gagal', 'mohon', 'perbaiki', 'konsumen', 'betah', '']</t>
  </si>
  <si>
    <t>['sinyal', 'telkomsel', 'menghilang', 'cepat', 'stabil', 'download', 'upload', 'medsos', 'mohon', 'ditingkatkan', 'sinyal', 'telkomsel', 'cepat', 'stabil', 'terima', 'kasih']</t>
  </si>
  <si>
    <t>['sinyal', 'volte', 'lemotnya', 'ampun', 'main', 'game', 'sinyal', 'hijau', 'merah', 'gitu', 'trus', 'gunanya', 'leletnya', 'ampun', 'udah', 'harga', 'paketnya', 'mahal', 'kualitas', 'udh', 'nama', 'kepuasan', 'pelanggan', 'dilupakan', 'kencang', 'internet', 'lelet', 'buffering', 'udh', 'jaya', 'udh', 'nama', 'leletnya', 'ampun', 'tolong', 'dijaga', 'kepuasan', 'pelanggan', 'pakai', 'telkomsel', 'bagus', 'pindah', 'operator']</t>
  </si>
  <si>
    <t>['sehari', 'telkomsel', 'jaringannya', 'susah', 'banget', 'jaringannya', 'gangguan', 'pdhal', 'towel', 'telkomsel', 'lelet', 'mohon', 'kerjasama', 'konsumen', 'konsisten', 'telkomsel', 'oya', 'daerah', 'sumatra', 'utara', 'kab', 'langkat', 'kec', 'babalan', 'terimakasih', '']</t>
  </si>
  <si>
    <t>['telkomsel', 'bangkrut', 'kaya', 'dlu', 'lgi', 'beli', 'paket', 'mahal', 'pelayanan', 'knp', 'telkomsel', 'jam', 'mlm', 'jam', 'malem', 'jaringan', 'ancur', 'trus', 'bangkrut', 'salam', 'bogor', '']</t>
  </si>
  <si>
    <t>['provider', 'plat', 'merah', 'telkomsel', 'kian', 'menjaga', 'pelanggan', 'setianya', 'struktur', 'organisasi', 'telkomsel', 'bagus', 'referensi', 'instansi', 'kontraproduktif', 'layanan', 'konteks', 'kekinian', 'king', 'lip', 'service', 'telkomsel', 'keluhan', 'konsumen', 'jadikan', 'pengingat', 'pembenahan', 'layanan', 'publik', 'sikap', 'mohon', 'maaf', 'ketidaknyamanan', 'sekian', 'terima', 'kasih', 'salam', '']</t>
  </si>
  <si>
    <t>['', 'telkomsel', 'gimna', 'nyesel', 'gua', 'upgrade', 'kirain', 'prabayar', 'bayar', 'blok', 'gua', 'bego', 'bego', 'begoun', 'manis', 'banget', 'ngomong']</t>
  </si>
  <si>
    <t>['aplikasinya', 'bgs', 'enak', 'transaksi', 'pembelian', 'paket', 'data', 'udh', 'terhubung', 'aplikasi', 'ambil', 'pulsa', 'paket', 'data', 'hbs', '']</t>
  </si>
  <si>
    <t>['aplikasi', 'buruk', 'isi', 'pulsa', 'kesedot', 'pakai', 'data', 'kartu', 'gini', 'merugikan', 'pelanggan', 'jaringan', 'kadang', 'hilang', '']</t>
  </si>
  <si>
    <t>['terimakasih', 'telkomsel', 'pakai', 'telkomsel', 'jamannya', 'sms', 'telpon', 'android', 'setia', 'telkomsel', 'geram', 'sinyal', 'jelek', 'udah', 'paket', 'mahal', 'sinyal', 'menentu', 'perbaikan', 'email', 'komen', 'aplikasi', 'tnya', 'pengguna', 'telkomsel', 'barangkali', 'error', 'alhasil', 'mengeluh', 'sya', 'putuskan', 'ganti', '']</t>
  </si>
  <si>
    <t>['tolong', 'diperbaiki', 'jaringannya', 'bos', 'mikir', 'main', 'game', 'nyaman', 'ngelegnya', 'main', 'ngeleg', 'langsung', 'macet', 'kali', 'ronde', 'jancokkkk', '']</t>
  </si>
  <si>
    <t>['udah', 'malas', 'telkomsel', 'paket', 'data', 'jaringan', 'jaringan', 'telkomsel', 'hancur', 'ping', 'trus', 'hilang', 'habis', 'harga', 'sring', 'sesuai', 'kualitas', 'tolong', 'karyawan', 'telkomsel', 'makan', 'gaji', 'buta', '']</t>
  </si>
  <si>
    <t>['jaringan', 'telkomsel', 'enaknya', 'sinyal', 'penuh', 'game', 'lag', 'ngebug', 'browsing', 'loading', 'mulu', 'youtube', 'kadang', 'muter', 'buka', 'website', 'kadang', 'internet', 'positif', 'bangke', 'daftar', 'pengguna', 'telkomsel', 'kecewa', 'tolonglah', 'perbaiki', 'tolong', 'harga', 'paket', 'internet', 'permurah', 'mahal', 'mayoritas', 'penduduk', 'buruh', 'gaji', 'kebutuhan', 'tolong', 'perbaiki', '']</t>
  </si>
  <si>
    <t>['maaf', 'developer', 'telkomsel', 'kartu', 'tenggang', 'mengaktifkan', 'kartu', 'udah', 'hangus', 'udah', 'minggu', 'tenggang', 'gimana', 'aktifkan', '']</t>
  </si>
  <si>
    <t>['telkomsel', 'pelit', 'sedunia', 'reward', 'pengguna', 'langganan', 'mahal', 'mahal', 'lemot', 'suka', 'hilang', 'sinyalnya', 'pusing', 'tuhhh', 'telkomsellllll', 'tolonglah', 'murah', 'paket', 'internetnya', 'knpa', 'mahal', 'dulunya', 'murah', 'meriah', 'skrg', 'pelit', 'banget', '']</t>
  </si>
  <si>
    <t>['aplikasinya', 'emang', 'make', 'smua', 'paham', 'bahasa', 'inggris', 'indonesia', 'bahasa', 'indonesia', 'ngerti', 'bahasa', 'inggris', 'tolonglah', '']</t>
  </si>
  <si>
    <t>['telkomsel', 'emosi', 'mentang', 'paket', 'telpon', 'susah', 'banget', 'nyambung', 'nelpon', 'orang', 'giliran', 'nelpon', 'operator', 'cepet', 'banget', 'nyambung', 'bts', 'jarak', 'rumah', 'sinyal', 'susahnya', 'ampun', 'perbaiki', 'layanan', 'woyyyy']</t>
  </si>
  <si>
    <t>['dear', 'apk', 'telkomsel', 'pulsa', 'kepotong', 'kak', 'beli', 'kuoata', 'kuota', 'ndak', 'masuk', 'trus', 'pulsa', 'hilang', 'udah', 'ngisi', 'hilang', 'ngisi', 'hilang', 'tinggal', 'kak', 'udah', 'ngeluarin', 'uang', 'kak', 'kadang', 'cuman', 'btuh', 'pulsa', 'solusinya', 'kak']</t>
  </si>
  <si>
    <t>['kartu', 'mahal', 'jaringan', 'maksimal', 'zoom', 'putus', 'gara', 'gara', 'koneksi', 'stabil', 'kuota', 'bagus', 'jaringannya', '']</t>
  </si>
  <si>
    <t>['dear', 'telkomsel', 'suka', 'pakai', 'produk', 'telkomsel', 'jangkauan', 'luas', 'harga', 'paket', 'datanya', 'murah', 'sayangnya', 'isi', 'pulsa', 'manual', 'telkomsel', 'memotong', 'pulsa', 'konfirmasi', 'pasang', 'paket', 'data', 'pulsa', 'mencukupi', '']</t>
  </si>
  <si>
    <t>['adakah', 'form', 'khusus', 'aktifasi', 'langganan', 'kartu', 'sim', 'transaksi', 'pemotongan', 'pulsa', 'adakah', 'form', 'fitur', 'khusus', 'unreg', 'berhenti', 'berlangganan', 'layanan', 'aplikasi', 'telkomsel', 'pulsa', 'terpotong', 'layanan', 'layanan', 'klikfilem', 'karna', 'memanfaatkan', 'layanan', 'mohon', 'masukan', 'pertimbangan', 'pengembangan', 'konsumen', 'pulsanya', 'terpotong', 'layanan', 'rinci', '']</t>
  </si>
  <si>
    <t>['install', 'week', 'masuk', 'aplikasi', 'special', 'moga', 'kali', 'masuk', 'aplikasi', 'super', 'sibuk', 'daily', 'check', 'tipu', 'call', 'bantuan', 'membantu', 'kesini', 'canggih', 'gih', 'telkomsel', 'tolong', 'admin']</t>
  </si>
  <si>
    <t>['sehari', 'makai', 'telkomsel', 'udh', 'kecewa', 'beli', 'pulsa', 'pakai', 'udh', 'ilang', 'pdhl', 'pulsa', 'membeli', 'paket', 'internet', 'belajar', 'online', 'beli', 'pulsanya', 'udh', 'hilang', 'konternya', 'udh', 'kirim', 'bukti', 'kodenya', 'pas', 'cek', 'pulsanya', 'terpaksa', 'alpha', 'pulsa', 'rb', 'hilang', 'mohon', 'perhitungkan', 'pengguna', 'pindah', 'operator', 'udh', 'pindah', 'axis']</t>
  </si>
  <si>
    <t>['jaman', 'corona', 'paket', 'internet', 'tsel', 'pda', 'kaya', 'berlomba', 'lomba', 'promo', 'pdhl', 'udh', 'thn', 'salahkah', 'setia', 'tsel', '']</t>
  </si>
  <si>
    <t>['telekomunikasi', 'flat', 'merah', 'untung', 'doang', 'kualitas', 'zonk', 'paket', 'mahal', 'sinyal', 'kyak', 'kont', 'maen', 'game', 'sma', 'download', 'kyak', 'bekicot', 'kerja', 'ngapain', 'bos', 'makan', 'gaji', 'buta', 'klian', '']</t>
  </si>
  <si>
    <t>['sinyal', 'telkomsel', 'buruk', 'banget', 'kota', 'sinyal', 'hilang', 'berubah', 'kecewa', 'banget', 'pakai', 'telkomsel']</t>
  </si>
  <si>
    <t>['buruk', 'sayank', 'kmaren', 'pket', 'combo', 'unlimited', 'bner', 'banget', 'jaringan', 'bagus', 'pke', 'combo', 'unlimited', 'tpi', 'unlimited', 'kasih', 'gb', 'itupun', 'pke', 'kuota', 'utama', 'habis', 'jaringan', 'astagfirullah', 'banget', 'edge']</t>
  </si>
  <si>
    <t>['', 'unistal', 'paket', 'multimedia', 'buka', 'bego', 'namanya', 'ketawa', 'kesdihan', 'dampak', 'kolorna', 'klau', 'nomer', 'ngehubung', 'aplikaai', 'patahin', 'kartu', 'telkoset', 'istri', 'telkoset', 'mah', 'udah', 'kartu', 'paket', 'gb', 'rb', 'gunanya', 'paket', 'multimedia', 'dodol', '']</t>
  </si>
  <si>
    <t>['harga', 'paket', 'data', 'kartu', 'sya', 'mahal', 'pelanggan', 'beda', 'teman', 'pelanggan', 'dapet', 'kuota', 'murahnya', 'adil', '']</t>
  </si>
  <si>
    <t>['', 'telkomsel', 'kuota', 'mahal', 'ter', 'kotanya', 'pembaginya', 'mengunakan', 'alasaan', 'covid', 'taiii', '']</t>
  </si>
  <si>
    <t>['seneng', 'mamakai', 'kartu', 'telkomsel', 'sejal', 'mesti', 'udh', 'rusak', 'kartu', 'perbaiki', 'nomornya', 'kantor', 'grapari', 'terdekat', 'hadiah', 'paket', 'promo', 'telkomsel', 'terimakasih', 'telkomsel', 'nasabah', 'kepelosok', 'nusantara', '']</t>
  </si>
  <si>
    <t>['jelek', 'aplikasi', 'paketin', 'susah', 'ampun', 'pulsa', 'kesedot', 'data', 'update', 'enakan', 'fitur']</t>
  </si>
  <si>
    <t>['mohon', 'maaf', 'admin', 'ubah', 'nilai', 'kepuasannya', 'bintang', 'beli', 'kuota', 'percaya', 'sinyal', 'telkomsel', 'terbaik', 'ketiga', 'pakai', 'telkomsel', 'pengguna', 'setia', 'brand', 'perlahan', 'kepercayaan', 'nilai', 'kepuasan', 'kualitas', 'sinyal', 'telkomsel', 'memuaskan', 'tolong', 'sinyalnya', 'diperbaiki', 'admin', 'terima', 'kasih', '']</t>
  </si>
  <si>
    <t>['tolong', 'diperbaiki', 'jaringan', 'pulsa', 'aplikasi', 'daftarin', 'paket', 'pulsanya', 'ambil', 'mulu', 'aplikasi', 'bener', 'pulsa', 'ilang', 'paketan', 'gmn', 'yaaa', 'wooooy']</t>
  </si>
  <si>
    <t>['aplikasi', 'ganti', 'logo', 'selebihnya', 'uninstal', 'aplikasi', 'menyedot', 'kuota', 'kuota', 'cepet', 'abis', 'ampe', 'ngebuka', 'aplikasinyapun', 'berat', 'uninstal', 'secepatnya', 'nyedot', 'kuota', '']</t>
  </si>
  <si>
    <t>['kecewa', 'pelayanan', 'telkomsel', 'paket', 'lapor', 'veronika', 'pangil', 'costumer', 'servis', 'ujung', 'ujungnya', 'balas', 'bot', 'suruh', 'media', 'sosial', 'trus', 'suruh', '']</t>
  </si>
  <si>
    <t>['update', 'karuan', 'apk', 'buka', 'tunggu', 'berjam', 'cuman', 'logo', 'muncul', 'mending', 'logo', 'terbaik', 'jaringan', 'ngilang', 'terbesar', 'harga', 'paketnya', 'mahal', 'banget', 'ganti', 'kartu', 'ribet', 'ngubungin', 'coba', 'deh', 'balikin', 'kaya', 'paketnya', 'murahin', 'ngilang', 'pelanggan']</t>
  </si>
  <si>
    <t>['momennya', 'terdengar', 'mahal', 'mudah', 'mudahan', 'terjangkau', 'kemampuan', 'khalayak', 'membeli', 'konten', 'konten', 'tersedia', 'melancarkan', 'akses', 'ponsel', 'makai', 'top', 'quota', 'pulsa', 'berkesinambungan', 'ketengan', 'selebihnya', 'bersumber', 'rekanan', 'hadiah', '']</t>
  </si>
  <si>
    <t>['telkomsel', 'teknisi', 'mengeluh', 'jaringan', 'stabil', 'turun', 'pengguna', 'kak', 'pengguna', 'telkomsel', 'memperbaiki', 'kwalitas', 'jaringan', 'buruk', 'kah', '']</t>
  </si>
  <si>
    <t>['sinyal', 'stabil', 'bwt', 'streaming', 'game', 'langsung', 'turun', 'doang', 'beli', 'kuota', 'abis', 'kesedeot', 'kuota', 'jdi', 'kepake', 'kuota', 'sya', 'hangus', 'gara', 'kuota', 'multimedia', 'udah', 'email', 'respon', 'respon', 'berani', 'sbenernya']</t>
  </si>
  <si>
    <t>['hai', 'bingung', 'aplikasinya', 'crash', 'google', 'sistem', 'androidnya', 'ngecrash']</t>
  </si>
  <si>
    <t>['kuota', 'internet', 'pemberitahuan', 'akses', 'internet', 'pulsa', 'maksudnya', 'lumayan', 'kali', 'ribu', 'hilang', 'sekejap']</t>
  </si>
  <si>
    <t>['sekelas', 'telkomsel', 'bohong', 'penipuan', 'quota', 'hadiah', 'check', 'dipakai', 'menyedot', 'pulsa', 'niat', 'kasih', 'hadiah', 'ngga', 'kuisioner', 'berhubung', 'pakai', 'telkomsel', 'buruk', 'menyedot', 'pulsa', 'habis', 'konfirmasi']</t>
  </si>
  <si>
    <t>['bagus', 'kualitas', 'jaringan', 'relatif', 'stabil', 'telkomsel', 'pelayanan', 'memuaskan', 'jaringan', 'relatif', 'stabil', 'ulasan', 'terbaru', 'tanggal', 'juli', '']</t>
  </si>
  <si>
    <t>['pulsa', 'habis', 'ngk', 'tersisa', 'malam', 'ngk', 'dipake', 'nelpon', 'sms', 'paket', 'data', 'mati', 'bangun', 'daftar', 'paket', 'sisa', 'hub', 'call', 'center', 'ngk', 'nyambung', 'email', 'ngk', 'dibales', '']</t>
  </si>
  <si>
    <t>['telkomsel', 'jaringan', 'internetnya', 'nganter', 'orderan', 'food', 'smp', 'lihat', 'maps', 'muncul', 'persepsi', 'customer', 'buruk', 'bgmn', 'dilapangan', 'korban', 'tolonglah', 'diperbaiki', 'beli', 'kuota', 'pakai', 'duit', 'gratis']</t>
  </si>
  <si>
    <t>['perbaharui', 'buruk', 'kualitasnya', 'isi', 'pulsa', 'data', 'dihidupkan', 'pulsa', 'langsung', 'terpotong', 'posisinya', 'membeli', 'data', 'app', 'tepkomsel', 'rugi', 'keuangan', 'app', 'kuota', 'pulsa', 'dipotong', 'data', 'dihidupkan', 'berbeda', 'app', 'telkomsel', 'merugikan', 'pengguna', 'tolong', 'perbaiki', 'pelayanan', 'menyedot', 'pulsa', 'diambil']</t>
  </si>
  <si>
    <t>['kasih', 'bintang', 'deh', 'karna', 'puas', 'telkomsel', 'lelet', 'jaringan', 'internetnya', 'masukannya', 'telkom', 'isi', 'paket', 'internet', 'bonus', 'sms', 'bonus', 'tlfon', 'gpp', 'karna', 'zaman', 'jarang', 'banget', 'sms', 'gitu', 'bonusnya', 'alihkan', 'gitu', 'tks']</t>
  </si>
  <si>
    <t>['telkomsel', 'maling', 'pulsa', 'pulsa', 'ilang', 'kepotong', 'kemana', 'pulsa', 'gua', 'doang', 'temen', 'gua', 'colong', 'dasar', 'maling', 'pulsa', 'ilang', '']</t>
  </si>
  <si>
    <t>['kalinya', 'kecewa', 'layannan', 'provider', 'telkomsel', 'kecewa', 'beli', 'kuota', 'internet', 'bulanan', 'gb', 'kuota', 'utama', 'gb', 'kuotamaxstrem', 'striming', 'terpotong', 'kuota', 'utama', 'cek', 'gb', 'habis', 'terbuang', 'kuota', 'maxstrem', 'terpotong', 'alih', 'alih', 'mencari', 'hemat', 'terbuang', 'sia', 'sia', 'kecewa', 'consultasi', 'percumah', 'solusi', 'nyaman', 'inijaringan', 'terkuat', 'terhemat', 'ternyaman', '']</t>
  </si>
  <si>
    <t>['sembarangan', 'potong', 'pulsa', 'pilih', 'paketan', 'langsung', 'habis', 'pulsa', 'riwayat', 'mutasi', 'pembelian', 'daftar', 'dhubungin', 'via', 'tweet', 'pasif', 'pembuktian', 'permintaan', 'pembelian', 'paket', '']</t>
  </si>
  <si>
    <t>['komen', 'bintangnya', 'bintang', 'trus', 'komennya', 'muji', 'kaya', 'dicuekin', 'mesin', 'suruh', 'komplain', 'media', 'mesin', 'hahahaaaa', 'trus', 'nie', 'aplikasi', 'males', 'fungsiin', 'layanan', 'nie', 'perusahaan', 'spt', 'blm', 'telkomsel', 'sms', 'telp', 'sanggupnya', 'perusahaan', 'segitu', 'sabar', 'bro', 'sista', 'jng', 'berharap', 'liat', 'mrk', 'berubah', 'silahkan', '']</t>
  </si>
  <si>
    <t>['kuota', 'internet', 'telkomsel', 'dibatasi', 'unlimited', 'dibatasi', 'kuota', 'unlimited', 'terbatas', 'kuota', 'dibatasi', 'beli', 'paket', '']</t>
  </si>
  <si>
    <t>['telkomsel', 'knp', 'data', 'bocor', 'hubungi', 'orang', 'kenal', 'nama', 'mengganggu', 'telkomsel', 'percaya', '']</t>
  </si>
  <si>
    <t>['telkomsel', 'paketnya', 'mahal', 'mahal', 'tolong', 'telkomsel', 'menurunkan', 'harga', 'paket', 'pandemi', 'kemurahan', 'telkomsel', 'pembelian', 'paket', '']</t>
  </si>
  <si>
    <t>['beli', 'paket', 'promo', 'paket', 'ceria', 'gabisa', 'dipaketin', 'bela', 'bela', 'beli', 'pulsa', 'rb', 'paket', 'rb', 'gb', 'kaga', 'diaktifin', 'anehh', 'telkomsel', 'sehat', 'tidur', 'kerjanya', 'paket', 'gua', 'gb', 'jatuh', 'tempo']</t>
  </si>
  <si>
    <t>['membantu', 'pas', 'cari', 'paket', 'telpon', 'paket', 'data', 'murah', 'aplikasi', 'cek', 'paket', 'harian', 'mingguan', 'bulanan']</t>
  </si>
  <si>
    <t>['woi', 'pulsa', 'kemana', 'isi', 'semalem', 'rb', 'tinggal', 'rb', 'dipake', 'nggak', 'hilang', 'pulsa', 'main', 'sedot', 'cari', 'duit', 'gampang', 'beli', 'paket', '']</t>
  </si>
  <si>
    <t>['hadu', 'komentar', 'dikasih', 'dikasih', 'kasih', 'bintang', 'udah', 'dirugikan', 'gimana', 'telkomsel', 'ngasih', 'keutungan', 'meberi', 'meraka', 'keuntungan', 'jatuhnya', 'kalu', 'kualitas', 'keuntungan', 'contoh', 'kasih', 'bintang', 'penuh', 'senang', 'semangat', 'naikan', 'kualitas', 'kecewa', 'beta', 'koutanya', 'penuh', '']</t>
  </si>
  <si>
    <t>['biadab', 'telkomsel', 'yok', 'pakai', 'telkomsel', 'biadab', 'merugi', 'segi', 'manapun', 'merugi', 'jaringan', 'jaringan', 'telkomsel', 'biadab', 'daerah', 'udh', 'pindah', 'kartu', 'keluh', 'jaringan', 'udh', 'suka', 'hilang', 'niat', 'memperbaiki', 'merugi', 'pindah', 'lbh', 'pilihan', 'udh', 'teman', 'pindh', 'kartu', '']</t>
  </si>
  <si>
    <t>['memudahkan', 'pembelian', 'paket', 'telpon', 'internet', 'saran', 'berganti', 'nomor', 'telepon', 'diharapkan', 'dipermudah', 'verifikasi', 'sms', 'kadang', 'nomor', 'pembelian', 'paket', 'telpon', 'internet', 'terima', 'kasih', '']</t>
  </si>
  <si>
    <t>['beli', 'pulsa', 'pke', 'aplikasi', 'telkomsel', 'pke', 'shoopepay', 'masuk', 'pulsanya', 'transaksi', 'sukses', 'nomer', 'infut', 'bner', 'aduh', 'ilang', 'duitt', 'aplikasi', 'nipu', 'gini']</t>
  </si>
  <si>
    <t>['beli', 'paket', 'data', 'promo', 'ceria', 'aktif', 'seharga', 'via', 'telkomsel', 'senin', 'juli', 'jam', 'wib', 'herannya', 'paket', 'data', 'pulsa', 'terkuras', 'rbuan', 'hubungi', 'call', 'center', 'via', 'respon', 'menjanjikan', 'mengganti', 'pulsa', 'terpotong', 'menerima', 'penggantian', 'sesuai', 'janjikan', 'maaf', 'uang', 'rb', 'kometmen', '']</t>
  </si>
  <si>
    <t>['ampun', 'bobrok', 'gimana', 'versi', 'terbaru', 'tampil', 'pembayaran', 'via', 'langsung', 'auto', 'tengkyu', 'telkomsel', 'jaringan', 'perbaiki', 'jangkauan', 'daerah', 'perluas', 'trimakasih', 'telkomsel']</t>
  </si>
  <si>
    <t>['astaga', 'mahal', 'yak', 'kualitas', 'beda', 'kubuat', 'kerja', 'jaringannya', 'menciut', 'marah', 'tersenyum', '']</t>
  </si>
  <si>
    <t>['tlong', 'sdikit', 'pertimbangkan', 'harga', 'dri', 'paket', 'data', 'lbih', 'leluasa', 'memilih', 'fitur', 'paket', 'data', 'efek', 'pandemic', 'smua', 'serba', 'pertimbangkan', 'dri', 'segi', 'pengeluaran', 'mohon', 'perimbangkan', 'perkecil', 'lgi', 'harga', 'paket', 'internet', 'smua', 'sisstem', 'trlkomsel', 'bagus', 'berjalan', 'trimksih', 'good', 'job', 'telkomsel', '']</t>
  </si>
  <si>
    <t>['kecewa', 'telkomsel', 'jenis', 'kuota', 'ditawarkan', 'sesuai', 'ditawarkan', 'sosmed', 'veronica', 'dkk', 'gua', 'udah', 'lnstagram', 'dibales', 'veronica', 'nyambung', 'veronica', 'udh', 'otomatis', 'berkomunikasi', 'trus', 'gua', 'beli', 'paket', 'khusus', 'games', 'dipakai', 'dipakai', 'gua', 'beli', 'paket', 'khusus', 'telkomsel', 'gb', 'udah', 'terbeli', '']</t>
  </si>
  <si>
    <t>['kali', 'pulsa', 'berkurang', 'terakir', 'pemberitahuan', 'pulsa', 'berkurang', 'akses', 'internet', 'paket', 'internet', 'sinyal', 'hilang']</t>
  </si>
  <si>
    <t>['khusus', 'abodemen', 'gila', 'tagian', 'tagian', 'gimana', 'kartu', 'jarangdi', 'nyesel', 'beralih', 'mending', 'kartu', 'nominalnya', 'nyari', 'tung', 'gitu', 'kecewwa', 'mending', 'gua', 'matiin']</t>
  </si>
  <si>
    <t>['harga', 'paket', 'internet', 'kulitas', 'jaringan', 'gitu', 'gitu', 'bagusin', 'jaringan', 'bagus', 'gpp', 'mahal', 'paket', 'jaringan', 'gitu', 'gitu', 'aje', 'harga', 'please', 'deh', '']</t>
  </si>
  <si>
    <t>['beli', 'ngelag', 'beli', 'kuota', 'kerja', 'emosi', 'marah', 'connecting', 'error', 'udh', 'terdekat', 'tpi', 'dibilang', 'kesalahan', 'memadai', 'sinyal', 'sesuai', 'harga', 'bayar']</t>
  </si>
  <si>
    <t>['daily', 'check', 'claim', 'poin', 'telkomsel', 'rugi', 'maunya', 'untung', '']</t>
  </si>
  <si>
    <t>['combo', 'sakti', 'tinggal', 'pilihan', 'paket', 'youtub', 'game', 'kasih', 'habis', 'paket', 'internet', 'terpake', 'terima', 'kasih', 'insyaallah', 'pindah', 'paket', 'habis']</t>
  </si>
  <si>
    <t>['keren', 'mytelkomsel', 'maju', 'terdepan', 'sayang', 'pilihan', 'paket', 'internet', 'lengkap', 'bonus', 'mytelkomsel', 'pilihan', 'internet', 'rada', 'kesulitan', 'memilih', 'harganya', 'rada', 'terjangkau', 'kadang', 'jaringan', 'rada', 'macet', 'normal', 'mbps', 'maaf', 'im', 'internet', 'pilihan', 'internet', 'mudah', 'memilihnya', 'ditambah', 'bonus', 'im', 'dikenal', 'murah', '']</t>
  </si>
  <si>
    <t>['', 'buruk', 'tunggu', 'antrian', 'menit', 'tinggalkan', 'bagussssssss', 'paket', 'otomatis', 'aktif', 'alasannya', 'pesan', 'kartu', 'namanya', 'pemaksaan', 'paket', 'sisa', 'gb', 'bilangnya', 'habis', 'potong', 'pulsa', 'langsung', 'namanya', 'pemerasan', '']</t>
  </si>
  <si>
    <t>['jaringan', 'ngga', 'pilih', 'pilih', 'masak', 'iya', 'tower', 'jaringan', 'lemot', 'arah', 'jaringan', 'bagus', 'udah', 'tukar', 'poin', 'server', 'sibuk', 'bohongnya']</t>
  </si>
  <si>
    <t>['kasih', 'bintang', 'terpaksa', 'kasih', 'bintang', 'iya', 'beli', 'pulsa', 'mytelkomsel', 'ubdate', 'beli', 'wallet', 'kirim', 'mandiri', 'lawak', 'badut', 'memeras', 'rakyat', 'udah', 'harga', 'paket', 'mahal', 'isi', 'pulsa', 'dipersulit', 'bank', 'mikirin', 'pakai', 'wallet', 'beli', 'pulsa', 'mandiri', 'udah', 'potong', 'pajak', 'mending', 'pindah', 'axis', 'gua', 'anjirr', 'efek', 'corona', 'mauu', 'cari', 'untung', 'bsar', 'jugaa', 'najisss', 'bagett']</t>
  </si>
  <si>
    <t>['jaringan', 'telkomsel', 'banget', 'kaya', 'dlu', 'sayng', 'kartu', 'mah', 'mending', 'tukar', 'kartu', 'liat', 'gini', 'dlm', 'minggu', 'mending', 'buang', 'nmnya', 'kartu', 'telkomsel', 'kartu', 'jaringan', 'lbh', '']</t>
  </si>
  <si>
    <t>['aplikasi', 'praktis', 'membantu', 'sayang', 'sinyalnya', 'ngadat', 'putus', 'putus', 'paketan', 'mahal', 'minimal', 'gb', 'sinyalnya', 'ganti', 'parah', '']</t>
  </si>
  <si>
    <t>['aplikasi', 'keluhkan', 'paket', 'combo', 'sakti', 'unlimited', 'pikir', 'kecurangan', 'isi', 'kuota', 'kuota', 'multimedia', 'berkurang', 'sisa', 'kuota', 'multimedia', 'terpakai', 'first', 'first', 'out', 'fair', 'kecewa', 'trhdp', 'telkomsel']</t>
  </si>
  <si>
    <t>['mode', 'pembayaran', 'dana', 'ovo', 'gopay', 'dll', 'muncul', 'aplikasi', 'berjalan', 'latar', 'close', 'sepenuhnya', 'memakan', 'data', 'pengaruh', 'mnonton', 'main', 'game', 'karna', 'data', 'trbagih', 'trganggu', '']</t>
  </si>
  <si>
    <t>['pembayaran', 'shopee', 'pay', 'masak', 'beli', 'kuota', 'beli', 'pulsa', 'ribet', 'tolong', '']</t>
  </si>
  <si>
    <t>['suka', 'combo', 'sakti', 'kuota', 'sesuai', 'pakai', 'skrg', 'kuota', 'utama', 'sedot', 'duluan', 'pdahal', 'hrus', 'kuota', 'medsos', 'potong', 'giliran', 'kuota', 'utama', 'abis', 'kuota', 'medsos', 'bnyak', 'buka', 'jdi', 'lemot']</t>
  </si>
  <si>
    <t>['kecewa', 'beli', 'paket', 'extra', 'unlimited', 'berlaku', 'tertera', 'diskripsi', 'paketnya', 'kenyataannya', 'pembelian', 'gimana', 'bener', 'donk', 'masuknya', 'pesan', 'paket', 'berlaku', 'diskripsinya', 'lepas', 'buka', 'ngilang', 'asli', 'kesel', 'gua', '']</t>
  </si>
  <si>
    <t>['', 'thn', 'telkomsel', 'cek', 'corona', 'jaringan', 'langka', 'jaringan', 'kena', 'corona', 'bos', 'harga', 'mahal', 'realistis', 'harga', 'mahal', 'jaringan', 'murahan', 'kaya', 'gratisan', 'beli', 'duit', 'kuli', 'siang', 'malem', 'bos', 'sampe', 'bos', 'bos', 'telkomsel', 'buta', 'beneran', '']</t>
  </si>
  <si>
    <t>['mohon', 'perbaiki', 'kualitas', 'signal', 'full', 'bar', 'baris', 'internetan', 'lemotnya', 'ampun', 'pindah', 'signal', 'internetnya', 'lemot', 'tinggal', 'kota', 'tangerang', 'pelosok', 'towernya', '']</t>
  </si>
  <si>
    <t>['jaringan', 'down', 'urusan', 'susah', 'karna', 'jaringan', 'internet', 'buruk', 'paket', 'internet', 'mahal', 'kualitas', 'rendahan', 'besok', 'langsung', 'ganti', 'telkomsel', 'provider', 'receh', '']</t>
  </si>
  <si>
    <t>['update', 'beli', 'pulsa', 'paketan', 'error', 'metode', 'pembayaran', 'mohon', 'diperbaiki', 'terima', 'kasih', '']</t>
  </si>
  <si>
    <t>['rating', 'provider', 'udah', 'paket', 'mahal', 'jaringan', 'lemot', 'pulak', 'beli', 'duit', 'min', 'daun', 'jual', 'paket', 'mahal', 'jaringan', 'lemot', 'membohongi', 'pelanggan', 'dasar', 'provider', 'sampah', '']</t>
  </si>
  <si>
    <t>['jaringan', 'buruk', 'kuota', 'mahal', 'kota', 'stabil', 'kecewa', 'jaringan', 'busuuuuuuk', '']</t>
  </si>
  <si>
    <t>['kuota', 'telkomsel', 'kesini', 'murah', 'sinyal', 'terbaik', 'dikampung', 'pedalaman', 'kaya', 'kaya', 'operator', 'sebelah', 'mati', 'susah', 'sinyal', 'mati', 'dikit', 'sinyal', 'langsung', 'darurat', 'wkwkwk', 'dbest', 'telkomsel']</t>
  </si>
  <si>
    <t>['udah', 'lengkap', 'pelajari', 'mendalam', 'kesulitan', 'masuk', 'applikasi', 'udah', 'dikasih', 'bintang', '']</t>
  </si>
  <si>
    <t>['buffering', 'ngelak', 'sesuai', 'harga', 'jual', 'kalah', 'kompetitor', 'rb', 'perminggu', 'sinyal', 'jossss', 'perasaan', 'kabupaten', 'desa', 'desa', 'jelek', 'kota', 'rekomendasi', 'tower', 'border', 'sinyal', 'disamakan']</t>
  </si>
  <si>
    <t>['telkomsel', 'mkin', 'update', 'mkin', 'ribet', 'sumpah', 'masuk', 'app', 'hrus', 'login', 'ulang', 'mulu', 'mkek', 'link', 'dlu', 'msuk', 'kode', 'verifikasi', 'mlah', 'cman', 'detik', 'apalah', 'daya', 'kentang', 'tolong', 'perbaiki', 'kek', 'lohh', 'terllu', 'cpet', 'detik', 'mahhh']</t>
  </si>
  <si>
    <t>['sinyal', 'full', 'jaringan', 'konsisten', 'keluhan', 'ditanggapi', 'serius', 'susah', 'internet', 'buang', 'uang', 'hasil', 'maksimal', 'kota', 'desa', 'berbeda', 'susah', '']</t>
  </si>
  <si>
    <t>['tolong', 'perbaikin', 'isi', 'paket', 'combo', 'sakti', 'gb', 'promo', 'rb', 'saldo', 'rb', 'beli', 'tertulis', 'pulsa', 'tdak', 'mencukupi', 'tertulis', 'syarat', 'ketentuan', 'ppn', 'udah', 'promo', 'gue', 'bego', 'ngebegoin', 'costumer', 'allah', 'ad']</t>
  </si>
  <si>
    <t>['maaf', 'postingan', 'puas', 'berbeda', 'koneksi', 'stabil', 'puas', 'terima', 'kasih', 'admin', 'saran', 'masukannya', '']</t>
  </si>
  <si>
    <t>['sinyal', 'cacat', 'ngegame', 'leg', 'gini', 'pindah', 'provider', 'thn', 'pakai', 'telkomsel', 'masuk', 'sinyal', 'jelek', 'telkomsel', 'bagus', 'terbaik', 'provider', 'gulung', 'tikar', 'bangkrut', 'kalah', 'smartfren', '']</t>
  </si>
  <si>
    <t>['apknya', 'bagus', 'banget', 'ipone', 'terima', 'kasih', 'mytelkomsel', 'sukses', 'percaya', 'dicoba', 'moga', 'beruntung', 'cepetan', 'kelewatan', 'undang', 'temen', 'temen', 'dapatkan', 'poin', 'diredem', 'deh', 'ayo', 'buruan', '']</t>
  </si>
  <si>
    <t>['hello', 'telkomsel', 'sibuk', 'memikirkan', 'gimana', 'indonesia', 'jaringan', 'lupa', 'memikirkan', 'jaringan', 'pas', 'mati', 'listrik', '']</t>
  </si>
  <si>
    <t>['error', 'downloud', 'telkomsel', 'log', 'again', 'parah', 'uffft', 'trs', 'gimana', 'login', 'susah', 'nyambung', 'telkomsel', '']</t>
  </si>
  <si>
    <t>['suka', 'heran', 'tlkomsel', 'paket', 'darurat', 'masuk', 'sms', 'blum', 'mrngembalikan', 'pulsa', 'paket', 'darurat', 'minjam', 'paket', 'darurat', 'kuota', 'harganya', 'yng', 'ulnimitid', 'skrng', 'sebulan', 'ulnimitid', 'batasi', 'gb', 'sepuasnya', 'sebulan', '']</t>
  </si>
  <si>
    <t>['telkomsel', 'kartu', 'setan', 'paket', 'data', 'abis', 'isi', 'pulsa', 'nga', 'sengaja', 'aktif', 'paketdatanya', 'ilang', 'pulsanya', 'kaga', 'langsung', 'tarik', 'data', 'kaya', 'kartu', 'kartu', 'gini', 'makan', 'duit', 'haram', 'swasta', 'doang', 'bener', 'bumn', 'setan', 'makan', 'duit', 'haram', '']</t>
  </si>
  <si>
    <t>['telkomsel', 'lemot', 'sinyalnya', 'perusahan', 'bepelat', 'merah', 'sinyalnya', 'kencang', 'jaringan', 'kuotanya', 'beli', 'harga', 'sebulan', 'udah']</t>
  </si>
  <si>
    <t>['jaringan', 'buruk', 'harga', 'mahal', 'kualitas', 'buruk', 'main', 'game', 'online', 'jaringan', 'putus', 'putus', 'mulu', 'udh', 'cek', 'game', 'emank', 'dasar', 'telkomsel', 'gembel', 'jaringan', 'jam', 'pagi', 'smpe', 'jam', 'jaringan', 'jelek', 'bnr', 'stabil', 'jam', 'smpe', 'orng', 'pngn', 'begadang', 'gilaa', 'telkomsel', 'ganti', 'provider', 'laah']</t>
  </si>
  <si>
    <t>['sibuk', 'jaringannya', 'isi', 'vocher', 'ajah', 'ampe', 'berkali', 'kali', 'suruh', 'nunggu', 'menit', 'udah', 'menit', 'dicoba', 'suruh', 'nunggu', 'menit', 'nomer', 'terdaptar', 'dimana', 'banking', 'udah', 'gua', 'buang', 'kartu', '']</t>
  </si>
  <si>
    <t>['jaringan', 'burukkkk', 'harga', 'paket', 'data', 'tingkatin', 'service', 'buruk', 'sinyal', 'ilang', 'jaringan', 'lemot', 'tlpon', 'jawabanya', 'maintanance', 'mantanance', 'buruk', '']</t>
  </si>
  <si>
    <t>['susah', 'registrasi', 'paket', 'special', 'konfirmasi', 'paket', 'berhasil', 'gagal', 'pulsa', 'respon', 'mohon', 'ditingkatkan', 'perihal', 'respon', 'balasan', 'registrasi', 'paket', 'terimakasih']</t>
  </si>
  <si>
    <t>['kecewa', 'layanan', 'jaringan', 'telkomsel', 'daerah', 'sinjai', 'barat', 'mestinya', 'harga', 'paket', 'lumayan', 'mahal', 'konsumen', 'mnikmati', 'layanannya', 'lancar', 'sdah', 'jaringan', 'mati', 'klw', 'aktif', 'super', 'lalot', 'kalah', 'provider', 'tolong', 'keluhan', 'ditindak', 'lanjuti', '']</t>
  </si>
  <si>
    <t>['tolong', 'telkomsel', 'jaringannya', 'perbagus', 'youtube', 'buffering', 'jelek', 'sinyalnya', 'sayang', 'ganti', 'kartu', 'udh', 'telkomsel', 'bertahun']</t>
  </si>
  <si>
    <t>['kuota', 'unlimited', 'cuman', 'pemanis', 'udah', 'jaringan', 'lemot', 'kuota', 'utama', 'kesedot', 'udah', 'tertera', 'kuota', 'unlimitednya', 'bagusan', 'provider', 'mah', 'gini', 'kuota', 'unlimited', 'pajangan', 'doang', 'kaga', 'kepake', 'parah', 'kesini', 'paketannya', '']</t>
  </si>
  <si>
    <t>['driver', 'gojek', 'pakai', 'telkomsel', 'enak', 'lancar', 'jaringannya', 'lemot', 'pakai', 'ngantar', 'makanan', 'maps', 'kadang', 'jalan', 'kadang', 'setelan', 'maps', 'jaringan', 'internetnya', 'lemot', 'mohon', 'telkomsel', 'benahi', '']</t>
  </si>
  <si>
    <t>['kecewa', 'kecewa', 'pulsa', 'terpotong', 'mengikuti', 'rbt', 'kecuali', 'kouta', 'memiliki', 'kouta', 'pulsa', 'terpotong', 'telkomsel', 'kaya', 'gini', '']</t>
  </si>
  <si>
    <t>['', 'sucks', 'paket', 'mahal', 'sinyal', 'jelek', 'sesuai', 'harganya', 'mohon', 'diperbaiki', 'sampe', 'pelanggan', 'kecewa', 'sampe', 'pelanggan', 'berpikiran', 'macem', 'macem', 'sampe', 'pelanggan', 'beranggapan', 'makan', 'gaji', 'buta', '']</t>
  </si>
  <si>
    <t>['jaringannya', 'jelek', 'pakek', 'banget', 'beli', 'paket', 'mahal', 'mahal', 'susah', 'masuknya', 'terlambat', 'isi', 'paket', 'pulsa', 'terpotong', 'otomatis', 'telkomsel', 'tolong', 'perbaiki', 'sistemnya']</t>
  </si>
  <si>
    <t>['sinyal', 'jelek', 'telpon', 'operator', 'maaf', 'ketidak', 'nyama', 'woi', 'operator', 'beli', 'pulsa', 'paket', 'duit', 'pakai', 'maaf']</t>
  </si>
  <si>
    <t>['buka', 'beli', 'paketan', 'telkomsel', 'lho', 'aplikasinya', 'model', 'gini', 'malulah', 'paketan', 'mahal', 'pelayanan', 'sesuai', 'berbenah', 'woy']</t>
  </si>
  <si>
    <t>['telkomsel', 'operator', 'licik', 'beli', 'paket', 'sisa', 'pulsa', 'pulsa', 'sedotnya', 'berjualan', 'jujur', 'mengambil', 'untung']</t>
  </si>
  <si>
    <t>['kali', 'kecewa', 'telkomsel', 'iya', 'udah', 'beli', 'paket', 'ketengan', 'youtube', 'minggu', 'eeeh', 'ngga', 'gunain', 'udah', 'kali', 'coba', 'mbeli', 'ttep', 'ngga', 'gunain', 'harga', 'mahal', 'mbuang', 'duit']</t>
  </si>
  <si>
    <t>['aplikasi', 'membantu', 'memudahkan', 'pengguna', 'telkomsel', 'jaringan', 'perbaiki', 'kadang', 'kuota', 'full', 'dipakai', 'bermain', 'game', 'online', 'lose', 'strike', '']</t>
  </si>
  <si>
    <t>['tolong', 'telkomsel', 'kasih', 'sms', 'notifikasi', 'berkali', 'kali', 'ganggu', 'banget', 'sumpah', '']</t>
  </si>
  <si>
    <t>['nyesel', 'download', 'apk', 'harganya', 'mahal', 'banget', 'untung', 'pakai', 'apk', 'nyesel', 'sumpah', 'doawnload', 'deh', 'pokoknya', 'nyesel', 'kayak', '']</t>
  </si>
  <si>
    <t>['user', 'kartu', 'hallo', 'jaringannya', 'mnjadi', 'prioritas', 'ganti', 'kartu', 'hallo', 'sinyal', 'buruk', 'buruk', 'tinggal', 'dkt', 'bndara', 'soeta', 'gontaganti', 'hasilnya', 'tlpon', 'solusinya', 'restart', 'restart', 'trus', 'restart', 'mengherankan', 'kartu', 'simpati', 'jringannya', 'stabil', 'tmbah', 'harga', 'paket', 'lbih', 'murah', 'pilihannya', 'kartu', 'simpati', 'mnurut', 'opini', 'pribadi', 'jaringannya', 'buruk', 'buruk', 'buruk', 'good', 'kartu', 'halo', '']</t>
  </si>
  <si>
    <t>['', 'sinyal', 'normal', 'bintang', 'normal', 'jangka', 'bintang', 'akui', 'servis', 'cepat']</t>
  </si>
  <si>
    <t>['kali', 'paket', 'udah', 'konsumen', 'nyaman', 'diilangin', 'kek', 'ekstra', 'unlimited', 'nggak', 'udah', 'nyaman', 'banget', 'pakek', 'paket', 'unlimited', 'youtube', 'skrng', 'nggak', 'semoga', 'memikirkan', 'rakyat', 'menengah', 'telkomsel', 'terima', 'kasih']</t>
  </si>
  <si>
    <t>['paket', 'internetmax', 'paket', 'unlimitedmax', 'lambat', 'koneksinya', 'kuota', 'tersisa', 'tinggal', 'kuota', 'sosmed', 'niat', 'paket', 'internet', 'stabil', 'jual', 'telkomsel', 'jualan', 'beras', 'pasar', 'blok', '']</t>
  </si>
  <si>
    <t>['kuota', 'kemarin', 'combo', 'sakti', 'harga', 'murah', 'harga', 'mahal', 'kuota', 'mahal', 'dulunya', 'murah', 'drastis', 'telkomsel', 'solusi', 'berubah', 'akun', 'pindah', 'operator', '']</t>
  </si>
  <si>
    <t>['sisa', 'saldo', 'pulsa', 'tgl', 'juli', 'isi', 'pulsa', 'tgl', 'juli', 'beli', 'paket', 'combo', 'heran', 'sisa', 'pulsa', 'pertanyaannya', 'kmana', 'pulsa', 'hilang', 'kali', 'kejadiannya', '']</t>
  </si>
  <si>
    <t>['paket', 'disney', 'apalah', 'suka', 'kebeli', 'beli', 'udah', 'nomor', 'ganti', 'kaya', 'gitu', 'rugi', 'rb', 'nomor', 'bener']</t>
  </si>
  <si>
    <t>['apk', 'sampah', 'update', 'gbsa', 'dipake', 'sinyal', 'jelek', 'posisi', 'kota', 'provider', 'bumn', 'kualitas', 'kelas', 'teri', 'kecewa', '']</t>
  </si>
  <si>
    <t>['nahh', 'gitu', 'min', 'pilihan', 'paket', 'combo', 'saktinya', 'sampe', 'buka', 'mytsel', 'jadikan', 'sayanya', 'beli', 'paket', 'combonya', 'thank', 'min', 'pertahankan', 'menu', 'pilihan', 'combo', 'saktinya', '']</t>
  </si>
  <si>
    <t>['jaringan', 'telkomsel', 'stabil', 'berasa', 'bet', 'main', 'games', 'nge', 'lag', 'parah', 'launching', 'jaringan', 'kek', 'jaringan', 'layak', 'main', 'games', 'pindah', 'provider', 'bagus', 'secepatnya', 'perbaikan', 'server']</t>
  </si>
  <si>
    <t>['ngeluh', 'paketan', 'mahal', 'pelanggan', 'setia', 'telkomsel', 'kasih', 'reward', 'pelanggan', 'setia', 'telkomsel', 'ngasih', 'promo', 'pelanggan', 'setia', 'murah', 'paket', 'operator', '']</t>
  </si>
  <si>
    <t>['buruk', 'aplikasi', 'pulsa', 'suka', 'hilang', 'hadiah', 'check', 'klaim', 'update', 'aplikasi', 'buruk', 'hadiah', 'check', 'terkonfir', 'terklaim', 'hadiah', 'terima', '']</t>
  </si>
  <si>
    <t>['mohon', 'maaf', 'paket', 'unlimited', 'batas', 'fup', 'tolong', 'kembalikan', 'unlimited', '']</t>
  </si>
  <si>
    <t>['kasih', 'bintang', 'pembelilan', 'paket', 'ceria', 'gb', 'dinonaktifkan', 'membantu', 'harinya', '']</t>
  </si>
  <si>
    <t>['beli', 'kuota', 'darurat', 'tagihan', 'darurat', 'kuota', 'abis', 'pulsa', 'masuk', 'ribu', 'ngisi', 'pulsa', 'sedot', 'telkomsel', 'pelanggan', 'telkomsel', 'kesini', 'buruk', 'layanannya', 'mohon']</t>
  </si>
  <si>
    <t>['isi', 'pulsa', 'kesedot', 'kemarin', 'cek', 'pulsa', 'ribu', 'pagi', 'dicek', 'tinggal', 'rupiah', 'beli', 'pulsa', 'mending', 'kartu', 'murah', 'meriah', 'lihat', 'kasih', 'bintang', 'keluhan', '']</t>
  </si>
  <si>
    <t>['membantu', 'cepat', 'membuka', 'info', 'paket', 'promo', 'program', 'mantap', 'deh', 'telkomsel', 'poin', 'tukar', 'poin', 'susah', 'beruntung', 'hoki', 'nasib', '']</t>
  </si>
  <si>
    <t>['telkomsel', 'paket', 'khusus', 'full', 'internet', 'contoh', 'paket', 'ngak', 'campur', 'paket', 'gb', 'khusus', 'internet', 'campur', 'kuota', 'terimakasih', '']</t>
  </si>
  <si>
    <t>['tolong', 'diperbaiki', 'bug', 'daily', 'check', 'klaim', 'gb', 'gratis', 'datanya', 'mytelkom', 'hilang', 'kemana', 'gratis', 'cek', 'kode', 'ussd', 'tolong', 'diperbaiki', 'app', 'menurun']</t>
  </si>
  <si>
    <t>['paket', 'combo', 'sakti', 'menghilang', 'tolong', 'telkomsel', 'paket', 'mahal', 'kualitas', 'jaringan', 'menentu', 'persulit', 'berlangganan', 'paketan', 'udah', 'sulit', 'ditambah', 'paketan', 'mahal', '']</t>
  </si>
  <si>
    <t>['puas', 'kerja', 'sistem', 'tpi', 'dlm', 'usul', 'berkenan', 'tolong', 'tingkat', 'lgi', 'kecepatan', 'akses', 'keseringan', 'masuk', 'lambat', 'menit', 'mutar', 'sja', 'terima', 'kasih', '']</t>
  </si>
  <si>
    <t>['covid', 'berterima', 'kasih', 'layanan', 'jaringan', 'internet', 'telkomsel', 'semoga', 'kedepan', '']</t>
  </si>
  <si>
    <t>['gimana', 'aplikasi', 'masuk', 'kirim', 'link', 'dibuka', 'masuk', 'via', 'google', 'metode', 'maksud', 'gimana', 'aplikasi', 'dikeluarkan', 'ujicoba', 'menyusahkan']</t>
  </si>
  <si>
    <t>['udah', 'beli', 'pulsa', 'beli', 'paket', 'internet', 'beli', 'paket', 'pakai', 'aplikasi', 'gagal', 'pulsa', 'pakai', 'aplikasi', 'mengurangi', 'pulsa', 'udah', 'beli', 'goblokk', 'banget', 'developer', 'provider', 'telkomsel', '']</t>
  </si>
  <si>
    <t>['kuota', 'lokal', 'vocer', 'udah', 'tertulis', 'wilayah', 'bengkulu', 'jambi', 'sum', 'sel', 'lampung', 'tinggal', 'palembang', 'sumsel', 'kuota', 'lokal']</t>
  </si>
  <si>
    <t>['jelek', 'aplikasinya', 'kirim', 'hadiah', 'tmn', 'skg', 'pulsa', 'kirim', 'paket', 'masuk', 'tagihan', 'knp', 'skg', 'blg', 'pulsa', 'pdhl', 'limid', 'kuota', 'susah', 'kadang', 'pencet', 'kirim', 'loading', 'menu', 'utama', '']</t>
  </si>
  <si>
    <t>['isi', 'pulsa', 'klaim', 'hadiah', 'check', 'harian', 'kena', 'sisa', 'pulsa', 'pas', 'malam', 'klaim', 'hadiah', 'check', 'harian', 'pulsa', 'kali', 'udah', 'sisa', 'kuota', 'tpi', 'pulsa', 'slalu', 'disedot', 'masuk', 'akal', 'parah', '']</t>
  </si>
  <si>
    <t>['paket', 'combo', 'seasik', 'dibagi', 'internet', 'multimedia', 'paket', 'multimedia', 'macet', 'game', 'masuk', 'didalam', 'daftar', 'gamemax', '']</t>
  </si>
  <si>
    <t>['tolong', 'brefing', 'customer', 'servicenya', 'miss', 'informasi', 'pengguna', 'pulsa', 'potong', 'transaksi', 'googeplay', 'lemah', 'banget', 'keamanan', 'telkomsel', 'malu', 'maluin']</t>
  </si>
  <si>
    <t>['gimana', 'operator', 'knp', 'jaringan', 'hilang', 'klian', 'niat', 'kerja', 'tolong', 'perbaiki', 'jaringan', 'telkomsel', 'paket', 'mahal', 'jaringan', 'berkualitas', 'tolong', 'perbaiki', 'secepat', 'perbaiki', 'menyebar', 'media', 'telkomsel', 'tutup', 'karna', 'kualitas', 'jaringan', 'bagus', 'efektif']</t>
  </si>
  <si>
    <t>['perovider', 'wifi', 'kartu', 'sim', 'peralihan', 'diharapkan']</t>
  </si>
  <si>
    <t>['parah', 'telkomsel', 'kecewa', 'jaringannya', 'mending', 'bubarin', 'woi', 'pendiri', 'telkomsel', 'becus', 'tinggal', 'perkotaan', 'signal', 'penuh', 'lemot', 'ketulungan', 'udah', 'kaya', 'dihutan', 'perbaiki', 'woy', 'gamau', 'pelangganmu', 'lari', 'pke', 'game', 'online', 'kaya', 'udah', 'auto', 'afk', 'anjim', 'banget']</t>
  </si>
  <si>
    <t>['kecewa', 'banget', 'telkomsel', 'gua', 'pengguna', 'telkomsel', 'kaya', 'gini', 'sinyal', 'turun', 'ujan', 'angin', 'beli', 'paket', 'telkomsel', 'lambat', 'bener', 'bener', 'kecewa', 'bangetttt']</t>
  </si>
  <si>
    <t>['telkomsel', 'kesini', 'mahal', 'ribu', 'ribu', 'paket', 'unlimited', 'ribu', 'youtube', 'ribu', 'youtube', 'loop', 'harga', 'mahal', 'kualitas', 'turun', 'telkomsel', '']</t>
  </si>
  <si>
    <t>['berkeluh', 'kesah', 'telkomsel', 'jaringan', 'ulasan', 'reting', 'bintang', 'presentasi', 'reting', 'bintang', 'playstore', 'close', 'app', '']</t>
  </si>
  <si>
    <t>['kuota', 'mahal', 'jaringan', 'ancur', 'kota', 'bandung', 'jaringan', 'lemot', 'kayanya', 'emang', 'ganti', 'produk', 'udah', 'puluhan', 'pakai', 'telkomsel', '']</t>
  </si>
  <si>
    <t>['ruwet', 'ruwet', 'cek', 'kyak', 'anak', 'belajar', 'nol', 'lemot', 'gra', 'rating', 'kaleee', 'paket', 'beban', 'mknya', 'perbarui', 'perangkat', 'lunak', 'peradaban', 'bgsa', 'standar', 'nafsu', 'nich', 'ngejar', 'target', 'yyyyyyyaaa']</t>
  </si>
  <si>
    <t>['gue', 'ikuti', 'daily', 'check', 'gue', 'kecewa', 'bonus', 'kuota', 'hadiah', 'check', 'gue', 'check', 'absen', 'ngasih', '']</t>
  </si>
  <si>
    <t>['paket', 'beli', 'udah', 'kamarin', 'beli', 'udah', 'harga', 'beli', 'udah', 'tersedia', 'alasan', 'lokasi', 'udah', 'nyaman', 'pakek', 'aplikasi', 'ujung', 'ngilu', 'hati', 'kecewa']</t>
  </si>
  <si>
    <t>['maaf', 'harga', 'mahal', 'paket', 'sebelah', 'jaringan', 'lelet', 'psti', 'maaf', 'mulu', 'maaf', 'ngerti', 'bahas', '']</t>
  </si>
  <si>
    <t>['promo', 'update', 'bagus', 'hancur', 'jaringan', 'sinyal', 'telkomsel', 'mohon', 'provider', 'telkomsel', 'memperbaiki', 'jaringan', 'sinyal', 'lbih', 'bagus', 'kebanyakan', 'update', 'promo', 'jaringan', 'telkomsel', 'busuk', 'busuk', 'busuk', '']</t>
  </si>
  <si>
    <t>['bener', 'bener', 'sampah', 'smuanya', 'serba', 'boros', 'jaringan', 'cacat', 'parah', 'telkomsel', 'udah', 'songgong', 'mentang', 'udah', 'predikat', 'tertinggi', 'jajaran', 'pengguna', 'jaringan', 'memikirkan', 'konsumen', '']</t>
  </si>
  <si>
    <t>['provider', 'terparah', 'temui', 'jaringan', 'isi', 'pulsa', 'raib', 'mulu', 'poinnya', 'nuker', 'ampe', 'berkali', 'lipat', 'nuker', 'kuota', 'parah', '']</t>
  </si>
  <si>
    <t>['beli', 'paket', 'bayar', 'gopay', 'pulsa', 'kartu', 'perdana', 'update', 'tsel', 'kartu', 'sultan', 'tpi', 'jaringan', 'bagus', 'main', 'game']</t>
  </si>
  <si>
    <t>['woii', 'udah', 'capek', 'chek', 'udah', 'sampe', 'smua', 'gb', 'sma', 'gb', 'klaim', 'udah', 'sampe', 'batas', 'penukaran', 'telkomsel', 'gada', 'perbaikan']</t>
  </si>
  <si>
    <t>['', 'telkomsel', 'update', 'gajelas', 'pulsa', 'potong', 'beli', 'paket', 'masuk', 'tulisannya', 'udah', 'berhasil', 'pulsa', 'potong', 'sampe', 'tinggal', 'pulsa', 'data', 'seluler', 'smartfren', 'pulsa', 'telkomsel', 'potong', 'tolong', 'perbaiki', 'kuota', 'game', 'nge', 'game', 'loby', 'doang', 'gabisa', 'masuk', 'pertandingan', 'gajelas']</t>
  </si>
  <si>
    <t>['kasih', 'bintan', 'pas', 'beli', 'paket', 'apk', 'telkomsel', 'kadang', 'notifikasinya', 'lambat', 'isi', 'pulsa', 'beli', 'paket', 'galangsung', 'masuk', 'pulsanya', 'kepotong', 'gara', 'gara', 'non', 'kouta']</t>
  </si>
  <si>
    <t>['bagus', 'buruk', 'pilihan', 'beli', 'paket', 'pilihannya', 'beli', 'paket', 'pilihan', 'telkomsel', 'buruk', 'aplikasi']</t>
  </si>
  <si>
    <t>['tolong', 'dipermudah', 'mengaktifkan', 'paket', 'darurat', 'muncul', 'sistem', 'sibuk', 'mengembalikan', 'hutang', 'paket', 'darurat', 'darurat', 'diaktifkan']</t>
  </si>
  <si>
    <t>['menyesal', 'bermigrasi', 'kartu', 'halo', 'byar', 'tagihan', 'pemakaian', 'stengah', 'muncul', 'tagihan', 'rb', 'kuota', 'gb', 'bln', 'habis', 'kehilangan', 'ponsel', 'sya', 'pakai', 'bertahun', 'dri', 'byar', 'rb', 'kuota', 'masuk', 'akal', 'kecewa', 'menyesal']</t>
  </si>
  <si>
    <t>['kuota', 'ketengan', 'utama', 'tolong', 'aktifnya', 'diperpanjang', 'beli', 'paket', 'ketengan', 'utama', 'sisanya', 'tolong', 'diperpanjang', 'jangka']</t>
  </si>
  <si>
    <t>['kuota', 'multimedia', 'berguna', 'tetep', 'lag', 'lemot', 'mending', 'ganti', 'kartu', 'udah', 'paket', 'mahal', 'kuota', 'kesedot', 'cepet', 'banget', 'habis', 'efisien', '']</t>
  </si>
  <si>
    <t>['kmren', 'unlimited', 'chat', 'sosial', 'game', 'dll', 'kuota', 'utama', 'omg', 'gb', 'bersih', 'internetan', 'smlm', 'perpanjang', 'kuota', 'utama', 'omg', 'internet', 'cma', 'chat', 'doang', 'tolong', 'kayak', 'gni', 'pandemi', 'org', 'susah']</t>
  </si>
  <si>
    <t>['update', 'paket', 'data', 'beli', 'adaaa', 'paket', 'combo', 'sakti', 'menyesal', 'update']</t>
  </si>
  <si>
    <t>['aplikasi', 'lemot', 'jaringan', 'hilang', 'menuntu', 'udah', 'harga', 'paket', 'internetnya', 'mahal', 'ahh', 'mending', 'lari', 'provider', 'terima', 'kasih', 'telkomsel', 'emosi', '']</t>
  </si>
  <si>
    <t>['hay', 'telkomsel', 'kemarin', 'isi', 'pulsa', 'bayar', 'paket', 'darurat', 'isi', 'ribunya', 'beli', 'kuota', 'senilai', 'gb', 'kali', 'sisa', 'ribu', 'kemarin', 'ambil', 'ribunya', 'bayar', 'paket', 'darurat', 'beli', 'paket', 'daruratnya', 'ngelunasi', 'ribu', 'ambil', 'tolong', 'perbaiki', 'senang', 'main', 'apk', 'telkomsel', 'sekian', 'terima', 'kasih', '']</t>
  </si>
  <si>
    <t>['maaf', 'sblmnya', 'ngasih', 'saran', 'kuota', 'unlimited', 'gb', 'kena', 'fup', 'kemarin', 'beli', 'skrg', 'fupnya', 'mudah', 'mudahan', 'kuota', 'fupnya', 'karna', 'konsumen', 'beli', 'kuota', 'kartu', 'internet', 'unlimited', 'engga', 'fup', 'engga', 'fup', 'terima', 'kasih']</t>
  </si>
  <si>
    <t>['paket', 'internet', 'gb', 'dibeli', 'tolong', 'penjelasannya', 'telkomsel', 'klw', 'dibeli', 'hapus', 'pelanggan', 'kecewa', '']</t>
  </si>
  <si>
    <t>['parah', 'gadak', 'otak', 'kelen', 'mengecewakan', 'pelanggan', 'setia', 'kelen', 'beli', 'paket', 'combo', 'sakti', 'aktif', 'jaringan', 'kelen', 'paket', 'haaa', 'jangenam', 'otak', 'kelen', 'sikit', 'kelen', 'iklan', 'perbaikin', 'jaringan', 'kelen']</t>
  </si>
  <si>
    <t>['menyukai', 'aplikasi', 'sesuai', 'kebutuhan', 'pengoperasiannya', 'sederhana', 'kalangan', 'trims', 'telkomsel', '']</t>
  </si>
  <si>
    <t>['parah', 'harga', 'paket', 'mahal', 'pandemi', 'kemudahan', 'mahal', 'pakai', 'gb', 'ribu', 'mahal', 'kacau', 'telkomsel', '']</t>
  </si>
  <si>
    <t>['kesini', 'bener', 'signalnya', 'bikang', 'anti', 'lelet', 'jaringan', 'bagus', 'sial', 'jaringan', 'ajah', 'kaya', 'jaringan', 'bagus', 'malem', 'doang', 'dikata', 'kalong', 'kali', 'suruh', 'begadang', 'melulubtiap', 'malem', 'jaringan', 'bagus', 'rolong', 'ding', 'perbaiki', '']</t>
  </si>
  <si>
    <t>['', 'banget', 'beli', 'paket', 'kuota', 'ketengan', 'unlimited', 'tiktok', 'beli', 'jam', 'hapus', 'riwayata', 'tiktok', 'udah', 'paket', 'uang', 'jajan', 'sehari', 'rela', 'beli', 'kuota', 'all', 'hasil', 'zonk', '']</t>
  </si>
  <si>
    <t>['poin', 'dibelanjakan', 'alfamart', 'indomaret', 'sisa', 'poin', 'diuangkan', 'rekening', 'banking', 'easycash', 'siang', 'tlpn', 'salah', 'program', 'mytelkomsel', '']</t>
  </si>
  <si>
    <t>['woy', 'ngapa', 'login', 'telkomsel', 'bener', 'nunggu', 'sms', 'masuk', 'heran', 'canggih', 'lemot', '']</t>
  </si>
  <si>
    <t>['woy', 'telkomsel', 'jualan', 'kuota', 'mahal', 'mahal', 'beli', 'paket', 'mb', 'harga', 'kasian', 'beli', 'uang', 'harga', 'jutaan', 'ratusan', 'turunin', 'gini', 'pindah', 'kartu', 'telkomsel', 'kek', 'ginian', 'harga', 'kuota', 'mahal', 'mahal', 'lumah', 'pengen', 'populer', 'pindah', 'kartu', 'kartu', 'sultan', 'uuuuu']</t>
  </si>
  <si>
    <t>['telkomsel', 'tolong', 'lihat', 'lihat', 'sistemnya', 'error', 'tolong', 'cepat', 'cepat', 'tanggapi', 'kedepannya', 'telkomsel', 'pakai', 'dikalangan', 'masyarakat', 'sekian', 'terimakasih']</t>
  </si>
  <si>
    <t>['rating', 'bintang', 'diterima', 'provider', 'seluler', 'harga', 'mahal', 'banget', 'kualitas', 'jaringan', 'kayak', 'gratisan', 'beli', 'duit', 'gratis', 'provider', 'penipu', 'pencuri', 'uang', 'pelanggan', 'beli', 'paket', 'game', 'gb', 'paket', 'utama', 'kepotong', 'lag', 'sampe', 'ping', 'ms', 'semoga', 'lekas', 'bangkrut', 'provider', 'seluler', '']</t>
  </si>
  <si>
    <t>['jaringan', 'serasa', 'harga', 'kualitas', 'pantes', 'index', 'saham', 'merosot', 'pelayanan', 'sesuai', 'harga', 'jual', '']</t>
  </si>
  <si>
    <t>['isi', 'pulsa', 'trs', 'datanya', 'aktifkan', 'pulsanya', 'kepotong', 'udah', 'kuota', '']</t>
  </si>
  <si>
    <t>['aplikasi', 'ampas', 'beli', 'pulsa', 'rb', 'masuk', 'udah', 'sebelun', 'pulsa', 'gamasuk', 'rb', 'dibalikin', 'balikin', 'udah', 'lapor', 'tetep', 'dibalikin', 'miskin', 'telkomsel', 'balikin', 'pulsa', 'udah', 'dibayar', 'suruh', 'gantiin']</t>
  </si>
  <si>
    <t>['aplikasi', 'jelek', 'kali', 'buka', 'blank', 'layar', 'putih', 'nutup', 'kali', 'kayak', 'gitu', 'uninstall', 'ulang', 'aplikasi', 'deh', 'buatan', 'dlm', 'negri', 'mengecewakan', 'buangettttt']</t>
  </si>
  <si>
    <t>['pelayanan', 'baikkkkkkk', 'jaringannnn', 'matiiiii', 'bergunaaaaaaaaa', 'customer', 'servicee', 'tidakkk', 'becusssss', 'comnetar', 'tanggapiii', 'pelayanan', 'pengalaman', 'buruukkkkkkkk', '']</t>
  </si>
  <si>
    <t>['aplikasinya', 'memuaskan', 'telkomsel', 'ngambil', 'pulsa', 'paket', 'jam', 'tersedia', 'sms', 'internet', 'kuota', 'huh', '']</t>
  </si>
  <si>
    <t>['isi', 'ulang', 'pulsa', 'tersedot', 'pulsanya', 'beli', 'peket', 'internet', 'kesalahan', 'mulu', 'mohon', 'telkomsel', 'segerahlah', 'memperbaiki', 'sistem', 'merugikan', 'pelanggan', 'kecewa']</t>
  </si>
  <si>
    <t>['mqntap', 'update', 'lancar', 'nggak', 'lancar', 'lihat', 'loe', 'pakai', 'tmram', 'hahaha', 'lelet', 'error', 'salahkan', 'aplikasi', 'salahkan', 'dirimu', 'wkwkwkw', 'mantap', 'telkomsel', 'jaya', 'slalu']</t>
  </si>
  <si>
    <t>['maafkan', 'telkomsel', 'harga', 'paketan', 'mahal', 'bandingkan', 'golongan', 'menengah', 'mngkin', 'sobat', 'misquin', 'quota', 'telkomsel', 'mahal', 'jaringan', 'kadang', 'le', 'sebelah', 'rb', 'udh', 'dapet', 'gb', 'dsni', 'rb', 'dapet', 'gb', 'itupun', 'nomor', 'spesial', 'semoga', 'masukan', 'telkomsel', 'nikmati', 'kalangan', '']</t>
  </si>
  <si>
    <t>['bagusin', 'jaringan', 'kecewa', 'gua', 'jaringan', 'paket', 'harganya', 'mahal', 'tanggung', 'telkomsel', 'memperbaiki', 'jaringan', 'ngeri', 'banget', '']</t>
  </si>
  <si>
    <t>['gimana', 'telkomsel', 'pulsa', 'tersedot', 'buka', 'apk', 'hadiah', 'check', 'masuk', 'mohon', 'diperbaiki', 'telkomsel']</t>
  </si>
  <si>
    <t>['mudah', 'murah', 'beli', 'paket', 'internet', 'bulanan', 'kali', 'aktif', 'beli', 'kuota', 'unlimited', 'cuman', 'ribu', 'akses', 'sebulan', 'paket', 'habis', 'aktif', 'internet', 'bulanan', 'habis', 'selamat', 'mencoba', 'memperhemat', '']</t>
  </si>
  <si>
    <t>['membagongkan', 'woy', 'telkomsel', 'perbaiki', 'jaringan', 'perbaiki', 'pelayan', 'masyarakat', 'memikirkan', 'pembelian', 'paket', 'bayak', 'eror', 'kartu', 'harga', 'pembelian', 'paket', 'data', 'pikirin', 'ekonomi', 'orang', 'mikirin', 'doang', 'pulsa', 'ambil', 'lagih', 'telkom', 'membagongkan']</t>
  </si>
  <si>
    <t>['min', 'beli', 'paket', 'diaplikasi', 'semenjak', 'update', 'nambah', 'kacau', 'kuotanya', 'kuliah', 'udah', '']</t>
  </si>
  <si>
    <t>['tolong', 'untk', 'telkomsel', 'pulsa', 'berkurang', 'sedangkn', 'paket', 'internet', 'nlp', 'sms', 'telkomsel', 'merugikan', 'planggan', '']</t>
  </si>
  <si>
    <t>['rate', 'darimana', 'isi', 'pulsa', 'data', 'internet', 'pulsa', 'reguler', 'berkurang', 'rp', 'sisa', 'pulsa', 'daftar', 'paket', 'habis', 'disedot', 'lapoer', 'via', 'email', 'karna', 'gprs', 'ngaco', 'merk', 'laen', 'gaada', 'gitu', 'gituan', 'pulsa', 'ane', 'beli', 'kemaren', 'fix', 'ganti', 'kartu', '']</t>
  </si>
  <si>
    <t>['sekedar', 'usul', 'gimana', 'telkomsel', 'memiliki', 'widget', 'sisa', 'kuota', 'paket', 'internet', 'dll', 'screen', 'membuka', 'aplikasi', 'terimakasih', 'sekedar', 'saran', 'moga', 'dipertimbangkan', '']</t>
  </si>
  <si>
    <t>['abis', 'isi', 'pulsa', 'pulsanya', 'suka', 'dikit', 'nyalain', 'kuota', 'pke', 'kartu', 'telkomsel', 'korupsi', 'namanya', 'pengambilan', 'pulsa', 'paksa', 'telkomsel', '']</t>
  </si>
  <si>
    <t>['kasih', 'bintang', 'baca', 'udah', 'seminggu', 'kartu', 'menerima', 'pesan', 'butuh', 'kode', 'otp', 'jdi', 'susah', 'krna', 'pesan', 'msuk', 'pengaturan', 'udh', 'bner', 'block', 'gmna', 'solusi', 'telkomsel', 'terima', 'kasih']</t>
  </si>
  <si>
    <t>['pembaruan', 'aplikasi', 'sulit', 'mengakses', 'telkomsel', 'pembelian', 'paket', 'kuota', 'internet', 'sulit', 'lakukan', 'mohon', 'telkomsel', 'memperbaiki', 'aplikasinya', 'terima', 'kasih']</t>
  </si>
  <si>
    <t>['telkomsel', 'harga', 'paket', 'mahal', 'sinyal', 'down', 'beli', 'paket', 'pulsa', 'kepotong', 'paket', 'internet', 'tolong', 'pandemi', 'harganya', '']</t>
  </si>
  <si>
    <t>['hai', 'kak', 'masukan', 'terkait', 'upgrade', 'aplikasi', 'menu', 'hiburan', 'streaming', 'musik', 'musik', 'memutar', 'lagu', 'menu', 'hiburan', 'streaming', 'video', 'direct', 'link', 'maxstream', 'pilih', 'video', 'play', 'pengaturan', 'video', 'quality', 'and', 'more', '']</t>
  </si>
  <si>
    <t>['telkomsel', 'terkendala', 'sinyal', 'game', 'tolong', 'diperhatikan', 'terkait', 'pelanggan', 'kecewa', 'terima', 'kasih', 'pelanggan', 'pindah', 'kartu', 'kekecewaan', 'ancur', '']</t>
  </si>
  <si>
    <t>['kecewa', 'beli', 'unlimited', 'youtube', 'udah', 'succes', 'pas', 'buka', 'youtube', 'muter', 'muter', 'pulsa', 'kepotong', 'bela', 'belain', 'dri', 'saldo', 'ojol', 'bgtu', 'mah', 'mendingan', 'jajan', 'anak', '']</t>
  </si>
  <si>
    <t>['tsel', 'tua', 'pikun', 'sistemnya', 'kuota', 'all', 'net', 'aktif', 'internetan', 'pulsa', 'terpotong', 'berkali', 'kali', 'diginiin', '']</t>
  </si>
  <si>
    <t>['sorry', 'bintang', 'jaringan', 'internetnya', 'lemot', 'buka', 'bisaaaa', 'allah', 'pengalaman', 'pas', 'ngumpulin', 'uts', 'menit', 'menit', 'ehh', 'sinyal', 'hilang', 'gimana', 'kesini', 'nambah', 'buruk', 'pdhl', 'provider', 'mahal', 'lho', 'dibanding', 'provider', 'provider', 'kualitas', 'banget']</t>
  </si>
  <si>
    <t>['admin', 'bintang', 'jaringan', 'telkomsel', 'sul', 'sel', 'kab', 'maros', 'kecamatan', 'bantimurung', 'parah', 'paket', 'beli', 'mahal', 'mahal', 'pelayanan', 'jaringan', 'cuman', 'sederajat', 'sma', 'jaringan', 'dluar', 'paketannya', 'murah', 'persis', 'beda', 'admin', 'jngan', 'cuman', 'diam', 'ngapain', 'paketan', 'mahal', 'nomor', 'iya', 'mahalnya', 'kualitas', 'jaringan', 'murahan', '']</t>
  </si>
  <si>
    <t>['aplikasinya', 'kuota', 'keluarga', 'hilang', 'nampak', 'susah', 'menemukannya', 'ribet', 'sampe', 'kontak', 'layanan', 'call', 'center', '']</t>
  </si>
  <si>
    <t>['mohon', 'perbaiki', 'tower', 'telkomsel', 'desa', 'teluk', 'latak', 'langgam', 'muara', 'hujan', 'petir', 'jaringan', 'slalu', 'hilang', 'tower', 'bangun', 'jaringan', 'desa', 'slalu', 'bagus', 'tower', 'bangun', 'jaringan', 'desa', 'slalu', 'hilang']</t>
  </si>
  <si>
    <t>['kuota', 'multimedia', 'buka', 'viu', 'kuota', 'berfungsi', 'bayar', 'pelayanan', 'bagus', 'buruk', '']</t>
  </si>
  <si>
    <t>['logo', 'merta', 'layanan', 'app', 'tsel', 'restart', 'nominal', 'transfer', 'pulsa', 'dimasukan', 'terpaksa', 'pakai', '']</t>
  </si>
  <si>
    <t>['gini', 'telkomsel', 'susah', 'banget', 'masuk', 'valid', 'udah', 'dicoba', 'link', 'dikirim', 'via', 'sms', 'valid', 'kadaluarsa', 'dikirim', 'email', 'terdaftar', 'gagal', 'login', 'bantuan', 'your', 'session', 'expired', 'coba', 'metode', 'ccoba', 'kasih', 'solusi', '']</t>
  </si>
  <si>
    <t>['gimana', 'telkomsel', 'perbaharui', 'aplikasinya', 'paket', 'internetnya', 'mahal', 'paket', 'combo', 'sakitnya', 'udah', 'pilihan', 'beda', 'ngak', 'paketnya', 'kembaliin', 'kayak', '']</t>
  </si>
  <si>
    <t>['kelebihan', 'telkomsel', 'kelemahan', 'penawaran', 'terkenal', 'harga', 'paket', 'mahalnya', 'nomor', 'mahal', 'top', 'sinyalnya', 'lemah', 'banding', 'privider', 'perusahaan', 'ternama', 'seindonesia', 'hilang', 'pulsa', 'kebanyakan', 'promo', 'sinyal', 'bobrok', 'motonya', 'jangkauan', 'luas', 'skrg', 'moto', 'hilang', 'pesaing', 'kelebihan', 'telkomsel', 'brand', 'ternama', 'gua', 'thanks', 'ketidaknyamanan', '']</t>
  </si>
  <si>
    <t>['kesini', 'jaringan', 'buruk', 'harga', 'mahal', 'tolong', 'tingkatkan', 'fasilitas', 'telkomsel', 'kali', 'sinyal', 'lemot', 'sampe', 'ber', 'minggu', '']</t>
  </si>
  <si>
    <t>['maaf', 'update', 'telkomsel', 'merugikan', 'pulsa', 'kesedot', 'karna', 'ngelag', 'beli', 'kuota', 'harga', 'akses', 'berkurang', 'merugikan', 'mengisi', 'pulsa', 'mohon', 'untum', 'telkomsel', 'membenarkan', 'aplikasi', 'rugi', 'kasian', 'pengguna', 'lihat', 'bintang', 'untum', 'rating', 'telkomsel', 'kecewa']</t>
  </si>
  <si>
    <t>['telkomsel', 'memburuk', 'jaringn', 'sinyal', 'full', 'lemot', 'udh', 'lam', 'kyk', 'gini', 'bknya', 'lbih', 'smkin', 'jstru', 'lemotnya', '']</t>
  </si>
  <si>
    <t>['bagus', 'kasih', 'bintang', 'paliiiiiiiiiiiiiiiiiiiiiiiiiiiiiiiiiiiiiiiiiiiiiiiiing', 'jelek', 'banding', 'kompetitor', 'daerah', 'jatinangor', 'jabar', 'perbaiki', 'cuman', 'baca', 'gerakan', 'diperbaiki']</t>
  </si>
  <si>
    <t>['menteng', 'menteng', 'telkomsel', 'perusahaan', 'milik', 'negara', 'perlakuan', 'masyarakat', 'pelayanan', 'buruk', 'akses', 'telkomsel', 'pakai', 'sinyal', 'apalah', 'beli', 'paket', 'sebulan', 'lemotnya', 'main', 'internet', 'buruk', 'habis', 'uang', 'menggaji', 'penguasa', 'jatah', 'kesana', 'kemari', 'pelayanan', 'bagus', '']</t>
  </si>
  <si>
    <t>['lemot', 'jaringan', 'seneng', 'banget', 'udah', 'drikan', 'jaringan', 'telkomsel', 'lemot', '']</t>
  </si>
  <si>
    <t>['jaringan', 'signal', 'ngehang', 'trus', 'isi', 'paket', 'kuota', 'pakai', 'aplikasi', 'telkomsel', 'udah', 'gagal', 'saldo', 'top', 'terpotong', 'kecewa', 'pengguna', 'telkomsel', '']</t>
  </si>
  <si>
    <t>['telkomsel', 'buruk', 'harga', 'selangit', 'koneksi', 'sinyal', 'memadai', 'mengecewakan', 'sinyal', 'kaya', 'kecewa', 'telkomsel']</t>
  </si>
  <si>
    <t>['ampun', 'aplikasi', 'config', 'android', 'buka', 'aplikasi', 'selang', 'tulisan', 'google', 'play', 'berhenti', 'mohon', 'diperbaiki', 'yak', 'nama', 'telkomsel', 'malu', 'liat', 'spt', 'vendor', 'sebelah', 'aman', 'buka', 'android', '']</t>
  </si>
  <si>
    <t>['telkomsel', 'gimana', 'pulsa', 'hilang', 'berlangganan', 'tolong', 'pulsa', 'kaga', 'dipake', 'ilang']</t>
  </si>
  <si>
    <t>['aneh', 'notifikasi', 'fromo', 'isi', 'kuota', 'harga', 'ribu', 'pas', 'ngisi', 'pulsa', 'fromonya', 'hilang', 'tlp', 'telkomsel', 'fromo', 'mauenipu', 'gimana']</t>
  </si>
  <si>
    <t>['ulasan', 'terupdate', 'playstore', 'ulasan', 'fakta', 'terburuk', 'kecanggihan', 'teknologi', 'telkomsel', 'pelayanan', 'dilayani', 'sistem', 'penjawab', 'sistem', 'robot', 'sbg', 'customer', 'servis', 'sbg', 'respon', 'keterkaitan', 'konsumen', 'liatlah', 'smua', 'respon', 'ulasan', 'dibawah', 'smua', 'dialihkan', 'virtual', 'bot', 'karna', 'org', 'kehilangan', 'kepercayaan', 'kualitas', 'operator', 'telkomsel', 'make', 'telkomsel', 'kebutuhan', 'jarkom', 'kerja', '']</t>
  </si>
  <si>
    <t>['kartu', 'dapet', 'harga', 'internet', 'murah', 'pilihan', 'mahal', 'nomer', 'kartu', 'teman', 'pilihan', 'harga', 'paket', 'internetnya', 'murah', 'ngga', 'adil', 'samaratakan', 'kaya', 'gini']</t>
  </si>
  <si>
    <t>['', 'kali', 'kirim', 'pulsa', 'link', 'kabarnya', 'sia', 'sia', 'nambah', 'buang', 'buang', 'pulsa', 'nelpon', 'operator', 'link', 'telkomsel', 'masuk', 'poin', 'isi', 'ulangnya', 'doang']</t>
  </si>
  <si>
    <t>['jelek', 'buruk', 'susah', 'masuk', 'aplikasi', 'profesional', 'bagus', 'citra', 'jelek', 'sinyal', 'bagus', 'masuk', 'apk', 'jugak', 'bath', '']</t>
  </si>
  <si>
    <t>['paket', 'ceria', 'kuota', 'pulsa', 'terpakai', 'tersedot', 'internet', 'trs', 'peringatan', 'telkomsel', 'mengaskes', 'internet', 'tarif', 'non', 'paket', 'aneh', 'cek', 'paket', 'aktif', 'kuota', 'pulsa', 'habis', 'tersedot', 'pakai', 'kartu', 'sinyal', 'ram', 'storege', 'luas', 'koneksi', 'internet', 'jalan', 'kbps', 'dichat', 'via', 'telkomsel', 'veronika', 'tanggapan', '']</t>
  </si>
  <si>
    <t>['telkomsel', 'knp', 'jdi', 'asik', 'kuota', 'msh', 'download', 'beli', 'kuota', 'paket', 'darurat', 'msh', 'aktif', 'trs', 'kuota', 'sya', 'gb', 'skrg', 'serasa', 'cpt', 'abis', 'pdhl', 'ckp', 'sebulan', 'skrg', 'hadeeehhh', 'ilang', 'kmn', '']</t>
  </si>
  <si>
    <t>['telkomsel', 'dajjal', 'laknatulloh', 'jujur', 'kejadian', 'nyata', 'boongan', 'barusan', 'main', 'game', 'paket', 'sisa', 'skrng', 'habis', 'buka', 'buka', 'paket', 'skrng', 'kaget', 'berpikiran', 'ngelag', 'apkny', 'pas', 'menit', 'paket', 'habis', 'jujurlah', 'untung', 'puny', 'kesabaran', 'paket', 'kuota', 'disedot', 'telkomsel', 'doakan', 'semoga', 'telkomsle', 'bangkrut', 'aminnnn']</t>
  </si>
  <si>
    <t>['apalah', 'telkomsel', 'pemerasan', 'bahaya', 'dasar', 'emang', 'uang', 'tambahkan', 'daftar', 'donasi', 'telkomsel', 'isi', 'pulsa', 'langsung', 'habis', 'belom', 'main', 'potong', 'kecewa', 'kalah', 'kartu', 'malu', 'kartu', 'main', 'potong', 'malam', 'bonus', 'kaya', 'jalur', 'pemerasan', '']</t>
  </si>
  <si>
    <t>['telkomsel', 'pliss', 'pasang', 'sinyal', 'kota', 'tangerang', 'pasang', 'lancar', 'kota', 'tangerang', 'sinyalnya', 'turun', 'beruntung', 'itupun', 'kecepatannya', 'mbps', 'doang', 'pliss', 'telkomsel', 'perbagus', 'sinyalnya', 'kota', 'tangerang', 'ngga', 'ganti', 'nomer', '']</t>
  </si>
  <si>
    <t>['pengguna', 'telkomsel', 'lumayan', 'blakangan', 'sinyal', 'jelek', 'sinyal', 'jdi', 'jelek', 'sbelumnya', 'aman', 'aman', 'sbelum', 'datangnya', 'main', 'game', 'stabil', 'sbelumnya', 'skarang', 'sebulan', 'merasakan', 'sinyal', 'telkomsel', 'jelek', 'game', 'karna', 'datangnya', 'tolong', 'kembalikan', 'speed', 'sinyal', 'telkomsel']</t>
  </si>
  <si>
    <t>['pahamkan', 'bintang', 'tolong', 'dirugikan', 'dikurangin', 'bintangnya', 'rame', 'ksi', 'bintang', 'spya', 'paham', 'mengerti', 'paket', 'mahal', 'ribet', '']</t>
  </si>
  <si>
    <t>['gimana', 'pulsa', 'habis', 'kesedot', 'internetan', 'paket', 'internet', 'berlaku', 'minggu', 'tersisa', 'tolonglah', 'perbaikan', 'takut', 'isi', 'pulsa', 'takut', 'ngisi', 'langsung', 'habis', '']</t>
  </si>
  <si>
    <t>['poin', 'telkomsel', 'nongol', 'isi', 'khusus', 'level', 'diatas', 'silver', 'poin', 'download', 'mytelkomsel', 'keuntungan', 'paket', 'data', 'habis', 'langsung', 'sedot', 'pulsa', 'ijin', '']</t>
  </si>
  <si>
    <t>['jaringan', 'telkomsel', 'lombok', 'barat', 'burik', 'udah', 'gitu', 'isi', 'pulsa', 'pulsanya', 'suka', 'ngilang', 'pakai', 'males', 'pakai', 'telkomsel', 'sorry', 'fakta', 'telkomsel', 'udah', 'burik', '']</t>
  </si>
  <si>
    <t>['punyaku', 'gabisa', 'ambil', 'reward', 'stamp', 'dibawahnya', 'udh', 'diambil', 'kekunci', 'login', 'ulang', 'kebuka', 'ambil', 'reward', 'kuotanya', 'dikirim', 'pesan', 'mencapai', 'batas', 'penukaran', 'kali', 'blom', 'diambil', 'maunya', 'gimana', '']</t>
  </si>
  <si>
    <t>['mitra', 'telkomsel', 'terhormat', 'mengalami', 'keluhan', 'pulsa', 'terpotong', 'sinyal', 'lelet', 'sinyal', 'lelet', 'kecawa', 'telkomsel', 'sinyal', 'bagus', 'jaringan', '']</t>
  </si>
  <si>
    <t>['aplikasinya', 'jelekkkkkkk', 'banggggeeettt', 'pakai', 'nyesel', 'mending', 'apus', 'aplikasi', 'ngeselinnn', 'beli', 'quota', 'hilang', '']</t>
  </si>
  <si>
    <t>['apk', 'namanya', 'memeras', 'pelangan', 'masi', 'paket', 'internet', 'pulsa', 'berkurang', 'maksudnya', '']</t>
  </si>
  <si>
    <t>['aplikasi', 'mentah', 'paksa', 'tampilan', 'menu', 'fitur', 'cek', 'pulsa', 'kouta', 'klu', 'sukses', 'tambahin', 'beli', 'server', 'lokasi', 'rahasia', 'harap', 'ditingkatkan', 'saking', 'rahasianya', 'susah', 'maintance', 'kasihan', 'pelanggan', 'gangguan', 'rahasia', '']</t>
  </si>
  <si>
    <t>['kalah', 'sma', 'provider', 'stop', 'arus', 'data', 'paket', 'data', 'abis', 'pulsa', 'kemakan', 'sni', 'sedooottt', 'sampe', 'abis', 'dtg', 'sms', 'spam', 'pulsa', 'mnckpi', 'bla', 'bla', 'bla', 'bla']</t>
  </si>
  <si>
    <t>['maaf', 'ngasih', 'rating', 'udh', 'aplikasi', 'asyik', 'ane', 'beli', 'kuota', 'nelpon', 'ama', 'internet', 'lansung', 'aplikasi', 'mudah', '']</t>
  </si>
  <si>
    <t>['menjengkelkan', 'buang', 'duit', 'beli', 'paketan', 'internet', 'jaringan', 'susah', 'kota', 'lho', 'males', 'pke', 'telkomsel', '']</t>
  </si>
  <si>
    <t>['signal', 'telkomsel', 'perbaiki', 'performance', 'kesini', 'berkurang', 'gimana', 'teknologi', 'signal', 'jakarta', 'suka', 'ilang', 'timbul', 'kadang', 'stabil', 'kekuatan', 'signal', 'hadeeeh']</t>
  </si>
  <si>
    <t>['ambil', 'barang', 'udah', 'beli', 'cutomer', 'hrs', 'hak', 'jual', 'beli', 'gimana', 'agama', 'melarang', 'dalil', 'sistem', 'pusing', 'sistem', 'buatan', 'manusia', 'bijak', 'kitab', 'turun', 'sang', 'pencipta', 'kebijakanya', 'baku', 'contoh', 'dalil', 'sistem', 'bukinlah', 'sistem', 'bijak']</t>
  </si>
  <si>
    <t>['maaf', 'telkomsel', 'nyebelin', 'udah', 'mahal', 'jaringan', 'turun', 'padam', 'listrik', 'kaya', 'org', 'bego', 'ngapa', 'in', 'sinyal', 'down', 'tolong', 'diperbaiki', 'jujur', 'udah', 'telkomsel', 'kesini', 'turun', 'pelayanannya', '']</t>
  </si>
  <si>
    <t>['kebanyakan', 'update', 'login', 'masuk', 'verivikasi', 'sandi', 'harga', 'paket', 'mahal', 'kouta', 'tlpon', 'kurangi', 'udah', 'pandemi', 'rakyat', 'ekonominya', 'menurun', 'ditambah', 'jaringanya', 'lambat', 'selamani', '']</t>
  </si>
  <si>
    <t>['kali', 'update', 'bermasalah', 'kali', 'update', 'bintang', 'kurangi', 'update', 'kali', 'bermasalah', 'daily', 'check', 'program', 'tombol', 'check', 'aktif', 'sarankan', 'clear', 'data', 'clear', 'cache', 'lakukan', 'sarankan', 'hubungi', 'call', 'center', 'membingungkan', '']</t>
  </si>
  <si>
    <t>['samsung', 'force', 'close', 'mengunci', 'hape', 'mohon', 'perhatian', 'interaksi', 'mytelkomsel', 'penjelasan', 'mhn', 'diperbaiki']</t>
  </si>
  <si>
    <t>['telkomsel', 'batang', 'serangan', 'kec', 'batang', 'serangan', 'sumut', 'kualitas', 'parah', 'lag', 'simbol', 'branda', 'you', 'tube', 'buffering', 'bguz', 'jaringan', 'axis', 'kualitas', 'telkomsel', '']</t>
  </si>
  <si>
    <t>['tolong', 'pulsa', 'reguler', 'dipisahkan', 'akses', 'internet', 'pilihan', 'menggunakannya', 'pulsa', 'habis', 'paket', 'internet', 'berkali', 'kali', 'pelanggan', 'mengalami', '']</t>
  </si>
  <si>
    <t>['jelek', 'paket', 'sesuai', 'menunya', 'contoh', 'isi', 'pulsa', 'rb', 'poin', 'poinnya', 'dpt', 'veronika', 'minimal', 'pembelian', 'rb', 'menunya', 'persyaratan', '']</t>
  </si>
  <si>
    <t>['wilayah', 'tinggal', 'khusus', 'kota', 'padang', 'jaringan', 'telkomsel', 'taik', 'ayam', 'menit', 'hilang', 'total', 'jaringan', 'detik', 'trus', 'nyala', 'paket', 'mahal', 'jaringan', 'taik', 'kecewa', 'player', 'gamer', 'khusus', 'mobellegend']</t>
  </si>
  <si>
    <t>['telkomsel', 'cuman', 'modal', 'check', 'doang', 'emang', 'iya', 'bener', 'modal', 'check', 'doang', 'udah', 'kali', 'kejadian', 'kaya', 'gini', 'kemaren', 'udah', 'sempetin', 'check', 'redeem', 'transaksi', 'gagal', 'cuman', 'opsi', 'opsi', 'pulsa', 'udah', 'berkurang', 'perak', 'opsi', 'kali', 'akun', 'berbeda', 'next', 'mending', 'uninstall', 'mytelkomsel', 'beralih', 'provider', '']</t>
  </si>
  <si>
    <t>['beli', 'paket', 'gamemax', 'kuota', 'game', 'gabisa', 'dipake', 'game', 'jaringan', 'suka', 'ilang', 'mati', 'datanya', 'dinyalain', 'tepuk', 'tangan', 'telkomsel', '']</t>
  </si>
  <si>
    <t>['udah', 'daily', 'checkin', 'dpt', 'kuota', 'bonusnya', 'udah', 'kayak', 'gini', 'gilak', 'perbaikan', 'komplain', 'call', 'centernya', 'dpt', 'solusi', 'ngefek', 'mending', 'gausah', 'soksokan', 'bkin', 'promo', 'bonus', 'quota']</t>
  </si>
  <si>
    <t>['tolong', 'perbaiki', 'cepat', 'gimana', 'percayakan', 'aplikasi', 'bagus', 'nyata', 'beli', 'paket', 'gangguan', 'berjam', 'jam', 'kaya', 'gini', 'mengakibatkan', 'kepercayaan', 'masyarakat', 'penguna', 'telkomsel', '']</t>
  </si>
  <si>
    <t>['boro', 'boro', 'buka', 'telkomsel', 'buka', 'lite', 'susahnya', 'ampun', 'unlimited', 'perbaharuan', 'kyak', 'gini', 'telkomsel', 'bnyak', 'peminatny', 'kyak', 'gini', 'iya', 'ikutan', 'lockdown', 'sinyall', '']</t>
  </si>
  <si>
    <t>['jaringan', 'terparah', 'didunia', 'telkomsel', 'tinggal', 'dijakarta', 'pusatloh', 'jaringannya', 'parah', 'jalannya', 'siput', 'udah', 'gitu', 'suka', 'ngilang', 'jaringannya', 'semoga', 'perusahaan', 'cepat', 'tergantikan', 'provider']</t>
  </si>
  <si>
    <t>['paket', 'tulisan', 'chatt', 'music', 'games', 'sosmed', 'unlimited', 'pas', 'pemberitahuan', 'batas', 'wajar', 'kuota', 'aplikasi', 'habis', 'akses', 'internet', 'unlimited', 'habis', 'kuota', 'utama', 'pemberitahuan', 'batas', 'wajar', 'kuota', '']</t>
  </si>
  <si>
    <t>['tolanglah', 'gini', 'jaringannya', 'coba', 'telkomsel', 'perkuat', 'jaringannya', 'wilayah', 'wilayah', 'pelosok', 'bestlah', 'udah', 'bangus', 'kasih', 'bintang', 'mind', '']</t>
  </si>
  <si>
    <t>['mampus', 'bnyak', 'bintang', 'paket', 'turunin', 'harga', 'udah', 'makek', 'kartu', 'paket', 'mahal', 'in', 'karma', 'ngisi', 'pulsa', 'pas', 'cek', 'rupiah', 'tolong', 'sms', 'pengeluaran', 'bego', 'ush', 'maling', 'masak', 'wifi', 'mesti', 'pajak', 'pulsa', 'udh', 'tulang', 'tolol']</t>
  </si>
  <si>
    <t>['telkomsel', 'tolong', 'sinyalnya', 'perbaiki', 'mudah', 'memperbaiki', 'jaringan', 'tetapai', 'mohon', 'usahakan', 'sinyalnya', 'cepat', 'kanrugi', 'beli', 'kota', 'mahal', 'jaringan', 'jelek']</t>
  </si>
  <si>
    <t>['otomatis', 'berlangganan', 'langit', 'musik', 'premium', 'otomatis', 'makan', 'pulsa', 'mengecewakan', 'daftar', 'konfirmasi', 'daftar', 'langsung', 'berlangganan', '']</t>
  </si>
  <si>
    <t>['bagus', 'aplikasinya', 'nggak', 'ngecewaiin', 'semoga', 'stabil', 'bagus', 'kedepannya', 'suprise', 'dealnya', 'dibanyakin', 'sebulan', 'semoga', 'kedepannya', 'promo', 'menarik', '']</t>
  </si>
  <si>
    <t>['telkomsel', 'nyesal', 'jaringan', 'buruk', 'semenjak', 'ganti', 'logo', 'pakai', 'kerja', 'game', 'dll', 'cocok', '']</t>
  </si>
  <si>
    <t>['', 'update', 'log', 'verifikasi', 'via', 'sms', 'dikirim', 'coba', 'log', 'via', 'email', 'dibilang', 'email', 'terdaftar', 'coba', 'bantuan', 'veronika', 'coba', 'log', 'ttp', 'gimana', 'telkomsel', 'aplikasi', 'udh', 'thn', 'kali', 'bermasalah', 'kecewa', '']</t>
  </si>
  <si>
    <t>['beli', 'paket', 'combo', 'sakti', 'kepake', 'kuota', 'internet', 'doang', 'kuota', 'multimdia', 'kepake', 'buka', 'sosmed', 'games', 'dll', 'kepake', 'kuota', 'internet', 'doang', '']</t>
  </si>
  <si>
    <t>['update', 'tolong', 'rincikan', 'pengunaan', 'pemakaian', 'pulsa', 'penuh', 'kepotong', 'otomatis', 'nsp', 'paket', 'lainya', 'pulsa', 'hilang']</t>
  </si>
  <si>
    <t>['telkomsel', 'ancurrr', 'kuotanya', 'boros', 'banget', 'gb', 'laib', 'tolong', 'jngan', 'maruk', 'beli', 'kuota', 'duit', 'telkomsel', 'nyari', 'duit', 'berkah', 'main', 'sedot', '']</t>
  </si>
  <si>
    <t>['kuota', 'lumayan', 'daerah', 'knp', 'daerah', 'pedalaman', 'sulit', 'khusus', 'citerep', 'tlp', 'putus', 'buka', 'sosmet', 'buka', 'mengecewakan', 'penipu', 'gratis', 'tlp', 'reguler', 'sms', 'tlp', 'langsung', 'mati', 'sms', 'bgetu', 'pulsa', 'mencukupi', 'gratis', 'tlp', 'minit', 'sms', 'pesan', 'tawaran', '']</t>
  </si>
  <si>
    <t>['seenak', 'potong', 'pulsa', 'terdaftar', 'paket', 'hutang', 'pulsa', 'darurat', 'telepon', 'operator', 'telkomsel', 'potong', 'cut', 'pulsa', 'saldo', 'notif', 'sms', 'meng', 'akses', 'internet', 'non', 'paket', 'kali', 'hilang', 'rbu', 'rbu', 'udah', 'kali', 'notif', 'kejadian', 'gtuh', 'brengsek']</t>
  </si>
  <si>
    <t>['tsel', 'app', 'jelek', 'nomor', 'verifikasinya', 'susah', 'verifikasi', 'tekan', 'link', 'tautan', 'sms', 'detiknya', 'habis', 'masuk', 'webnya', 'suruh', 'tekan', 'buka', 'telkomsel', 'app', 'ulang', 'ulang', 'sampe', 'malas']</t>
  </si>
  <si>
    <t>['suskes', 'telkomsel', 'era', 'membangun', 'mencerdaskan', 'bangsa', 'salam', 'papua', 'papua', 'nkri', 'tuhan', 'memberkati', 'bhineka', 'tunggal', 'ika', '']</t>
  </si>
  <si>
    <t>['parah', 'telkomsel', 'muahal', 'saranin', 'pindah', 'kartu', 'hallo', 'nyesel', 'kepalang', 'mahal', 'tawarin', 'operator', 'sesuai', 'marketing', 'belajar', 'indosat', 'program', 'promo', 'yabg', 'menarik', 'promo', 'poin', 'berguna', 'menarik', 'gini', 'telkomsel', 'karam', '']</t>
  </si>
  <si>
    <t>['dasar', 'maling', 'bru', 'ngisi', 'pulsa', 'besoknya', 'pulsa', 'sikat', 'abis', 'jdi', 'batal', 'beli', 'paket', 'dasar', 'maling', 'yee', 'muke', 'gile', '']</t>
  </si>
  <si>
    <t>['kecewa', 'layanan', 'aplikasi', 'telkomsel', 'chat', 'online', 'lambat', 'direspon', 'menghabiskan', 'informatif', 'giliran', 'klaim', 'hadiah', 'daily', 'check', 'error', 'klaim', 'habis', 'berlaku', 'asli', 'aplikasi', 'kecewa', 'serasa', 'ditipu', '']</t>
  </si>
  <si>
    <t>['kecewa', 'pelayanan', 'aplikasinya', 'berat', 'gagal', 'transaksi', 'asli', 'gunanya', 'aplikasinya', 'fix', 'uninstall', '']</t>
  </si>
  <si>
    <t>['aplikasi', 'berguna', 'memudahkan', 'pengguna', 'telkomsel', 'membeli', 'paket', 'mengecek', 'kuota', 'promo', 'menarik', 'ditawarkan', 'pokoknya', 'mantapp']</t>
  </si>
  <si>
    <t>['harga', 'paket', 'mahal', 'ribu', 'ribu', 'telkomsel', 'memikirkan', 'pelanggan', 'memikirkan', 'juragan', 'sbgai', 'salah', 'provider', 'terdepan', 'mengerti', 'mementingkan', 'pelagan', 'egoisss']</t>
  </si>
  <si>
    <t>['tolong', 'telkomsel', 'berlangganan', 'pembelian', 'paket', 'data', 'segi', 'harganya', 'tolong', 'diturunkan', 'kasi', 'promo', 'berlangganan', 'makasi', '']</t>
  </si>
  <si>
    <t>['provider', 'bangke', 'maklum', 'bumn', 'terkecoh', 'paket', 'combo', 'kuota', 'unlimited', 'bla', 'bla', 'bla', 'giliran', 'dipake', 'unlimited', 'parah', 'koneksinya', 'produk', 'telkomsel', 'terpaksa', '']</t>
  </si>
  <si>
    <t>['', 'aplikasi', 'bau', 'kebusukan', 'beli', 'unlimited', 'harian', 'harga', 'ehh', 'paketnya', 'aktif', 'pembelian', 'pulsa', 'butuh', 'biaya', 'administrasi', 'yaaa', 'hahaha', 'lucu', 'telkomsel', 'serasa', 'miskin', 'konsisten', 'harga', 'pas']</t>
  </si>
  <si>
    <t>['sarankan', 'ngebet', 'update', 'mending', 'lancar', 'sinyalnya', 'nggak', 'telkomsel', 'sinyalnya', 'buruk', 'jaringan', 'kepuasan', 'pelanggan', 'nomer', 'pakai', 'telkomsel', 'nggak', 'pengen', 'ganti', 'jaringan', 'terima', 'kasih', 'mohon', 'maaf', '']</t>
  </si>
  <si>
    <t>['ulasan', 'smua', 'orang', 'orang', 'apk', 'telkomsel', 'telkomsel', 'penipu', 'tolong', '']</t>
  </si>
  <si>
    <t>['aplikasi', 'penipu', 'gais', 'bilangnya', 'daily', 'check', 'gratis', 'kuota', 'taunya', 'login', 'tempo', 'eventnya', 'expired', 'langsung', 'uninstall', 'pindah', 'pelanggan', '']</t>
  </si>
  <si>
    <t>['udah', 'beli', 'paket', 'nelpon', 'operator', 'notifikasi', 'paket', 'udah', 'aktif', 'dicek', 'pulsa', 'sudaj', 'berkurang', 'pas', 'anteng', 'nelpon', 'telkompret', 'pulsa', 'kesedot', 'sampe', 'habis', 'kecewa', 'parah', 'udah', 'sehat', 'cuk', 'nihh', '']</t>
  </si>
  <si>
    <t>['udah', 'harganya', 'mahal', 'jaringan', 'jelek', 'tolong', 'min', 'perbaiki', 'jaringan', 'daerah', 'jelek', 'teruss', 'cuman', 'telkomsel', 'bagus', 'axis', 'bagus', 'udah', 'ganti', 'kartu']</t>
  </si>
  <si>
    <t>['teman', 'sya', 'kemarin', 'perbarui', 'nomornya', 'nomor', 'sma', 'kartu', 'berbeda', 'alih', 'pulsaxa', 'habis', 'sedot', 'pertanyaanxa', 'kemana', 'pulsaxa', '']</t>
  </si>
  <si>
    <t>['telkomsel', 'suka', 'ambil', 'pulsa', 'reguler', 'sms', 'konfirmasi', 'paket', 'data', 'habis', 'kalu', 'sms', 'datangx', 'udah', 'telat', 'terpakai', 'pulsa', 'reguler', 'memgambil', 'pemberitahuan', 'matikan', 'comot', 'pulsa', 'orang']</t>
  </si>
  <si>
    <t>['notifikasi', 'nomor', 'aktif', 'isi', 'pulsa', 'disuruh', 'menghubungi', 'fitur', 'bantuan', 'very', 'slow', 'respond', '']</t>
  </si>
  <si>
    <t>['semoga', 'telkomsel', 'mnyediakan', 'paket', 'khusus', 'kuota', 'utama', 'harga', 'terjangkau', 'pembagian', 'kuota', 'sosmed', 'games', 'dll', '']</t>
  </si>
  <si>
    <t>['kecewa', 'mulu', 'jaringannya', 'bayarnya', 'mahal', 'bye', 'bye', 'merah', 'pindah', 'balas', 'bot', 'jawabannya', 'geblek']</t>
  </si>
  <si>
    <t>['beli', 'paket', 'tsel', 'kebeli', 'belu', 'ulang', 'double', 'kebeli', 'pulsa', 'rb', 'sia', 'sia', 'kebeli', 'double', 'aktifnya', 'kayak', 'akal', 'akalan', 'pulsa', 'kemakan', 'emang', 'telkomsel', 'sarankan', 'beli', 'paket', 'telkomsel', 'mending', 'beli']</t>
  </si>
  <si>
    <t>['aplikasi', 'login', 'link', 'telp', 'click', 'tautannya', 'kesel', 'niat', 'aplikasi', 'pelanggan', 'kecewa']</t>
  </si>
  <si>
    <t>['kecewa', 'telkomsel', 'isi', 'pulsa', 'langsung', 'kesedot', 'habis', 'kuota', 'internet', 'tolong', 'perbaiki', 'mengecewakan', 'pengguna']</t>
  </si>
  <si>
    <t>['kecewa', 'telkomsel', 'kedepan', 'menu', 'paket', 'nelpon', 'pelanggan', 'telkomsel', 'sebulan', 'tahunan', 'juli', 'tgl', 'cek', 'paket', 'nelpon', 'bulanan', 'seharga', 'beli', 'hilang', 'paket', 'terbitan', 'telkomsel', 'murah', 'mahal', 'harap', 'telkomsel', 'membedakan', 'pelanggan', 'pelanggan']</t>
  </si>
  <si>
    <t>['yth', 'telkomsel', 'pelanggan', 'setia', 'puas', 'pelayanan', 'keluhkan', 'mhon', 'telkomsel', 'mnyediakan', 'paket', 'telpon', 'khusus', 'telpon', 'kantor', 'rumah', 'menelpon', 'nmor', 'telpon', 'kantor', 'menghabiskan', 'pulsa', 'terima', 'kasih']</t>
  </si>
  <si>
    <t>['meninggalkan', 'layanan', 'pembenahan', 'harga', 'fair', 'internet', 'habis', 'pulsa', 'ludes', 'info', 'paket', 'hide', 'bingung']</t>
  </si>
  <si>
    <t>['signal', 'telkomsel', 'kesini', 'bagus', 'tolong', 'improve', 'telkomsel', 'harga', 'paket', 'data', 'internet', 'mahal', 'provider', '']</t>
  </si>
  <si>
    <t>['lemot', 'sinyalnya', 'hilang', 'jls', 'sinyalnya', 'banget', 'muncul', 'koneksi', 'internet', 'buruk', 'kuota', 'lbh', 'bagus', 'kuning', 'lancar', 'jaya']</t>
  </si>
  <si>
    <t>['iya', 'teman', 'teman', 'jan', 'lupa', 'download', 'aplikasi', 'telkomsel', 'memudahkan', 'pulsa', 'kuota', 'bnyak', 'bngt', 'promo', 'kuota', 'apk', 'mytelkomsel', 'bermaanfaat', 'uang', 'nambah', 'dikit', 'terimakasihh', '']</t>
  </si>
  <si>
    <t>['kecewa', 'update', 'telkomsel', 'terbaru', 'bukanya', 'sejahtera', 'fitur', 'paket', 'murah', 'nelpon', 'hilang', 'sayang', 'nelpon', 'keluarga', 'hilang', 'beli', 'paket', 'kemaren', '']</t>
  </si>
  <si>
    <t>['brengsek', 'jaringan', 'down', 'paket', 'mahal', 'kualitas', 'memuakkan', 'jaringan', 'stabil', 'kota', 'medan', 'sok', 'stabil', 'sadar', 'kemampuan', 'telkomsel']</t>
  </si>
  <si>
    <t>['jaringan', 'kunjung', 'membaik', 'parah', 'mementingkan', 'kecepatan', 'internet', 'keluhkan', 'kestabilan', 'jaringan', 'dimna', 'disaat', 'jaringan', 'memburuk', 'jaringan', 'membaik', 'terkadang', 'jaringan', 'lancar', 'rusak', 'jringan', 'telkomsel', 'lancar', 'bagus', 'buruk', 'berlanjut', '']</t>
  </si>
  <si>
    <t>['sblm', 'paket', 'unlimited', 'gabisa', 'gitu', 'mending', 'gausah', 'adain', 'paket', 'unlimited', 'paket', 'unlimited', '']</t>
  </si>
  <si>
    <t>['sebelah', 'kuning', 'biru', 'hijau', 'tetep', 'suka', 'telkomsel', 'beli', 'kuota', 'nyata', 'php', 'kadang', 'sinyal', 'suka', 'raib', 'but', 'all', 'best']</t>
  </si>
  <si>
    <t>['telkomsel', 'semenjak', 'ganti', 'logo', 'update', 'lelet', 'jaringan', 'emosi', 'bagusin', 'jaringan', 'pengguna', 'menyesal', 'berpindah', 'jaringan', '']</t>
  </si>
  <si>
    <t>['tolong', 'perbaiki', 'udh', 'diupdate', 'gabisa', 'dibuka', 'loading', 'emosi', 'pdhl', 'jaringan', 'bagus', 'sblm', 'update', 'lancar']</t>
  </si>
  <si>
    <t>['membantu', 'ditambah', 'menampilkan', 'penggunaan', 'real', 'time', 'nomor', 'tujuan', 'biaya', 'terbebankan', 'pasca', 'bayar', 'bermanfaat', 'sukses', 'mytelkomsel', '']</t>
  </si>
  <si>
    <t>['aplikasi', 'buruk', 'harga', 'paket', 'beli', 'berlangganan', 'harganya', 'aplikasi', 'versi', 'bagus', 'haduh', '']</t>
  </si>
  <si>
    <t>['kemana', 'komplain', 'jaringan', 'telkom', 'skrng', 'game', 'telegram', 'ajah', 'suka', 'yutube', 'facebook', 'ayolah', 'kolom', 'komentar', 'perbaikan', 'telkom', 'kaya', 'beda', 'kartu', '']</t>
  </si>
  <si>
    <t>['pengguna', 'telkomsel', 'sinyal', 'jaringan', 'telkomsel', 'bagus', 'trouble', 'jaringan', 'harapan', 'tingkatkan', 'kualitas', 'jaringan', 'internet', 'terima', 'kasih', '']</t>
  </si>
  <si>
    <t>['telkomsel', 'merugikan', 'pelanggan', 'bertahun', 'pulsa', 'utama', 'dikuras', 'habis', 'quota', 'internet', 'habis', 'sengaja', 'sistem', 'mencegah', 'pulsa', 'terpakai', 'paket', 'internet', 'habis', 'jaringan', 'internet', 'turun', 'terkadang', 'pas', 'disaat', 'iklan', 'promosi', 'zoonk', '']</t>
  </si>
  <si>
    <t>['hormat', 'pribadi', 'tolong', 'paketan', 'sediakansangat', 'mengecewakan', 'lipat', 'melonjak', 'derastis', 'pandemi', 'mahal']</t>
  </si>
  <si>
    <t>['kuota', 'multimedia', 'disitu', 'tertera', 'chat', 'musik', 'games', 'sosmed', 'chat', 'main', 'game', 'sosmed', 'berkurang', 'kuota', 'utama', 'tolong', '']</t>
  </si>
  <si>
    <t>['jaringan', 'mengontol', 'bagus', 'menurunkan', 'rank', 'yaaa', 'lumayan', 'harga', 'pas', 'kantong', 'sultan', 'arab', 'jaringan', 'tawarkan', 'cocok', 'mabar', 'pou', 'teman']</t>
  </si>
  <si>
    <t>['najis', 'jam', 'jaringan', 'idiot', 'begadang', 'selesaikan', 'pekerjaan', 'signal', 'bagus', 'pdhl', 'dibantu', 'indihome', 'samanya', 'telkomsel', 'indihome', 'msh', 'perusahaan', 'jakarta', 'lho', 'diluar', 'jakarta', 'mahal', 'doank', '']</t>
  </si>
  <si>
    <t>['gua', 'kesel', 'pelayanan', 'internet', 'tsel', 'ilang', 'gua', 'beli', 'kuota', 'ratusan', 'ribu', 'pelayanan', 'sampahhhh', 'bumn', 'harga', 'doang', 'naekin', 'kualitas', 'turunin', '']</t>
  </si>
  <si>
    <t>['moga', 'kedepannya', 'promonya', 'ayo', 'telkomsel', 'kalah', 'provider', 'promonya', 'harganya', 'tolong', 'kemahalanlah', '']</t>
  </si>
  <si>
    <t>['update', 'rumit', 'cek', 'quota', 'dsripada', 'aplikasi', 'update', 'kualitas', 'jaringan', 'jelek', 'wilayah', 'garut', 'cek', 'dimana', 'lokasi', 'maksud', 'komplain', 'kantor', 'alasannya', 'gmana', 'telkomsel', 'pengguna', 'telkomsel', 'jelek', '']</t>
  </si>
  <si>
    <t>['sya', 'tinggal', 'tangerang', 'malam', 'sinyal', 'kuota', 'data', 'sulit', 'mendapatkannya', 'telkomsel', 'lemah', 'sinyalnya', 'perbaiki', 'sinyal', 'data', 'wilayah']</t>
  </si>
  <si>
    <t>['aplikasi', 'telkomsel', 'repot', 'lgi', 'mengecek', 'pulsa', 'paket', 'data', 'aktif', 'thanks', 'telkomsel', '']</t>
  </si>
  <si>
    <t>['tolong', 'perbaiki', 'sinyalnya', 'daerah', 'surabaya', 'barat', 'kecamatan', 'benowo', 'kelurahan', 'kandangan', 'pelanggan', 'telkomsel', 'mengaku', 'kecewa', 'jaringan', 'telkomsel', '']</t>
  </si>
  <si>
    <t>['assalamualaikum', 'terhormat', 'telkomsel', 'blakangan', 'jaringan', 'buruk', 'hilang', 'timbul', 'pelanggan', 'setia', 'telkom', 'skarang', 'kecewa', 'tolong', 'jaringan', 'dinaiki']</t>
  </si>
  <si>
    <t>['beli', 'paket', 'gagal', 'pembelian', 'saldo', 'terpotong', 'berkali', 'kali', 'jawabannya', 'sistem', 'perbaikan', 'minggu', 'pengembalian', '']</t>
  </si>
  <si>
    <t>['egomu', 'reda', 'kembalilah', 'menunggumu', 'marah', 'perbaiki', 'yourrboyy', '']</t>
  </si>
  <si>
    <t>['nilai', 'pelit', 'poin', 'hadiah', 'tukar', 'poin', 'jelek', 'musim', 'lupa', 'makan', 'ikan', 'pindang', 'sayur', 'lodeh', 'sayang', 'langganan', 'ganti', 'deh']</t>
  </si>
  <si>
    <t>['gimana', 'telkomsel', 'akses', 'internet', 'sinyal', 'penuh', 'sabar', 'semenjak', 'kecepatan', 'internet', 'telkomsel', 'menurun', 'malam', 'kecepatan', 'akses', 'internet', 'cepat', 'mengakses', 'internet', 'memakai', 'aplikasi', 'mengecek', 'kecepatannya', 'hasilnya', 'sungguh', 'menggoblogkan', 'ping', 'unduh', 'kbps', 'unggah', 'kbps', 'memposting', 'gambar', 'lakukan', '']</t>
  </si>
  <si>
    <t>['mohon', 'aplikasi', 'telkomsel', 'dioptimalkan', 'update', 'terkendala', 'aplikasinya', 'bagus', 'masuk', 'tolong', 'donk', 'keluhan', 'kolom', 'komentar', 'tanggapi', 'kebaikan', 'kelancaran', 'pelayanan', 'telkomsel', 'pelanggannya', '']</t>
  </si>
  <si>
    <t>['jangkauan', 'jaringan', 'daerah', 'bagusss', 'ping', 'stabil', 'susah', 'terputus', 'teruss', 'minggu', 'kek', 'gini', 'nyaman', 'ajaa', 'pindah', 'provider', 'asuuu', '']</t>
  </si>
  <si>
    <t>['tolong', 'diperluas', 'diperbaiki', 'jaringannya', 'dikampung', 'mengkases', 'internet', 'kuotanya', 'mahal', 'mahal', 'sesuai', 'jaringannya', 'merendah', 'terimakasih', '']</t>
  </si>
  <si>
    <t>['membantu', 'mohon', 'berbahasa', 'indonesia', 'terkecuali', 'bawaannya', 'mudah', 'baca', 'pahami', 'sukses', 'mytelkomsel', '']</t>
  </si>
  <si>
    <t>['tolong', 'konfirmasi', 'telkomsel', 'sms', 'pelunasan', 'paket', 'darurat', 'kronologis', 'mengirim', 'sms', 'hei', 'telkomsel', '']</t>
  </si>
  <si>
    <t>['', 'update', 'sok', 'sok', 'ganti', 'model', 'tampilan', 'perbaiki', 'servernya', 'aplikasi', 'force', 'close', 'crash', 'aplikasi', 'super', 'lemot', 'pokoknya', 'full', 'minus', 'aplikasi']</t>
  </si>
  <si>
    <t>['maaf', 'ulasan', 'aplikasi', 'jaringan', 'telkomsel', 'the', 'best', 'telkomsel', 'puas', 'kualitas', 'internet', 'saking', 'best', 'sampe', 'gabisa', 'sehari', 'gangguan', 'harga', 'paket', 'internet', 'murah', 'sinyal', 'full', 'terimakasih', 'telkomsel', 'mendengarkan', '']</t>
  </si>
  <si>
    <t>['maaf', 'bintang', 'kurangi', 'sinyal', 'telkomsel', 'sakit', 'kepala', 'sakit', 'hati', 'tolong', 'copot', 'sinyal', 'sampah', 'gunanya', 'tolong', 'perhatikan', 'sinyalnya', 'error', 'harga', 'paketnya', 'diakali', 'trima', 'kasih', '']</t>
  </si>
  <si>
    <t>['maaf', 'sya', 'lancang', 'menulis', 'pesan', 'sya', 'org', 'membeli', 'paketan', 'telkomsel', 'knp', 'internet', 'lemot', 'banget', 'sinyal', 'normal', 'kouta', 'utama', '']</t>
  </si>
  <si>
    <t>['tampilan', 'bagus', 'cuman', 'membingungkan', 'overall', 'good', 'kedepannya', 'perbaiki', 'keleletan', 'aplikasinya', 'telkomsel']</t>
  </si>
  <si>
    <t>['telkomsel', 'mahal', 'doang', 'kuota', 'internet', 'kaya', 'indosat', 'bagus', 'jaringan', 'suka', 'lag', 'error', 'beli', 'mahal', 'keterangan', 'internetnya', 'sisanya', 'kuota', 'nonton', 'sosmed', 'disney', 'hotstar', 'tolong', 'kembalikan', 'paket', 'internet', '']</t>
  </si>
  <si>
    <t>['senyaman', 'isi', 'pls', 'telkomsel', 'lancar', 'kali', 'isi', 'transaksi', 'berhasil', 'pls', 'sepeserpun', 'nambah', '']</t>
  </si>
  <si>
    <t>['diupdate', 'ngga', 'nyaman', 'tampilan', 'hapus', 'aplikasinya', 'bahasa', 'ngga', 'dipahami', 'trimakasih']</t>
  </si>
  <si>
    <t>['telkomsel', 'bagus', 'jaringan', 'menjangkau', 'pelosok', 'desa', 'mahal', 'paketan', 'internetnya', 'kasihani', 'gaji', 'udah', 'gitu', 'membiayai', 'sekolah', 'daring', 'berat', 'mahal', '']</t>
  </si>
  <si>
    <t>['tolonglah', 'telkomsel', 'berulang', 'kali', 'isi', 'pulsa', 'terpotong', 'maksudnya', 'udah', 'isi', 'trus', 'hilang', 'isi', 'hilang', 'gimana', 'pelanggan', 'puas', 'kejadaian', 'pemakai', 'telkomsel', 'merugi', 'kejadian', 'pulsa']</t>
  </si>
  <si>
    <t>['update', 'nggak', 'beli', 'paket', 'nelpon', 'aplikasi', 'mytelkomsel', 'jaringan', 'wifi', 'isi', 'paket', 'internet', 'parah', 'internet', 'pakai', 'wifi']</t>
  </si>
  <si>
    <t>['beli', 'pulsa', 'tawarkan', 'paket', 'menarik', 'combo', 'sakti', 'internet', 'telpon', 'isi', 'pulsa', 'paket', 'dibeli', 'hilang', 'mantap', 'strateginya', 'kntl', '']</t>
  </si>
  <si>
    <t>['jaringan', 'telkomsel', 'teramat', 'jelek', 'ditempat', 'terpaksa', 'pakai', 'kartu', 'telkomsel', 'keluarga', 'telkomsel', 'donk', 'solusinya', 'lokasi', 'islam', 'bogor', 'tepatnya', 'mesjid', 'jami', 'baiturrahman', '']</t>
  </si>
  <si>
    <t>['', 'bintang', 'buka', 'app', 'cek', 'kuota', 'slalu', 'ferivikasi', 'ujung', 'eror', 'instal', 'ulang', 'udah', 'salin', 'link', '']</t>
  </si>
  <si>
    <t>['lakukan', 'penawaran', 'pilihan', 'kemarin', 'tiadakan', 'harga', 'mahal', 'harga', 'mikirdong', 'setia', 'kartu', 'telkomsel', 'membantu', 'mengecewakan', 'bintang', 'bentuk', 'kecewa', '']</t>
  </si>
  <si>
    <t>['maunya', 'apasih', 'udah', 'beli', 'kuota', 'lemot', 'perdana', 'jaringan', 'tercepat', 'kuota', 'mahal', 'ayo', 'lahhh', 'pelanggan', 'setia', 'telkomsel', 'buruk', 'lemot', 'gini', 'mending', 'harganya', 'naikin', 'boss', 'harga', 'kualitas', 'beli', 'mahal', 'dapetnya', 'ampas', 'gini', '']</t>
  </si>
  <si>
    <t>['ganti', 'kartu', 'sinyalnya', 'lemot', 'udh', 'beli', 'paketin', 'mahal', 'mahal', 'kecewa', 'kartu', 'telkomsel', '']</t>
  </si>
  <si>
    <t>['hmm', 'knp', 'jaringan', 'telkomsel', 'aneh', 'pas', 'nonton', 'ytb', 'tik', 'tok', 'jaringan', 'lancar', 'pas', 'main', 'game', 'jaringan', 'lemot', 'sinyal', 'kadang', 'jaringan', 'hilang', '']</t>
  </si>
  <si>
    <t>['terimakasih', 'telkomsel', 'umur', 'sellu', 'memakai', 'produk', 'telkomsel', 'karna', 'jaringan', 'plosok', 'negri', 'jaya', 'telkomsel', 'dapet', 'undian', 'nukar', 'poin', 'hehehe', 'mudah', 'mudahan', 'juli', 'dapet', 'hadiah', '']</t>
  </si>
  <si>
    <t>['pengamalan', 'telkom', 'mengasikan', 'indosat', 'dll', 'membeli', 'pulsa', 'pakai', 'berkurang', 'perlahan', 'pembelian', 'langganan', 'puasssssss', '']</t>
  </si>
  <si>
    <t>['', 'menolong', 'paket', 'dibagi', 'kepake', 'dikit', 'pilihan', 'pembelian', 'paket', 'voice', 'telpon', 'nomer', 'rumah', 'penjelasan', 'salah', 'beli', 'nomer', 'paket', 'nomer', 'rumah', 'parah', 'niat', 'kaya', 'akal', 'akalan']</t>
  </si>
  <si>
    <t>['paketannya', 'puyeng', 'mesti', 'maksa', 'bundling', 'dibatasi', 'aplikasi', 'simpel', 'jual', 'data', 'giga', 'pikir', 'orang', 'senggang', 'manfaatin', 'paketan', 'bisnis', 'jujur', 'bkkin', 'telkomsel', 'rugi', 'kebanyakan', 'cross', 'selling', 'tim', 'marketing', 'telkomsel', 'payah']</t>
  </si>
  <si>
    <t>['abis', 'diupdate', 'jelek', 'pulsa', 'beli', 'paket', 'beli', 'paket', 'jaringan', 'giliran', 'ganti', 'jaringan', 'pulsa', 'kepotong', 'pulsa', 'berkurang', 'gimana']</t>
  </si>
  <si>
    <t>['aplikasi', 'buruk', 'loadingnya', 'beli', 'paket', 'potong', 'emang', 'paket', 'aktif', 'beli', 'paket', 'jatuh', 'harganya', 'mahal', 'menyalahkan', 'konsumen', 'request', 'pembelian', 'aplikasi', 'loadingnya', 'pembelian', 'pembelian', 'solusi', 'terbaik', 'menyalahkan', 'konsumen', 'sistem', 'loading', 'lelet', 'bahaya', 'isi', 'pulsa', '']</t>
  </si>
  <si>
    <t>['gimana', 'udah', 'beli', 'paket', 'unlimited', 'youtube', 'pakai', 'udau', 'nungguin', 'seharian', 'tetep', 'gabisa', 'pakai']</t>
  </si>
  <si>
    <t>['applikasinya', 'erorr', 'kli', 'masuk', 'dpt', 'sms', 'kode', 'langsung', 'mati', 'mbuka', 'applikasi', 'cma', 'buka', 'telkomsel', 'knp', '']</t>
  </si>
  <si>
    <t>['pelanggan', 'setia', 'telkomsel', 'tahunan', 'memilih', 'beralih', 'memakai', 'axis', 'kecewa', 'pembelian', 'harga', 'akses', 'fup', 'dsb', 'pembelian', 'combosakti', 'unlimited', 'gajelas', 'kuota', 'sisa', 'unlimited', 'pakai', 'kemarin', 'beli', 'kuota', 'combo', 'sakti', 'unlimited', 'gb', 'habis', 'kuota', 'blass', 'game', 'tertulis', 'disitu', 'unlimited', 'game', 'max', 'tulis', 'disitu', 'combo', 'sakti', 'unlimited']</t>
  </si>
  <si>
    <t>['maaf', 'minggu', 'mengisi', 'voucher', 'muncul', 'notifikasi', 'sistem', 'sibuk', 'mohon', 'diperbaiki']</t>
  </si>
  <si>
    <t>['perusahan', 'bumn', 'kog', 'pasang', 'tarif', 'mahal', 'pelanggan', 'combo', 'sakti', 'hilang', 'layanan', 'direkomendasikan', 'beli', 'paket', 'mahal', 'migrasi', 'operator', 'laen']</t>
  </si>
  <si>
    <t>['login', 'cek', 'kuota', 'via', 'app', 'via', 'dial', 'via', 'sms', 'kualitas', 'jaringan', 'menurun', 'wilayah', 'pedesaan', 'kesini', 'pelayanan', 'buruk', 'mohon', 'perbaiki', '']</t>
  </si>
  <si>
    <t>['aplikasi', 'bermasalah', 'lambaaaaatttt', 'daily', 'check', 'bermasalah', 'kadang', 'menu', 'muncul', 'stamp', 'terkumpul', 'claim', 'hadiah', 'cacat', 'app']</t>
  </si>
  <si>
    <t>['telkomsel', 'prabayar', 'sekrng', 'pascabayar', 'pernh', 'aplikask', 'telkomsel', 'sejelek', 'semenjak', 'update', 'logo', 'buka', 'aplikasi', 'unistall', 'install', 'boros', 'kuota', 'jdi', 'sayang', 'skrng', 'jelek', 'aplikasi', '']</t>
  </si>
  <si>
    <t>['aplikasi', 'sampah', 'nggak', 'kirim', 'gift', 'coba', 'kirim', 'gift', 'input', 'nomor', 'tujuan', 'memilih', 'jenis', 'gift', 'aplikasi', 'terhenti', 'otomatis', 'home', 'coba', 'berulang', 'mengirim', 'gift', 'orangtua']</t>
  </si>
  <si>
    <t>['bingung', 'lihatnya', 'udh', 'beli', 'lihat', 'riwayat', 'suruh', 'beli', 'gimana', 'aplikasi', 'update', 'membingungkan', '']</t>
  </si>
  <si>
    <t>['kesel', 'dapet', 'voucher', 'diskon', 'paket', 'beli', 'paket', 'voucher', 'dipakai', 'beli', 'paket', 'midnight', 'menggabungkan', 'pulsa', 'voucher', 'diskon', 'tetep', 'pulsa', 'mencukupi', 'nambah', 'pulsa', 'beli', 'paket', 'midnight', 'paket', 'midnight', 'hilang', 'selisih', 'menit', 'doang', '']</t>
  </si>
  <si>
    <t>['sinyal', 'jelek', 'main', 'mobile', 'legend', 'bang', 'bang', 'mahal', 'doang', 'anjirr', 'tolong', 'perbaiki', 'produk', 'sesuai', 'harga', '']</t>
  </si>
  <si>
    <t>['tampilan', 'bagus', 'banget', 'paketnya', 'bagus', 'daftar', 'paket', 'harga', 'bersahabat', 'harganya', 'pelajar', '']</t>
  </si>
  <si>
    <t>['gmna', 'org', 'ksih', 'rating', 'bagus', 'unable', 'load', 'payah', 'telkomsel', 'parah', 'jelek', 'pelayanan', 'apk', 'tlg', 'diperbaiki', 'enak', 'telkom', 'enak', 'dpt', 'planggan', 'bnyak', 'make', 'enak', 'smpe', 'pindh', 'provider', '']</t>
  </si>
  <si>
    <t>['maaf', 'sinyal', 'stabil', 'mengecewakan', 'tolong', 'perbaikilah', 'tolong', 'puluhan', 'telkomsel', 'unjuk', 'bicara', 'terimakasih', 'pengertianya']</t>
  </si>
  <si>
    <t>['mengecewakan', 'test', 'aplikasi', 'publikasikan', 'login', 'link', 'valid', 'kadaluwarsa', 'perhatian', '']</t>
  </si>
  <si>
    <t>['knp', 'bug', 'emang', 'error', 'merugikan', 'beli', 'kuota', 'internet', 'aplikasi', 'dana', 'knp', 'coba', 'berkali', 'kali', 'beli', 'isi', 'dana', 'beli', 'kuota', 'internet', 'tolong', 'diperbaiki']</t>
  </si>
  <si>
    <t>['jaringan', 'tkomsel', 'andalin', 'jaringan', 'top', 'kedepan', 'tmbah', 'buruk', 'pdhl', 'huffttt', 'kecewa']</t>
  </si>
  <si>
    <t>['berlangganan', 'telkomsel', 'mudah', 'membantu', 'terima', 'kasih', 'telkomsel', 'mohon', 'tingkatkan', 'kebijakannya', 'paket', 'unlimited', 'mohon', 'mohon', 'tingkatkan', 'telkomselnya', 'terima', 'kasih', 'sabdul', 'rahim', '']</t>
  </si>
  <si>
    <t>['wkwkkw', 'mending', 'pindah', 'uda', 'pindah', 'ngapain', 'pakek', 'telkomsel', 'paket', 'mahal', 'trus', 'signal', 'jelek', 'rating', 'apk', 'jelek', 'kek', 'perusahaan']</t>
  </si>
  <si>
    <t>['halo', 'admin', 'telkomsel', 'kecewa', 'kuotaku', 'sisa', 'chatt', 'youtube', 'game', 'music', 'gabisa', 'nonton', 'youtube', 'main', 'game', 'chatt', 'dipake', 'gabisa', 'mohon', 'dibantu', 'jujur', 'kecewa', 'banget', 'kali', 'kuota', 'sisa', 'gabisa', 'rugi', 'kirim', 'keluhan', 'diemail', 'belom', 'respon', '']</t>
  </si>
  <si>
    <t>['beli', 'kartu', 'perdana', 'spesial', 'khusus', 'combo', 'sakti', 'diawal', 'paket', 'bbrpa', 'pemakaian', 'mumcul', 'paket', 'combo', 'saktinya', 'beli', 'perdana', 'nggak', 'murah', 'jujur', 'kecewa', 'telkomsel', 'mempermainkan', 'orang', '']</t>
  </si>
  <si>
    <t>['cerewet', 'kebayakan', 'update', 'susah', 'masuk', 'tolong', 'harga', 'paket', 'data', 'mahal', 'dikasih', 'murah', 'orang', 'miskin', 'promo', 'promo', 'mahal', 'mahal', 'murah', 'lihat', 'teman', 'beli', 'telkomsel', 'murah', 'murah', 'pembelian', 'paket', 'data', 'mahal', 'tolong', 'beda', 'bedain', 'adil', 'maaf', 'salah', 'sesuai', 'telkomsel', '']</t>
  </si>
  <si>
    <t>['woe', 'provider', 'telkomsel', 'knp', 'gwe', 'isi', 'vocer', 'data', 'mlem', 'sampe', 'malem', 'lgi', 'sistem', 'sibuk', 'trus', 'ngurusin', 'pelanggan', 'telkomsel', 'ngurus', 'pasien', 'kopid', 'sistem', 'sibuk', 'trus', 'kecewa', 'banget', 'sumpah', 'kartu', 'telkosel', 'gwe', 'lgsg', 'buang', 'kali', '']</t>
  </si>
  <si>
    <t>['pelayanannya', 'oke', 'jaringan', 'terkendala', 'alias', 'loading', 'tolong', 'tingkatkan', 'sistemnya', 'nyaman', 'telkomsel']</t>
  </si>
  <si>
    <t>['parah', 'sinyal', 'beli', 'kuota', 'cuk', 'payah', 'parah', 'sinyalnya', 'perbaiki', 'menjengkelkan', 'beli', 'kuota']</t>
  </si>
  <si>
    <t>['emang', 'the', 'best', 'provider', 'ngakalin', 'penggunanya', 'kuota', 'multimedia', 'paket', 'reguler', 'orang', 'maunya', 'kuota', 'multimedianya', 'dipake', 'kuota', 'reguler', 'beh', 'jaringan', '']</t>
  </si>
  <si>
    <t>['telkomsel', 'parah', 'jaringannya', 'kadang', 'emosi', 'pas', 'ngegame', 'lag', 'parah', 'kemaren', 'isi', 'pulsa', 'beli', 'kuota', 'gamemax', 'telkomsel', 'aplikasinya', 'gangguan', 'pas', 'cek', 'pulsa', 'rb', 'tinggal', 'rb', 'tolonglah', 'diperbaiki', 'jaringannya', 'pelanggan', 'terusan', 'kecewa']</t>
  </si>
  <si>
    <t>['telkomsel', 'penipu', 'promo', 'gb', 'seharga', 'rp', 'bertulis', 'promo', 'tanggal', 'juli', 'belinya', 'esok', 'harinya', 'sms', 'karna', 'ngira', 'promonya', 'juli', 'beli', 'besoknya', 'karna', 'dihari', 'blm', 'pulsa', 'tulis', 'promo', 'huh', 'penipu', '']</t>
  </si>
  <si>
    <t>['ngaco', 'daftar', 'paket', 'pulsa', 'balasanya', 'pulsa', 'pas', 'cek', 'pulsa', 'pulsa', 'potong', 'paket', 'tetep', 'gmn', '']</t>
  </si>
  <si>
    <t>['kali', 'ngisi', 'pulsa', 'berhasil', 'beli', 'paket', 'aplikasi', 'sms', 'kirain', 'berhasil', 'gagal', 'cek', 'aplikasi', 'liat', 'saldo', 'pulsa', 'pulsa', 'kesedot', 'kesel', 'bangett', 'aplikasi', 'mohon', 'tanggung']</t>
  </si>
  <si>
    <t>['isi', 'pulsa', 'rencana', 'beli', 'paket', 'unlimited', 'dipotong', 'mengambil', 'uang', 'rakyat', '']</t>
  </si>
  <si>
    <t>['selamat', 'hilang', 'pelanggan', 'paket', 'kuwota', 'internet', 'harganya', 'mahal', 'rb', 'jaringan', 'buruk', 'lingkungan', 'rumah', 'cuman', 'itupun', 'lelet', 'makan', 'uang', 'orang', 'layanan', 'pelanggan', 'complain', 'veronika', 'bertele', 'tele', 'alamat', 'lengkap', 'lokasi', 'map', 'sekolah', 'jaman', 'gank', 'tepatnya', 'dilacak', 'nipu', 'pelanggan', '']</t>
  </si>
  <si>
    <t>['perbaiki', 'aplikasinyaa', 'customer', 'kecewa', 'dri', 'sore', 'membeli', 'paket', 'tpi', 'sampe', 'jam', 'malam', 'blm', 'notifikasi', 'masuk', 'pulsa', 'udah', 'kepotong']</t>
  </si>
  <si>
    <t>['app', 'kadang', 'error', 'udah', 'update', 'force', 'close', 'hujan', 'skrg', 'suka', 'ngadat', 'telkomsel', 'yaaaa', 'lancar', 'jaya', 'badai', 'petir', 'melanda', 'hati', '']</t>
  </si>
  <si>
    <t>['aplikasi', 'bagus', 'mudah', 'disayangkan', 'nyaman', 'jaringan', 'internet', 'tindakan', 'jaringan', 'idul', 'fitri', 'kacau', 'daerah', 'telkomsel', '']</t>
  </si>
  <si>
    <t>['', 'telkomsel', 'sinyalnya', 'lemot', 'paket', 'data', 'sekrang', 'paket', 'data', 'batas', 'wajar', 'nyaman', 'pas', 'sisa', 'paket', 'data', 'wajar', 'buka', 'youtube', 'lemot', 'mahala']</t>
  </si>
  <si>
    <t>['palembang', 'air', 'sugihan', 'pangkalan', 'sakti', 'tower', 'mati', 'belasan', 'sebulan', 'tahunan', 'tower', 'mati', 'duhh', 'nunggunya', 'harian', 'kadang', 'hidup', 'kadang', 'jarang', 'nyala', 'tolong', 'yth', 'telkomsel', 'memperbaiki', 'jaringam']</t>
  </si>
  <si>
    <t>['hahha', 'proses', 'pembelian', 'paketnya', 'bro', 'dimana', 'orang', 'buru', 'seandainya', 'buru', 'nelpon', 'ambulan', 'orang', 'sekarat', 'paket', 'beli', 'paket', 'nunggu', 'prosesnya', 'keburu', 'mati', 'diluan', 'orang', 'sekarat', 'hhahah', 'umpama', 'telonh', 'perbaikin', 'dev', 'udah', 'bener', 'cepat', 'proses', 'pembelian', 'paketnya', 'janji', 'kasih', 'bintang', 'bintang', 'kasih', 'bintang', 'plus', 'emot', 'bintang', 'emas', '']</t>
  </si>
  <si>
    <t>['kecewa', 'aplikasi', 'kuota', 'multimedia', 'pilihan', 'kuota', 'gb', 'dipaksa', 'beli', 'paket', 'kuota', 'multimedia', 'abal', 'abal', 'ngasih', 'gratis', 'kuota', 'multimedianya', 'aplikasi', 'versi', 'ter', 'update', 'msh', 'out', 'off', 'date', '']</t>
  </si>
  <si>
    <t>['jaringan', 'tolong', 'diperkuat', 'ntt', 'sumba', 'timur', 'sinyal', 'stabil', 'turun', 'kadang', 'hilang', 'rugi', 'beli', 'paketan', 'data', 'ujung', 'terpakai', '']</t>
  </si>
  <si>
    <t>['telkomsel', 'informasi', 'bbrpa', 'nomor', 'istri', 'tbtb', 'non', 'aktif', 'linedll', 'nomor', 'trsbt', 'aktif', 'orang', 'tolong', 'terkait', 'menerbitkan', 'nomor', 'data', 'pengguna', 'riset', 'dihapus', 'disalah', 'guanakan', 'trims']</t>
  </si>
  <si>
    <t>['cuman', 'aplikasi', 'logonya', 'update', 'tolong', 'paketan', 'kaya', 'ketengan', 'youtube', 'update', 'iya', 'udah', 'kuota', 'ketengan', 'youtube', 'gunain', 'pulsa', 'pas', 'pasan', 'maketin', 'kek', 'gini', 'buka', 'aplikasi', 'youtube', 'cuman', 'tanda', 'loading', 'habis', 'tulisan', 'offline', 'payah', 'telkomsel', 'dirugiin', 'kompensasinya', '']</t>
  </si>
  <si>
    <t>['mohon', 'harga', 'kuota', 'paket', 'khusus', 'zona', 'pengguna', 'pelanggan', 'wilayah', 'zona', 'bonusan', 'reedem', 'potongan', 'harga', 'hrga', 'zona', 'mhal', 'gda', 'bonusan', 'kuwalitas', 'pelayanan', 'maksimal', '']</t>
  </si>
  <si>
    <t>['', 'sakitt', 'epribadihhhh', 'bln', 'kuota', 'data', 'provider', 'mengecewakan', 'beralih', 'provider', 'lancar', 'hambatan', 'menit', 'barusan', 'penasaran', 'spt', 'telkomsel', 'beli', 'data', 'sengaja', 'gb', 'sinyal', 'jln', 'samsek']</t>
  </si>
  <si>
    <t>['paketan', 'berlangganan', 'dibeli', 'telkomsel', 'menolak', 'alasan', 'pelanggan', 'setia', 'telkom', 'telkom', 'udah']</t>
  </si>
  <si>
    <t>['membantu', 'memperluas', 'jaringan', 'menemukan', 'sahabat', 'memperkaya', 'wawasan', 'tukar', 'informasi', 'sebaran', 'info', 'actual', 'mudah', 'diakses', 'telkomsel', 'merangkul', 'terjauh', 'menemukan', 'hilang']</t>
  </si>
  <si>
    <t>['pembelian', 'mahal', 'paket', 'murah', 'diganti', 'ditawari', 'diganti', 'kartu', 'pascabayar', 'gb', 'rb', 'gb', 'rb', 'ditawari', 'pascabayar', 'pascabayar', 'kartu', 'hallo', '']</t>
  </si>
  <si>
    <t>['buruk', 'cocok', 'beli', 'beli', 'paket', 'bayar', 'jaringan', 'full', 'daerah', 'boros', 'data']</t>
  </si>
  <si>
    <t>['udah', 'hubungin', 'min', 'telegram', 'chat', 'operator', 'sya', 'pindah', 'operator', 'datanya', 'dibohongi', 'aman', 'promo', 'ditawarkan', 'parah', 'info', 'pembelian', 'paket', 'gagal', 'manis', 'diiklan', 'intiny', 'bohong', 'paket', 'gb', 'ceria', 'ditawarkan', 'ngak', 'diambil', 'jaringan', 'gagal', 'jaringan', 'stabil', 'gagal', '']</t>
  </si>
  <si>
    <t>['jujur', 'kesel', 'apps', 'jelek', 'kebuka', 'sebentar', 'ngeblank', 'gara', 'apps', 'tolong', 'perbaiki', 'pakai', 'telkomsel', 'performanya', 'nurun']</t>
  </si>
  <si>
    <t>['tolong', 'perbaiki', 'sinyal', 'simpati', 'merak', 'suralaya', 'jelek', 'main', 'game', 'bagus', 'perbaiki', 'jelek', 'telkomsel', 'game', 'pemakai', 'perbaiki']</t>
  </si>
  <si>
    <t>['update', 'buka', 'app', 'login', 'ulang', 'sibuk', 'login', 'mulu', 'bintangy', 'kurangi', 'main', 'game', 'sinyalnya', 'turun', 'pdhl', 'mahal', 'lho', 'paket', 'internet', '']</t>
  </si>
  <si>
    <t>['prasaan', 'telkomsel', 'payah', 'layanannya', 'sinyal', 'stabil', 'paket', 'terbilang', 'murah', 'setia', 'mgkn', 'wktunya', 'ganti', 'provider', '']</t>
  </si>
  <si>
    <t>['banget', 'sekelas', 'telkomsel', 'pembelian', 'paket', 'pending', 'proses', 'paket', 'dipilih', 'pending', 'jam', 'masuk', 'pemberitahuan', 'mengaktifkan', 'paket', 'solusi', 'paket', 'refund', 'pulsa', '']</t>
  </si>
  <si>
    <t>['pulsaq', 'hilang', 'sya', 'cek', 'trnyta', 'terdaftar', 'paket', 'tlf', 'ktanya', 'sya', 'sndri', 'beli', 'paket', 'wkwkwk', 'sdah', 'debat', 'krna', 'sya', 'trima', 'mrasa', 'beli', 'paket', 'ttep', 'ktanya', 'bsa', 'pulsaq', 'pdahal', 'system', 'mencuri', 'pulsaq', 'dasar', 'telkomsel', 'mencuri', 'pulsa', 'pelanggan', '']</t>
  </si>
  <si>
    <t>['bisanya', 'maaf', 'sinyal', 'eror', 'mulu', 'udah', 'beli', 'kuota', 'mahal', 'sinyal', 'jelek', 'pengguna', 'telkompret', 'yuk', 'pindah', 'indosat', 'lainya', 'sinyal', 'jelek', 'paket', 'mahal', 'bertanggung']</t>
  </si>
  <si>
    <t>['ngawurr', 'beli', 'paketan', 'harganya', 'beli', 'paket', 'bln', 'kmaren', 'beli', 'murah', 'aneeeh', 'boros', 'kaya', 'gitu', 'gimana', 'paketan', 'bln', 'yakali', 'suruh', 'beli', 'sebulan', 'pikir', 'pejabat', 'sebulan', 'kebuang', 'gimanayg', 'next', 'day', 'mesti', 'beli', 'kebuang', 'kuota', 'next', 'day', 'beli', 'sebulan', 'ngabisin', 'gtu']</t>
  </si>
  <si>
    <t>['beli', 'paketan', 'perasaan', 'lancar', 'susah', 'banget', 'beli', 'paketan', 'telkomsel', 'beli', 'promo', 'pas', 'udh', 'bayar', 'notif', 'ttg', 'paket', 'masuk', 'blabla', 'coba', 'mati', 'daya', 'ttp', 'blm', 'masuk', 'beli', 'rb', 'udh', 'kebeli', 'kalinya', 'nyoba', 'buka', 'ngetes', 'notif', 'dibuka', 'iya', 'pulsa', 'ber', 'krg', 'rb', 'paketannya', 'engga', 'masuk', 'skli', 'gmn', 'telkomsel', '']</t>
  </si>
  <si>
    <t>['apl', 'gmn', 'isi', 'ulang', 'kuota', 'diupdate', 'bagus', 'kaya', 'gni', 'isi', 'ulang', 'kuota', 'lwt', 'apl', 'knp', 'skrg', 'tolong', 'udh', 'diupdate', 'bagus', 'eror', 'gini', 'logonya', 'bagus', 'tpi', 'isi', 'ulang', 'tolong', 'yaa', 'telkomsel', 'diperbaiki', 'pakai', 'kali', 'eror', 'tolong', 'kerjasamanya', 'diperbaiki', '']</t>
  </si>
  <si>
    <t>['tolong', 'perbaiki', 'berlangganan', 'viu', 'disney', 'hotsar', 'nyedot', 'kuota', 'utama', 'kouta', 'utama', 'kouta', 'appsnya', 'habis', 'aplikasi', 'gabisa', 'dibuka', 'tolong', 'perbaiki', 'telkomsel']</t>
  </si>
  <si>
    <t>['kasih', 'bintang', 'maaf', 'pengguna', 'telkomsel', 'pulluhan', 'mahal', 'beli', 'kode', 'gb', 'harga', 'rb', 'tolong', 'hargai', 'pengguna', 'telkomsel', 'lawas', 'min', 'maen', 'naikin', 'harga', 'tks']</t>
  </si>
  <si>
    <t>['provider', 'kocak', 'buka', 'aplikasi', 'pakai', 'kartu', 'telkomnya', 'banget', 'udah', 'beli', 'kuota', 'tulisannya', 'kuota', 'udah', 'dipake', 'pas', 'dinyalakan', 'data', 'pulsa', 'kesedot', 'ratting', 'doang', 'bug', 'difix', '']</t>
  </si>
  <si>
    <t>['login', 'mytelkomsel', 'kode', 'valid', 'expired', 'coba', 'puluh', 'kali', 'hasilnya', 'kode', 'valid', 'expired', 'mohon', 'pencerahannya', 'terimakasih', '']</t>
  </si>
  <si>
    <t>['brengsek', 'beli', 'paket', 'promo', 'ngapain', 'ngasi', 'promo', 'dibeli', 'dagangan', 'buruk', 'kehari', 'kebohongan', 'trus', 'sajikan', 'buruk', 'customer', 'mending', 'oprator', 'laen']</t>
  </si>
  <si>
    <t>['kenceng', 'banget', 'jaringannya', 'buruk', 'banget', 'pindah', 'nie', 'jaringan', 'sebelah', 'tolong', 'perbaiki', '']</t>
  </si>
  <si>
    <t>['aplikasinya', 'bagus', 'sayangnya', 'disaat', 'membeli', 'kuota', 'kuota', 'kuota', 'terpakai', 'kuota', 'kuota', 'disayangkan', '']</t>
  </si>
  <si>
    <t>['tolong', 'tingkat', 'perhatikan', 'pelosok', 'kaltim', 'berau', 'bertepatan', 'kampung', 'inaran', 'tertinggal', 'signal', 'telkomsel', 'karna', 'low', 'signal', 'datanya', 'hormat', 'pelanggan', 'setia', 'telkomsel', '']</t>
  </si>
  <si>
    <t>['kurangnya', 'promo', 'telkomsel', 'kuota', 'mahal', 'beda', 'produk', 'karna', 'byk', 'kenal', 'masykt', 'malas', 'mengganti', 'produk', '']</t>
  </si>
  <si>
    <t>['parah', 'abis', 'upgrade', 'jaringan', 'putus', 'putus', 'tolong', 'donk', 'diperbaiki', 'jaringan', 'sinyalnya', 'diperkuat', 'waduhh', 'telkomsel', 'didaerah', 'cilegon', 'rusak', 'banget', 'online', 'ilang', 'sinyal', 'abis', 'upgrade', 'betah', 'banget', '']</t>
  </si>
  <si>
    <t>['kak', 'daerah', 'sinyal', 'telkomsel', 'lemah', 'nelpon', 'sms', 'internetan', 'mohon', 'bantu', 'tks', 'salam', 'sehat']</t>
  </si>
  <si>
    <t>['pengalaman', 'sya', 'gempa', 'sya', 'fans', 'banget', 'telkomsel', 'ditahun', 'pakai', 'telkomsel', 'tpi', 'shbis', 'gempa', 'lalot', 'interntan', 'parah', 'syran', 'bleh', 'bangun', 'tower', 'bts', 'huntap', 'terimakasih', '']</t>
  </si>
  <si>
    <t>['kuota', 'gigamax', 'dibeli', 'konsumen', 'dijadikan', 'sapi', 'perah', 'pertanggung', 'suka', 'mendzhalimi', 'konsumen']</t>
  </si>
  <si>
    <t>['pulsa', 'hilang', 'pas', 'beli', 'paket', 'pas', 'beli', 'paket', 'nga', 'pesan', 'pulsa', 'beli', 'pulsa', 'rb', 'beli', 'paket', 'gb', 'nga', 'pulsa', 'berkurang', 'sitem', 'tolong', 'ganti', 'rugi', 'pulsa', '']</t>
  </si>
  <si>
    <t>['pelanggan', 'telkomsel', 'temen', 'temen', 'ber', 'alih', 'telkomsel', 'pindah', 'telkomsel', 'bagus', 'buruk', 'sms', 'telpon', 'masuk', 'gangguan', 'tlp', 'call', 'center', 'solusi', 'urus', 'liat', 'gangguan', 'tlp', 'tetep', 'perubahan', 'tinggalin', 'telkomsel', 'provider', '']</t>
  </si>
  <si>
    <t>['apk', 'buruk', 'buruk', 'buruk', 'buruk', 'gue', 'nyesel', 'telkomsel', 'buruk', 'menghubungi', 'pusat', 'bantuan', 'membantu', 'pelayanan', 'buruk', 'bertahun', 'pakai', 'telkomsel', 'kali', 'kecewa', 'tebaik', 'terburuk', 'maketin', 'susah', 'coba', 'sistem', 'sibuk']</t>
  </si>
  <si>
    <t>['', 'banget', 'udah', 'jaringan', 'lelet', 'trus', 'pulsa', 'kepotong', 'sms', 'tlfon', 'internet', 'kesini', 'banget']</t>
  </si>
  <si>
    <t>['parah', 'beli', 'pulsa', 'telkomsel', 'quata', 'pulsa', 'termakan', 'habis', 'operator', 'ampun', 'dech', 'hati', 'beli', 'pulsa', 'tercolong', 'habis', 'gprs', 'telkomsel', 'data', 'mati', 'browsing', 'pakai', 'wifi', '']</t>
  </si>
  <si>
    <t>['mahal', 'harga', 'absurb', 'sinyal', 'ngga', 'mendukung', 'custemer', 'saranin', 'kartu', 'telkom', 'mending', 'nomor', 'pulsa', 'kaya', 'nelfon', 'sms', 'doang', 'beli', 'paket', 'rugi', 'udh', 'ngalamin', 'hoax', '']</t>
  </si>
  <si>
    <t>['jaringan', 'telkomsel', 'llt', 'banget', 'buka', 'sendat', 'youtube', 'instagram', 'dll', 'kesal', 'pengen', 'pecahin', 'pecahin', 'marahin', 'malam', 'pendapat', 'semoga', 'telkomsel', 'sekian', 'terima', 'kasih']</t>
  </si>
  <si>
    <t>['tampilan', 'hrs', 'perbaiki', 'gpp', 'tampilan', 'burik', 'nyaman', 'lemot', 'apk', 'ganti', 'operator', 'bgini', 'telkomsel', 'pengguna', 'telkomsel', 'pindah', 'operator', 'lemot', 'apk', '']</t>
  </si>
  <si>
    <t>['jaringan', 'buruk', 'dri', 'jaman', 'pakai', 'telkomsel', 'kelen', 'harga', 'paket', 'internet', 'mahal', 'mahal', 'dri', 'provider', 'ekspektasi', 'thd', 'jaringan', 'internetmu', 'bozz', 'terbalik', 'paket', 'mahal', 'kualitas', 'jaringan', 'buruk', 'pindah', 'haluan', 'sperti']</t>
  </si>
  <si>
    <t>['bintang', 'full', 'mikir', 'woy', 'sumpah', 'parah', 'telkomsel', 'untungnya', 'paket', 'data', 'super', 'mahal', 'trima', 'kasih', 'min', 'udah', 'update', 'udh', 'pindah', 'kartu', 'indosat', 'joss', 'harga', 'paket', 'termurah']</t>
  </si>
  <si>
    <t>['telkom', 'parah', 'jaringan', 'singyal', 'full', 'lelet', 'harga', 'mahal', 'kayak', 'gitu', 'tolong', 'telkom', 'perbaiki', 'pakai', 'indosat', 'singyal', 'batang', 'lancar', 'main', 'game', 'sosmed', 'telkom', 'singyal', 'full', 'main', 'game', 'menghubungkan', 'lag', 'harga', 'doang', 'mahal', 'kualitas', 'bagus']</t>
  </si>
  <si>
    <t>['terimakasih', 'telkomsel', 'semoga', 'terbaik', 'pelanggan', 'telkomsel', 'semoga', 'berjaya', 'negri', 'sabang', 'meruke', 'khusnya', 'diseluru', 'jagatraya', 'amiin']</t>
  </si>
  <si>
    <t>['beli', 'paket', 'omg', 'internet', 'omg', 'habis', 'knpa', 'paket', 'pakai', 'sdangkan', 'aktif', 'knpa', 'kenakan', 'tarif', 'pulsa', 'jdi', 'plsa', 'habis', 'jdi', 'parah', 'kaya', 'gini', 'telkomsel', 'tolong', 'pnjelasan', '']</t>
  </si>
  <si>
    <t>['beli', 'kouta', 'unlimite', 'nonton', 'youtube', 'masak', 'kesedot', 'kouta', 'utama', 'apanya', 'unlimite', 'bos', 'bego', 'begoin', 'bego', 'beneran', 'nyadar', 'cek', 'kouta', 'utama', 'main', 'game', 'lag', 'parah', 'simpati', 'pindah', 'kartu', 'klau', 'kayak', 'gini', 'giliran', 'main', 'game', 'lancar', 'yuk', 'pindah', 'jamin', 'lancar', 'jaya', 'simpati', 'mahal', 'doank', 'leg', 'parah', 'main', 'game', 'nyesel', 'beli', 'kouta', 'telkomsel', 'mending', '']</t>
  </si>
  <si>
    <t>['cobalah', 'mengerti', 'jaringan', 'serasa', 'konsumen', 'rasakan', 'kah', 'ngelag', 'loading', 'konsumen', 'menilaiii', 'gua', 'lagu', 'ulasannya', '']</t>
  </si>
  <si>
    <t>['woi', 'mahal', 'haa', 'kaga', 'krisis', 'covid', 'pelanggan', 'setia', 'telkomsel', 'pindah', 'provider', '']</t>
  </si>
  <si>
    <t>['apaanih', 'isi', 'pulsa', 'bayar', 'pinjaman', 'paket', 'darurat', 'taunya', 'kebayar', 'pulsa', 'ilang', 'pas', 'masukin', 'voucer', 'jaringan', 'sibuk', 'buruk', 'telkom', '']</t>
  </si>
  <si>
    <t>['kecewa', 'paket', 'beli', 'aktif', 'udah', 'nyoba', 'puluhan', 'kali', 'balasan', 'padhl', 'pulsa', 'ckup', '']</t>
  </si>
  <si>
    <t>['semoga', 'telkomsel', 'kedepan', 'jaringan', 'kuat', 'terjangkau', 'pelosok', 'negri', 'terjangkau', 'hargax']</t>
  </si>
  <si>
    <t>['jaringannya', 'udh', 'apknya', 'knp', 'beli', 'paket', 'maaf', 'gangguan', 'sistem', 'coba', 'pas', 'coba', 'knp', 'tetep']</t>
  </si>
  <si>
    <t>['telkomsel', 'ganti', 'perdana', 'pindah', 'operator', 'pelanggan', 'setia', 'telkomsel', 'thn', 'telkomsel', '']</t>
  </si>
  <si>
    <t>['pengembang', 'telkomsel', 'bego', 'tolol', 'aplikasi', 'telkomsel', 'bohong', 'download', 'ngasih', 'kuota', 'kuota', 'mytelkomsel', 'hooaaaax', '']</t>
  </si>
  <si>
    <t>['sinyalnya', 'lelet', 'buka', 'lite', 'butuh', 'harga', 'paketannya', 'yak', 'paket', 'rb', 'harganya', 'rb', 'pindah', 'simerah', 'cocok', 'dibeli', 'paketannya', 'speed', 'internet', 'bagus', 'kyk', 'gpp', 'udah', 'lemot', 'mahal', '']</t>
  </si>
  <si>
    <t>['aplikasinya', 'bagus', 'banget', 'sayang', 'ngasih', 'informasi', 'promo', 'kuota', 'sasaran', 'giliran', 'beli', 'eeeeh', 'promo', 'kuota', 'giliran', 'beli', 'tunggu', 'nongol', 'promo', 'coba', 'tolong', 'akurasi', 'promo', 'sasaran', 'yaaaa', '']</t>
  </si>
  <si>
    <t>['telkomsel', 'pulsa', 'habis', 'paket', 'internet', 'aktif', 'proses', 'aktif', 'paket', 'mengecewakan', 'mohon', 'kejujuran', 'tangung', '']</t>
  </si>
  <si>
    <t>['kuota', 'gamesmax', 'dipakaiiiiii', 'beli', 'main', 'game', 'ngirit', 'dipakai', 'gunanya', 'akses', 'game', 'offline', 'cepat', 'diperbaiki', 'lahhhhh', 'telkomsel']</t>
  </si>
  <si>
    <t>['parah', 'isi', 'pulsa', 'rupiah', 'aktif', 'paket', 'rupiah', 'paket', 'aktif', 'pulsa', 'kepotong', 'sms', 'isi', 'pesan', 'sisa', 'pulsa', 'mencukupi', 'aktif', 'fin', 'pulsa', 'kepotong', 'pesan', 'kek', 'gitu', '']</t>
  </si>
  <si>
    <t>['tekomsel', 'mengecewakan', 'telkomsel', 'pulsa', 'hilang', 'cek', 'transaksi', 'internet', 'internet', 'wifi', 'rumah', 'isi', 'pulsa', 'pulsa', 'besoknya', 'lasung', 'hbs', 'twiter']</t>
  </si>
  <si>
    <t>['tolong', 'perbaiki', 'jaringan', 'sinyal', 'full', 'berasa', 'sekedar', 'notifikasi', 'chat', 'whatshapp', 'masuk', 'tolong', 'perbaiki', 'kenyamanan', '']</t>
  </si>
  <si>
    <t>['dear', 'mytelkomsel', 'beli', 'paket', 'combo', 'sakti', 'tpi', 'gabisa', 'emng', 'paketan', 'kadaluarsa', 'ilangin', 'muncul', 'tab', 'shop', 'kesel', 'bet', 'sumpah', 'setelaj', 'diupdate', 'mlah', 'aneh', 'apk', '']</t>
  </si>
  <si>
    <t>['harga', 'mahal', 'jaringan', 'jelek', 'main', 'game', 'jaringan', 'telkomsel', 'jelek', 'kalah', 'indosat', 'jaringanya', 'malas', 'banget', 'pakai', 'telkomsel', 'harga', 'mahal', 'jaringanya', 'kalah', 'murah', 'parahni', 'telkomsel', 'saran', 'jaringan', 'dibperkuat', 'harga', 'mahal', 'kualitas', 'jaringan', 'jelek', 'kalah', 'murah']</t>
  </si>
  <si>
    <t>['paket', 'unlimited', 'lemot', 'ngegame', 'lag', 'sosmed', 'muter', 'muter', 'maunya', 'coba', 'kek', 'gini', 'bayar', 'mahal', 'dapet', 'kek', 'gitu']</t>
  </si>
  <si>
    <t>['telkomsel', 'bener', 'paket', 'intwrnet', 'max', 'dihilangin', 'padahl', 'tempatku', 'beli', 'paket', 'internet', 'yabg', 'murah', 'lumayan', 'paket', 'internetnya', 'habis', 'pulsa', 'langsung', 'disedot', 'izinnn', '']</t>
  </si>
  <si>
    <t>['gua', 'habis', 'review', 'disuruh', 'kontak', 'langsung', 'via', 'twitter', 'dll', 'asli', 'bener', 'aplikasi', 'buka', 'apk', 'sinyal', 'telkomsel', 'buka', 'unlimited', 'youtube', 'lancar', 'sinyal', 'unlimited', 'contohnya', 'instagram', 'lancar', 'tolong', 'telkomsel', 'perbaiki', 'fokus', 'doang', '']</t>
  </si>
  <si>
    <t>['apk', 'bagus', 'jaringannya', 'ancur', 'ngk', 'stabil', 'pdhl', 'kota', 'dahlah', 'sebulan', 'ganti', 'ajalahh', 'bagus', '']</t>
  </si>
  <si>
    <t>['telkomnyet', 'perbaiki', 'jaringan', 'kau', 'bodat', 'paket', 'mahal', 'keuntungan', 'dri', 'penjualan', 'paket', 'nda', 'kemajuan', 'jaringan', 'masuk', 'telkomsel', 'leletnya', 'ampun', '']</t>
  </si>
  <si>
    <t>['aplikasinya', 'butut', 'pisan', 'aya', 'nempo', 'handap', 'pan', 'urang', 'ges', 'ngomong', 'app', 'alus', 'pisan']</t>
  </si>
  <si>
    <t>['signal', 'parah', 'pakai', 'kartu', 'haloo', 'telat', 'bayar', 'denda', 'pemutusan', 'telkomsel', 'the', 'best', 'kalah', 'tetangga', 'sebelah', 'uda', 'murah', 'signal', 'baguuussss', '']</t>
  </si>
  <si>
    <t>['harga', 'paket', 'mahal', 'gb', 'ribu', 'ribu', 'ribu', 'mahal', 'pakek', 'kartu', 'telkomsel', 'thn', 'dapar', 'promo', 'murah', 'mahal', 'harga', 'paketnya', 'haduuuuhhh', '']</t>
  </si>
  <si>
    <t>['coba', 'tambahin', 'menu', 'aplikasinya', 'mengunci', 'pulsa', 'kepake', 'paket', 'abis', 'gue', 'gitu', 'pulsa', 'bru', 'isi', 'abis', 'nyisa', 'gara', 'paket', 'abis', 'coba', 'aplikasi', 'pembatas', 'pulsa', 'paket', 'abis', 'kebawa', 'pulsanya', 'kaya', 'aplikasi', 'sebelah', 'memuaskan', 'kaya', 'menjengjelkan', '']</t>
  </si>
  <si>
    <t>['meng', 'aktifkan', 'paket', 'berlangganan', 'disney', 'hotstar', 'kuota', 'berkurang', 'sesuai', 'pelayanan', 'paket', 'ditawarkan', '']</t>
  </si>
  <si>
    <t>['paket', 'data', 'ditawarkan', 'sms', 'dibeli', 'paket', 'swadaya', 'dibeli', 'harga', 'paket', 'data', 'pesat', 'menguntungkan']</t>
  </si>
  <si>
    <t>['', 'telkomsel', 'aneh', 'udah', 'beli', 'pulsa', 'ngurangin', 'dasar', 'telkomsel', 'bener', 'dasar', 'ngurangin', 'kesel', 'telkomsel', 'tolong', 'perbaiki', '']</t>
  </si>
  <si>
    <t>['nyeseeel', 'download', 'download', 'promo', 'sms', 'cmn', 'beli', 'harga', 'telkomsel', 'heran', 'make', 'harganya', 'selangit', 'sinyalnya', 'udh', 'lelet', 'daerah', 'kartu', 'pakai', 'telkomsel']</t>
  </si>
  <si>
    <t>['tolong', 'telkomsel', 'paket', 'internet', 'habis', 'otomatis', 'nyedot', 'pulsa', 'rugi', 'pulsa', 'habis', 'karuan', 'sistem', 'ngerugiin', 'pelanggang', 'main', 'sedot', '']</t>
  </si>
  <si>
    <t>['pesan', 'telkomsel', 'surat', 'mendownload', 'aplikasi', 'promo', 'paket', 'internet', 'untu', 'seharga', 'download', 'mengecek', 'aplikasi', 'berulang', 'ulang', 'promo', 'alhasil', 'kuota', 'internet', 'pengguna', 'terpakai', 'memenuhi', 'keinginannya', 'tolong', 'verifikasi', '']</t>
  </si>
  <si>
    <t>['', 'telkomsel', 'telkomsel', 'jujur', 'beli', 'pulsa', 'ribu', 'membeli', 'paket', 'gb', 'udah', 'berkali', 'kali', 'beli', 'pulsa', 'ribu', 'paket', 'banget', 'masuk', 'udah', 'kirim', 'pulsa', 'ribu', 'gb', 'masuk', 'coba', 'cek', 'kuota', 'telkomsel', 'jaringan', 'data', 'telkomsel', 'pulsa', 'hangus', '']</t>
  </si>
  <si>
    <t>['download', 'naty', 'nyesaal', 'booong', 'aplikasi', 'telkomsel', 'bagus', 'bonus', 'gratisan', 'penguna', 'bruuuan', 'download', 'gaassy', 'jamin', 'puas', '']</t>
  </si>
  <si>
    <t>['harga', 'pulsa', 'maluku', 'papua', 'mahal', 'lipat', 'jaringan', 'gangguan', 'telkomsel', 'perusahaan', 'plat', 'merah', 'ketidak', 'adilan', 'membagi', 'wilayah', 'wilayah', 'papua', 'maluku', 'harga', 'wilayah', 'pemerasan', 'telkomsel', 'dimana', 'sila', 'dasar', 'negara', 'keadilan', 'sosial', 'rakyat', 'indonesia', 'taruh', 'dimana', 'dihapus', '']</t>
  </si>
  <si>
    <t>['kemaren', 'beli', 'paket', 'aplikasi', 'unlimited', 'udah', 'nggak', 'lgi', 'kali', 'unlimited', 'tolong', 'jawabannya']</t>
  </si>
  <si>
    <t>['aplikasinya', 'lelet', 'banget', 'beli', 'paketan', 'ngulang', 'kali', 'itupun', 'langsung', 'direspon', 'beli', 'paketan', 'butuhnya', 'cepat', 'tolong', 'diperbaiki', 'aplikasinya', '']</t>
  </si>
  <si>
    <t>['komentar', 'negatif', 'jaringan', 'jaringan', 'leg', 'ditiadakan', 'mengganggu', 'bermain', 'jaringan', 'ong', 'langsung', '']</t>
  </si>
  <si>
    <t>['aplikasi', 'telkomsel', 'jelek', 'beli', 'paket', 'pas', 'murah', 'alasan', 'operator', 'sibuk', 'pas', 'beli', 'paket', 'harga', 'mahal', 'langsung', 'telkomsel', 'paket', 'mahal', '']</t>
  </si>
  <si>
    <t>['maunya', 'kuota', 'mahal', 'internet', 'gangguin', 'makasih', 'yaa', 'udah', 'kesel', 'lancarnya', 'jaringan', 'telkomsel', '']</t>
  </si>
  <si>
    <t>['tolong', 'mytelkomsel', 'ditambahin', 'fitur', 'lock', 'pulsa', 'datanya', 'abis', 'sisa', 'pulsa', 'msih', 'kepotong', 'sampe', 'abis', 'rupiah', 'muak', 'sistem', 'telkomsel', 'rubah', 'dri', '']</t>
  </si>
  <si>
    <t>['promo', 'beli', 'paket', 'ceria', 'gb', 'stlh', 'pemakaian', 'mb', 'blm', 'sehari', 'ehh', 'masuk', 'notif', 'paket', 'inet', 'tlh', 'maksud', 'telkomsel', 'ditambah', 'pulsa', 'reguler', 'auto', 'habis', 'terpakai', 'bener', 'mas', 'telkomsel', 'kapok']</t>
  </si>
  <si>
    <t>['paket', 'tersedia', 'beragam', 'harga', 'terjangkau', 'aplikasi', 'ketutup', 'otomatis', 'ngehank', 'kebuka', 'minus', 'alhasil', 'kadang', 'aplikasi', 'login', 'hambatan', '']</t>
  </si>
  <si>
    <t>['mendownload', 'app', 'game', 'playstore', 'jaringan', 'telkomsel', 'sarankan', 'lakukan', 'malam', 'situlah', 'speed', 'jaringannya', 'kencang', '']</t>
  </si>
  <si>
    <t>['telkomsel', 'gangguan', 'beli', 'kuota', 'unlimited', 'telkomsel', 'gabisa', 'yaa', 'pulsa', 'kuota', 'mencukupi', '']</t>
  </si>
  <si>
    <t>['pengguna', 'layanan', 'telkomsel', 'puas', 'wilayah', 'penerimaan', 'sinyal', 'bagus', 'terima', 'kasih', 'semoga', 'telkomsel', 'simpatik', 'masyarakat', 'luas', '']</t>
  </si>
  <si>
    <t>['berubah', 'pembelian', 'paket', 'combo', 'saktinya', 'beli', 'unlimited', 'harganya', 'santan', 'parah', 'kembalikan', 'kayak', 'kemarin', 'donk', 'orang', 'susah', 'gampang', 'beli', 'harga', 'mohon', 'bantuannya', 'kak', '']</t>
  </si>
  <si>
    <t>['jelek', 'banget', 'jaringan', 'lemot', 'saudara', 'telkomsel', 'lemot', 'banget', 'jaringan', 'parah', 'kartu', 'harga', 'paket', 'murah', '']</t>
  </si>
  <si>
    <t>['dihrapkan', 'tingkat', 'jaringan', 'jangkauan', 'tower', 'bts', 'perpanjang', 'tower', 'dpt', 'sinyal', 'bar', 'itupun', 'stabil', 'harap', 'respon']</t>
  </si>
  <si>
    <t>['gimna', 'buka', 'aplikasinya', 'coba', 'muat', 'ulang', 'suka', 'telkomsel', 'udh', 'ketergantungan', 'bnget', 'telkomsel', 'udah', 'perbarui', 'klau', 'gini', 'gimna', 'beli', 'kuota', 'cobak', 'kuota', 'udah', 'habis', '']</t>
  </si>
  <si>
    <t>['terbaik', 'telkomsel', 'puluhan', 'taun', 'kartu', 'telkomsel', 'beda', 'sinyal', 'terkadang', 'buruk', 'wilayah', 'sinyal', 'down', 'mohon', 'telkomsel', 'memperbaiki', 'sinyal', 'sinyal', 'terimakasih', 'telkomsel', 'pengguna', 'langganan', 'telkomsel', '']</t>
  </si>
  <si>
    <t>['parah', 'barusan', 'isi', 'pulsa', 'rb', 'berhasil', 'masuk', 'isi', 'rb', 'terima', 'sms', 'pulsa', 'masuk', 'aneh', 'nyata', 'error', 'sistem', 'telkomselnya', 'gimana', 'dongkol', 'tingkat', 'dewa', 'beli', 'paket', 'data', 'telkomsel', 'bagus', 'buruk', '']</t>
  </si>
  <si>
    <t>['kecewa', 'telkomsel', 'biasaya', 'paket', 'gb', 'paket', 'telkomsel', 'mengubah', 'sesuka', 'hati', 'tampa', 'memperdulikan', 'pelanggan', 'setia', 'gini', 'salahkan', 'pindah', 'oprator', '']</t>
  </si>
  <si>
    <t>['aplikasi', 'download', 'login', 'habis', 'kouta', 'jak', 'download', 'download', 'aplikasi', 'aplikasi', 'jelassss', '']</t>
  </si>
  <si>
    <t>['aplikasi', 'sampah', 'tukar', 'poin', 'menang', 'undian', 'telkomsel', 'dikabarin', 'poin', 'habis', 'tolong', 'konfirmasinya', 'tukar', 'poin', 'lolos', 'undian', 'aplikasinya', 'jelek', 'udah', 'mahal', 'pelayanannya', 'memuaskan']</t>
  </si>
  <si>
    <t>['tolong', 'perbaiki', 'perhatikan', 'jaringan', 'wilaya', 'maja', 'keb', 'lebak', 'banten', 'jaringan', 'internet', 'stabil', 'terkadang', 'stabil', 'terkadang', 'stabil', 'penambahan', 'bts', 'thanks']</t>
  </si>
  <si>
    <t>['download', 'aplikasi', 'nggak', 'masuk', 'masukan', 'nomor', 'kali', 'coba', 'unistal', 'instal', 'nggak', 'login', '']</t>
  </si>
  <si>
    <t>['beli', 'extra', 'unlimitid', 'ribu', 'beli', 'paket', 'hilang', 'hilang', 'rugi', 'ribu', 'cuman', 'tolong', 'bantuan', 'gitu']</t>
  </si>
  <si>
    <t>['suka', 'tampilan', 'tampilan', 'monoton', 'suka', 'pokoknya', 'indonesia', 'keberagaman', 'indonesia', 'yaa', 'cuman', 'gitu', 'gitu', 'monoton', 'membosankan', 'dirubah', 'dehh']</t>
  </si>
  <si>
    <t>['udah', 'cek', 'pas', 'cek', 'nyesel', 'gua', 'update', 'aplikasi', 'kualitas', 'aplikasi', 'telkomsel', 'mkin', 'buruk', 'pdhl', 'pelanggan', 'setia', 'telkomsel', 'pakai', 'handphone', '']</t>
  </si>
  <si>
    <t>['admen', 'telkomsel', 'beli', 'ketenangan', 'youtobe', 'pulsa', 'udah', 'potong', 'laporan', 'sms', 'aktif', 'youtobe', 'kecewa', 'telkomsel', 'merugikan', 'pelanggan', 'tinggal', 'pelanggan', '']</t>
  </si>
  <si>
    <t>['yth', 'bapack', 'telkomsel', 'mengirim', 'sms', 'nomor', 'petugas', 'medis', 'sayang', 'libur', '']</t>
  </si>
  <si>
    <t>['beli', 'paket', 'unlimited', 'rb', 'kuota', 'unlimited', 'bonusnya', 'lelet', 'kya', 'niat', 'kasih', 'bonus', 'harga', 'kuotanya', 'kualitas', 'jaringan', 'turun', 'sesuaikan', 'harga', 'kualitas', 'jaringan', 'pengguna', 'telkomsel', 'muak', 'beralih', 'kartu', '']</t>
  </si>
  <si>
    <t>['pembelian', 'kuota', 'internet', 'mahal', 'contoh', 'kuota', 'gb', 'harga', 'ribu', 'ribu', 'pembelian', 'kuora', 'gb', 'harap', 'pembelian', 'kuota', 'diadakan', 'tolong']</t>
  </si>
  <si>
    <t>['suka', 'banget', 'sinyal', 'kadang', 'gabagus', 'game', 'telpon', 'seluler', 'internet', 'lancar', 'ditambah', 'telkosel', 'lancar', 'isi', 'pulsa', 'bulanan', 'paket', 'internet', 'paket', 'nelpon', 'terjangkau', 'murah', '']</t>
  </si>
  <si>
    <t>['membantu', 'kehabisan', 'kuota', 'pilih', 'kuota', 'cocok', 'cek', 'kuota', 'makasih', 'yaa']</t>
  </si>
  <si>
    <t>['maaf', 'turun', 'bintang', 'salah', 'nomer', 'ponsel', 'telkomsel', 'terpilih', 'menikmati', 'promo', 'khusus', 'ceria', 'pilihan', 'daftar', 'ceria', 'pilihan', 'paket', 'ceria', 'nikmati', 'daftar', 'bertahap', 'berkali', 'kali', 'balasan', 'respon', 'veronica', 'solusi', 'memutar', 'balikan', 'logika', 'dapet', 'promo', 'khusus', 'ceria', 'nikmati', 'waras']</t>
  </si>
  <si>
    <t>['telkomsel', 'aneh', 'pemakaian', 'kartu', 'mahal', 'harga', 'paket', 'internetnya', 'udah', 'coba', 'komplain', 'eehh', 'mahalin', '']</t>
  </si>
  <si>
    <t>['mending', 'ganti', 'provider', 'agan', 'agan', 'telkomsel', 'denger', 'keluhan', 'jaringan', 'internet', 'kenceng', 'kayanya', 'udah', 'udah', 'kalah', 'provider', 'sebelah', '']</t>
  </si>
  <si>
    <t>['mahal', 'mahal', 'beli', 'jaringan', 'urusan', 'mending', 'tutup', 'telkomsel', 'indonesia', 'pengguna', 'telkomsel', 'kecewa', 'jaringan', 'kek', 'ta', 'makasiih', 'salam', 'bangkrut', '']</t>
  </si>
  <si>
    <t>['kota', 'sinyal', 'busuk', 'gimana', 'pelosok', 'parah', 'pelayananmu', 'booooosssss', 'provider', 'terbaik', 'buktinyaaaaaaaaaaaaaa', '']</t>
  </si>
  <si>
    <t>['jam', 'paket', 'kasih', 'tanggal', 'doang', 'kaya', 'tanggal', 'jam', 'tampilkan', 'aplikasi']</t>
  </si>
  <si>
    <t>['waah', 'parah', 'neh', 'kemaren', 'bermasalah', 'aplikasinya', 'pulsa', 'ditarek', 'pemakaian', 'telpon', 'qtau', 'internet', 'kali', 'beli', 'paket', 'nelpon', 'sisa', 'pulsa', 'malamnya', 'pulsa', 'udah', 'cek', 'pemakaian', 'dibilang', 'pemakaian', 'internet', 'jatingan', 'internet', 'nomor', 'koq', 'gini', 'seh', 'lapor', 'kemana', 'neh', 'gini', 'pelanggan', 'telkomsel', 'lari', 'neh', '']</t>
  </si>
  <si>
    <t>['telkomsel', 'jangkauan', 'luas', 'saking', 'luasnya', 'pulsa', 'utamanya', 'terpotong', 'paketnya', 'aktif', 'saking', 'luasnya', 'informasinya', 'pulsa', 'utamanya', 'habis', '']</t>
  </si>
  <si>
    <t>['byk', 'pengguna', 'bebenah', 'parah', 'sinyal', 'pulsa', 'kesedot', 'udah', 'beli', 'paket', 'internet', 'pulsa', 'hbs', 'nol', 'nyesek', 'banget', 'sll', 'diginiin', 'ama', 'telkomsel', 'udah', 'telkomsel', 'th', 'prnh', 'dpt', 'telkomsel', 'pulsa', 'dicolong', 'trs', 'bedanya', 'maling', 'woyyy', 'telp', 'prnh', 'solusi', 'emosi', 'kek', 'gini', 'trs', 'lbh', 'pindah', 'provider', 'drpd', 'pls', 'trs', 'dicolong', '']</t>
  </si>
  <si>
    <t>['ngeleg', 'versi', 'terbaru', 'kaya', 'jaringan', 'pas', 'meluncurkan', 'versi', 'terbaru', 'testingnya', 'sadar', 'versi', 'terbaru', 'kaya', 'app', 'berguna', 'please', 'deh', 'sekelas', 'telkomsel', 'app', 'asalan', 'mending', 'ush', 'luncurkan', 'versi', 'terbaru', 'siapp', 'mohon', 'diperhatikan', 'developer', 'aplikasi', 'pengguna', 'beli', 'pulsa', 'beli', 'paket', 'layarnya', 'putih', 'loadnya', 'banget',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</si>
</sst>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7.0"/>
    <col customWidth="1" min="4" max="27" width="8.71"/>
  </cols>
  <sheetData>
    <row r="1">
      <c r="B1" s="1" t="s">
        <v>0</v>
      </c>
      <c r="C1" s="2" t="s">
        <v>1</v>
      </c>
      <c r="D1" s="1" t="s">
        <v>2</v>
      </c>
    </row>
    <row r="2">
      <c r="A2" s="1">
        <v>0.0</v>
      </c>
      <c r="B2" s="3" t="s">
        <v>3</v>
      </c>
      <c r="C2" s="3" t="str">
        <f>IFERROR(__xludf.DUMMYFUNCTION("GOOGLETRANSLATE(B2,""id"",""en"")"),"['ugly', 'ugly', 'application', 'login', 'try', 'many', 'enter', 'make', 'good', 'guard', 'ugly', ""]")</f>
        <v>['ugly', 'ugly', 'application', 'login', 'try', 'many', 'enter', 'make', 'good', 'guard', 'ugly', "]</v>
      </c>
      <c r="D2" s="3">
        <v>1.0</v>
      </c>
    </row>
    <row r="3">
      <c r="A3" s="1">
        <v>1.0</v>
      </c>
      <c r="B3" s="3" t="s">
        <v>4</v>
      </c>
      <c r="C3" s="3" t="str">
        <f>IFERROR(__xludf.DUMMYFUNCTION("GOOGLETRANSLATE(B3,""id"",""en"")"),"['oath', 'Telkomsel', 'difficult', 'opened', 'reason', 'error', 'quota', 'expensive', 'application', 'difficult', 'accessed', 'mending', ' Move ',' im ',' package ',' net ',' cheap ',' signal ',' good ',' package ',' net ',' net ',' main ',' sympathy ',' "&amp;"special ' , 'Call', '']")</f>
        <v>['oath', 'Telkomsel', 'difficult', 'opened', 'reason', 'error', 'quota', 'expensive', 'application', 'difficult', 'accessed', 'mending', ' Move ',' im ',' package ',' net ',' cheap ',' signal ',' good ',' package ',' net ',' net ',' main ',' sympathy ',' special ' , 'Call', '']</v>
      </c>
      <c r="D3" s="3">
        <v>1.0</v>
      </c>
    </row>
    <row r="4">
      <c r="A4" s="1">
        <v>2.0</v>
      </c>
      <c r="B4" s="3" t="s">
        <v>5</v>
      </c>
      <c r="C4" s="3" t="str">
        <f>IFERROR(__xludf.DUMMYFUNCTION("GOOGLETRANSLATE(B4,""id"",""en"")"),"['Application', 'Telkomsel', 'bad', 'open', 'application', 'Telkomsel', 'data', 'Im', 'Loading', 'open', 'network', 'im', ' Please ',' Telkomsel ',' Fix ',' System ',' Transaction ',' Telkomsel ',' Easy ']")</f>
        <v>['Application', 'Telkomsel', 'bad', 'open', 'application', 'Telkomsel', 'data', 'Im', 'Loading', 'open', 'network', 'im', ' Please ',' Telkomsel ',' Fix ',' System ',' Transaction ',' Telkomsel ',' Easy ']</v>
      </c>
      <c r="D4" s="3">
        <v>1.0</v>
      </c>
    </row>
    <row r="5">
      <c r="A5" s="1">
        <v>3.0</v>
      </c>
      <c r="B5" s="3" t="s">
        <v>6</v>
      </c>
      <c r="C5" s="3" t="str">
        <f>IFERROR(__xludf.DUMMYFUNCTION("GOOGLETRANSLATE(B5,""id"",""en"")"),"['update', 'login', 'gini', 'got', 'gini', 'gave', 'service', 'customer', 'disappointed', 'capeekk', 'hours',' managing ',' Login ',' failed ',' turn ',' udh ',' msuk ',' veranda ',' loading ',' then ',' finished ',' lazy ']")</f>
        <v>['update', 'login', 'gini', 'got', 'gini', 'gave', 'service', 'customer', 'disappointed', 'capeekk', 'hours',' managing ',' Login ',' failed ',' turn ',' udh ',' msuk ',' veranda ',' loading ',' then ',' finished ',' lazy ']</v>
      </c>
      <c r="D5" s="3">
        <v>1.0</v>
      </c>
    </row>
    <row r="6">
      <c r="A6" s="1">
        <v>4.0</v>
      </c>
      <c r="B6" s="3" t="s">
        <v>7</v>
      </c>
      <c r="C6" s="3" t="str">
        <f>IFERROR(__xludf.DUMMYFUNCTION("GOOGLETRANSLATE(B6,""id"",""en"")"),"['price', 'package', 'raised', 'facilities',' minus', 'subscription', 'loyal', 'package', 'combo', 'Sakti', 'min', 'voice', ' Tsel ',' unlimited ',' SKR ',' DPT ',' Minute ',' Pekah ', ""]")</f>
        <v>['price', 'package', 'raised', 'facilities',' minus', 'subscription', 'loyal', 'package', 'combo', 'Sakti', 'min', 'voice', ' Tsel ',' unlimited ',' SKR ',' DPT ',' Minute ',' Pekah ', "]</v>
      </c>
      <c r="D6" s="3">
        <v>1.0</v>
      </c>
    </row>
    <row r="7">
      <c r="A7" s="1">
        <v>5.0</v>
      </c>
      <c r="B7" s="3" t="s">
        <v>8</v>
      </c>
      <c r="C7" s="3" t="str">
        <f>IFERROR(__xludf.DUMMYFUNCTION("GOOGLETRANSLATE(B7,""id"",""en"")"),"['Want', 'setaaaaaaaaan', 'characteristic', 'typical', 'Telkomsel', 'expensive', 'signal', 'data', 'stable', 'icon', 'appears',' reality ',' Star ',' signal ',' sympathy ',' full ',' lie ',' aka ',' deceive ',' harmed ',' signal ',' stable ', ""]")</f>
        <v>['Want', 'setaaaaaaaaan', 'characteristic', 'typical', 'Telkomsel', 'expensive', 'signal', 'data', 'stable', 'icon', 'appears',' reality ',' Star ',' signal ',' sympathy ',' full ',' lie ',' aka ',' deceive ',' harmed ',' signal ',' stable ', "]</v>
      </c>
      <c r="D7" s="3">
        <v>1.0</v>
      </c>
    </row>
    <row r="8">
      <c r="A8" s="1">
        <v>6.0</v>
      </c>
      <c r="B8" s="3" t="s">
        <v>9</v>
      </c>
      <c r="C8" s="3" t="str">
        <f>IFERROR(__xludf.DUMMYFUNCTION("GOOGLETRANSLATE(B8,""id"",""en"")"),"['Telkomsel', 'boss', 'entered', 'repeated', 'times', 'try', 'update', 'bossss', 'please', ""]")</f>
        <v>['Telkomsel', 'boss', 'entered', 'repeated', 'times', 'try', 'update', 'bossss', 'please', "]</v>
      </c>
      <c r="D8" s="3">
        <v>1.0</v>
      </c>
    </row>
    <row r="9">
      <c r="A9" s="1">
        <v>7.0</v>
      </c>
      <c r="B9" s="3" t="s">
        <v>10</v>
      </c>
      <c r="C9" s="3" t="str">
        <f>IFERROR(__xludf.DUMMYFUNCTION("GOOGLETRANSLATE(B9,""id"",""en"")"),"['Application', 'Used', 'Signal', 'Internet', 'Telkomsel', 'Use', 'Internet', 'Operator', 'Application', 'Opened', 'Open', 'Feature', ' The menu ',' accessed ',' cheating ',' please ',' repaired ',' application ',' open ',' network ',' internet ',' anythi"&amp;"ng ', ""]")</f>
        <v>['Application', 'Used', 'Signal', 'Internet', 'Telkomsel', 'Use', 'Internet', 'Operator', 'Application', 'Opened', 'Open', 'Feature', ' The menu ',' accessed ',' cheating ',' please ',' repaired ',' application ',' open ',' network ',' internet ',' anything ', "]</v>
      </c>
      <c r="D9" s="3">
        <v>1.0</v>
      </c>
    </row>
    <row r="10">
      <c r="A10" s="1">
        <v>8.0</v>
      </c>
      <c r="B10" s="3" t="s">
        <v>11</v>
      </c>
      <c r="C10" s="3" t="str">
        <f>IFERROR(__xludf.DUMMYFUNCTION("GOOGLETRANSLATE(B10,""id"",""en"")"),"['min', 'please', 'fix', 'strength', 'signal', 'area', 'pandeglang', 'banten', 'signal', 'labile', 'sometimes', 'sometimes' Sometimes', 'UDH', 'Report', 'Operator', 'Kaga', 'Changed', 'Please', 'Min', 'Region', 'Pandeglang', 'Banten', 'Level', 'Network' ,"&amp;" 'thank you']")</f>
        <v>['min', 'please', 'fix', 'strength', 'signal', 'area', 'pandeglang', 'banten', 'signal', 'labile', 'sometimes', 'sometimes' Sometimes', 'UDH', 'Report', 'Operator', 'Kaga', 'Changed', 'Please', 'Min', 'Region', 'Pandeglang', 'Banten', 'Level', 'Network' , 'thank you']</v>
      </c>
      <c r="D10" s="3">
        <v>1.0</v>
      </c>
    </row>
    <row r="11">
      <c r="A11" s="1">
        <v>9.0</v>
      </c>
      <c r="B11" s="3" t="s">
        <v>12</v>
      </c>
      <c r="C11" s="3" t="str">
        <f>IFERROR(__xludf.DUMMYFUNCTION("GOOGLETRANSLATE(B11,""id"",""en"")"),"['Network', 'Telkomsel', 'Bad', 'Loss', 'User', 'Use', 'Telkomsel']")</f>
        <v>['Network', 'Telkomsel', 'Bad', 'Loss', 'User', 'Use', 'Telkomsel']</v>
      </c>
      <c r="D11" s="3">
        <v>1.0</v>
      </c>
    </row>
    <row r="12">
      <c r="A12" s="1">
        <v>10.0</v>
      </c>
      <c r="B12" s="3" t="s">
        <v>13</v>
      </c>
      <c r="C12" s="3" t="str">
        <f>IFERROR(__xludf.DUMMYFUNCTION("GOOGLETRANSLATE(B12,""id"",""en"")"),"['Please', 'price', 'package', 'already', 'expensive', 'network', 'ugly', 'customer', 'select', 'Telkomsel', 'network', 'good', ' expensive ',' Pay ',' expensive ',' network ',' downhill ',' quality ',' ']")</f>
        <v>['Please', 'price', 'package', 'already', 'expensive', 'network', 'ugly', 'customer', 'select', 'Telkomsel', 'network', 'good', ' expensive ',' Pay ',' expensive ',' network ',' downhill ',' quality ',' ']</v>
      </c>
      <c r="D12" s="3">
        <v>1.0</v>
      </c>
    </row>
    <row r="13">
      <c r="A13" s="1">
        <v>11.0</v>
      </c>
      <c r="B13" s="3" t="s">
        <v>14</v>
      </c>
      <c r="C13" s="3" t="str">
        <f>IFERROR(__xludf.DUMMYFUNCTION("GOOGLETRANSLATE(B13,""id"",""en"")"),"['Suggestion', 'Package', 'Telkomsel', 'Sympathy', 'Save', 'Friendly', 'Package', 'On', 'Price', 'Package', 'Active', 'Price', ' Pandemic ',' Package ',' Save ',' Friendly ',' Lovers', 'Telkomsel', 'Suggestions',' Hopefully ',' Attention ',' Consideration"&amp;" ',' Telkomsel ', ""]")</f>
        <v>['Suggestion', 'Package', 'Telkomsel', 'Sympathy', 'Save', 'Friendly', 'Package', 'On', 'Price', 'Package', 'Active', 'Price', ' Pandemic ',' Package ',' Save ',' Friendly ',' Lovers', 'Telkomsel', 'Suggestions',' Hopefully ',' Attention ',' Consideration ',' Telkomsel ', "]</v>
      </c>
      <c r="D13" s="3">
        <v>4.0</v>
      </c>
    </row>
    <row r="14">
      <c r="A14" s="1">
        <v>12.0</v>
      </c>
      <c r="B14" s="3" t="s">
        <v>15</v>
      </c>
      <c r="C14" s="3" t="str">
        <f>IFERROR(__xludf.DUMMYFUNCTION("GOOGLETRANSLATE(B14,""id"",""en"")"),"['Nailing', 'Points',' Tuker ',' Signal ',' Severe ',' Very ',' Quota ',' Signal ',' Ful ',' LEGKA ',' Forgiveness', 'Please', ' Fix ',' complaints', 'Thanks']")</f>
        <v>['Nailing', 'Points',' Tuker ',' Signal ',' Severe ',' Very ',' Quota ',' Signal ',' Ful ',' LEGKA ',' Forgiveness', 'Please', ' Fix ',' complaints', 'Thanks']</v>
      </c>
      <c r="D14" s="3">
        <v>2.0</v>
      </c>
    </row>
    <row r="15">
      <c r="A15" s="1">
        <v>13.0</v>
      </c>
      <c r="B15" s="3" t="s">
        <v>16</v>
      </c>
      <c r="C15" s="3" t="str">
        <f>IFERROR(__xludf.DUMMYFUNCTION("GOOGLETRANSLATE(B15,""id"",""en"")"),"['Please', 'repaired', 'Sinyal', 'use', 'Telkomsel', 'quality', 'signal', 'bad', 'really', 'sometimes',' lost ',' signal ',' Sometimes', 'Doang', 'Sometimes',' Processing ',' ']")</f>
        <v>['Please', 'repaired', 'Sinyal', 'use', 'Telkomsel', 'quality', 'signal', 'bad', 'really', 'sometimes',' lost ',' signal ',' Sometimes', 'Doang', 'Sometimes',' Processing ',' ']</v>
      </c>
      <c r="D15" s="3">
        <v>2.0</v>
      </c>
    </row>
    <row r="16">
      <c r="A16" s="1">
        <v>14.0</v>
      </c>
      <c r="B16" s="3" t="s">
        <v>17</v>
      </c>
      <c r="C16" s="3" t="str">
        <f>IFERROR(__xludf.DUMMYFUNCTION("GOOGLETRANSLATE(B16,""id"",""en"")"),"['internet', 'Not bad', 'signal', 'weak', 'strip', 'rain', 'strip', 'star', 'the application', 'difficult', 'opened', 'buy', ' Package ',' application ',' no ',' ']")</f>
        <v>['internet', 'Not bad', 'signal', 'weak', 'strip', 'rain', 'strip', 'star', 'the application', 'difficult', 'opened', 'buy', ' Package ',' application ',' no ',' ']</v>
      </c>
      <c r="D16" s="3">
        <v>3.0</v>
      </c>
    </row>
    <row r="17">
      <c r="A17" s="1">
        <v>15.0</v>
      </c>
      <c r="B17" s="3" t="s">
        <v>18</v>
      </c>
      <c r="C17" s="3" t="str">
        <f>IFERROR(__xludf.DUMMYFUNCTION("GOOGLETRANSLATE(B17,""id"",""en"")"),"['access',' area ',' wanamukti ',' parigi ',' moutong ',' sulteng ',' entered ',' how ',' buy ',' package ',' internet ',' use ',' Indosat ',' internet ',' access', 'Telkomsel']")</f>
        <v>['access',' area ',' wanamukti ',' parigi ',' moutong ',' sulteng ',' entered ',' how ',' buy ',' package ',' internet ',' use ',' Indosat ',' internet ',' access', 'Telkomsel']</v>
      </c>
      <c r="D17" s="3">
        <v>1.0</v>
      </c>
    </row>
    <row r="18">
      <c r="A18" s="1">
        <v>16.0</v>
      </c>
      <c r="B18" s="3" t="s">
        <v>19</v>
      </c>
      <c r="C18" s="3" t="str">
        <f>IFERROR(__xludf.DUMMYFUNCTION("GOOGLETRANSLATE(B18,""id"",""en"")"),"['Telkomsel', 'already', 'poor', 'sinynya', 'kayak', 'operator', 'cellular', 'city', 'already', 'difficult', 'network', 'area', ' Rustic ',' Islands', 'Sangihe', 'Sulawesi', 'North', 'For example', 'cuisine', 'operator', 'fast', 'signal', 'Telkomsel', 'de"&amp;"ad', 'lemooooot' , 'disappointing', 'customers',' moved ',' operator ',' forgiveness', 'Telkomsel', 'fix', 'network', 'cellular', 'Islands',' Sangihe ',' Sulawesi ',' North ',' telephone ',' chat ',' parahhhh ',' really ']")</f>
        <v>['Telkomsel', 'already', 'poor', 'sinynya', 'kayak', 'operator', 'cellular', 'city', 'already', 'difficult', 'network', 'area', ' Rustic ',' Islands', 'Sangihe', 'Sulawesi', 'North', 'For example', 'cuisine', 'operator', 'fast', 'signal', 'Telkomsel', 'dead', 'lemooooot' , 'disappointing', 'customers',' moved ',' operator ',' forgiveness', 'Telkomsel', 'fix', 'network', 'cellular', 'Islands',' Sangihe ',' Sulawesi ',' North ',' telephone ',' chat ',' parahhhh ',' really ']</v>
      </c>
      <c r="D18" s="3">
        <v>1.0</v>
      </c>
    </row>
    <row r="19">
      <c r="A19" s="1">
        <v>17.0</v>
      </c>
      <c r="B19" s="3" t="s">
        <v>20</v>
      </c>
      <c r="C19" s="3" t="str">
        <f>IFERROR(__xludf.DUMMYFUNCTION("GOOGLETRANSLATE(B19,""id"",""en"")"),"['Good', 'garbage', 'network', 'quota', 'expensive', 'people', 'network', 'rich', 'garbage', 'maen', 'game', 'threat', ' lngsng ',' down ',' edge ',' meet ',' enemy ',' sndri ',' bnyak ',' org ',' complain ',' please ',' repair ',' network ',' customer ' "&amp;", 'blur', 'provider', '']")</f>
        <v>['Good', 'garbage', 'network', 'quota', 'expensive', 'people', 'network', 'rich', 'garbage', 'maen', 'game', 'threat', ' lngsng ',' down ',' edge ',' meet ',' enemy ',' sndri ',' bnyak ',' org ',' complain ',' please ',' repair ',' network ',' customer ' , 'blur', 'provider', '']</v>
      </c>
      <c r="D19" s="3">
        <v>1.0</v>
      </c>
    </row>
    <row r="20">
      <c r="A20" s="1">
        <v>18.0</v>
      </c>
      <c r="B20" s="3" t="s">
        <v>21</v>
      </c>
      <c r="C20" s="3" t="str">
        <f>IFERROR(__xludf.DUMMYFUNCTION("GOOGLETRANSLATE(B20,""id"",""en"")"),"['apk', 'pub', 'smooth', 'open', 'open', 'apk', 'telkomsel', 'old', 'forgiveness',' slow ',' right ',' Songong ',' open', '']")</f>
        <v>['apk', 'pub', 'smooth', 'open', 'open', 'apk', 'telkomsel', 'old', 'forgiveness',' slow ',' right ',' Songong ',' open', '']</v>
      </c>
      <c r="D20" s="3">
        <v>1.0</v>
      </c>
    </row>
    <row r="21" ht="15.75" customHeight="1">
      <c r="A21" s="1">
        <v>19.0</v>
      </c>
      <c r="B21" s="3" t="s">
        <v>22</v>
      </c>
      <c r="C21" s="3" t="str">
        <f>IFERROR(__xludf.DUMMYFUNCTION("GOOGLETRANSLATE(B21,""id"",""en"")"),"['account', 'enter', 'application', 'Telkomsel', 'slow', 'sometimes',' sometimes', 'please', 'telkomssl', 'reply', 'confusion', 'use', ' application']")</f>
        <v>['account', 'enter', 'application', 'Telkomsel', 'slow', 'sometimes',' sometimes', 'please', 'telkomssl', 'reply', 'confusion', 'use', ' application']</v>
      </c>
      <c r="D21" s="3">
        <v>1.0</v>
      </c>
    </row>
    <row r="22" ht="15.75" customHeight="1">
      <c r="A22" s="1">
        <v>20.0</v>
      </c>
      <c r="B22" s="3" t="s">
        <v>23</v>
      </c>
      <c r="C22" s="3" t="str">
        <f>IFERROR(__xludf.DUMMYFUNCTION("GOOGLETRANSLATE(B22,""id"",""en"")"),"['network', 'Telkomsel', 'just', 'price', 'expensive', 'signal', 'kek', 'garbage', 'price', 'quality', 'just', 'free', ' TPI ',' signal ',' Kek ',' garbage ',' just ',' wind ',' direct ',' kagak ',' tasty ',' city ',' probolinggo ',' Java ',' east ' , 'li"&amp;"sten to', 'complained', 'Kisahku']")</f>
        <v>['network', 'Telkomsel', 'just', 'price', 'expensive', 'signal', 'kek', 'garbage', 'price', 'quality', 'just', 'free', ' TPI ',' signal ',' Kek ',' garbage ',' just ',' wind ',' direct ',' kagak ',' tasty ',' city ',' probolinggo ',' Java ',' east ' , 'listen to', 'complained', 'Kisahku']</v>
      </c>
      <c r="D22" s="3">
        <v>1.0</v>
      </c>
    </row>
    <row r="23" ht="15.75" customHeight="1">
      <c r="A23" s="1">
        <v>21.0</v>
      </c>
      <c r="B23" s="3" t="s">
        <v>24</v>
      </c>
      <c r="C23" s="3" t="str">
        <f>IFERROR(__xludf.DUMMYFUNCTION("GOOGLETRANSLATE(B23,""id"",""en"")"),"['Kasi', 'theme', 'Sis',' bright ',' dark ',' adjust ',' open ',' night ',' atuu ',' right ',' lights', 'go out', ' Masi ',' tasty ',' See ',' Eyes', 'Screen', 'HandPhone', '']")</f>
        <v>['Kasi', 'theme', 'Sis',' bright ',' dark ',' adjust ',' open ',' night ',' atuu ',' right ',' lights', 'go out', ' Masi ',' tasty ',' See ',' Eyes', 'Screen', 'HandPhone', '']</v>
      </c>
      <c r="D23" s="3">
        <v>3.0</v>
      </c>
    </row>
    <row r="24" ht="15.75" customHeight="1">
      <c r="A24" s="1">
        <v>22.0</v>
      </c>
      <c r="B24" s="3" t="s">
        <v>25</v>
      </c>
      <c r="C24" s="3" t="str">
        <f>IFERROR(__xludf.DUMMYFUNCTION("GOOGLETRANSLATE(B24,""id"",""en"")"),"['Good', 'easy', 'buy', 'package', 'quota', 'cheap', 'darling', 'package', 'buy', 'already', 'no', 'promo', ' Package ',' Unlimited ',' Telkomsel ',' make it difficult ',' community ',' ']")</f>
        <v>['Good', 'easy', 'buy', 'package', 'quota', 'cheap', 'darling', 'package', 'buy', 'already', 'no', 'promo', ' Package ',' Unlimited ',' Telkomsel ',' make it difficult ',' community ',' ']</v>
      </c>
      <c r="D24" s="3">
        <v>1.0</v>
      </c>
    </row>
    <row r="25" ht="15.75" customHeight="1">
      <c r="A25" s="1">
        <v>23.0</v>
      </c>
      <c r="B25" s="3" t="s">
        <v>26</v>
      </c>
      <c r="C25" s="3" t="str">
        <f>IFERROR(__xludf.DUMMYFUNCTION("GOOGLETRANSLATE(B25,""id"",""en"")"),"['Payment', 'Application', 'Fund', 'Lost', 'Update', 'Method', 'Payment', 'Easy', 'Eliminated', 'Please', 'Repair']")</f>
        <v>['Payment', 'Application', 'Fund', 'Lost', 'Update', 'Method', 'Payment', 'Easy', 'Eliminated', 'Please', 'Repair']</v>
      </c>
      <c r="D25" s="3">
        <v>1.0</v>
      </c>
    </row>
    <row r="26" ht="15.75" customHeight="1">
      <c r="A26" s="1">
        <v>24.0</v>
      </c>
      <c r="B26" s="3" t="s">
        <v>27</v>
      </c>
      <c r="C26" s="3" t="str">
        <f>IFERROR(__xludf.DUMMYFUNCTION("GOOGLETRANSLATE(B26,""id"",""en"")"),"['use', 'network', 'in place', 'use', 'network', 'smooth', 'tower', 'lined', 'kalai', 'network', 'ajh', 'difficult', ' The loding is ',' Sometimes ',' failed ',' Open ',' APL ',' Hadeuuuu ',' Move ',' SIM ',' Card ',' Firet ',' Next "", 'Gossip', 'Current"&amp;"' , 'Jaya', '']")</f>
        <v>['use', 'network', 'in place', 'use', 'network', 'smooth', 'tower', 'lined', 'kalai', 'network', 'ajh', 'difficult', ' The loding is ',' Sometimes ',' failed ',' Open ',' APL ',' Hadeuuuu ',' Move ',' SIM ',' Card ',' Firet ',' Next ", 'Gossip', 'Current' , 'Jaya', '']</v>
      </c>
      <c r="D26" s="3">
        <v>3.0</v>
      </c>
    </row>
    <row r="27" ht="15.75" customHeight="1">
      <c r="A27" s="1">
        <v>25.0</v>
      </c>
      <c r="B27" s="3" t="s">
        <v>28</v>
      </c>
      <c r="C27" s="3" t="str">
        <f>IFERROR(__xludf.DUMMYFUNCTION("GOOGLETRANSLATE(B27,""id"",""en"")"),"['weve', 'signal', 'kek', 'pig', 'pdhal', 'fill', 'package', 'thousand', 'can', 'GB', 'TPI', 'signal', ' slow ',' muter ',' trs', 'nge', 'game', 'signal', 'kek', 'pig', 'promotion', 'mnding', 'fix', 'signal', 'dri' , 'PDA', 'BNYK', 'Complaints', 'Dri', 'P"&amp;"eople', 'Tntaang', 'Signal', ""]")</f>
        <v>['weve', 'signal', 'kek', 'pig', 'pdhal', 'fill', 'package', 'thousand', 'can', 'GB', 'TPI', 'signal', ' slow ',' muter ',' trs', 'nge', 'game', 'signal', 'kek', 'pig', 'promotion', 'mnding', 'fix', 'signal', 'dri' , 'PDA', 'BNYK', 'Complaints', 'Dri', 'People', 'Tntaang', 'Signal', "]</v>
      </c>
      <c r="D27" s="3">
        <v>1.0</v>
      </c>
    </row>
    <row r="28" ht="15.75" customHeight="1">
      <c r="A28" s="1">
        <v>26.0</v>
      </c>
      <c r="B28" s="3" t="s">
        <v>29</v>
      </c>
      <c r="C28" s="3" t="str">
        <f>IFERROR(__xludf.DUMMYFUNCTION("GOOGLETRANSLATE(B28,""id"",""en"")"),"['Out', 'update', 'chaotic', 'application', 'enter', 'told', 'enter', 'link', 'TPI', 'uninstall', 'then', 'install', ' TPI ',' Tetep ',' Dahlah ',' Males', ""]")</f>
        <v>['Out', 'update', 'chaotic', 'application', 'enter', 'told', 'enter', 'link', 'TPI', 'uninstall', 'then', 'install', ' TPI ',' Tetep ',' Dahlah ',' Males', "]</v>
      </c>
      <c r="D28" s="3">
        <v>3.0</v>
      </c>
    </row>
    <row r="29" ht="15.75" customHeight="1">
      <c r="A29" s="1">
        <v>27.0</v>
      </c>
      <c r="B29" s="3" t="s">
        <v>30</v>
      </c>
      <c r="C29" s="3" t="str">
        <f>IFERROR(__xludf.DUMMYFUNCTION("GOOGLETRANSLATE(B29,""id"",""en"")"),"['How', 'good', 'delete', 'application', 'person', 'emotion', 'application', 'defective', '']")</f>
        <v>['How', 'good', 'delete', 'application', 'person', 'emotion', 'application', 'defective', '']</v>
      </c>
      <c r="D29" s="3">
        <v>1.0</v>
      </c>
    </row>
    <row r="30" ht="15.75" customHeight="1">
      <c r="A30" s="1">
        <v>28.0</v>
      </c>
      <c r="B30" s="3" t="s">
        <v>31</v>
      </c>
      <c r="C30" s="3" t="str">
        <f>IFERROR(__xludf.DUMMYFUNCTION("GOOGLETRANSLATE(B30,""id"",""en"")"),"['Accept', 'SMS', 'Telkomsel', 'Download', 'Application', 'Telkomsel', 'Get', 'Credit', 'Free', 'Finish', 'Download', 'Telkomsel', ' check ',' results', 'liar', 'hoax', 'mending', 'download', 'application', 'Telkomsel', 'liar', 'fan', 'Telkomsel', '']")</f>
        <v>['Accept', 'SMS', 'Telkomsel', 'Download', 'Application', 'Telkomsel', 'Get', 'Credit', 'Free', 'Finish', 'Download', 'Telkomsel', ' check ',' results', 'liar', 'hoax', 'mending', 'download', 'application', 'Telkomsel', 'liar', 'fan', 'Telkomsel', '']</v>
      </c>
      <c r="D30" s="3">
        <v>1.0</v>
      </c>
    </row>
    <row r="31" ht="15.75" customHeight="1">
      <c r="A31" s="1">
        <v>29.0</v>
      </c>
      <c r="B31" s="3" t="s">
        <v>32</v>
      </c>
      <c r="C31" s="3" t="str">
        <f>IFERROR(__xludf.DUMMYFUNCTION("GOOGLETRANSLATE(B31,""id"",""en"")"),"['Disappointed', 'times',' Login ',' Credit ',' already ',' Cut ',' first ',' How ',' list ',' package ',' pulses', 'already', ' After ',' first ',' Login ',' Severe ',' ']")</f>
        <v>['Disappointed', 'times',' Login ',' Credit ',' already ',' Cut ',' first ',' How ',' list ',' package ',' pulses', 'already', ' After ',' first ',' Login ',' Severe ',' ']</v>
      </c>
      <c r="D31" s="3">
        <v>1.0</v>
      </c>
    </row>
    <row r="32" ht="15.75" customHeight="1">
      <c r="A32" s="1">
        <v>30.0</v>
      </c>
      <c r="B32" s="3" t="s">
        <v>33</v>
      </c>
      <c r="C32" s="3" t="str">
        <f>IFERROR(__xludf.DUMMYFUNCTION("GOOGLETRANSLATE(B32,""id"",""en"")"),"['Knp', 'buy', 'package', 'cheerful', 'failed', 'managed', 'status', 'payment', 'processed', 'skrg', '']")</f>
        <v>['Knp', 'buy', 'package', 'cheerful', 'failed', 'managed', 'status', 'payment', 'processed', 'skrg', '']</v>
      </c>
      <c r="D32" s="3">
        <v>2.0</v>
      </c>
    </row>
    <row r="33" ht="15.75" customHeight="1">
      <c r="A33" s="1">
        <v>31.0</v>
      </c>
      <c r="B33" s="3" t="s">
        <v>34</v>
      </c>
      <c r="C33" s="3" t="str">
        <f>IFERROR(__xludf.DUMMYFUNCTION("GOOGLETRANSLATE(B33,""id"",""en"")"),"['Application', 'Ginian', 'KOQ', 'Slow', 'Forgiveness',' Dengala ',' Application ',' Game ',' Open ',' Application ',' Very ',' Belom ',' Move ',' menu ',' Hadehhhh ',' Fix ',' Dululah ',' Boss', 'Telkomsel', 'Pingin', 'Easy', 'Ribet']")</f>
        <v>['Application', 'Ginian', 'KOQ', 'Slow', 'Forgiveness',' Dengala ',' Application ',' Game ',' Open ',' Application ',' Very ',' Belom ',' Move ',' menu ',' Hadehhhh ',' Fix ',' Dululah ',' Boss', 'Telkomsel', 'Pingin', 'Easy', 'Ribet']</v>
      </c>
      <c r="D33" s="3">
        <v>1.0</v>
      </c>
    </row>
    <row r="34" ht="15.75" customHeight="1">
      <c r="A34" s="1">
        <v>32.0</v>
      </c>
      <c r="B34" s="3" t="s">
        <v>35</v>
      </c>
      <c r="C34" s="3" t="str">
        <f>IFERROR(__xludf.DUMMYFUNCTION("GOOGLETRANSLATE(B34,""id"",""en"")"),"['complicated', 'bet', 'bet', 'bet', 'application', 'confusing', 'buy', 'package', 'tlpn', 'easy', 'confusing', 'application', ' ']")</f>
        <v>['complicated', 'bet', 'bet', 'bet', 'application', 'confusing', 'buy', 'package', 'tlpn', 'easy', 'confusing', 'application', ' ']</v>
      </c>
      <c r="D34" s="3">
        <v>1.0</v>
      </c>
    </row>
    <row r="35" ht="15.75" customHeight="1">
      <c r="A35" s="1">
        <v>33.0</v>
      </c>
      <c r="B35" s="3" t="s">
        <v>36</v>
      </c>
      <c r="C35" s="3" t="str">
        <f>IFERROR(__xludf.DUMMYFUNCTION("GOOGLETRANSLATE(B35,""id"",""en"")"),"['luck', 'Ajah', 'NTT', 'NTT', 'admit', 'Telkomsel', 'evenly', 'Indonesia', 'price', 'package', 'promo', 'Bali', ' Nusra ',' Ngilak ',' Expellence ',' Plus', 'Network', 'Kaga', 'Down', 'Mulu', 'Already', 'Im', 'Move', 'Cave', ""]")</f>
        <v>['luck', 'Ajah', 'NTT', 'NTT', 'admit', 'Telkomsel', 'evenly', 'Indonesia', 'price', 'package', 'promo', 'Bali', ' Nusra ',' Ngilak ',' Expellence ',' Plus', 'Network', 'Kaga', 'Down', 'Mulu', 'Already', 'Im', 'Move', 'Cave', "]</v>
      </c>
      <c r="D35" s="3">
        <v>1.0</v>
      </c>
    </row>
    <row r="36" ht="15.75" customHeight="1">
      <c r="A36" s="1">
        <v>34.0</v>
      </c>
      <c r="B36" s="3" t="s">
        <v>37</v>
      </c>
      <c r="C36" s="3" t="str">
        <f>IFERROR(__xludf.DUMMYFUNCTION("GOOGLETRANSLATE(B36,""id"",""en"")"),"['APK', 'date', 'open', 'loading', 'then', 'continuous',' tip ',' spend ',' quota ',' update ',' install ',' reset ',' already ',' clear ',' cache ',' junior high school ',' restart ',' ber ',' times', 'msh', 'open', 'site', 'mytelkomsel', 'chrome', 'ente"&amp;"red' , 'junior high school', '']")</f>
        <v>['APK', 'date', 'open', 'loading', 'then', 'continuous',' tip ',' spend ',' quota ',' update ',' install ',' reset ',' already ',' clear ',' cache ',' junior high school ',' restart ',' ber ',' times', 'msh', 'open', 'site', 'mytelkomsel', 'chrome', 'entered' , 'junior high school', '']</v>
      </c>
      <c r="D36" s="3">
        <v>1.0</v>
      </c>
    </row>
    <row r="37" ht="15.75" customHeight="1">
      <c r="A37" s="1">
        <v>35.0</v>
      </c>
      <c r="B37" s="3" t="s">
        <v>38</v>
      </c>
      <c r="C37" s="3" t="str">
        <f>IFERROR(__xludf.DUMMYFUNCTION("GOOGLETRANSLATE(B37,""id"",""en"")"),"['love', 'star', 'yesterday', 'love', 'star', 'performance', 'application', 'chaotic', 'change', 'update', 'process',' entry ',' the application ',' saaaatlah ',' complicated ',' verification ',' via ',' sms', 'via', 'mail', 'please', 'makeup', 'process',"&amp;"' log ',' log ' , 'Star', 'LGI', '']")</f>
        <v>['love', 'star', 'yesterday', 'love', 'star', 'performance', 'application', 'chaotic', 'change', 'update', 'process',' entry ',' the application ',' saaaatlah ',' complicated ',' verification ',' via ',' sms', 'via', 'mail', 'please', 'makeup', 'process',' log ',' log ' , 'Star', 'LGI', '']</v>
      </c>
      <c r="D37" s="3">
        <v>1.0</v>
      </c>
    </row>
    <row r="38" ht="15.75" customHeight="1">
      <c r="A38" s="1">
        <v>36.0</v>
      </c>
      <c r="B38" s="3" t="s">
        <v>39</v>
      </c>
      <c r="C38" s="3" t="str">
        <f>IFERROR(__xludf.DUMMYFUNCTION("GOOGLETRANSLATE(B38,""id"",""en"")"),"['login', 'login', 'login', 'sorry', 'please', 'udh', 'dwonload', 'then', 'hpus',' dwonload ',' tetep ',' udh ',' Search ',' YouTube ',' Google ',' Tetep ',' Rich ',' Gada ',' That's', 'Core', 'Nyadimna', 'Login', 'Account', 'Sosmed', 'Please' , 'maintanc"&amp;"e', 'emng', 'apk', 'error', '']")</f>
        <v>['login', 'login', 'login', 'sorry', 'please', 'udh', 'dwonload', 'then', 'hpus',' dwonload ',' tetep ',' udh ',' Search ',' YouTube ',' Google ',' Tetep ',' Rich ',' Gada ',' That's', 'Core', 'Nyadimna', 'Login', 'Account', 'Sosmed', 'Please' , 'maintance', 'emng', 'apk', 'error', '']</v>
      </c>
      <c r="D38" s="3">
        <v>3.0</v>
      </c>
    </row>
    <row r="39" ht="15.75" customHeight="1">
      <c r="A39" s="1">
        <v>37.0</v>
      </c>
      <c r="B39" s="3" t="s">
        <v>40</v>
      </c>
      <c r="C39" s="3" t="str">
        <f>IFERROR(__xludf.DUMMYFUNCTION("GOOGLETRANSLATE(B39,""id"",""en"")"),"['Updated', 'entry', 'application', 'already', 'that's',' pulse ',' run out ',' until ',' Rupiah ',' right ',' check ',' manual ',' Because ',' use ',' application ',' enter ',' pulse ',' run out ',' application ',' Telkomsel ',' because ',' number ',' nu"&amp;"mber ',' emang ',' skarang ' , 'Telkomsel', 'bad', 'disappointing', 'user', 'loyal', 'number', 'please', 'fix', 'trust', ""]")</f>
        <v>['Updated', 'entry', 'application', 'already', 'that's',' pulse ',' run out ',' until ',' Rupiah ',' right ',' check ',' manual ',' Because ',' use ',' application ',' enter ',' pulse ',' run out ',' application ',' Telkomsel ',' because ',' number ',' number ',' emang ',' skarang ' , 'Telkomsel', 'bad', 'disappointing', 'user', 'loyal', 'number', 'please', 'fix', 'trust', "]</v>
      </c>
      <c r="D39" s="3">
        <v>1.0</v>
      </c>
    </row>
    <row r="40" ht="15.75" customHeight="1">
      <c r="A40" s="1">
        <v>38.0</v>
      </c>
      <c r="B40" s="3" t="s">
        <v>41</v>
      </c>
      <c r="C40" s="3" t="str">
        <f>IFERROR(__xludf.DUMMYFUNCTION("GOOGLETRANSLATE(B40,""id"",""en"")"),"['APS', 'Telkomsel', 'open', 'Package', 'Data', 'Telkomsel', 'APS', 'Current', 'Jaya', 'APS', 'Telkomsel', 'Ngeblank', ' ']")</f>
        <v>['APS', 'Telkomsel', 'open', 'Package', 'Data', 'Telkomsel', 'APS', 'Current', 'Jaya', 'APS', 'Telkomsel', 'Ngeblank', ' ']</v>
      </c>
      <c r="D40" s="3">
        <v>3.0</v>
      </c>
    </row>
    <row r="41" ht="15.75" customHeight="1">
      <c r="A41" s="1">
        <v>39.0</v>
      </c>
      <c r="B41" s="3" t="s">
        <v>42</v>
      </c>
      <c r="C41" s="3" t="str">
        <f>IFERROR(__xludf.DUMMYFUNCTION("GOOGLETRANSLATE(B41,""id"",""en"")"),"['already', 'expensive', 'network', 'stable', 'play', 'games', 'no' launch ',' war ',' mobile ',' Legend ',' lag ',' Sometimes', 'greetings',' dirty ',' mouth ',' due to ',' service ',' network ',' application ',' application ',' garbage ',' ']")</f>
        <v>['already', 'expensive', 'network', 'stable', 'play', 'games', 'no' launch ',' war ',' mobile ',' Legend ',' lag ',' Sometimes', 'greetings',' dirty ',' mouth ',' due to ',' service ',' network ',' application ',' application ',' garbage ',' ']</v>
      </c>
      <c r="D41" s="3">
        <v>1.0</v>
      </c>
    </row>
    <row r="42" ht="15.75" customHeight="1">
      <c r="A42" s="1">
        <v>40.0</v>
      </c>
      <c r="B42" s="3" t="s">
        <v>43</v>
      </c>
      <c r="C42" s="3" t="str">
        <f>IFERROR(__xludf.DUMMYFUNCTION("GOOGLETRANSLATE(B42,""id"",""en"")"),"['Bad', 'Log', 'MSK', 'Internet', 'PDHL', 'Activation', 'Package', 'TLP', 'CCR', 'Kink', 'Uninstall', 'Install', ' TTP ',' Solusiny ',' ']")</f>
        <v>['Bad', 'Log', 'MSK', 'Internet', 'PDHL', 'Activation', 'Package', 'TLP', 'CCR', 'Kink', 'Uninstall', 'Install', ' TTP ',' Solusiny ',' ']</v>
      </c>
      <c r="D42" s="3">
        <v>2.0</v>
      </c>
    </row>
    <row r="43" ht="15.75" customHeight="1">
      <c r="A43" s="1">
        <v>41.0</v>
      </c>
      <c r="B43" s="3" t="s">
        <v>44</v>
      </c>
      <c r="C43" s="3" t="str">
        <f>IFERROR(__xludf.DUMMYFUNCTION("GOOGLETRANSLATE(B43,""id"",""en"")"),"['update', 'package', 'internet', 'buy', 'buy', 'already', 'repeated', 'repeat', 'failed', 'disappointed', ""]")</f>
        <v>['update', 'package', 'internet', 'buy', 'buy', 'already', 'repeated', 'repeat', 'failed', 'disappointed', "]</v>
      </c>
      <c r="D43" s="3">
        <v>1.0</v>
      </c>
    </row>
    <row r="44" ht="15.75" customHeight="1">
      <c r="A44" s="1">
        <v>42.0</v>
      </c>
      <c r="B44" s="3" t="s">
        <v>45</v>
      </c>
      <c r="C44" s="3" t="str">
        <f>IFERROR(__xludf.DUMMYFUNCTION("GOOGLETRANSLATE(B44,""id"",""en"")"),"['enter', 'MyTelkomsel', 'ket', 'session', 'pdhl', 'buy', 'package', 'check', 'playstore', 'update', 'love', 'Hadeh', ' ']")</f>
        <v>['enter', 'MyTelkomsel', 'ket', 'session', 'pdhl', 'buy', 'package', 'check', 'playstore', 'update', 'love', 'Hadeh', ' ']</v>
      </c>
      <c r="D44" s="3">
        <v>5.0</v>
      </c>
    </row>
    <row r="45" ht="15.75" customHeight="1">
      <c r="A45" s="1">
        <v>43.0</v>
      </c>
      <c r="B45" s="3" t="s">
        <v>46</v>
      </c>
      <c r="C45" s="3" t="str">
        <f>IFERROR(__xludf.DUMMYFUNCTION("GOOGLETRANSLATE(B45,""id"",""en"")"),"['ugly', 'signal', 'LUP', 'LEP', 'APK', 'Ribet', 'how', 'Telkomsel', 'gini', 'ugly', 'stay', 'Telkomsel']")</f>
        <v>['ugly', 'signal', 'LUP', 'LEP', 'APK', 'Ribet', 'how', 'Telkomsel', 'gini', 'ugly', 'stay', 'Telkomsel']</v>
      </c>
      <c r="D45" s="3">
        <v>1.0</v>
      </c>
    </row>
    <row r="46" ht="15.75" customHeight="1">
      <c r="A46" s="1">
        <v>44.0</v>
      </c>
      <c r="B46" s="3" t="s">
        <v>47</v>
      </c>
      <c r="C46" s="3" t="str">
        <f>IFERROR(__xludf.DUMMYFUNCTION("GOOGLETRANSLATE(B46,""id"",""en"")"),"['Application', 'Update', 'Something', 'Something', 'Went', 'Wrong', 'Load', 'Home', 'Shop', 'Update', 'Safe', 'Safe']")</f>
        <v>['Application', 'Update', 'Something', 'Something', 'Went', 'Wrong', 'Load', 'Home', 'Shop', 'Update', 'Safe', 'Safe']</v>
      </c>
      <c r="D46" s="3">
        <v>1.0</v>
      </c>
    </row>
    <row r="47" ht="15.75" customHeight="1">
      <c r="A47" s="1">
        <v>45.0</v>
      </c>
      <c r="B47" s="3" t="s">
        <v>48</v>
      </c>
      <c r="C47" s="3" t="str">
        <f>IFERROR(__xludf.DUMMYFUNCTION("GOOGLETRANSLATE(B47,""id"",""en"")"),"['Network', 'poor', 'price', 'quota', 'effort', 'dragging', 'min', 'trs',' update ',' fix ',' network ',' if ',' In the area ',' operator ',' PSTI ',' Leave ',' complaints', 'Try', 'Consider', 'Dinaikin', 'TRS', 'Price', 'Package', 'Min']")</f>
        <v>['Network', 'poor', 'price', 'quota', 'effort', 'dragging', 'min', 'trs',' update ',' fix ',' network ',' if ',' In the area ',' operator ',' PSTI ',' Leave ',' complaints', 'Try', 'Consider', 'Dinaikin', 'TRS', 'Price', 'Package', 'Min']</v>
      </c>
      <c r="D47" s="3">
        <v>1.0</v>
      </c>
    </row>
    <row r="48" ht="15.75" customHeight="1">
      <c r="A48" s="1">
        <v>46.0</v>
      </c>
      <c r="B48" s="3" t="s">
        <v>49</v>
      </c>
      <c r="C48" s="3" t="str">
        <f>IFERROR(__xludf.DUMMYFUNCTION("GOOGLETRANSLATE(B48,""id"",""en"")"),"['update', 'boss',' updated ',' slow ',' apk ',' pdhl ',' network ',' wifi ',' safe ',' apk ',' nge ',' lag ',' Forgiveness', 'deh']")</f>
        <v>['update', 'boss',' updated ',' slow ',' apk ',' pdhl ',' network ',' wifi ',' safe ',' apk ',' nge ',' lag ',' Forgiveness', 'deh']</v>
      </c>
      <c r="D48" s="3">
        <v>1.0</v>
      </c>
    </row>
    <row r="49" ht="15.75" customHeight="1">
      <c r="A49" s="1">
        <v>47.0</v>
      </c>
      <c r="B49" s="3" t="s">
        <v>50</v>
      </c>
      <c r="C49" s="3" t="str">
        <f>IFERROR(__xludf.DUMMYFUNCTION("GOOGLETRANSLATE(B49,""id"",""en"")"),"['admin', 'please', 'application', 'heavy', 'times',' failed ',' entry ',' failed ',' network ',' use ',' wifi ',' indihome ',' Promo ',' package ',' buy ',' ilang ',' replaced ',' promo ']")</f>
        <v>['admin', 'please', 'application', 'heavy', 'times',' failed ',' entry ',' failed ',' network ',' use ',' wifi ',' indihome ',' Promo ',' package ',' buy ',' ilang ',' replaced ',' promo ']</v>
      </c>
      <c r="D49" s="3">
        <v>1.0</v>
      </c>
    </row>
    <row r="50" ht="15.75" customHeight="1">
      <c r="A50" s="1">
        <v>48.0</v>
      </c>
      <c r="B50" s="3" t="s">
        <v>51</v>
      </c>
      <c r="C50" s="3" t="str">
        <f>IFERROR(__xludf.DUMMYFUNCTION("GOOGLETRANSLATE(B50,""id"",""en"")"),"['already', 'updated', 'gabisa', 'opened', 'Males',' Telkomsel ',' buy ',' package ',' internet ',' cash ',' owe ',' slow ',' ']")</f>
        <v>['already', 'updated', 'gabisa', 'opened', 'Males',' Telkomsel ',' buy ',' package ',' internet ',' cash ',' owe ',' slow ',' ']</v>
      </c>
      <c r="D50" s="3">
        <v>1.0</v>
      </c>
    </row>
    <row r="51" ht="15.75" customHeight="1">
      <c r="A51" s="1">
        <v>49.0</v>
      </c>
      <c r="B51" s="3" t="s">
        <v>52</v>
      </c>
      <c r="C51" s="3" t="str">
        <f>IFERROR(__xludf.DUMMYFUNCTION("GOOGLETRANSLATE(B51,""id"",""en"")"),"['Please', 'sorry', 'love', 'twigs', 'mslh', 'telkomsel', 'salespeople', 'update', 'slow', 'sehqrus', 'ny', 'after' Update ',' improved ',' yeah ',' lngsng ',' log ',' out ',' application ',' fit ',' login ',' nggk ',' please ',' application ',' Telkomsel"&amp;" ' , 'Restore', 'SPT', 'DLU', 'smooth', 'obstacles', 'customers', 'Telkomsel', 'turned', 'application']")</f>
        <v>['Please', 'sorry', 'love', 'twigs', 'mslh', 'telkomsel', 'salespeople', 'update', 'slow', 'sehqrus', 'ny', 'after' Update ',' improved ',' yeah ',' lngsng ',' log ',' out ',' application ',' fit ',' login ',' nggk ',' please ',' application ',' Telkomsel ' , 'Restore', 'SPT', 'DLU', 'smooth', 'obstacles', 'customers', 'Telkomsel', 'turned', 'application']</v>
      </c>
      <c r="D51" s="3">
        <v>1.0</v>
      </c>
    </row>
    <row r="52" ht="15.75" customHeight="1">
      <c r="A52" s="1">
        <v>50.0</v>
      </c>
      <c r="B52" s="3" t="s">
        <v>53</v>
      </c>
      <c r="C52" s="3" t="str">
        <f>IFERROR(__xludf.DUMMYFUNCTION("GOOGLETRANSLATE(B52,""id"",""en"")"),"['application', 'mandate', 'application', 'worst', 'dwonload', 'application', 'good', 'bad', 'friend', 'victim', 'dwonload', 'application', ' Amanah ',' hope ',' Allah ',' reply ',' contents', 'quota', 'quota', 'ilang', 'ntah', 'blood', 'meat', 'eat', 'ri"&amp;"ght' , 'People', 'Nauzubilah', 'Minzalik']")</f>
        <v>['application', 'mandate', 'application', 'worst', 'dwonload', 'application', 'good', 'bad', 'friend', 'victim', 'dwonload', 'application', ' Amanah ',' hope ',' Allah ',' reply ',' contents', 'quota', 'quota', 'ilang', 'ntah', 'blood', 'meat', 'eat', 'right' , 'People', 'Nauzubilah', 'Minzalik']</v>
      </c>
      <c r="D52" s="3">
        <v>1.0</v>
      </c>
    </row>
    <row r="53" ht="15.75" customHeight="1">
      <c r="A53" s="1">
        <v>51.0</v>
      </c>
      <c r="B53" s="3" t="s">
        <v>54</v>
      </c>
      <c r="C53" s="3" t="str">
        <f>IFERROR(__xludf.DUMMYFUNCTION("GOOGLETRANSLATE(B53,""id"",""en"")"),"['oath', 'gatau', 'card', 'already', 'expensive', 'signal', 'garbage', 'mending', 'expensive', 'sinynya', 'good', 'gpp', ' Already ',' expensive ',' signal ',' garbage ',' users', 'Telkomsel', 'disappointed', 'Telkomsel', 'Minking', 'user', '']")</f>
        <v>['oath', 'gatau', 'card', 'already', 'expensive', 'signal', 'garbage', 'mending', 'expensive', 'sinynya', 'good', 'gpp', ' Already ',' expensive ',' signal ',' garbage ',' users', 'Telkomsel', 'disappointed', 'Telkomsel', 'Minking', 'user', '']</v>
      </c>
      <c r="D53" s="3">
        <v>1.0</v>
      </c>
    </row>
    <row r="54" ht="15.75" customHeight="1">
      <c r="A54" s="1">
        <v>52.0</v>
      </c>
      <c r="B54" s="3" t="s">
        <v>55</v>
      </c>
      <c r="C54" s="3" t="str">
        <f>IFERROR(__xludf.DUMMYFUNCTION("GOOGLETRANSLATE(B54,""id"",""en"")"),"['Semnjk', 'press',' updated ',' App ',' date ',' July ',' Login ',' SLM ',' Bertrt ',' Wrong ',' Connection ',' Accept ',' SMS ',' OTP ',' Telkomsel ',' Lite ',' Download ',' Durable ',' Download ',' Thn ',' Gini ']")</f>
        <v>['Semnjk', 'press',' updated ',' App ',' date ',' July ',' Login ',' SLM ',' Bertrt ',' Wrong ',' Connection ',' Accept ',' SMS ',' OTP ',' Telkomsel ',' Lite ',' Download ',' Durable ',' Download ',' Thn ',' Gini ']</v>
      </c>
      <c r="D54" s="3">
        <v>1.0</v>
      </c>
    </row>
    <row r="55" ht="15.75" customHeight="1">
      <c r="A55" s="1">
        <v>53.0</v>
      </c>
      <c r="B55" s="3" t="s">
        <v>56</v>
      </c>
      <c r="C55" s="3" t="str">
        <f>IFERROR(__xludf.DUMMYFUNCTION("GOOGLETRANSLATE(B55,""id"",""en"")"),"['Please', 'Telkomsel', 'list', 'account', 'click Film', 'What's', 'list', 'credit', 'kesodot', 'then', 'loss', ""]")</f>
        <v>['Please', 'Telkomsel', 'list', 'account', 'click Film', 'What's', 'list', 'credit', 'kesodot', 'then', 'loss', "]</v>
      </c>
      <c r="D55" s="3">
        <v>1.0</v>
      </c>
    </row>
    <row r="56" ht="15.75" customHeight="1">
      <c r="A56" s="1">
        <v>54.0</v>
      </c>
      <c r="B56" s="3" t="s">
        <v>57</v>
      </c>
      <c r="C56" s="3" t="str">
        <f>IFERROR(__xludf.DUMMYFUNCTION("GOOGLETRANSLATE(B56,""id"",""en"")"),"['Login', 'update', 'newest', 'mmg', 'bugs', 'sophisticated', 'Where', 'Feedback', 'Switch', 'operator', 'fast', 'response']")</f>
        <v>['Login', 'update', 'newest', 'mmg', 'bugs', 'sophisticated', 'Where', 'Feedback', 'Switch', 'operator', 'fast', 'response']</v>
      </c>
      <c r="D56" s="3">
        <v>1.0</v>
      </c>
    </row>
    <row r="57" ht="15.75" customHeight="1">
      <c r="A57" s="1">
        <v>55.0</v>
      </c>
      <c r="B57" s="3" t="s">
        <v>58</v>
      </c>
      <c r="C57" s="3" t="str">
        <f>IFERROR(__xludf.DUMMYFUNCTION("GOOGLETRANSLATE(B57,""id"",""en"")"),"['Over', 'comment', 'rating', 'fast', 'improving', 'fast', 'find', 'solution', 'logo', 'change', 'performance', 'the difference', ' Company ',' Plat ',' Red ',' Please ',' Show ',' Your Service ',' Garcep ',' Society ',' Belongs', 'Private', ""]")</f>
        <v>['Over', 'comment', 'rating', 'fast', 'improving', 'fast', 'find', 'solution', 'logo', 'change', 'performance', 'the difference', ' Company ',' Plat ',' Red ',' Please ',' Show ',' Your Service ',' Garcep ',' Society ',' Belongs', 'Private', "]</v>
      </c>
      <c r="D57" s="3">
        <v>1.0</v>
      </c>
    </row>
    <row r="58" ht="15.75" customHeight="1">
      <c r="A58" s="1">
        <v>56.0</v>
      </c>
      <c r="B58" s="3" t="s">
        <v>59</v>
      </c>
      <c r="C58" s="3" t="str">
        <f>IFERROR(__xludf.DUMMYFUNCTION("GOOGLETRANSLATE(B58,""id"",""en"")"),"['Telkomsel', 'Please', 'repaired', 'the application', 'used', 'abis',' download ',' doang ',' udh ',' application ',' run out ',' entry ',' screen ',' white ',' doang ',' delete ',' download ',' application ',' enter ',' stupid ',' really ',' udh ',' a m"&amp;"onth ',' right ' , 'Bener', 'the application', 'Divert', 'Language', 'Indonesia', 'Direct', 'Nge', 'Hang', 'poor', ""]")</f>
        <v>['Telkomsel', 'Please', 'repaired', 'the application', 'used', 'abis',' download ',' doang ',' udh ',' application ',' run out ',' entry ',' screen ',' white ',' doang ',' delete ',' download ',' application ',' enter ',' stupid ',' really ',' udh ',' a month ',' right ' , 'Bener', 'the application', 'Divert', 'Language', 'Indonesia', 'Direct', 'Nge', 'Hang', 'poor', "]</v>
      </c>
      <c r="D58" s="3">
        <v>1.0</v>
      </c>
    </row>
    <row r="59" ht="15.75" customHeight="1">
      <c r="A59" s="1">
        <v>57.0</v>
      </c>
      <c r="B59" s="3" t="s">
        <v>60</v>
      </c>
      <c r="C59" s="3" t="str">
        <f>IFERROR(__xludf.DUMMYFUNCTION("GOOGLETRANSLATE(B59,""id"",""en"")"),"['Hang', 'System', 'responding', 'Dead', 'restart', 'Samsung', 'Plus', 'Latest', 'Genesis']")</f>
        <v>['Hang', 'System', 'responding', 'Dead', 'restart', 'Samsung', 'Plus', 'Latest', 'Genesis']</v>
      </c>
      <c r="D59" s="3">
        <v>3.0</v>
      </c>
    </row>
    <row r="60" ht="15.75" customHeight="1">
      <c r="A60" s="1">
        <v>58.0</v>
      </c>
      <c r="B60" s="3" t="s">
        <v>61</v>
      </c>
      <c r="C60" s="3" t="str">
        <f>IFERROR(__xludf.DUMMYFUNCTION("GOOGLETRANSLATE(B60,""id"",""en"")"),"['Disappointing', 'Telkomsel', 'Application', 'Times',' Experience ',' Uninstall ',' Download ',' Download ',' Troubled ',' Telkomsel ',' fix ',' Services', 'Consumers',' Moving ',' Provider ',' ']")</f>
        <v>['Disappointing', 'Telkomsel', 'Application', 'Times',' Experience ',' Uninstall ',' Download ',' Download ',' Troubled ',' Telkomsel ',' fix ',' Services', 'Consumers',' Moving ',' Provider ',' ']</v>
      </c>
      <c r="D60" s="3">
        <v>1.0</v>
      </c>
    </row>
    <row r="61" ht="15.75" customHeight="1">
      <c r="A61" s="1">
        <v>59.0</v>
      </c>
      <c r="B61" s="3" t="s">
        <v>62</v>
      </c>
      <c r="C61" s="3" t="str">
        <f>IFERROR(__xludf.DUMMYFUNCTION("GOOGLETRANSLATE(B61,""id"",""en"")"),"['enter', 'app', 'Telkomsel', 'just', 'already', 'unisntal', 'install', 'enter', 'writing', 'error', 'login', ""]")</f>
        <v>['enter', 'app', 'Telkomsel', 'just', 'already', 'unisntal', 'install', 'enter', 'writing', 'error', 'login', "]</v>
      </c>
      <c r="D61" s="3">
        <v>1.0</v>
      </c>
    </row>
    <row r="62" ht="15.75" customHeight="1">
      <c r="A62" s="1">
        <v>60.0</v>
      </c>
      <c r="B62" s="3" t="s">
        <v>63</v>
      </c>
      <c r="C62" s="3" t="str">
        <f>IFERROR(__xludf.DUMMYFUNCTION("GOOGLETRANSLATE(B62,""id"",""en"")"),"['performance', 'enter', 'failed', 'Please', 'Benerin', 'Masalak', 'Connect', 'Gini', 'Mending', 'Move', 'IM', '']")</f>
        <v>['performance', 'enter', 'failed', 'Please', 'Benerin', 'Masalak', 'Connect', 'Gini', 'Mending', 'Move', 'IM', '']</v>
      </c>
      <c r="D62" s="3">
        <v>1.0</v>
      </c>
    </row>
    <row r="63" ht="15.75" customHeight="1">
      <c r="A63" s="1">
        <v>61.0</v>
      </c>
      <c r="B63" s="3" t="s">
        <v>64</v>
      </c>
      <c r="C63" s="3" t="str">
        <f>IFERROR(__xludf.DUMMYFUNCTION("GOOGLETRANSLATE(B63,""id"",""en"")"),"['Please', 'repaired', 'the application', 'system', 'stop', 'open', 'application', 'fear', 'damage', 'system', 'force', 'closed', ' thank you', '']")</f>
        <v>['Please', 'repaired', 'the application', 'system', 'stop', 'open', 'application', 'fear', 'damage', 'system', 'force', 'closed', ' thank you', '']</v>
      </c>
      <c r="D63" s="3">
        <v>1.0</v>
      </c>
    </row>
    <row r="64" ht="15.75" customHeight="1">
      <c r="A64" s="1">
        <v>62.0</v>
      </c>
      <c r="B64" s="3" t="s">
        <v>65</v>
      </c>
      <c r="C64" s="3" t="str">
        <f>IFERROR(__xludf.DUMMYFUNCTION("GOOGLETRANSLATE(B64,""id"",""en"")"),"['love', 'star', 'user', 'loyal', 'Telkomsel', 'network', 'doubt', 'just', 'suggest', 'right', 'buy', 'quota', ' Quota ',' Ribet ',' Internet ',' UDH ',' Kepakai ',' Thanks', 'Telkomsel']")</f>
        <v>['love', 'star', 'user', 'loyal', 'Telkomsel', 'network', 'doubt', 'just', 'suggest', 'right', 'buy', 'quota', ' Quota ',' Ribet ',' Internet ',' UDH ',' Kepakai ',' Thanks', 'Telkomsel']</v>
      </c>
      <c r="D64" s="3">
        <v>3.0</v>
      </c>
    </row>
    <row r="65" ht="15.75" customHeight="1">
      <c r="A65" s="1">
        <v>63.0</v>
      </c>
      <c r="B65" s="3" t="s">
        <v>66</v>
      </c>
      <c r="C65" s="3" t="str">
        <f>IFERROR(__xludf.DUMMYFUNCTION("GOOGLETRANSLATE(B65,""id"",""en"")"),"['parahh', 'loading', 'really', 'error', 'Muluuu', 'update', 'morning', 'afternoon', 'update', 'tetep', 'open', 'difficult', ' Bangettt ',' Move ',' Lahhh ', ""]")</f>
        <v>['parahh', 'loading', 'really', 'error', 'Muluuu', 'update', 'morning', 'afternoon', 'update', 'tetep', 'open', 'difficult', ' Bangettt ',' Move ',' Lahhh ', "]</v>
      </c>
      <c r="D65" s="3">
        <v>1.0</v>
      </c>
    </row>
    <row r="66" ht="15.75" customHeight="1">
      <c r="A66" s="1">
        <v>64.0</v>
      </c>
      <c r="B66" s="3" t="s">
        <v>67</v>
      </c>
      <c r="C66" s="3" t="str">
        <f>IFERROR(__xludf.DUMMYFUNCTION("GOOGLETRANSLATE(B66,""id"",""en"")"),"['already', 'network', 'difficult', 'plus', 'package', 'quota', 'expensive', 'ppkm', 'provider', 'lightening', 'user', 'expensive' ']")</f>
        <v>['already', 'network', 'difficult', 'plus', 'package', 'quota', 'expensive', 'ppkm', 'provider', 'lightening', 'user', 'expensive' ']</v>
      </c>
      <c r="D66" s="3">
        <v>1.0</v>
      </c>
    </row>
    <row r="67" ht="15.75" customHeight="1">
      <c r="A67" s="1">
        <v>65.0</v>
      </c>
      <c r="B67" s="3" t="s">
        <v>68</v>
      </c>
      <c r="C67" s="3" t="str">
        <f>IFERROR(__xludf.DUMMYFUNCTION("GOOGLETRANSLATE(B67,""id"",""en"")"),"['disappointing', 'times',' update ',' application ',' verification ',' throw ',' loyal ',' wear ',' Telkomsel ',' disappointed ',' times', 'verification', ' Nom ',' telephone ',' code ',' verification ',' required ',' enter ',' name ',' email ',' enter '"&amp;",' repeat ',' step ',' times', 'enter' , 'disappointing', '']")</f>
        <v>['disappointing', 'times',' update ',' application ',' verification ',' throw ',' loyal ',' wear ',' Telkomsel ',' disappointed ',' times', 'verification', ' Nom ',' telephone ',' code ',' verification ',' required ',' enter ',' name ',' email ',' enter ',' repeat ',' step ',' times', 'enter' , 'disappointing', '']</v>
      </c>
      <c r="D67" s="3">
        <v>1.0</v>
      </c>
    </row>
    <row r="68" ht="15.75" customHeight="1">
      <c r="A68" s="1">
        <v>66.0</v>
      </c>
      <c r="B68" s="3" t="s">
        <v>69</v>
      </c>
      <c r="C68" s="3" t="str">
        <f>IFERROR(__xludf.DUMMYFUNCTION("GOOGLETRANSLATE(B68,""id"",""en"")"),"['Telkomsel', 'Package', 'Multimedia', 'Wait', 'Out', 'quota', 'main', 'price', 'expensive', 'service', 'minimal', 'quota', ' I hope ',' according to ',' pay ']")</f>
        <v>['Telkomsel', 'Package', 'Multimedia', 'Wait', 'Out', 'quota', 'main', 'price', 'expensive', 'service', 'minimal', 'quota', ' I hope ',' according to ',' pay ']</v>
      </c>
      <c r="D68" s="3">
        <v>2.0</v>
      </c>
    </row>
    <row r="69" ht="15.75" customHeight="1">
      <c r="A69" s="1">
        <v>67.0</v>
      </c>
      <c r="B69" s="3" t="s">
        <v>70</v>
      </c>
      <c r="C69" s="3" t="str">
        <f>IFERROR(__xludf.DUMMYFUNCTION("GOOGLETRANSLATE(B69,""id"",""en"")"),"['difficult', 'enter', 'enter', 'link', 'sms',' fail ',' buy ',' package ',' promo ',' ACC ',' Please ',' Increase ',' thank you', '']")</f>
        <v>['difficult', 'enter', 'enter', 'link', 'sms',' fail ',' buy ',' package ',' promo ',' ACC ',' Please ',' Increase ',' thank you', '']</v>
      </c>
      <c r="D69" s="3">
        <v>1.0</v>
      </c>
    </row>
    <row r="70" ht="15.75" customHeight="1">
      <c r="A70" s="1">
        <v>68.0</v>
      </c>
      <c r="B70" s="3" t="s">
        <v>71</v>
      </c>
      <c r="C70" s="3" t="str">
        <f>IFERROR(__xludf.DUMMYFUNCTION("GOOGLETRANSLATE(B70,""id"",""en"")"),"['Internet', 'stable', 'Show', 'page', 'main', 'slow', 'application', 'Telkomsel', 'Bad', 'Bad', 'Bad', 'Learning', ' GIH ',' Application ',' Myim ',' ']")</f>
        <v>['Internet', 'stable', 'Show', 'page', 'main', 'slow', 'application', 'Telkomsel', 'Bad', 'Bad', 'Bad', 'Learning', ' GIH ',' Application ',' Myim ',' ']</v>
      </c>
      <c r="D70" s="3">
        <v>1.0</v>
      </c>
    </row>
    <row r="71" ht="15.75" customHeight="1">
      <c r="A71" s="1">
        <v>69.0</v>
      </c>
      <c r="B71" s="3" t="s">
        <v>72</v>
      </c>
      <c r="C71" s="3" t="str">
        <f>IFERROR(__xludf.DUMMYFUNCTION("GOOGLETRANSLATE(B71,""id"",""en"")"),"['App', 'already', 'BERES', 'Cook', 'list', 'package', 'week', 'already', 'stop', 'subscribe', 'that's',' Telkomsel ',' Enter ',' Sampe ',' Bosen ',' Please ',' ']")</f>
        <v>['App', 'already', 'BERES', 'Cook', 'list', 'package', 'week', 'already', 'stop', 'subscribe', 'that's',' Telkomsel ',' Enter ',' Sampe ',' Bosen ',' Please ',' ']</v>
      </c>
      <c r="D71" s="3">
        <v>4.0</v>
      </c>
    </row>
    <row r="72" ht="15.75" customHeight="1">
      <c r="A72" s="1">
        <v>70.0</v>
      </c>
      <c r="B72" s="3" t="s">
        <v>73</v>
      </c>
      <c r="C72" s="3" t="str">
        <f>IFERROR(__xludf.DUMMYFUNCTION("GOOGLETRANSLATE(B72,""id"",""en"")"),"['Login', 'difficult', 'how', 'buy', 'quota', 'here', 'hard', 'the application', 'out', 'update', 'nge', 'lag', ' Severe ',' Sent ',' via ',' sms', 'second', 'connection', 'ugly', 'run out', 'loading', 'run out', 'click', 'Link', 'appears' , 'Something', "&amp;"'wrong', 'Telkomsel', 'times', 'wrong', 'hard', 'really', 'luck', 'already', 'cheap', 'quota', ""]")</f>
        <v>['Login', 'difficult', 'how', 'buy', 'quota', 'here', 'hard', 'the application', 'out', 'update', 'nge', 'lag', ' Severe ',' Sent ',' via ',' sms', 'second', 'connection', 'ugly', 'run out', 'loading', 'run out', 'click', 'Link', 'appears' , 'Something', 'wrong', 'Telkomsel', 'times', 'wrong', 'hard', 'really', 'luck', 'already', 'cheap', 'quota', "]</v>
      </c>
      <c r="D72" s="3">
        <v>1.0</v>
      </c>
    </row>
    <row r="73" ht="15.75" customHeight="1">
      <c r="A73" s="1">
        <v>71.0</v>
      </c>
      <c r="B73" s="3" t="s">
        <v>74</v>
      </c>
      <c r="C73" s="3" t="str">
        <f>IFERROR(__xludf.DUMMYFUNCTION("GOOGLETRANSLATE(B73,""id"",""en"")"),"['Telkomsel', 'signal', 'good', 'rich', 'price', 'pulses', 'expensive', 'expensive', 'quality', 'good', 'declined', '']")</f>
        <v>['Telkomsel', 'signal', 'good', 'rich', 'price', 'pulses', 'expensive', 'expensive', 'quality', 'good', 'declined', '']</v>
      </c>
      <c r="D73" s="3">
        <v>3.0</v>
      </c>
    </row>
    <row r="74" ht="15.75" customHeight="1">
      <c r="A74" s="1">
        <v>72.0</v>
      </c>
      <c r="B74" s="3" t="s">
        <v>75</v>
      </c>
      <c r="C74" s="3" t="str">
        <f>IFERROR(__xludf.DUMMYFUNCTION("GOOGLETRANSLATE(B74,""id"",""en"")"),"['Application', 'Taik', 'Data', 'Hax', 'Use', 'Week', 'Rare', 'Use', 'Friends',' Suggest ',' Buy ',' Tellkomsel ',' Pret ',' buy ',' Combo ',' Sakti ',' GB ',' use ']")</f>
        <v>['Application', 'Taik', 'Data', 'Hax', 'Use', 'Week', 'Rare', 'Use', 'Friends',' Suggest ',' Buy ',' Tellkomsel ',' Pret ',' buy ',' Combo ',' Sakti ',' GB ',' use ']</v>
      </c>
      <c r="D74" s="3">
        <v>1.0</v>
      </c>
    </row>
    <row r="75" ht="15.75" customHeight="1">
      <c r="A75" s="1">
        <v>73.0</v>
      </c>
      <c r="B75" s="3" t="s">
        <v>76</v>
      </c>
      <c r="C75" s="3" t="str">
        <f>IFERROR(__xludf.DUMMYFUNCTION("GOOGLETRANSLATE(B75,""id"",""en"")"),"['Disappointed', 'credit', 'Rb', 'buy', 'package', 'tranquility', 'rb', 'right', 'refresh', 'pulse', 'stay', 'rb', ' only ',' many ',' times', 'Please', 'response', 'Help', 'Karna', 'Genesis', ""]")</f>
        <v>['Disappointed', 'credit', 'Rb', 'buy', 'package', 'tranquility', 'rb', 'right', 'refresh', 'pulse', 'stay', 'rb', ' only ',' many ',' times', 'Please', 'response', 'Help', 'Karna', 'Genesis', "]</v>
      </c>
      <c r="D75" s="3">
        <v>1.0</v>
      </c>
    </row>
    <row r="76" ht="15.75" customHeight="1">
      <c r="A76" s="1">
        <v>74.0</v>
      </c>
      <c r="B76" s="3" t="s">
        <v>77</v>
      </c>
      <c r="C76" s="3" t="str">
        <f>IFERROR(__xludf.DUMMYFUNCTION("GOOGLETRANSLATE(B76,""id"",""en"")"),"['Disappointed', 'really', 'application', 'since' Grad ',' conversion ',' application ',' difficult ',' log ',' application ',' information ',' error ',' system ',' reach ',' signal ',' stable ',' good ',' beg ',' follow ',' continued ',' convenience ',' "&amp;"consumer ']")</f>
        <v>['Disappointed', 'really', 'application', 'since' Grad ',' conversion ',' application ',' difficult ',' log ',' application ',' information ',' error ',' system ',' reach ',' signal ',' stable ',' good ',' beg ',' follow ',' continued ',' convenience ',' consumer ']</v>
      </c>
      <c r="D76" s="3">
        <v>2.0</v>
      </c>
    </row>
    <row r="77" ht="15.75" customHeight="1">
      <c r="A77" s="1">
        <v>75.0</v>
      </c>
      <c r="B77" s="3" t="s">
        <v>78</v>
      </c>
      <c r="C77" s="3" t="str">
        <f>IFERROR(__xludf.DUMMYFUNCTION("GOOGLETRANSLATE(B77,""id"",""en"")"),"['please', 'application', 'eat', 'data', 'slow', 'dri', 'speed', 'pdhal', 'signal', 'open', 'application', 'eat', ' Notice ',' yaa ',' ']")</f>
        <v>['please', 'application', 'eat', 'data', 'slow', 'dri', 'speed', 'pdhal', 'signal', 'open', 'application', 'eat', ' Notice ',' yaa ',' ']</v>
      </c>
      <c r="D77" s="3">
        <v>1.0</v>
      </c>
    </row>
    <row r="78" ht="15.75" customHeight="1">
      <c r="A78" s="1">
        <v>76.0</v>
      </c>
      <c r="B78" s="3" t="s">
        <v>79</v>
      </c>
      <c r="C78" s="3" t="str">
        <f>IFERROR(__xludf.DUMMYFUNCTION("GOOGLETRANSLATE(B78,""id"",""en"")"),"['The application', 'good', 'check', 'quota', 'lack', 'login', 'login', 'enter', 'chroom', 'google', 'enter', 'chroom', ' Google ',' failed ',' entered ',' UDH ',' Know ',' ']")</f>
        <v>['The application', 'good', 'check', 'quota', 'lack', 'login', 'login', 'enter', 'chroom', 'google', 'enter', 'chroom', ' Google ',' failed ',' entered ',' UDH ',' Know ',' ']</v>
      </c>
      <c r="D78" s="3">
        <v>3.0</v>
      </c>
    </row>
    <row r="79" ht="15.75" customHeight="1">
      <c r="A79" s="1">
        <v>77.0</v>
      </c>
      <c r="B79" s="3" t="s">
        <v>80</v>
      </c>
      <c r="C79" s="3" t="str">
        <f>IFERROR(__xludf.DUMMYFUNCTION("GOOGLETRANSLATE(B79,""id"",""en"")"),"['NOT', 'use', 'quota', 'Telkomsel', 'use', 'wifi', 'quota', 'stingy', 'application', 'love', 'star', 'minus',' ']")</f>
        <v>['NOT', 'use', 'quota', 'Telkomsel', 'use', 'wifi', 'quota', 'stingy', 'application', 'love', 'star', 'minus',' ']</v>
      </c>
      <c r="D79" s="3">
        <v>1.0</v>
      </c>
    </row>
    <row r="80" ht="15.75" customHeight="1">
      <c r="A80" s="1">
        <v>78.0</v>
      </c>
      <c r="B80" s="3" t="s">
        <v>81</v>
      </c>
      <c r="C80" s="3" t="str">
        <f>IFERROR(__xludf.DUMMYFUNCTION("GOOGLETRANSLATE(B80,""id"",""en"")"),"['Good', 'complete', 'thanks', 'Telkomsel', '']")</f>
        <v>['Good', 'complete', 'thanks', 'Telkomsel', '']</v>
      </c>
      <c r="D80" s="3">
        <v>5.0</v>
      </c>
    </row>
    <row r="81" ht="15.75" customHeight="1">
      <c r="A81" s="1">
        <v>79.0</v>
      </c>
      <c r="B81" s="3" t="s">
        <v>82</v>
      </c>
      <c r="C81" s="3" t="str">
        <f>IFERROR(__xludf.DUMMYFUNCTION("GOOGLETRANSLATE(B81,""id"",""en"")"),"['NGK', 'Open', 'Loading', 'Loading', 'Purchase', 'Easy', 'Loading', 'That', 'Annoyed', 'Please', 'Accelerate', 'Access',' Enter ',' complicated ',' restricted ',' network ',' ']")</f>
        <v>['NGK', 'Open', 'Loading', 'Loading', 'Purchase', 'Easy', 'Loading', 'That', 'Annoyed', 'Please', 'Accelerate', 'Access',' Enter ',' complicated ',' restricted ',' network ',' ']</v>
      </c>
      <c r="D81" s="3">
        <v>3.0</v>
      </c>
    </row>
    <row r="82" ht="15.75" customHeight="1">
      <c r="A82" s="1">
        <v>80.0</v>
      </c>
      <c r="B82" s="3" t="s">
        <v>83</v>
      </c>
      <c r="C82" s="3" t="str">
        <f>IFERROR(__xludf.DUMMYFUNCTION("GOOGLETRANSLATE(B82,""id"",""en"")"),"['How', 'Telkomsel', 'buy', 'Package', 'Telkomsel', 'Pay', 'Via', 'Gopay', 'Fund', 'etc.', 'TPI', 'Via', ' Credit ',' gymna ',' Telkomsel ',' please ',' love ',' convenience ',' use ',' application ', ""]")</f>
        <v>['How', 'Telkomsel', 'buy', 'Package', 'Telkomsel', 'Pay', 'Via', 'Gopay', 'Fund', 'etc.', 'TPI', 'Via', ' Credit ',' gymna ',' Telkomsel ',' please ',' love ',' convenience ',' use ',' application ', "]</v>
      </c>
      <c r="D82" s="3">
        <v>5.0</v>
      </c>
    </row>
    <row r="83" ht="15.75" customHeight="1">
      <c r="A83" s="1">
        <v>81.0</v>
      </c>
      <c r="B83" s="3" t="s">
        <v>84</v>
      </c>
      <c r="C83" s="3" t="str">
        <f>IFERROR(__xludf.DUMMYFUNCTION("GOOGLETRANSLATE(B83,""id"",""en"")"),"['Telkomsel', 'my favorite', 'network', 'extensive', 'application', 'update', 'please', 'suck', 'pulse', 'price', 'package', ""]")</f>
        <v>['Telkomsel', 'my favorite', 'network', 'extensive', 'application', 'update', 'please', 'suck', 'pulse', 'price', 'package', "]</v>
      </c>
      <c r="D83" s="3">
        <v>2.0</v>
      </c>
    </row>
    <row r="84" ht="15.75" customHeight="1">
      <c r="A84" s="1">
        <v>82.0</v>
      </c>
      <c r="B84" s="3" t="s">
        <v>85</v>
      </c>
      <c r="C84" s="3" t="str">
        <f>IFERROR(__xludf.DUMMYFUNCTION("GOOGLETRANSLATE(B84,""id"",""en"")"),"['Lower', 'star', 'package', 'combo', 'cheap', 'thousand', 'thousand', 'amid', 'pandemic', 'adjustment', 'rates',' cheap ',' users', 'times',' redeem ',' points', 'program', 'daily', 'checking', 'quota', 'free', 'fail', 'reasons',' failure ',' system ' , "&amp;"'shy', 'user', 'system', 'enhanced', 'fix', '']")</f>
        <v>['Lower', 'star', 'package', 'combo', 'cheap', 'thousand', 'thousand', 'amid', 'pandemic', 'adjustment', 'rates',' cheap ',' users', 'times',' redeem ',' points', 'program', 'daily', 'checking', 'quota', 'free', 'fail', 'reasons',' failure ',' system ' , 'shy', 'user', 'system', 'enhanced', 'fix', '']</v>
      </c>
      <c r="D84" s="3">
        <v>1.0</v>
      </c>
    </row>
    <row r="85" ht="15.75" customHeight="1">
      <c r="A85" s="1">
        <v>83.0</v>
      </c>
      <c r="B85" s="3" t="s">
        <v>86</v>
      </c>
      <c r="C85" s="3" t="str">
        <f>IFERROR(__xludf.DUMMYFUNCTION("GOOGLETRANSLATE(B85,""id"",""en"")"),"['Updated', 'Try', 'Many', 'Tetep', 'Liat', 'Menu', 'Application', 'Please', 'Repair', 'Customer', 'Telkomsel', 'Disappointed', ' Application ',' updated ',' used ',' ']")</f>
        <v>['Updated', 'Try', 'Many', 'Tetep', 'Liat', 'Menu', 'Application', 'Please', 'Repair', 'Customer', 'Telkomsel', 'Disappointed', ' Application ',' updated ',' used ',' ']</v>
      </c>
      <c r="D85" s="3">
        <v>5.0</v>
      </c>
    </row>
    <row r="86" ht="15.75" customHeight="1">
      <c r="A86" s="1">
        <v>84.0</v>
      </c>
      <c r="B86" s="3" t="s">
        <v>87</v>
      </c>
      <c r="C86" s="3" t="str">
        <f>IFERROR(__xludf.DUMMYFUNCTION("GOOGLETRANSLATE(B86,""id"",""en"")"),"['Alhamdulillah', 'The era', 'Nokia', 'antenna', 'loyal', 'Telkomsel', 'hopefully', 'good', 'service', 'thank', 'love', 'Telkomsel']")</f>
        <v>['Alhamdulillah', 'The era', 'Nokia', 'antenna', 'loyal', 'Telkomsel', 'hopefully', 'good', 'service', 'thank', 'love', 'Telkomsel']</v>
      </c>
      <c r="D86" s="3">
        <v>5.0</v>
      </c>
    </row>
    <row r="87" ht="15.75" customHeight="1">
      <c r="A87" s="1">
        <v>85.0</v>
      </c>
      <c r="B87" s="3" t="s">
        <v>88</v>
      </c>
      <c r="C87" s="3" t="str">
        <f>IFERROR(__xludf.DUMMYFUNCTION("GOOGLETRANSLATE(B87,""id"",""en"")"),"['', 'region', 'Indonesia', 'East', 'signal', 'Telkomsel', 'steady', 'customers',' loyal ',' Telkomsel ',' hopefully ',' signal ',' Telkomsel ',' Region ',' Movers', 'Indonesia']")</f>
        <v>['', 'region', 'Indonesia', 'East', 'signal', 'Telkomsel', 'steady', 'customers',' loyal ',' Telkomsel ',' hopefully ',' signal ',' Telkomsel ',' Region ',' Movers', 'Indonesia']</v>
      </c>
      <c r="D87" s="3">
        <v>5.0</v>
      </c>
    </row>
    <row r="88" ht="15.75" customHeight="1">
      <c r="A88" s="1">
        <v>86.0</v>
      </c>
      <c r="B88" s="3" t="s">
        <v>89</v>
      </c>
      <c r="C88" s="3" t="str">
        <f>IFERROR(__xludf.DUMMYFUNCTION("GOOGLETRANSLATE(B88,""id"",""en"")"),"['oath', 'network', 'Telkomsel', 'ugly', 'bnget', 'already', 'quota', 'msh', 'bnyak', 'TPI', 'right', 'BKA', ' Wrong ',' APL ',' Notifx ',' Slalu ',' BLG ',' Network ',' Active ',' GTU ',' Bkin ',' HBS ',' Money ',' already ',' expensive ' , 'ugly', 'drrr"&amp;"r', 'mending', 'cave', 'switch', 'yellow', 'msh', 'mnding', '']")</f>
        <v>['oath', 'network', 'Telkomsel', 'ugly', 'bnget', 'already', 'quota', 'msh', 'bnyak', 'TPI', 'right', 'BKA', ' Wrong ',' APL ',' Notifx ',' Slalu ',' BLG ',' Network ',' Active ',' GTU ',' Bkin ',' HBS ',' Money ',' already ',' expensive ' , 'ugly', 'drrrr', 'mending', 'cave', 'switch', 'yellow', 'msh', 'mnding', '']</v>
      </c>
      <c r="D88" s="3">
        <v>1.0</v>
      </c>
    </row>
    <row r="89" ht="15.75" customHeight="1">
      <c r="A89" s="1">
        <v>87.0</v>
      </c>
      <c r="B89" s="3" t="s">
        <v>90</v>
      </c>
      <c r="C89" s="3" t="str">
        <f>IFERROR(__xludf.DUMMYFUNCTION("GOOGLETRANSLATE(B89,""id"",""en"")"),"['complicated', 'difficult', 'enter', 'boss', 'operator', 'easy', 'BUMN', 'convoluted', 'turned', ""]")</f>
        <v>['complicated', 'difficult', 'enter', 'boss', 'operator', 'easy', 'BUMN', 'convoluted', 'turned', "]</v>
      </c>
      <c r="D89" s="3">
        <v>3.0</v>
      </c>
    </row>
    <row r="90" ht="15.75" customHeight="1">
      <c r="A90" s="1">
        <v>88.0</v>
      </c>
      <c r="B90" s="3" t="s">
        <v>91</v>
      </c>
      <c r="C90" s="3" t="str">
        <f>IFERROR(__xludf.DUMMYFUNCTION("GOOGLETRANSLATE(B90,""id"",""en"")"),"['Cool', 'help', 'users',' Telkomsel ',' fill in ',' credit ',' Telkomsel ',' via ',' balance ',' ovo ',' application ',' charge ',' Admin ',' steady ',' hope ',' Kembangin ', ""]")</f>
        <v>['Cool', 'help', 'users',' Telkomsel ',' fill in ',' credit ',' Telkomsel ',' via ',' balance ',' ovo ',' application ',' charge ',' Admin ',' steady ',' hope ',' Kembangin ', "]</v>
      </c>
      <c r="D90" s="3">
        <v>5.0</v>
      </c>
    </row>
    <row r="91" ht="15.75" customHeight="1">
      <c r="A91" s="1">
        <v>89.0</v>
      </c>
      <c r="B91" s="3" t="s">
        <v>92</v>
      </c>
      <c r="C91" s="3" t="str">
        <f>IFERROR(__xludf.DUMMYFUNCTION("GOOGLETRANSLATE(B91,""id"",""en"")"),"['users',' Telkomsel ',' many years', 'times',' disappointed ',' morning ',' buy ',' package ',' data ',' option ',' payment ',' funds', ' missing ',' menu ',' buy ',' package ',' data ',' funds', 'no', 'buy', 'pulse', 'buy', 'package', 'data', '']")</f>
        <v>['users',' Telkomsel ',' many years', 'times',' disappointed ',' morning ',' buy ',' package ',' data ',' option ',' payment ',' funds', ' missing ',' menu ',' buy ',' package ',' data ',' funds', 'no', 'buy', 'pulse', 'buy', 'package', 'data', '']</v>
      </c>
      <c r="D91" s="3">
        <v>1.0</v>
      </c>
    </row>
    <row r="92" ht="15.75" customHeight="1">
      <c r="A92" s="1">
        <v>90.0</v>
      </c>
      <c r="B92" s="3" t="s">
        <v>93</v>
      </c>
      <c r="C92" s="3" t="str">
        <f>IFERROR(__xludf.DUMMYFUNCTION("GOOGLETRANSLATE(B92,""id"",""en"")"),"['The application', 'kyak', 'made', 'developer', 'amateur', 'gabisa', 'entry', 'update', 'already', 'a week', 'tetep', 'gabisa', ' Enter ',' Dahlah ',' Mending ',' Change ',' Provider ']")</f>
        <v>['The application', 'kyak', 'made', 'developer', 'amateur', 'gabisa', 'entry', 'update', 'already', 'a week', 'tetep', 'gabisa', ' Enter ',' Dahlah ',' Mending ',' Change ',' Provider ']</v>
      </c>
      <c r="D92" s="3">
        <v>1.0</v>
      </c>
    </row>
    <row r="93" ht="15.75" customHeight="1">
      <c r="A93" s="1">
        <v>91.0</v>
      </c>
      <c r="B93" s="3" t="s">
        <v>94</v>
      </c>
      <c r="C93" s="3" t="str">
        <f>IFERROR(__xludf.DUMMYFUNCTION("GOOGLETRANSLATE(B93,""id"",""en"")"),"['Please', 'repaired', 'updated', 'application', 'ugly', 'difficult', 'logic', 'application', 'bad', 'help', 'customer', ' Failed ',' Install ',' repeat ',' reset ',' times', '']")</f>
        <v>['Please', 'repaired', 'updated', 'application', 'ugly', 'difficult', 'logic', 'application', 'bad', 'help', 'customer', ' Failed ',' Install ',' repeat ',' reset ',' times', '']</v>
      </c>
      <c r="D93" s="3">
        <v>1.0</v>
      </c>
    </row>
    <row r="94" ht="15.75" customHeight="1">
      <c r="A94" s="1">
        <v>92.0</v>
      </c>
      <c r="B94" s="3" t="s">
        <v>95</v>
      </c>
      <c r="C94" s="3" t="str">
        <f>IFERROR(__xludf.DUMMYFUNCTION("GOOGLETRANSLATE(B94,""id"",""en"")"),"['Customer', 'Telkomsel', 'Application', 'Telkomsel', 'Change', 'Logo', 'Good', 'Application', 'Fast', 'Open', 'Feature', 'Feature', ' replace ',' logo ',' backward ',' backward ',' open ',' apk ',' signal ',' uninstall ',' install ',' backward ',' servic"&amp;"e ',' application ',' please ' , 'repaired', 'Application', 'Thank you', ""]")</f>
        <v>['Customer', 'Telkomsel', 'Application', 'Telkomsel', 'Change', 'Logo', 'Good', 'Application', 'Fast', 'Open', 'Feature', 'Feature', ' replace ',' logo ',' backward ',' backward ',' open ',' apk ',' signal ',' uninstall ',' install ',' backward ',' service ',' application ',' please ' , 'repaired', 'Application', 'Thank you', "]</v>
      </c>
      <c r="D94" s="3">
        <v>1.0</v>
      </c>
    </row>
    <row r="95" ht="15.75" customHeight="1">
      <c r="A95" s="1">
        <v>93.0</v>
      </c>
      <c r="B95" s="3" t="s">
        <v>96</v>
      </c>
      <c r="C95" s="3" t="str">
        <f>IFERROR(__xludf.DUMMYFUNCTION("GOOGLETRANSLATE(B95,""id"",""en"")"),"['update', 'right', 'open', 'application', 'update', 'click', 'update', 'enter', 'playstore', 'update', 'muter', 'solution', ' How', '']")</f>
        <v>['update', 'right', 'open', 'application', 'update', 'click', 'update', 'enter', 'playstore', 'update', 'muter', 'solution', ' How', '']</v>
      </c>
      <c r="D95" s="3">
        <v>5.0</v>
      </c>
    </row>
    <row r="96" ht="15.75" customHeight="1">
      <c r="A96" s="1">
        <v>94.0</v>
      </c>
      <c r="B96" s="3" t="s">
        <v>97</v>
      </c>
      <c r="C96" s="3" t="str">
        <f>IFERROR(__xludf.DUMMYFUNCTION("GOOGLETRANSLATE(B96,""id"",""en"")"),"['Steady', 'bot', 'boong']")</f>
        <v>['Steady', 'bot', 'boong']</v>
      </c>
      <c r="D96" s="3">
        <v>5.0</v>
      </c>
    </row>
    <row r="97" ht="15.75" customHeight="1">
      <c r="A97" s="1">
        <v>95.0</v>
      </c>
      <c r="B97" s="3" t="s">
        <v>98</v>
      </c>
      <c r="C97" s="3" t="str">
        <f>IFERROR(__xludf.DUMMYFUNCTION("GOOGLETRANSLATE(B97,""id"",""en"")"),"['Telkom', 'Karahoa', 'broke', 'signal', 'Please', 'repair', 'Telkom', 'Udh', 'Sewain', ""]")</f>
        <v>['Telkom', 'Karahoa', 'broke', 'signal', 'Please', 'repair', 'Telkom', 'Udh', 'Sewain', "]</v>
      </c>
      <c r="D97" s="3">
        <v>2.0</v>
      </c>
    </row>
    <row r="98" ht="15.75" customHeight="1">
      <c r="A98" s="1">
        <v>96.0</v>
      </c>
      <c r="B98" s="3" t="s">
        <v>99</v>
      </c>
      <c r="C98" s="3" t="str">
        <f>IFERROR(__xludf.DUMMYFUNCTION("GOOGLETRANSLATE(B98,""id"",""en"")"),"['Application', 'since', 'Change', 'logo', 'skrg', 'slow', 'really', 'opened', 'serious',' buy ',' quota ',' application ',' HR ',' Open ',' Network ',' ']")</f>
        <v>['Application', 'since', 'Change', 'logo', 'skrg', 'slow', 'really', 'opened', 'serious',' buy ',' quota ',' application ',' HR ',' Open ',' Network ',' ']</v>
      </c>
      <c r="D98" s="3">
        <v>2.0</v>
      </c>
    </row>
    <row r="99" ht="15.75" customHeight="1">
      <c r="A99" s="1">
        <v>97.0</v>
      </c>
      <c r="B99" s="3" t="s">
        <v>100</v>
      </c>
      <c r="C99" s="3" t="str">
        <f>IFERROR(__xludf.DUMMYFUNCTION("GOOGLETRANSLATE(B99,""id"",""en"")"),"['application', 'difficult', 'opened', 'bill', 'sent', 'email', 'sms', 'difficult', 'report', 'office', ""]")</f>
        <v>['application', 'difficult', 'opened', 'bill', 'sent', 'email', 'sms', 'difficult', 'report', 'office', "]</v>
      </c>
      <c r="D99" s="3">
        <v>1.0</v>
      </c>
    </row>
    <row r="100" ht="15.75" customHeight="1">
      <c r="A100" s="1">
        <v>98.0</v>
      </c>
      <c r="B100" s="3" t="s">
        <v>101</v>
      </c>
      <c r="C100" s="3" t="str">
        <f>IFERROR(__xludf.DUMMYFUNCTION("GOOGLETRANSLATE(B100,""id"",""en"")"),"['Uninstall', 'APK', 'Seribet', 'Login', 'Login', 'Hard', 'How', 'Select', 'Register', 'Package', ""]")</f>
        <v>['Uninstall', 'APK', 'Seribet', 'Login', 'Login', 'Hard', 'How', 'Select', 'Register', 'Package', "]</v>
      </c>
      <c r="D100" s="3">
        <v>1.0</v>
      </c>
    </row>
    <row r="101" ht="15.75" customHeight="1">
      <c r="A101" s="1">
        <v>99.0</v>
      </c>
      <c r="B101" s="3" t="s">
        <v>102</v>
      </c>
      <c r="C101" s="3" t="str">
        <f>IFERROR(__xludf.DUMMYFUNCTION("GOOGLETRANSLATE(B101,""id"",""en"")"),"['Update', 'Nambah', 'Nambah', 'Bad', 'Enter', 'Difficult', 'Different', 'Application', 'Provider', 'Please', 'Repaired', ""]")</f>
        <v>['Update', 'Nambah', 'Nambah', 'Bad', 'Enter', 'Difficult', 'Different', 'Application', 'Provider', 'Please', 'Repaired', "]</v>
      </c>
      <c r="D101" s="3">
        <v>1.0</v>
      </c>
    </row>
    <row r="102" ht="15.75" customHeight="1">
      <c r="A102" s="1">
        <v>100.0</v>
      </c>
      <c r="B102" s="3" t="s">
        <v>103</v>
      </c>
      <c r="C102" s="3" t="str">
        <f>IFERROR(__xludf.DUMMYFUNCTION("GOOGLETRANSLATE(B102,""id"",""en"")"),"['MyTelkomsel', 'stingy', 'like', 'take', 'funds',' caterry ',' application ',' worst ',' provider ',' package ',' hotspot ',' provider ',' right ',' use ',' data ',' cellular ',' Telkomsel ',' package ',' ']")</f>
        <v>['MyTelkomsel', 'stingy', 'like', 'take', 'funds',' caterry ',' application ',' worst ',' provider ',' package ',' hotspot ',' provider ',' right ',' use ',' data ',' cellular ',' Telkomsel ',' package ',' ']</v>
      </c>
      <c r="D102" s="3">
        <v>1.0</v>
      </c>
    </row>
    <row r="103" ht="15.75" customHeight="1">
      <c r="A103" s="1">
        <v>101.0</v>
      </c>
      <c r="B103" s="3" t="s">
        <v>104</v>
      </c>
      <c r="C103" s="3" t="str">
        <f>IFERROR(__xludf.DUMMYFUNCTION("GOOGLETRANSLATE(B103,""id"",""en"")"),"['update', 'application', 'slow', 'use', 'update', 'make it difficult', 'user', 'tired', 'delete', 'end', 'continue', ""]")</f>
        <v>['update', 'application', 'slow', 'use', 'update', 'make it difficult', 'user', 'tired', 'delete', 'end', 'continue', "]</v>
      </c>
      <c r="D103" s="3">
        <v>1.0</v>
      </c>
    </row>
    <row r="104" ht="15.75" customHeight="1">
      <c r="A104" s="1">
        <v>102.0</v>
      </c>
      <c r="B104" s="3" t="s">
        <v>105</v>
      </c>
      <c r="C104" s="3" t="str">
        <f>IFERROR(__xludf.DUMMYFUNCTION("GOOGLETRANSLATE(B104,""id"",""en"")"),"['Application', 'Difficult', 'Loading', 'System', 'Network', 'Busy', 'Quota', 'Adequate', 'Streaming', 'Open', 'Application', 'Telkomsel', ' Marning ',' ']")</f>
        <v>['Application', 'Difficult', 'Loading', 'System', 'Network', 'Busy', 'Quota', 'Adequate', 'Streaming', 'Open', 'Application', 'Telkomsel', ' Marning ',' ']</v>
      </c>
      <c r="D104" s="3">
        <v>2.0</v>
      </c>
    </row>
    <row r="105" ht="15.75" customHeight="1">
      <c r="A105" s="1">
        <v>103.0</v>
      </c>
      <c r="B105" s="3" t="s">
        <v>106</v>
      </c>
      <c r="C105" s="3" t="str">
        <f>IFERROR(__xludf.DUMMYFUNCTION("GOOGLETRANSLATE(B105,""id"",""en"")"),"['update', 'the latest', 'wasteful', 'quota', 'login', 'waiting', 'input', 'cut', 'data', 'kb', 'second', 'standby', ' screen ',' download ',' download ',' data ',' try ',' note ',' hapenya ',' status', 'quota', 'Its',' bad ',' bad ' ]")</f>
        <v>['update', 'the latest', 'wasteful', 'quota', 'login', 'waiting', 'input', 'cut', 'data', 'kb', 'second', 'standby', ' screen ',' download ',' download ',' data ',' try ',' note ',' hapenya ',' status', 'quota', 'Its',' bad ',' bad ' ]</v>
      </c>
      <c r="D105" s="3">
        <v>1.0</v>
      </c>
    </row>
    <row r="106" ht="15.75" customHeight="1">
      <c r="A106" s="1">
        <v>104.0</v>
      </c>
      <c r="B106" s="3" t="s">
        <v>107</v>
      </c>
      <c r="C106" s="3" t="str">
        <f>IFERROR(__xludf.DUMMYFUNCTION("GOOGLETRANSLATE(B106,""id"",""en"")"),"['Application', 'Worst', 'Updet', 'Used', 'Number', 'Login', 'Please', 'Restore', 'Telkomsel', 'Display', 'ugly', 'confusing']")</f>
        <v>['Application', 'Worst', 'Updet', 'Used', 'Number', 'Login', 'Please', 'Restore', 'Telkomsel', 'Display', 'ugly', 'confusing']</v>
      </c>
      <c r="D106" s="3">
        <v>1.0</v>
      </c>
    </row>
    <row r="107" ht="15.75" customHeight="1">
      <c r="A107" s="1">
        <v>105.0</v>
      </c>
      <c r="B107" s="3" t="s">
        <v>108</v>
      </c>
      <c r="C107" s="3" t="str">
        <f>IFERROR(__xludf.DUMMYFUNCTION("GOOGLETRANSLATE(B107,""id"",""en"")"),"['bad', 'Telkomsel', 'buy', 'package', 'combo', 'pulse', 'pulse', 'turn', 'try', 'package', 'missing', 'Aduhh', ' ']")</f>
        <v>['bad', 'Telkomsel', 'buy', 'package', 'combo', 'pulse', 'pulse', 'turn', 'try', 'package', 'missing', 'Aduhh', ' ']</v>
      </c>
      <c r="D107" s="3">
        <v>1.0</v>
      </c>
    </row>
    <row r="108" ht="15.75" customHeight="1">
      <c r="A108" s="1">
        <v>106.0</v>
      </c>
      <c r="B108" s="3" t="s">
        <v>109</v>
      </c>
      <c r="C108" s="3" t="str">
        <f>IFERROR(__xludf.DUMMYFUNCTION("GOOGLETRANSLATE(B108,""id"",""en"")"),"['Sorry', 'Kasi', 'Bintang', 'Karna', 'Experience', 'Bad', 'Telkomsel', 'Please', 'Fix', 'Day', 'Chek', 'Claims',' ']")</f>
        <v>['Sorry', 'Kasi', 'Bintang', 'Karna', 'Experience', 'Bad', 'Telkomsel', 'Please', 'Fix', 'Day', 'Chek', 'Claims',' ']</v>
      </c>
      <c r="D108" s="3">
        <v>1.0</v>
      </c>
    </row>
    <row r="109" ht="15.75" customHeight="1">
      <c r="A109" s="1">
        <v>107.0</v>
      </c>
      <c r="B109" s="3" t="s">
        <v>110</v>
      </c>
      <c r="C109" s="3" t="str">
        <f>IFERROR(__xludf.DUMMYFUNCTION("GOOGLETRANSLATE(B109,""id"",""en"")"),"['Package', 'Game', 'use', 'please', 'stengah', 'expensive', 'persuhit', 'luck', 'NTT', 'Jakarta', 'already', 'cave', ' broken ',' card ',' forced ',' cave ']")</f>
        <v>['Package', 'Game', 'use', 'please', 'stengah', 'expensive', 'persuhit', 'luck', 'NTT', 'Jakarta', 'already', 'cave', ' broken ',' card ',' forced ',' cave ']</v>
      </c>
      <c r="D109" s="3">
        <v>1.0</v>
      </c>
    </row>
    <row r="110" ht="15.75" customHeight="1">
      <c r="A110" s="1">
        <v>108.0</v>
      </c>
      <c r="B110" s="3" t="s">
        <v>111</v>
      </c>
      <c r="C110" s="3" t="str">
        <f>IFERROR(__xludf.DUMMYFUNCTION("GOOGLETRANSLATE(B110,""id"",""en"")"),"['Something', 'Went', 'Wrong', 'Please', 'Try', 'Again', 'Later', 'already', 'a week', 'Try', 'That's',' Astaga ',' Paid ',' how ',' ']")</f>
        <v>['Something', 'Went', 'Wrong', 'Please', 'Try', 'Again', 'Later', 'already', 'a week', 'Try', 'That's',' Astaga ',' Paid ',' how ',' ']</v>
      </c>
      <c r="D110" s="3">
        <v>1.0</v>
      </c>
    </row>
    <row r="111" ht="15.75" customHeight="1">
      <c r="A111" s="1">
        <v>109.0</v>
      </c>
      <c r="B111" s="3" t="s">
        <v>112</v>
      </c>
      <c r="C111" s="3" t="str">
        <f>IFERROR(__xludf.DUMMYFUNCTION("GOOGLETRANSLATE(B111,""id"",""en"")"),"['Redeem', 'Points',' Lottery ',' Eating ',' Exchange ',' Suggestions', 'Points',' Diredeem ',' Imagine ',' Points', 'Exchange', 'Lottery', ' alternating ',' click ',' page ',' exchange ',' point ',' page ',' main ',' ']")</f>
        <v>['Redeem', 'Points',' Lottery ',' Eating ',' Exchange ',' Suggestions', 'Points',' Diredeem ',' Imagine ',' Points', 'Exchange', 'Lottery', ' alternating ',' click ',' page ',' exchange ',' point ',' page ',' main ',' ']</v>
      </c>
      <c r="D111" s="3">
        <v>2.0</v>
      </c>
    </row>
    <row r="112" ht="15.75" customHeight="1">
      <c r="A112" s="1">
        <v>110.0</v>
      </c>
      <c r="B112" s="3" t="s">
        <v>113</v>
      </c>
      <c r="C112" s="3" t="str">
        <f>IFERROR(__xludf.DUMMYFUNCTION("GOOGLETRANSLATE(B112,""id"",""en"")"),"['pulse', 'cave', 'contents',' thousand ',' buy ',' package ',' internet ',' GB ',' week ',' thousand ',' cave ',' internet ',' hours', 'Notif', 'enter', 'credit', 'sufficient', 'how', 'the story', 'package', 'internet', 'used', 'internet', 'sucked', 'pul"&amp;"ses' , 'package', 'internet', 'whole', 'next', 'beg', 'love', 'description', 'telkomsel', 'internet', 'usually', 'right', 'right', ' Disappointed ',' pulses', 'fill in', 'already', 'directly', 'Ludes',' Success', 'Telkomsel', 'Jaya', 'Jaya', 'Jaya', ""]")</f>
        <v>['pulse', 'cave', 'contents',' thousand ',' buy ',' package ',' internet ',' GB ',' week ',' thousand ',' cave ',' internet ',' hours', 'Notif', 'enter', 'credit', 'sufficient', 'how', 'the story', 'package', 'internet', 'used', 'internet', 'sucked', 'pulses' , 'package', 'internet', 'whole', 'next', 'beg', 'love', 'description', 'telkomsel', 'internet', 'usually', 'right', 'right', ' Disappointed ',' pulses', 'fill in', 'already', 'directly', 'Ludes',' Success', 'Telkomsel', 'Jaya', 'Jaya', 'Jaya', "]</v>
      </c>
      <c r="D112" s="3">
        <v>1.0</v>
      </c>
    </row>
    <row r="113" ht="15.75" customHeight="1">
      <c r="A113" s="1">
        <v>111.0</v>
      </c>
      <c r="B113" s="3" t="s">
        <v>114</v>
      </c>
      <c r="C113" s="3" t="str">
        <f>IFERROR(__xludf.DUMMYFUNCTION("GOOGLETRANSLATE(B113,""id"",""en"")"),"['Network', 'Internet', 'Tekomsel', 'Running', 'Tmpat', 'Lopor', 'Gital', 'Telkomsel', 'Slow', 'Response', 'Network', 'Internet', ' Telkomsel ',' Good ',' Kyak ',' Intention ',' Fix ',' Network ',' Customer ',' Loss', 'Customer', 'Telkomsel', 'Network', '"&amp;"Internet', 'Decline' , 'Good', 'area', 'stay', '']")</f>
        <v>['Network', 'Internet', 'Tekomsel', 'Running', 'Tmpat', 'Lopor', 'Gital', 'Telkomsel', 'Slow', 'Response', 'Network', 'Internet', ' Telkomsel ',' Good ',' Kyak ',' Intention ',' Fix ',' Network ',' Customer ',' Loss', 'Customer', 'Telkomsel', 'Network', 'Internet', 'Decline' , 'Good', 'area', 'stay', '']</v>
      </c>
      <c r="D113" s="3">
        <v>3.0</v>
      </c>
    </row>
    <row r="114" ht="15.75" customHeight="1">
      <c r="A114" s="1">
        <v>112.0</v>
      </c>
      <c r="B114" s="3" t="s">
        <v>115</v>
      </c>
      <c r="C114" s="3" t="str">
        <f>IFERROR(__xludf.DUMMYFUNCTION("GOOGLETRANSLATE(B114,""id"",""en"")"),"['Purchase', 'Package', 'Features',' Ewalet ',' Show ',' MyTelkomsel ',' Fund ',' Yesterday ',' MSH ',' Complete ',' Gopay ',' Ovo ',' funds', 'funds',' missing ',' kaikan ',' purchase ',' package ']")</f>
        <v>['Purchase', 'Package', 'Features',' Ewalet ',' Show ',' MyTelkomsel ',' Fund ',' Yesterday ',' MSH ',' Complete ',' Gopay ',' Ovo ',' funds', 'funds',' missing ',' kaikan ',' purchase ',' package ']</v>
      </c>
      <c r="D114" s="3">
        <v>5.0</v>
      </c>
    </row>
    <row r="115" ht="15.75" customHeight="1">
      <c r="A115" s="1">
        <v>113.0</v>
      </c>
      <c r="B115" s="3" t="s">
        <v>116</v>
      </c>
      <c r="C115" s="3" t="str">
        <f>IFERROR(__xludf.DUMMYFUNCTION("GOOGLETRANSLATE(B115,""id"",""en"")"),"['bad', 'difficult', 'login', 'already', 'delete', 'then', 'dowload', 'tetep', 'login', 'cool', 'provider', 'neighbor', ' logo ',' color ',' yellow ',' login ',' easy ',' walopun ',' package ',' data ',' enter ',' application ']")</f>
        <v>['bad', 'difficult', 'login', 'already', 'delete', 'then', 'dowload', 'tetep', 'login', 'cool', 'provider', 'neighbor', ' logo ',' color ',' yellow ',' login ',' easy ',' walopun ',' package ',' data ',' enter ',' application ']</v>
      </c>
      <c r="D115" s="3">
        <v>1.0</v>
      </c>
    </row>
    <row r="116" ht="15.75" customHeight="1">
      <c r="A116" s="1">
        <v>114.0</v>
      </c>
      <c r="B116" s="3" t="s">
        <v>117</v>
      </c>
      <c r="C116" s="3" t="str">
        <f>IFERROR(__xludf.DUMMYFUNCTION("GOOGLETRANSLATE(B116,""id"",""en"")"),"['crazy', 'pulse', 'rb', 'disappear', 'that's',' lucky ',' fast ',' change ',' network ',' enter ',' application ',' network ',' Kartuny ',' kartuny ',' kouta ',' gmn ',' entered ',' try ',' bli ',' application ',' network ',' kartuny ',' error ',' applic"&amp;"ation ',' update ' , 'Ribet', 'Nonny', 'comfortable', 'upset', 'Country', 'Ribet', 'Hadehhhh']")</f>
        <v>['crazy', 'pulse', 'rb', 'disappear', 'that's',' lucky ',' fast ',' change ',' network ',' enter ',' application ',' network ',' Kartuny ',' kartuny ',' kouta ',' gmn ',' entered ',' try ',' bli ',' application ',' network ',' kartuny ',' error ',' application ',' update ' , 'Ribet', 'Nonny', 'comfortable', 'upset', 'Country', 'Ribet', 'Hadehhhh']</v>
      </c>
      <c r="D116" s="3">
        <v>1.0</v>
      </c>
    </row>
    <row r="117" ht="15.75" customHeight="1">
      <c r="A117" s="1">
        <v>115.0</v>
      </c>
      <c r="B117" s="3" t="s">
        <v>118</v>
      </c>
      <c r="C117" s="3" t="str">
        <f>IFERROR(__xludf.DUMMYFUNCTION("GOOGLETRANSLATE(B117,""id"",""en"")"),"['Application', 'NGK', 'Open', 'Muter', 'Credit', 'Reduced', 'Application', 'Seblmny', 'Top', 'Update', 'Hemmz', 'Ngk', ' Buy ',' Package ',' Application ',' ']")</f>
        <v>['Application', 'NGK', 'Open', 'Muter', 'Credit', 'Reduced', 'Application', 'Seblmny', 'Top', 'Update', 'Hemmz', 'Ngk', ' Buy ',' Package ',' Application ',' ']</v>
      </c>
      <c r="D117" s="3">
        <v>4.0</v>
      </c>
    </row>
    <row r="118" ht="15.75" customHeight="1">
      <c r="A118" s="1">
        <v>116.0</v>
      </c>
      <c r="B118" s="3" t="s">
        <v>119</v>
      </c>
      <c r="C118" s="3" t="str">
        <f>IFERROR(__xludf.DUMMYFUNCTION("GOOGLETRANSLATE(B118,""id"",""en"")"),"['The application', 'difficult', 'opened', 'SMS', 'just', 'then' loading ',' loading ',' doang ',' poor ',' buy ',' processed ',' Process', 'Doang', 'Pekah', 'The Application', '']")</f>
        <v>['The application', 'difficult', 'opened', 'SMS', 'just', 'then' loading ',' loading ',' doang ',' poor ',' buy ',' processed ',' Process', 'Doang', 'Pekah', 'The Application', '']</v>
      </c>
      <c r="D118" s="3">
        <v>1.0</v>
      </c>
    </row>
    <row r="119" ht="15.75" customHeight="1">
      <c r="A119" s="1">
        <v>117.0</v>
      </c>
      <c r="B119" s="3" t="s">
        <v>120</v>
      </c>
      <c r="C119" s="3" t="str">
        <f>IFERROR(__xludf.DUMMYFUNCTION("GOOGLETRANSLATE(B119,""id"",""en"")"),"['service', 'Telkomsel', 'bad', 'factor', 'monopoly', 'use', 'regret', 'switch', 'card', 'hello', 'prepaid', 'sedeau', ' Rayu ',' trapped ', ""]")</f>
        <v>['service', 'Telkomsel', 'bad', 'factor', 'monopoly', 'use', 'regret', 'switch', 'card', 'hello', 'prepaid', 'sedeau', ' Rayu ',' trapped ', "]</v>
      </c>
      <c r="D119" s="3">
        <v>1.0</v>
      </c>
    </row>
    <row r="120" ht="15.75" customHeight="1">
      <c r="A120" s="1">
        <v>118.0</v>
      </c>
      <c r="B120" s="3" t="s">
        <v>121</v>
      </c>
      <c r="C120" s="3" t="str">
        <f>IFERROR(__xludf.DUMMYFUNCTION("GOOGLETRANSLATE(B120,""id"",""en"")"),"['FAIL', 'CLAIM', 'Gift', 'Check', 'Cut', 'Points',' Credit ',' Credit ',' Out ',' Sumpot ',' Kali ',' Buy ',' Credit ',' Out ',' Sumpot ',' Out ',' Where ',' Quota ',' Contact ',' Via ',' Email ',' Response ',' Flavact ',' Action ',' Continue ' , 'Disapp"&amp;"ointed', 'Service', 'Use', 'Telkomsel', 'Dozens',' Update ',' Fix ',' Like ',' Telkomsel ',' Version ',' Main ',' Suck ',' Credit ',' careless', 'match', 'RAM', '']")</f>
        <v>['FAIL', 'CLAIM', 'Gift', 'Check', 'Cut', 'Points',' Credit ',' Credit ',' Out ',' Sumpot ',' Kali ',' Buy ',' Credit ',' Out ',' Sumpot ',' Out ',' Where ',' Quota ',' Contact ',' Via ',' Email ',' Response ',' Flavact ',' Action ',' Continue ' , 'Disappointed', 'Service', 'Use', 'Telkomsel', 'Dozens',' Update ',' Fix ',' Like ',' Telkomsel ',' Version ',' Main ',' Suck ',' Credit ',' careless', 'match', 'RAM', '']</v>
      </c>
      <c r="D120" s="3">
        <v>1.0</v>
      </c>
    </row>
    <row r="121" ht="15.75" customHeight="1">
      <c r="A121" s="1">
        <v>119.0</v>
      </c>
      <c r="B121" s="3" t="s">
        <v>122</v>
      </c>
      <c r="C121" s="3" t="str">
        <f>IFERROR(__xludf.DUMMYFUNCTION("GOOGLETRANSLATE(B121,""id"",""en"")"),"['update', 'Mulu', 'repairs', 'login', 'difficult', 'already', 'login', 'page', 'open', 'already', 'refresh', '.' Burik ',' Gini ',' ']")</f>
        <v>['update', 'Mulu', 'repairs', 'login', 'difficult', 'already', 'login', 'page', 'open', 'already', 'refresh', '.' Burik ',' Gini ',' ']</v>
      </c>
      <c r="D121" s="3">
        <v>1.0</v>
      </c>
    </row>
    <row r="122" ht="15.75" customHeight="1">
      <c r="A122" s="1">
        <v>120.0</v>
      </c>
      <c r="B122" s="3" t="s">
        <v>123</v>
      </c>
      <c r="C122" s="3" t="str">
        <f>IFERROR(__xludf.DUMMYFUNCTION("GOOGLETRANSLATE(B122,""id"",""en"")"),"['woiii', 'please', 'fix', 'knpa', 'fill', 'kouta', 'reading', 'sorry', 'system', 'busy', 'please', 'wait', ' Please, 'improvements', 'no', 'rich', 'gtu']")</f>
        <v>['woiii', 'please', 'fix', 'knpa', 'fill', 'kouta', 'reading', 'sorry', 'system', 'busy', 'please', 'wait', ' Please, 'improvements', 'no', 'rich', 'gtu']</v>
      </c>
      <c r="D122" s="3">
        <v>1.0</v>
      </c>
    </row>
    <row r="123" ht="15.75" customHeight="1">
      <c r="A123" s="1">
        <v>121.0</v>
      </c>
      <c r="B123" s="3" t="s">
        <v>124</v>
      </c>
      <c r="C123" s="3" t="str">
        <f>IFERROR(__xludf.DUMMYFUNCTION("GOOGLETRANSLATE(B123,""id"",""en"")"),"['Please', 'devoloper', 'please', 'really', 'pleasseeeee', 'really', 'please', 'repair', 'network', 'jngn', 'stengah', 'interrupted', ' Convenient ',' user ',' card ',' Telkomsel ',' Honest ',' Satisfied ',' Service ',' Network ',' Disturbing ',' Main ','"&amp;" Game ',' Cape ',' work ' , 'Play', 'Game', 'Missing', 'Cape', 'Emotion', 'Please', 'Very', 'Lasih', 'Comfort', 'Main', 'Etc.', 'Maki', ' Afraid ',' sin ']")</f>
        <v>['Please', 'devoloper', 'please', 'really', 'pleasseeeee', 'really', 'please', 'repair', 'network', 'jngn', 'stengah', 'interrupted', ' Convenient ',' user ',' card ',' Telkomsel ',' Honest ',' Satisfied ',' Service ',' Network ',' Disturbing ',' Main ',' Game ',' Cape ',' work ' , 'Play', 'Game', 'Missing', 'Cape', 'Emotion', 'Please', 'Very', 'Lasih', 'Comfort', 'Main', 'Etc.', 'Maki', ' Afraid ',' sin ']</v>
      </c>
      <c r="D123" s="3">
        <v>1.0</v>
      </c>
    </row>
    <row r="124" ht="15.75" customHeight="1">
      <c r="A124" s="1">
        <v>122.0</v>
      </c>
      <c r="B124" s="3" t="s">
        <v>125</v>
      </c>
      <c r="C124" s="3" t="str">
        <f>IFERROR(__xludf.DUMMYFUNCTION("GOOGLETRANSLATE(B124,""id"",""en"")"),"['Application', 'Setres',' Bukak ',' Delete ',' Play ',' Store ',' UDH ',' Update ',' appears', 'Menu', 'Internet', 'Current', ' entry ',' difficult ',' enter ',' eeehh ',' appears', 'menu', 'sorry', 'menu', 'package', 'blom', 'available', 'hhhhhhhaaaa', "&amp;"'application' , 'Error']")</f>
        <v>['Application', 'Setres',' Bukak ',' Delete ',' Play ',' Store ',' UDH ',' Update ',' appears', 'Menu', 'Internet', 'Current', ' entry ',' difficult ',' enter ',' eeehh ',' appears', 'menu', 'sorry', 'menu', 'package', 'blom', 'available', 'hhhhhhhaaaa', 'application' , 'Error']</v>
      </c>
      <c r="D124" s="3">
        <v>1.0</v>
      </c>
    </row>
    <row r="125" ht="15.75" customHeight="1">
      <c r="A125" s="1">
        <v>123.0</v>
      </c>
      <c r="B125" s="3" t="s">
        <v>126</v>
      </c>
      <c r="C125" s="3" t="str">
        <f>IFERROR(__xludf.DUMMYFUNCTION("GOOGLETRANSLATE(B125,""id"",""en"")"),"['application', 'ugly', 'dilapidated', 'updated', 'login', 'enter', 'verification', 'link', 'connect', 'please', 'repair', 'login', ' difficult ',' mending ',' card ',' IM ',' poor ',' Telkomsel ',' responded ',' read ',' doang ', ""]")</f>
        <v>['application', 'ugly', 'dilapidated', 'updated', 'login', 'enter', 'verification', 'link', 'connect', 'please', 'repair', 'login', ' difficult ',' mending ',' card ',' IM ',' poor ',' Telkomsel ',' responded ',' read ',' doang ', "]</v>
      </c>
      <c r="D125" s="3">
        <v>1.0</v>
      </c>
    </row>
    <row r="126" ht="15.75" customHeight="1">
      <c r="A126" s="1">
        <v>124.0</v>
      </c>
      <c r="B126" s="3" t="s">
        <v>127</v>
      </c>
      <c r="C126" s="3" t="str">
        <f>IFERROR(__xludf.DUMMYFUNCTION("GOOGLETRANSLATE(B126,""id"",""en"")"),"['Disappointed', 'Very', 'Open', 'Application', 'Telkomsel', 'Loading', 'Update', 'Application', 'Telkomsel', 'Update', 'Latest']")</f>
        <v>['Disappointed', 'Very', 'Open', 'Application', 'Telkomsel', 'Loading', 'Update', 'Application', 'Telkomsel', 'Update', 'Latest']</v>
      </c>
      <c r="D126" s="3">
        <v>4.0</v>
      </c>
    </row>
    <row r="127" ht="15.75" customHeight="1">
      <c r="A127" s="1">
        <v>125.0</v>
      </c>
      <c r="B127" s="3" t="s">
        <v>128</v>
      </c>
      <c r="C127" s="3" t="str">
        <f>IFERROR(__xludf.DUMMYFUNCTION("GOOGLETRANSLATE(B127,""id"",""en"")"),"['credit', 'reduced', 'contents', 'reset', 'notification', 'packing', 'anything', 'run out', 'package', 'data', ""]")</f>
        <v>['credit', 'reduced', 'contents', 'reset', 'notification', 'packing', 'anything', 'run out', 'package', 'data', "]</v>
      </c>
      <c r="D127" s="3">
        <v>1.0</v>
      </c>
    </row>
    <row r="128" ht="15.75" customHeight="1">
      <c r="A128" s="1">
        <v>126.0</v>
      </c>
      <c r="B128" s="3" t="s">
        <v>129</v>
      </c>
      <c r="C128" s="3" t="str">
        <f>IFERROR(__xludf.DUMMYFUNCTION("GOOGLETRANSLATE(B128,""id"",""en"")"),"['location', 'translucent', 'speed', 'internet', 'Mbps',' slow ',' really ',' min ',' beg ',' fix ',' admin ',' thank you ',' Frequency ',' Name ',' Village ',' Village ',' Lalapin ',' Kec ',' Piani ',' Kab ',' Tapin ', ""]")</f>
        <v>['location', 'translucent', 'speed', 'internet', 'Mbps',' slow ',' really ',' min ',' beg ',' fix ',' admin ',' thank you ',' Frequency ',' Name ',' Village ',' Village ',' Lalapin ',' Kec ',' Piani ',' Kab ',' Tapin ', "]</v>
      </c>
      <c r="D128" s="3">
        <v>3.0</v>
      </c>
    </row>
    <row r="129" ht="15.75" customHeight="1">
      <c r="A129" s="1">
        <v>127.0</v>
      </c>
      <c r="B129" s="3" t="s">
        <v>130</v>
      </c>
      <c r="C129" s="3" t="str">
        <f>IFERROR(__xludf.DUMMYFUNCTION("GOOGLETRANSLATE(B129,""id"",""en"")"),"['taeeeeeekkkk', 'intention', 'love', 'promo', 'lie', 'language', 'cheating', 'language', 'promo', 'big', 'sky', 'just', ' Consider ',' empty ',' until ',' Minute ',' Direct ',' Uninstalllll ',' ']")</f>
        <v>['taeeeeeekkkk', 'intention', 'love', 'promo', 'lie', 'language', 'cheating', 'language', 'promo', 'big', 'sky', 'just', ' Consider ',' empty ',' until ',' Minute ',' Direct ',' Uninstalllll ',' ']</v>
      </c>
      <c r="D129" s="3">
        <v>1.0</v>
      </c>
    </row>
    <row r="130" ht="15.75" customHeight="1">
      <c r="A130" s="1">
        <v>128.0</v>
      </c>
      <c r="B130" s="3" t="s">
        <v>131</v>
      </c>
      <c r="C130" s="3" t="str">
        <f>IFERROR(__xludf.DUMMYFUNCTION("GOOGLETRANSLATE(B130,""id"",""en"")"),"['bad', 'Reach', 'The widest', 'TPI', 'SERBA', 'HARD', 'Download', 'Difficult', 'Open', 'Application', 'Difficult', 'Use', ' Hard ',' Sanga ',' Different ',' Telkomsel ',' Yeng ',' Bad ',' Impression ',' ']")</f>
        <v>['bad', 'Reach', 'The widest', 'TPI', 'SERBA', 'HARD', 'Download', 'Difficult', 'Open', 'Application', 'Difficult', 'Use', ' Hard ',' Sanga ',' Different ',' Telkomsel ',' Yeng ',' Bad ',' Impression ',' ']</v>
      </c>
      <c r="D130" s="3">
        <v>3.0</v>
      </c>
    </row>
    <row r="131" ht="15.75" customHeight="1">
      <c r="A131" s="1">
        <v>129.0</v>
      </c>
      <c r="B131" s="3" t="s">
        <v>132</v>
      </c>
      <c r="C131" s="3" t="str">
        <f>IFERROR(__xludf.DUMMYFUNCTION("GOOGLETRANSLATE(B131,""id"",""en"")"),"['already', 'buy', 'package', 'enter', 'enter', 'response', 'suck', 'pulse', 'disappointed', 'Telkomsel', 'already', 'subscribe', ' Seuewain ']")</f>
        <v>['already', 'buy', 'package', 'enter', 'enter', 'response', 'suck', 'pulse', 'disappointed', 'Telkomsel', 'already', 'subscribe', ' Seuewain ']</v>
      </c>
      <c r="D131" s="3">
        <v>1.0</v>
      </c>
    </row>
    <row r="132" ht="15.75" customHeight="1">
      <c r="A132" s="1">
        <v>130.0</v>
      </c>
      <c r="B132" s="3" t="s">
        <v>133</v>
      </c>
      <c r="C132" s="3" t="str">
        <f>IFERROR(__xludf.DUMMYFUNCTION("GOOGLETRANSLATE(B132,""id"",""en"")"),"['WOI', 'Developer', 'Telkom', 'Method', 'Payment', 'Fund', 'Lost', 'Make', 'Fund', 'Buy', 'Kouta', 'Telkom', ' lost ',' disappointing ',' disappointed ',' really ',' omitted ',' that's', 'comfortable', 'really']")</f>
        <v>['WOI', 'Developer', 'Telkom', 'Method', 'Payment', 'Fund', 'Lost', 'Make', 'Fund', 'Buy', 'Kouta', 'Telkom', ' lost ',' disappointing ',' disappointed ',' really ',' omitted ',' that's', 'comfortable', 'really']</v>
      </c>
      <c r="D132" s="3">
        <v>1.0</v>
      </c>
    </row>
    <row r="133" ht="15.75" customHeight="1">
      <c r="A133" s="1">
        <v>131.0</v>
      </c>
      <c r="B133" s="3" t="s">
        <v>134</v>
      </c>
      <c r="C133" s="3" t="str">
        <f>IFERROR(__xludf.DUMMYFUNCTION("GOOGLETRANSLATE(B133,""id"",""en"")"),"['plise', 'Telkom', 'Benerin', 'signal', 'package', 'game', 'right', 'login', 'signal', 'down', 'green', 'red', ' Mending ',' yellow ',' friend ',' cave ',' Indosat ',' smooth ',' right ',' Hospotine ',' ngarasain ',' Indosat ',' smooth ',' safe ',' plise"&amp;" ' , 'Benerin', 'Cave', 'Change', 'Card', 'Solna', 'Chatan']")</f>
        <v>['plise', 'Telkom', 'Benerin', 'signal', 'package', 'game', 'right', 'login', 'signal', 'down', 'green', 'red', ' Mending ',' yellow ',' friend ',' cave ',' Indosat ',' smooth ',' right ',' Hospotine ',' ngarasain ',' Indosat ',' smooth ',' safe ',' plise ' , 'Benerin', 'Cave', 'Change', 'Card', 'Solna', 'Chatan']</v>
      </c>
      <c r="D133" s="3">
        <v>1.0</v>
      </c>
    </row>
    <row r="134" ht="15.75" customHeight="1">
      <c r="A134" s="1">
        <v>132.0</v>
      </c>
      <c r="B134" s="3" t="s">
        <v>135</v>
      </c>
      <c r="C134" s="3" t="str">
        <f>IFERROR(__xludf.DUMMYFUNCTION("GOOGLETRANSLATE(B134,""id"",""en"")"),"['good', 'price', 'quality', 'skrg', 'deliberate', 'Telkomsel', 'expensive', 'tasty', 'skrg', 'maen', 'game', 'signal', ' ilang ',' Mulu ',' until ',' smooth ',' safe ',' safe ',' gada ',' difference ',' ugly ',' ugly ',' really ',' napa ',' telkomsel ' ]")</f>
        <v>['good', 'price', 'quality', 'skrg', 'deliberate', 'Telkomsel', 'expensive', 'tasty', 'skrg', 'maen', 'game', 'signal', ' ilang ',' Mulu ',' until ',' smooth ',' safe ',' safe ',' gada ',' difference ',' ugly ',' ugly ',' really ',' napa ',' telkomsel ' ]</v>
      </c>
      <c r="D134" s="3">
        <v>2.0</v>
      </c>
    </row>
    <row r="135" ht="15.75" customHeight="1">
      <c r="A135" s="1">
        <v>133.0</v>
      </c>
      <c r="B135" s="3" t="s">
        <v>136</v>
      </c>
      <c r="C135" s="3" t="str">
        <f>IFERROR(__xludf.DUMMYFUNCTION("GOOGLETRANSLATE(B135,""id"",""en"")"),"['price', 'package', 'doang', 'expensive', 'turn', 'network', 'destroyed', 'melting', 'package', 'price', 'exorbitant', 'according to', ' Kulitas', 'Network']")</f>
        <v>['price', 'package', 'doang', 'expensive', 'turn', 'network', 'destroyed', 'melting', 'package', 'price', 'exorbitant', 'according to', ' Kulitas', 'Network']</v>
      </c>
      <c r="D135" s="3">
        <v>1.0</v>
      </c>
    </row>
    <row r="136" ht="15.75" customHeight="1">
      <c r="A136" s="1">
        <v>134.0</v>
      </c>
      <c r="B136" s="3" t="s">
        <v>137</v>
      </c>
      <c r="C136" s="3" t="str">
        <f>IFERROR(__xludf.DUMMYFUNCTION("GOOGLETRANSLATE(B136,""id"",""en"")"),"['Sorry', 'change', 'provider', 'Telkomsel', 'expensive', 'package', 'slow', 'network', 'contents',' credit ',' Telkomsel ',' fill ',' pulses', 'replace', 'provider']")</f>
        <v>['Sorry', 'change', 'provider', 'Telkomsel', 'expensive', 'package', 'slow', 'network', 'contents',' credit ',' Telkomsel ',' fill ',' pulses', 'replace', 'provider']</v>
      </c>
      <c r="D136" s="3">
        <v>1.0</v>
      </c>
    </row>
    <row r="137" ht="15.75" customHeight="1">
      <c r="A137" s="1">
        <v>135.0</v>
      </c>
      <c r="B137" s="3" t="s">
        <v>138</v>
      </c>
      <c r="C137" s="3" t="str">
        <f>IFERROR(__xludf.DUMMYFUNCTION("GOOGLETRANSLATE(B137,""id"",""en"")"),"['Sorry', 'love', 'star', 'pulse', 'eat', 'application', 'disappointed', 'company', 'inedible', 'pulse', 'thanks', ""]")</f>
        <v>['Sorry', 'love', 'star', 'pulse', 'eat', 'application', 'disappointed', 'company', 'inedible', 'pulse', 'thanks', "]</v>
      </c>
      <c r="D137" s="3">
        <v>2.0</v>
      </c>
    </row>
    <row r="138" ht="15.75" customHeight="1">
      <c r="A138" s="1">
        <v>136.0</v>
      </c>
      <c r="B138" s="3" t="s">
        <v>139</v>
      </c>
      <c r="C138" s="3" t="str">
        <f>IFERROR(__xludf.DUMMYFUNCTION("GOOGLETRANSLATE(B138,""id"",""en"")"),"['', 'APK', 'replace', 'logo', 'then', 'update', 'gabisa', 'open', 'just', 'just', 'gaads',' conten ',' signal ',' Kenceng ',' buy ',' Package ',' Via ',' Telkomsel ',' Gabisa ',' APK ',' NOT ',' Update ',' Gini ',' Good ',' Version ', 'yesterday', '']")</f>
        <v>['', 'APK', 'replace', 'logo', 'then', 'update', 'gabisa', 'open', 'just', 'just', 'gaads',' conten ',' signal ',' Kenceng ',' buy ',' Package ',' Via ',' Telkomsel ',' Gabisa ',' APK ',' NOT ',' Update ',' Gini ',' Good ',' Version ', 'yesterday', '']</v>
      </c>
      <c r="D138" s="3">
        <v>1.0</v>
      </c>
    </row>
    <row r="139" ht="15.75" customHeight="1">
      <c r="A139" s="1">
        <v>137.0</v>
      </c>
      <c r="B139" s="3" t="s">
        <v>140</v>
      </c>
      <c r="C139" s="3" t="str">
        <f>IFERROR(__xludf.DUMMYFUNCTION("GOOGLETRANSLATE(B139,""id"",""en"")"),"['Telkomsel', 'user', 'good', 'signal', 'difficult', 'Males',' Pakek ',' Telkomsel ',' please ',' signal ',' fix ',' delicious', ' User ']")</f>
        <v>['Telkomsel', 'user', 'good', 'signal', 'difficult', 'Males',' Pakek ',' Telkomsel ',' please ',' signal ',' fix ',' delicious', ' User ']</v>
      </c>
      <c r="D139" s="3">
        <v>1.0</v>
      </c>
    </row>
    <row r="140" ht="15.75" customHeight="1">
      <c r="A140" s="1">
        <v>138.0</v>
      </c>
      <c r="B140" s="3" t="s">
        <v>141</v>
      </c>
      <c r="C140" s="3" t="str">
        <f>IFERROR(__xludf.DUMMYFUNCTION("GOOGLETRANSLATE(B140,""id"",""en"")"),"['As far as',' Ane ',' Telkomsel ',' Network ',' Strong ',' Knp ',' Network ',' Bad ',' Signal ',' Weak ',' Come on ',' Telkomsel ',' expensive ',' network ',' signal ',' must ',' fast ',' rich ',' gini ',' moved ',' heart ',' nihh ',' again ',' single ',"&amp;"' again ' , 'hah', '']")</f>
        <v>['As far as',' Ane ',' Telkomsel ',' Network ',' Strong ',' Knp ',' Network ',' Bad ',' Signal ',' Weak ',' Come on ',' Telkomsel ',' expensive ',' network ',' signal ',' must ',' fast ',' rich ',' gini ',' moved ',' heart ',' nihh ',' again ',' single ',' again ' , 'hah', '']</v>
      </c>
      <c r="D140" s="3">
        <v>1.0</v>
      </c>
    </row>
    <row r="141" ht="15.75" customHeight="1">
      <c r="A141" s="1">
        <v>139.0</v>
      </c>
      <c r="B141" s="3" t="s">
        <v>142</v>
      </c>
      <c r="C141" s="3" t="str">
        <f>IFERROR(__xludf.DUMMYFUNCTION("GOOGLETRANSLATE(B141,""id"",""en"")"),"['Please', 'Network', 'Fix', 'Current', 'Stable', 'Ngelag', 'Mulu', 'What's',' Already ',' Ngelag ',' waste ',' people ',' Buy ',' Make ',' Money ',' Leaves', '']")</f>
        <v>['Please', 'Network', 'Fix', 'Current', 'Stable', 'Ngelag', 'Mulu', 'What's',' Already ',' Ngelag ',' waste ',' people ',' Buy ',' Make ',' Money ',' Leaves', '']</v>
      </c>
      <c r="D141" s="3">
        <v>1.0</v>
      </c>
    </row>
    <row r="142" ht="15.75" customHeight="1">
      <c r="A142" s="1">
        <v>140.0</v>
      </c>
      <c r="B142" s="3" t="s">
        <v>143</v>
      </c>
      <c r="C142" s="3" t="str">
        <f>IFERROR(__xludf.DUMMYFUNCTION("GOOGLETRANSLATE(B142,""id"",""en"")"),"['Min', 'Application', 'No', 'Error', 'Uninstall', 'Download', 'No', 'Taught', 'Min', 'Need', 'Quota', 'Disappointed', ' Min ',' gini ',' no ',' cry ',' min ', ""]")</f>
        <v>['Min', 'Application', 'No', 'Error', 'Uninstall', 'Download', 'No', 'Taught', 'Min', 'Need', 'Quota', 'Disappointed', ' Min ',' gini ',' no ',' cry ',' min ', "]</v>
      </c>
      <c r="D142" s="3">
        <v>2.0</v>
      </c>
    </row>
    <row r="143" ht="15.75" customHeight="1">
      <c r="A143" s="1">
        <v>141.0</v>
      </c>
      <c r="B143" s="3" t="s">
        <v>144</v>
      </c>
      <c r="C143" s="3" t="str">
        <f>IFERROR(__xludf.DUMMYFUNCTION("GOOGLETRANSLATE(B143,""id"",""en"")"),"['Sorry', 'quota', 'unlimited', 'application', 'Music', 'Game', 'Etc', 'Should', 'Sllu', 'spend', 'quota', 'main', ' Mulu ',' quota ',' main ',' abis', 'lmbat', 'lmbat', 'quota', 'unlimited', 'application', 'cok', 'loss',' bgin ',' mndingan ' , 'Move', 'P"&amp;"rovider', '']")</f>
        <v>['Sorry', 'quota', 'unlimited', 'application', 'Music', 'Game', 'Etc', 'Should', 'Sllu', 'spend', 'quota', 'main', ' Mulu ',' quota ',' main ',' abis', 'lmbat', 'lmbat', 'quota', 'unlimited', 'application', 'cok', 'loss',' bgin ',' mndingan ' , 'Move', 'Provider', '']</v>
      </c>
      <c r="D143" s="3">
        <v>1.0</v>
      </c>
    </row>
    <row r="144" ht="15.75" customHeight="1">
      <c r="A144" s="1">
        <v>142.0</v>
      </c>
      <c r="B144" s="3" t="s">
        <v>145</v>
      </c>
      <c r="C144" s="3" t="str">
        <f>IFERROR(__xludf.DUMMYFUNCTION("GOOGLETRANSLATE(B144,""id"",""en"")"),"['Read', 'Reviews',' people ',' disappointed ',' abal ',' abal ',' application ',' stamp ',' til ',' lacur ',' expensive ',' open ',' The application ',' Muter ',' Kayak ',' Chicken ',' Poisoning ',' Alesan ',' Cheap ',' Price ',' JT ',' Alesan ',' Singna"&amp;"l ',' Open ',' Application ' , 'Current', 'Jaya', '']")</f>
        <v>['Read', 'Reviews',' people ',' disappointed ',' abal ',' abal ',' application ',' stamp ',' til ',' lacur ',' expensive ',' open ',' The application ',' Muter ',' Kayak ',' Chicken ',' Poisoning ',' Alesan ',' Cheap ',' Price ',' JT ',' Alesan ',' Singnal ',' Open ',' Application ' , 'Current', 'Jaya', '']</v>
      </c>
      <c r="D144" s="3">
        <v>1.0</v>
      </c>
    </row>
    <row r="145" ht="15.75" customHeight="1">
      <c r="A145" s="1">
        <v>143.0</v>
      </c>
      <c r="B145" s="3" t="s">
        <v>146</v>
      </c>
      <c r="C145" s="3" t="str">
        <f>IFERROR(__xludf.DUMMYFUNCTION("GOOGLETRANSLATE(B145,""id"",""en"")"),"['Come', 'card', 'updated', 'Telkomsel', 'card', 'Hello', 'used', 'activation', 'banking', 'UDH', 'so', 'update', ' the network ',' download ',' picture ',' Need ',' second ']")</f>
        <v>['Come', 'card', 'updated', 'Telkomsel', 'card', 'Hello', 'used', 'activation', 'banking', 'UDH', 'so', 'update', ' the network ',' download ',' picture ',' Need ',' second ']</v>
      </c>
      <c r="D145" s="3">
        <v>1.0</v>
      </c>
    </row>
    <row r="146" ht="15.75" customHeight="1">
      <c r="A146" s="1">
        <v>144.0</v>
      </c>
      <c r="B146" s="3" t="s">
        <v>147</v>
      </c>
      <c r="C146" s="3" t="str">
        <f>IFERROR(__xludf.DUMMYFUNCTION("GOOGLETRANSLATE(B146,""id"",""en"")"),"['front', 'privacy', 'prioritized', 'annoying', 'free', 'tends', 'fraud', 'access', 'number', 'user', 'Telkomsel', ""]")</f>
        <v>['front', 'privacy', 'prioritized', 'annoying', 'free', 'tends', 'fraud', 'access', 'number', 'user', 'Telkomsel', "]</v>
      </c>
      <c r="D146" s="3">
        <v>4.0</v>
      </c>
    </row>
    <row r="147" ht="15.75" customHeight="1">
      <c r="A147" s="1">
        <v>145.0</v>
      </c>
      <c r="B147" s="3" t="s">
        <v>148</v>
      </c>
      <c r="C147" s="3" t="str">
        <f>IFERROR(__xludf.DUMMYFUNCTION("GOOGLETRANSLATE(B147,""id"",""en"")"),"['application', 'package', 'good', 'signal', 'ugly', 'try', 'see', 'complain', 'shy', 'company', 'quitten', 'bad', ' ']")</f>
        <v>['application', 'package', 'good', 'signal', 'ugly', 'try', 'see', 'complain', 'shy', 'company', 'quitten', 'bad', ' ']</v>
      </c>
      <c r="D147" s="3">
        <v>1.0</v>
      </c>
    </row>
    <row r="148" ht="15.75" customHeight="1">
      <c r="A148" s="1">
        <v>146.0</v>
      </c>
      <c r="B148" s="3" t="s">
        <v>149</v>
      </c>
      <c r="C148" s="3" t="str">
        <f>IFERROR(__xludf.DUMMYFUNCTION("GOOGLETRANSLATE(B148,""id"",""en"")"),"['application', 'slow', 'login', 'difficult', 'please', 'fix', 'prioritize', 'Telkomsel', 'disappointing', 'kam', ""]")</f>
        <v>['application', 'slow', 'login', 'difficult', 'please', 'fix', 'prioritize', 'Telkomsel', 'disappointing', 'kam', "]</v>
      </c>
      <c r="D148" s="3">
        <v>1.0</v>
      </c>
    </row>
    <row r="149" ht="15.75" customHeight="1">
      <c r="A149" s="1">
        <v>147.0</v>
      </c>
      <c r="B149" s="3" t="s">
        <v>150</v>
      </c>
      <c r="C149" s="3" t="str">
        <f>IFERROR(__xludf.DUMMYFUNCTION("GOOGLETRANSLATE(B149,""id"",""en"")"),"['Like', 'Log', 'Out', 'Log', 'Like', 'Times',' Repeated ',' Update ',' Application ',' Ngelag ',' Severe ',' Move ',' menu ',' menu ',' payment ',' credit ',' card ',' seems', 'is corrected', 'link', 'dkk', 'profitable', 'Telkomsel', 'class',' Telkomsel "&amp;"' , 'Application', 'Severe', '']")</f>
        <v>['Like', 'Log', 'Out', 'Log', 'Like', 'Times',' Repeated ',' Update ',' Application ',' Ngelag ',' Severe ',' Move ',' menu ',' menu ',' payment ',' credit ',' card ',' seems', 'is corrected', 'link', 'dkk', 'profitable', 'Telkomsel', 'class',' Telkomsel ' , 'Application', 'Severe', '']</v>
      </c>
      <c r="D149" s="3">
        <v>1.0</v>
      </c>
    </row>
    <row r="150" ht="15.75" customHeight="1">
      <c r="A150" s="1">
        <v>148.0</v>
      </c>
      <c r="B150" s="3" t="s">
        <v>151</v>
      </c>
      <c r="C150" s="3" t="str">
        <f>IFERROR(__xludf.DUMMYFUNCTION("GOOGLETRANSLATE(B150,""id"",""en"")"),"['garbage', 'application', 'damn', 'logout', 'then', 'login', 'no', 'error', 'mulu', 'dih', 'already', 'kirain', ' already ',' right ',' application ',' no ',' oath ',' emotion ',' doang ',' morning ',' until ',' malem ',' error ',' mulu ',' oath ' , 'Ged"&amp;"ek', 'formation', 'People', 'Gamparin']")</f>
        <v>['garbage', 'application', 'damn', 'logout', 'then', 'login', 'no', 'error', 'mulu', 'dih', 'already', 'kirain', ' already ',' right ',' application ',' no ',' oath ',' emotion ',' doang ',' morning ',' until ',' malem ',' error ',' mulu ',' oath ' , 'Gedek', 'formation', 'People', 'Gamparin']</v>
      </c>
      <c r="D150" s="3">
        <v>1.0</v>
      </c>
    </row>
    <row r="151" ht="15.75" customHeight="1">
      <c r="A151" s="1">
        <v>149.0</v>
      </c>
      <c r="B151" s="3" t="s">
        <v>152</v>
      </c>
      <c r="C151" s="3" t="str">
        <f>IFERROR(__xludf.DUMMYFUNCTION("GOOGLETRANSLATE(B151,""id"",""en"")"),"['Haduhh', 'hard', 'complain', 'Telkomsel', 'difference', 'please', 'see', 'myim', 'the application', 'walk', 'login', 'difficult']")</f>
        <v>['Haduhh', 'hard', 'complain', 'Telkomsel', 'difference', 'please', 'see', 'myim', 'the application', 'walk', 'login', 'difficult']</v>
      </c>
      <c r="D151" s="3">
        <v>1.0</v>
      </c>
    </row>
    <row r="152" ht="15.75" customHeight="1">
      <c r="A152" s="1">
        <v>150.0</v>
      </c>
      <c r="B152" s="3" t="s">
        <v>153</v>
      </c>
      <c r="C152" s="3" t="str">
        <f>IFERROR(__xludf.DUMMYFUNCTION("GOOGLETRANSLATE(B152,""id"",""en"")"),"['Hey', 'Please', 'Difficulty', 'Buy', 'Package', 'Internet', 'Karna', 'Application', 'Bad', 'Opened', 'Please', 'Response', ' glorious', '']")</f>
        <v>['Hey', 'Please', 'Difficulty', 'Buy', 'Package', 'Internet', 'Karna', 'Application', 'Bad', 'Opened', 'Please', 'Response', ' glorious', '']</v>
      </c>
      <c r="D152" s="3">
        <v>1.0</v>
      </c>
    </row>
    <row r="153" ht="15.75" customHeight="1">
      <c r="A153" s="1">
        <v>151.0</v>
      </c>
      <c r="B153" s="3" t="s">
        <v>154</v>
      </c>
      <c r="C153" s="3" t="str">
        <f>IFERROR(__xludf.DUMMYFUNCTION("GOOGLETRANSLATE(B153,""id"",""en"")"),"['apk', 'friendly', 'times',' login ',' app ',' session ',' abis', 'session', 'abis',' disappointed ',' login ',' difficult ',' APK ',' heavy ',' eat ',' resource ',' quota ',' developer ',' what ',' okay ', ""]")</f>
        <v>['apk', 'friendly', 'times',' login ',' app ',' session ',' abis', 'session', 'abis',' disappointed ',' login ',' difficult ',' APK ',' heavy ',' eat ',' resource ',' quota ',' developer ',' what ',' okay ', "]</v>
      </c>
      <c r="D153" s="3">
        <v>1.0</v>
      </c>
    </row>
    <row r="154" ht="15.75" customHeight="1">
      <c r="A154" s="1">
        <v>152.0</v>
      </c>
      <c r="B154" s="3" t="s">
        <v>155</v>
      </c>
      <c r="C154" s="3" t="str">
        <f>IFERROR(__xludf.DUMMYFUNCTION("GOOGLETRANSLATE(B154,""id"",""en"")"),"['Out', 'Update', 'Latest', 'MyTelkomsel', 'Payment', 'Package', 'Application', 'Fund', 'Update', 'Appearings',' Payment ',' Funds', ' Because ',' Sya ',' buy ',' Package ',' Payment ',' App ',' Fund ',' ']")</f>
        <v>['Out', 'Update', 'Latest', 'MyTelkomsel', 'Payment', 'Package', 'Application', 'Fund', 'Update', 'Appearings',' Payment ',' Funds', ' Because ',' Sya ',' buy ',' Package ',' Payment ',' App ',' Fund ',' ']</v>
      </c>
      <c r="D154" s="3">
        <v>2.0</v>
      </c>
    </row>
    <row r="155" ht="15.75" customHeight="1">
      <c r="A155" s="1">
        <v>153.0</v>
      </c>
      <c r="B155" s="3" t="s">
        <v>156</v>
      </c>
      <c r="C155" s="3" t="str">
        <f>IFERROR(__xludf.DUMMYFUNCTION("GOOGLETRANSLATE(B155,""id"",""en"")"),"['service', 'ask', 'veronika', 'display', 'chat', 'weekly', 'week', 'jwban', 'quota', 'learn', 'pakek', 'application', ' Google ',' Meet ',' Zoom ',' Reduced ',' Quota ',' Main ',' Reduced ',' Buy ',' Quota ',' Learning ', ""]")</f>
        <v>['service', 'ask', 'veronika', 'display', 'chat', 'weekly', 'week', 'jwban', 'quota', 'learn', 'pakek', 'application', ' Google ',' Meet ',' Zoom ',' Reduced ',' Quota ',' Main ',' Reduced ',' Buy ',' Quota ',' Learning ', "]</v>
      </c>
      <c r="D155" s="3">
        <v>1.0</v>
      </c>
    </row>
    <row r="156" ht="15.75" customHeight="1">
      <c r="A156" s="1">
        <v>154.0</v>
      </c>
      <c r="B156" s="3" t="s">
        <v>157</v>
      </c>
      <c r="C156" s="3" t="str">
        <f>IFERROR(__xludf.DUMMYFUNCTION("GOOGLETRANSLATE(B156,""id"",""en"")"),"['update', 'enter', 'login', 'reset', 'succeed', 'update', 'click', 'update', 'enter', 'APK', '']")</f>
        <v>['update', 'enter', 'login', 'reset', 'succeed', 'update', 'click', 'update', 'enter', 'APK', '']</v>
      </c>
      <c r="D156" s="3">
        <v>1.0</v>
      </c>
    </row>
    <row r="157" ht="15.75" customHeight="1">
      <c r="A157" s="1">
        <v>155.0</v>
      </c>
      <c r="B157" s="3" t="s">
        <v>158</v>
      </c>
      <c r="C157" s="3" t="str">
        <f>IFERROR(__xludf.DUMMYFUNCTION("GOOGLETRANSLATE(B157,""id"",""en"")"),"['Star', 'love', 'star', 'update', 'easy', 'hard', 'login', 'complicated', 'difficult', 'error', 'evaluation', 'it's good', ' version ',' ']")</f>
        <v>['Star', 'love', 'star', 'update', 'easy', 'hard', 'login', 'complicated', 'difficult', 'error', 'evaluation', 'it's good', ' version ',' ']</v>
      </c>
      <c r="D157" s="3">
        <v>1.0</v>
      </c>
    </row>
    <row r="158" ht="15.75" customHeight="1">
      <c r="A158" s="1">
        <v>156.0</v>
      </c>
      <c r="B158" s="3" t="s">
        <v>159</v>
      </c>
      <c r="C158" s="3" t="str">
        <f>IFERROR(__xludf.DUMMYFUNCTION("GOOGLETRANSLATE(B158,""id"",""en"")"),"['paraahh', 'open', 'application', 'Lolaaa', 'really', 'network', 'safe', 'apps',' find ',' kek ',' gini ',' gedek ',' Sumpah ',' Already ',' Buru ',' Buy ',' Package ',' Lolaaa ',' ']")</f>
        <v>['paraahh', 'open', 'application', 'Lolaaa', 'really', 'network', 'safe', 'apps',' find ',' kek ',' gini ',' gedek ',' Sumpah ',' Already ',' Buru ',' Buy ',' Package ',' Lolaaa ',' ']</v>
      </c>
      <c r="D158" s="3">
        <v>1.0</v>
      </c>
    </row>
    <row r="159" ht="15.75" customHeight="1">
      <c r="A159" s="1">
        <v>157.0</v>
      </c>
      <c r="B159" s="3" t="s">
        <v>160</v>
      </c>
      <c r="C159" s="3" t="str">
        <f>IFERROR(__xludf.DUMMYFUNCTION("GOOGLETRANSLATE(B159,""id"",""en"")"),"['KNPA', 'Telkomsel', 'Bad', 'Jeleeeeeek', 'Update', 'Many', 'Times',' BSA ',' BKA ',' MNA ',' Telkomsel ',' Telkomsel ',' Bru ',' really ',' usefulaaaaa ',' ']")</f>
        <v>['KNPA', 'Telkomsel', 'Bad', 'Jeleeeeeek', 'Update', 'Many', 'Times',' BSA ',' BKA ',' MNA ',' Telkomsel ',' Telkomsel ',' Bru ',' really ',' usefulaaaaa ',' ']</v>
      </c>
      <c r="D159" s="3">
        <v>1.0</v>
      </c>
    </row>
    <row r="160" ht="15.75" customHeight="1">
      <c r="A160" s="1">
        <v>158.0</v>
      </c>
      <c r="B160" s="3" t="s">
        <v>161</v>
      </c>
      <c r="C160" s="3" t="str">
        <f>IFERROR(__xludf.DUMMYFUNCTION("GOOGLETRANSLATE(B160,""id"",""en"")"),"['tekomsel', 'good', 'biggest', 'tramak', 'users',' compared to ',' provider ',' number ',' ane ',' Telkomsel ',' until ',' ane ',' open ',' application ',' Telkomsel ',' difficult ',' times', 'slow', 'severe', 'stay', 'coffee', 'coffee', 'until', 'abis',"&amp;"' coffee ' , 'Open', 'PDHL', 'Network', 'Internet', 'Safe', 'Open', 'Application', 'Current', 'Jaya', 'Download', 'streamming', 'etc.', ' safe ',' open ',' application ',' Telkomsel ',' patient ',' syg ',' telkomsel ',' yuk ',' change ',' ']")</f>
        <v>['tekomsel', 'good', 'biggest', 'tramak', 'users',' compared to ',' provider ',' number ',' ane ',' Telkomsel ',' until ',' ane ',' open ',' application ',' Telkomsel ',' difficult ',' times', 'slow', 'severe', 'stay', 'coffee', 'coffee', 'until', 'abis',' coffee ' , 'Open', 'PDHL', 'Network', 'Internet', 'Safe', 'Open', 'Application', 'Current', 'Jaya', 'Download', 'streamming', 'etc.', ' safe ',' open ',' application ',' Telkomsel ',' patient ',' syg ',' telkomsel ',' yuk ',' change ',' ']</v>
      </c>
      <c r="D160" s="3">
        <v>5.0</v>
      </c>
    </row>
    <row r="161" ht="15.75" customHeight="1">
      <c r="A161" s="1">
        <v>159.0</v>
      </c>
      <c r="B161" s="3" t="s">
        <v>162</v>
      </c>
      <c r="C161" s="3" t="str">
        <f>IFERROR(__xludf.DUMMYFUNCTION("GOOGLETRANSLATE(B161,""id"",""en"")"),"['Disappointed', 'Telkomsel', 'buy', 'quota', 'GB', 'RB', 'bln', 'trs',' rb ',' skrg ',' make ',' pdhl ',' Buy ',' HR ',' SKRG ',' UDH ',' Telkomsel ',' Internet ']")</f>
        <v>['Disappointed', 'Telkomsel', 'buy', 'quota', 'GB', 'RB', 'bln', 'trs',' rb ',' skrg ',' make ',' pdhl ',' Buy ',' HR ',' SKRG ',' UDH ',' Telkomsel ',' Internet ']</v>
      </c>
      <c r="D161" s="3">
        <v>1.0</v>
      </c>
    </row>
    <row r="162" ht="15.75" customHeight="1">
      <c r="A162" s="1">
        <v>160.0</v>
      </c>
      <c r="B162" s="3" t="s">
        <v>163</v>
      </c>
      <c r="C162" s="3" t="str">
        <f>IFERROR(__xludf.DUMMYFUNCTION("GOOGLETRANSLATE(B162,""id"",""en"")"),"['Cool', 'really', 'package', 'special', 'telephone', 'price', 'cool', 'sihhhhhh', '']")</f>
        <v>['Cool', 'really', 'package', 'special', 'telephone', 'price', 'cool', 'sihhhhhh', '']</v>
      </c>
      <c r="D162" s="3">
        <v>5.0</v>
      </c>
    </row>
    <row r="163" ht="15.75" customHeight="1">
      <c r="A163" s="1">
        <v>161.0</v>
      </c>
      <c r="B163" s="3" t="s">
        <v>164</v>
      </c>
      <c r="C163" s="3" t="str">
        <f>IFERROR(__xludf.DUMMYFUNCTION("GOOGLETRANSLATE(B163,""id"",""en"")"),"['Telkomsel', 'make it difficult', 'update', 'stlh', 'update', 'msh', 'nga', 'open', 'telkomsel', 'otw', 'moved']")</f>
        <v>['Telkomsel', 'make it difficult', 'update', 'stlh', 'update', 'msh', 'nga', 'open', 'telkomsel', 'otw', 'moved']</v>
      </c>
      <c r="D163" s="3">
        <v>1.0</v>
      </c>
    </row>
    <row r="164" ht="15.75" customHeight="1">
      <c r="A164" s="1">
        <v>162.0</v>
      </c>
      <c r="B164" s="3" t="s">
        <v>165</v>
      </c>
      <c r="C164" s="3" t="str">
        <f>IFERROR(__xludf.DUMMYFUNCTION("GOOGLETRANSLATE(B164,""id"",""en"")"),"['Kagett', 'pulse', 'left', 'update', 'application', 'MyTelkomsel', 'contents',' pulse ',' updated ',' balance ',' contents', 'pulses',' TOP ',' application ',' MyTelkomsel ',' pulse ',' increases']")</f>
        <v>['Kagett', 'pulse', 'left', 'update', 'application', 'MyTelkomsel', 'contents',' pulse ',' updated ',' balance ',' contents', 'pulses',' TOP ',' application ',' MyTelkomsel ',' pulse ',' increases']</v>
      </c>
      <c r="D164" s="3">
        <v>1.0</v>
      </c>
    </row>
    <row r="165" ht="15.75" customHeight="1">
      <c r="A165" s="1">
        <v>163.0</v>
      </c>
      <c r="B165" s="3" t="s">
        <v>166</v>
      </c>
      <c r="C165" s="3" t="str">
        <f>IFERROR(__xludf.DUMMYFUNCTION("GOOGLETRANSLATE(B165,""id"",""en"")"),"['Telkomsel', 'Yesterday', 'buy', 'UnlimitedMax', 'a month', 'package', 'Internet', 'Out', 'Karna', 'Multimedia', 'Package', 'Internet', ' Out ',' multimedia ',' apply ',' a month ',' tribulation ',' online ', ""]")</f>
        <v>['Telkomsel', 'Yesterday', 'buy', 'UnlimitedMax', 'a month', 'package', 'Internet', 'Out', 'Karna', 'Multimedia', 'Package', 'Internet', ' Out ',' multimedia ',' apply ',' a month ',' tribulation ',' online ', "]</v>
      </c>
      <c r="D165" s="3">
        <v>2.0</v>
      </c>
    </row>
    <row r="166" ht="15.75" customHeight="1">
      <c r="A166" s="1">
        <v>164.0</v>
      </c>
      <c r="B166" s="3" t="s">
        <v>167</v>
      </c>
      <c r="C166" s="3" t="str">
        <f>IFERROR(__xludf.DUMMYFUNCTION("GOOGLETRANSLATE(B166,""id"",""en"")"),"['paraaah', 'entry', 'application', 'complicated', 'forgiveness',' hrs', 'login', 'sms',' udh ',' try ',' enter ',' link ',' sent ',' sms', 'enter', 'koq', 'provider', 'seribet', ""]")</f>
        <v>['paraaah', 'entry', 'application', 'complicated', 'forgiveness',' hrs', 'login', 'sms',' udh ',' try ',' enter ',' link ',' sent ',' sms', 'enter', 'koq', 'provider', 'seribet', "]</v>
      </c>
      <c r="D166" s="3">
        <v>1.0</v>
      </c>
    </row>
    <row r="167" ht="15.75" customHeight="1">
      <c r="A167" s="1">
        <v>165.0</v>
      </c>
      <c r="B167" s="3" t="s">
        <v>168</v>
      </c>
      <c r="C167" s="3" t="str">
        <f>IFERROR(__xludf.DUMMYFUNCTION("GOOGLETRANSLATE(B167,""id"",""en"")"),"['Please', 'Telkomsel', 'Please', 'Turns',' Package ',' Unlimited ',' Max ',' Limit ',' User ',' Telkomsel ',' Unlimited ',' Max ',' limited ',' Peguguna ',' Telkomsel ',' moved ',' Indosat ',' Indosat ',' package ',' bug ',' application ',' unlimited ','"&amp;" help ',' student ' , 'quota', 'ok', 'that way', 'complaints', 'users', 'Telkomsel', 'semi frame', 'unlimited', 'max', 'limited']")</f>
        <v>['Please', 'Telkomsel', 'Please', 'Turns',' Package ',' Unlimited ',' Max ',' Limit ',' User ',' Telkomsel ',' Unlimited ',' Max ',' limited ',' Peguguna ',' Telkomsel ',' moved ',' Indosat ',' Indosat ',' package ',' bug ',' application ',' unlimited ',' help ',' student ' , 'quota', 'ok', 'that way', 'complaints', 'users', 'Telkomsel', 'semi frame', 'unlimited', 'max', 'limited']</v>
      </c>
      <c r="D167" s="3">
        <v>1.0</v>
      </c>
    </row>
    <row r="168" ht="15.75" customHeight="1">
      <c r="A168" s="1">
        <v>166.0</v>
      </c>
      <c r="B168" s="3" t="s">
        <v>169</v>
      </c>
      <c r="C168" s="3" t="str">
        <f>IFERROR(__xludf.DUMMYFUNCTION("GOOGLETRANSLATE(B168,""id"",""en"")"),"['strange', 'application', 'offer', 'package', 'for example', 'right', 'contents',' pulse ',' fad ',' fad ',' check ',' packetan ',' quota ',' Gede ',' below ',' thousand ',' right ',' buyin ',' pulse ',' plan ',' buy ',' quota ',' clink ',' offer ',' ila"&amp;"ng ' , 'Direct', 'replace', 'expensive', 'expensive', 'hadeeeh']")</f>
        <v>['strange', 'application', 'offer', 'package', 'for example', 'right', 'contents',' pulse ',' fad ',' fad ',' check ',' packetan ',' quota ',' Gede ',' below ',' thousand ',' right ',' buyin ',' pulse ',' plan ',' buy ',' quota ',' clink ',' offer ',' ilang ' , 'Direct', 'replace', 'expensive', 'expensive', 'hadeeeh']</v>
      </c>
      <c r="D168" s="3">
        <v>2.0</v>
      </c>
    </row>
    <row r="169" ht="15.75" customHeight="1">
      <c r="A169" s="1">
        <v>167.0</v>
      </c>
      <c r="B169" s="3" t="s">
        <v>170</v>
      </c>
      <c r="C169" s="3" t="str">
        <f>IFERROR(__xludf.DUMMYFUNCTION("GOOGLETRANSLATE(B169,""id"",""en"")"),"['Telkomsel', 'provider', 'thief', 'pulses',' please ',' love ',' list ',' use ',' balance ',' mytelkomsel ',' use ',' contents', ' RB ',' Out ',' complaints', 'Response', 'Addin', 'System', 'Lock', 'Credit', 'Rich', 'AXIS']")</f>
        <v>['Telkomsel', 'provider', 'thief', 'pulses',' please ',' love ',' list ',' use ',' balance ',' mytelkomsel ',' use ',' contents', ' RB ',' Out ',' complaints', 'Response', 'Addin', 'System', 'Lock', 'Credit', 'Rich', 'AXIS']</v>
      </c>
      <c r="D169" s="3">
        <v>1.0</v>
      </c>
    </row>
    <row r="170" ht="15.75" customHeight="1">
      <c r="A170" s="1">
        <v>168.0</v>
      </c>
      <c r="B170" s="3" t="s">
        <v>171</v>
      </c>
      <c r="C170" s="3" t="str">
        <f>IFERROR(__xludf.DUMMYFUNCTION("GOOGLETRANSLATE(B170,""id"",""en"")"),"['open', 'app', 'confirm', 'number', 'ttap', 'access',' buy ',' package ',' no ',' internet ',' service ',' no ',' Connection ',' pulse ',' rb ',' ']")</f>
        <v>['open', 'app', 'confirm', 'number', 'ttap', 'access',' buy ',' package ',' no ',' internet ',' service ',' no ',' Connection ',' pulse ',' rb ',' ']</v>
      </c>
      <c r="D170" s="3">
        <v>1.0</v>
      </c>
    </row>
    <row r="171" ht="15.75" customHeight="1">
      <c r="A171" s="1">
        <v>169.0</v>
      </c>
      <c r="B171" s="3" t="s">
        <v>172</v>
      </c>
      <c r="C171" s="3" t="str">
        <f>IFERROR(__xludf.DUMMYFUNCTION("GOOGLETRANSLATE(B171,""id"",""en"")"),"['Telkomsel', 'Network', 'Accepted', 'Update', 'Good', 'Advertising', 'Janringan', 'Fast', 'Mudal', 'Lag', 'Cuih', ""]")</f>
        <v>['Telkomsel', 'Network', 'Accepted', 'Update', 'Good', 'Advertising', 'Janringan', 'Fast', 'Mudal', 'Lag', 'Cuih', "]</v>
      </c>
      <c r="D171" s="3">
        <v>1.0</v>
      </c>
    </row>
    <row r="172" ht="15.75" customHeight="1">
      <c r="A172" s="1">
        <v>170.0</v>
      </c>
      <c r="B172" s="3" t="s">
        <v>173</v>
      </c>
      <c r="C172" s="3" t="str">
        <f>IFERROR(__xludf.DUMMYFUNCTION("GOOGLETRANSLATE(B172,""id"",""en"")"),"['', 'update', 'good', 'ngadet', 'the application', 'entered', 'application', 'samsek', 'then', 'enter', 'open', 'menu', 'makes it easy ']")</f>
        <v>['', 'update', 'good', 'ngadet', 'the application', 'entered', 'application', 'samsek', 'then', 'enter', 'open', 'menu', 'makes it easy ']</v>
      </c>
      <c r="D172" s="3">
        <v>1.0</v>
      </c>
    </row>
    <row r="173" ht="15.75" customHeight="1">
      <c r="A173" s="1">
        <v>171.0</v>
      </c>
      <c r="B173" s="3" t="s">
        <v>174</v>
      </c>
      <c r="C173" s="3" t="str">
        <f>IFERROR(__xludf.DUMMYFUNCTION("GOOGLETRANSLATE(B173,""id"",""en"")"),"['Login', 'failed', 'connection', 'internet', 'good', 'stable', 'please', 'repair', 'interrupted', 'user', 'application', 'Telkomsel']")</f>
        <v>['Login', 'failed', 'connection', 'internet', 'good', 'stable', 'please', 'repair', 'interrupted', 'user', 'application', 'Telkomsel']</v>
      </c>
      <c r="D173" s="3">
        <v>1.0</v>
      </c>
    </row>
    <row r="174" ht="15.75" customHeight="1">
      <c r="A174" s="1">
        <v>172.0</v>
      </c>
      <c r="B174" s="3" t="s">
        <v>175</v>
      </c>
      <c r="C174" s="3" t="str">
        <f>IFERROR(__xludf.DUMMYFUNCTION("GOOGLETRANSLATE(B174,""id"",""en"")"),"['just', 'brand', 'sympathy', 'sympathy', 'community', 'ride', 'price', 'pandemic', 'take advantage', 'suffering', 'troubled', 'people', ' All-round ',' expensive ',' network ',' messy ']")</f>
        <v>['just', 'brand', 'sympathy', 'sympathy', 'community', 'ride', 'price', 'pandemic', 'take advantage', 'suffering', 'troubled', 'people', ' All-round ',' expensive ',' network ',' messy ']</v>
      </c>
      <c r="D174" s="3">
        <v>1.0</v>
      </c>
    </row>
    <row r="175" ht="15.75" customHeight="1">
      <c r="A175" s="1">
        <v>173.0</v>
      </c>
      <c r="B175" s="3" t="s">
        <v>176</v>
      </c>
      <c r="C175" s="3" t="str">
        <f>IFERROR(__xludf.DUMMYFUNCTION("GOOGLETRANSLATE(B175,""id"",""en"")"),"['Current', 'What', 'Males',' Burik ',' Enter ',' Difficult ',' Verification ',' Via ',' Link ',' Pin ',' old ',' class', ' BUMN ',' Severe ',' ']")</f>
        <v>['Current', 'What', 'Males',' Burik ',' Enter ',' Difficult ',' Verification ',' Via ',' Link ',' Pin ',' old ',' class', ' BUMN ',' Severe ',' ']</v>
      </c>
      <c r="D175" s="3">
        <v>1.0</v>
      </c>
    </row>
    <row r="176" ht="15.75" customHeight="1">
      <c r="A176" s="1">
        <v>174.0</v>
      </c>
      <c r="B176" s="3" t="s">
        <v>177</v>
      </c>
      <c r="C176" s="3" t="str">
        <f>IFERROR(__xludf.DUMMYFUNCTION("GOOGLETRANSLATE(B176,""id"",""en"")"),"['ugly' application, 'stable', 'already', 'login', 'app', 'login', 'difficult', 'error', 'different', 'app', 'operator', ' stable ',' name ',' age ',' operator ',' experience ',' comparing ',' straight ',' convenience ',' stability ',' application ',' fac"&amp;"t ',' application ',' walk ' , 'application', 'ugly', 'notif', 'appears',' stable ',' change ',' logo ',' company ',' accompanied ',' change ',' increase ',' service ',' Software ',' Good ',' Very ',' Bad ',' Don ',' Like ', ""]")</f>
        <v>['ugly' application, 'stable', 'already', 'login', 'app', 'login', 'difficult', 'error', 'different', 'app', 'operator', ' stable ',' name ',' age ',' operator ',' experience ',' comparing ',' straight ',' convenience ',' stability ',' application ',' fact ',' application ',' walk ' , 'application', 'ugly', 'notif', 'appears',' stable ',' change ',' logo ',' company ',' accompanied ',' change ',' increase ',' service ',' Software ',' Good ',' Very ',' Bad ',' Don ',' Like ', "]</v>
      </c>
      <c r="D176" s="3">
        <v>1.0</v>
      </c>
    </row>
    <row r="177" ht="15.75" customHeight="1">
      <c r="A177" s="1">
        <v>175.0</v>
      </c>
      <c r="B177" s="3" t="s">
        <v>178</v>
      </c>
      <c r="C177" s="3" t="str">
        <f>IFERROR(__xludf.DUMMYFUNCTION("GOOGLETRANSLATE(B177,""id"",""en"")"),"['application', 'bad', 'open', 'application', 'difficult', 'list', 'package', 'slow', 'lose', 'application', 'class',' Telkomsel ',' Application ',' Really ',' Ironically ',' Win ',' Brand ',' Quality ']")</f>
        <v>['application', 'bad', 'open', 'application', 'difficult', 'list', 'package', 'slow', 'lose', 'application', 'class',' Telkomsel ',' Application ',' Really ',' Ironically ',' Win ',' Brand ',' Quality ']</v>
      </c>
      <c r="D177" s="3">
        <v>1.0</v>
      </c>
    </row>
    <row r="178" ht="15.75" customHeight="1">
      <c r="A178" s="1">
        <v>176.0</v>
      </c>
      <c r="B178" s="3" t="s">
        <v>179</v>
      </c>
      <c r="C178" s="3" t="str">
        <f>IFERROR(__xludf.DUMMYFUNCTION("GOOGLETRANSLATE(B178,""id"",""en"")"),"['', 'forgiveness',' people ',' already ',' update ',' Latest ',' version ',' right ',' open ',' application ',' told ',' update ',' what's up ',' Dipdate ',' Play ',' Store ',' already ',' version ']")</f>
        <v>['', 'forgiveness',' people ',' already ',' update ',' Latest ',' version ',' right ',' open ',' application ',' told ',' update ',' what's up ',' Dipdate ',' Play ',' Store ',' already ',' version ']</v>
      </c>
      <c r="D178" s="3">
        <v>3.0</v>
      </c>
    </row>
    <row r="179" ht="15.75" customHeight="1">
      <c r="A179" s="1">
        <v>177.0</v>
      </c>
      <c r="B179" s="3" t="s">
        <v>180</v>
      </c>
      <c r="C179" s="3" t="str">
        <f>IFERROR(__xludf.DUMMYFUNCTION("GOOGLETRANSLATE(B179,""id"",""en"")"),"['Hallo', 'Telkomsel', 'Network', 'internet', 'good', 'disappointing', 'already', 'can', 'serve', 'Costumer', 'kah', 'thank', ' love']")</f>
        <v>['Hallo', 'Telkomsel', 'Network', 'internet', 'good', 'disappointing', 'already', 'can', 'serve', 'Costumer', 'kah', 'thank', ' love']</v>
      </c>
      <c r="D179" s="3">
        <v>1.0</v>
      </c>
    </row>
    <row r="180" ht="15.75" customHeight="1">
      <c r="A180" s="1">
        <v>178.0</v>
      </c>
      <c r="B180" s="3" t="s">
        <v>181</v>
      </c>
      <c r="C180" s="3" t="str">
        <f>IFERROR(__xludf.DUMMYFUNCTION("GOOGLETRANSLATE(B180,""id"",""en"")"),"['Sorry', 'Uninstall', 'Lelatttt', 'Network', 'Speed', 'Internet', 'Kenceng', 'Knapa', 'Application', 'Muter', 'Doank', 'Abis',' Quota ',' CMA ',' entered ',' Home ',' Application ',' Disappointedaaaaaaa ',' Gini ',' Mending ',' Uninstall ']")</f>
        <v>['Sorry', 'Uninstall', 'Lelatttt', 'Network', 'Speed', 'Internet', 'Kenceng', 'Knapa', 'Application', 'Muter', 'Doank', 'Abis',' Quota ',' CMA ',' entered ',' Home ',' Application ',' Disappointedaaaaaaa ',' Gini ',' Mending ',' Uninstall ']</v>
      </c>
      <c r="D180" s="3">
        <v>1.0</v>
      </c>
    </row>
    <row r="181" ht="15.75" customHeight="1">
      <c r="A181" s="1">
        <v>179.0</v>
      </c>
      <c r="B181" s="3" t="s">
        <v>182</v>
      </c>
      <c r="C181" s="3" t="str">
        <f>IFERROR(__xludf.DUMMYFUNCTION("GOOGLETRANSLATE(B181,""id"",""en"")"),"['Telkomsel', 'bad', 'purchase', 'quota', 'internet', 'expensive', 'plus',' network ',' error ',' plus', 'applikasih', 'defective', ' Listen ',' complaints', 'consumers',' win ',' consumers', 'have the right', 'quality', 'products',' bought ',' Obbed ',' "&amp;"offer ',' service ',' best ' , 'products', 'sell', 'close', 'in the future', 'lose', 'competitiveness', 'product', 'offer', 'quality', '']")</f>
        <v>['Telkomsel', 'bad', 'purchase', 'quota', 'internet', 'expensive', 'plus',' network ',' error ',' plus', 'applikasih', 'defective', ' Listen ',' complaints', 'consumers',' win ',' consumers', 'have the right', 'quality', 'products',' bought ',' Obbed ',' offer ',' service ',' best ' , 'products', 'sell', 'close', 'in the future', 'lose', 'competitiveness', 'product', 'offer', 'quality', '']</v>
      </c>
      <c r="D181" s="3">
        <v>1.0</v>
      </c>
    </row>
    <row r="182" ht="15.75" customHeight="1">
      <c r="A182" s="1">
        <v>180.0</v>
      </c>
      <c r="B182" s="3" t="s">
        <v>183</v>
      </c>
      <c r="C182" s="3" t="str">
        <f>IFERROR(__xludf.DUMMYFUNCTION("GOOGLETRANSLATE(B182,""id"",""en"")"),"['Please', 'Region', 'Jagakarsa', 'Srengseng', 'Sawah', 'Cipedak', 'The Line', 'Repaired', 'Nares',' Card ',' Weve ',' Disappointed ',' cave ',' card ',' smooth ',' smooth ',' entry ',' entry ',' sense ',' wkwkwkw ',' kah ',' Telkomsel ',' bangkruttt ', "&amp;"""]")</f>
        <v>['Please', 'Region', 'Jagakarsa', 'Srengseng', 'Sawah', 'Cipedak', 'The Line', 'Repaired', 'Nares',' Card ',' Weve ',' Disappointed ',' cave ',' card ',' smooth ',' smooth ',' entry ',' entry ',' sense ',' wkwkwkw ',' kah ',' Telkomsel ',' bangkruttt ', "]</v>
      </c>
      <c r="D182" s="3">
        <v>1.0</v>
      </c>
    </row>
    <row r="183" ht="15.75" customHeight="1">
      <c r="A183" s="1">
        <v>181.0</v>
      </c>
      <c r="B183" s="3" t="s">
        <v>184</v>
      </c>
      <c r="C183" s="3" t="str">
        <f>IFERROR(__xludf.DUMMYFUNCTION("GOOGLETRANSLATE(B183,""id"",""en"")"),"['Help', 'Application', 'It's easy', 'users', 'promo', 'held', 'Telkomsel', 'quota', 'etc.', 'spirit', 'authorized', ""]")</f>
        <v>['Help', 'Application', 'It's easy', 'users', 'promo', 'held', 'Telkomsel', 'quota', 'etc.', 'spirit', 'authorized', "]</v>
      </c>
      <c r="D183" s="3">
        <v>5.0</v>
      </c>
    </row>
    <row r="184" ht="15.75" customHeight="1">
      <c r="A184" s="1">
        <v>182.0</v>
      </c>
      <c r="B184" s="3" t="s">
        <v>185</v>
      </c>
      <c r="C184" s="3" t="str">
        <f>IFERROR(__xludf.DUMMYFUNCTION("GOOGLETRANSLATE(B184,""id"",""en"")"),"['already', 'application', 'Telkomsel', 'opened', 'pdhal', 'network', 'good', 'update', 'telkomsel', 'error', 'check', 'quota', ' Buy ',' Paketan ',' Disappointing ',' Application ',' Telkomsel ']")</f>
        <v>['already', 'application', 'Telkomsel', 'opened', 'pdhal', 'network', 'good', 'update', 'telkomsel', 'error', 'check', 'quota', ' Buy ',' Paketan ',' Disappointing ',' Application ',' Telkomsel ']</v>
      </c>
      <c r="D184" s="3">
        <v>1.0</v>
      </c>
    </row>
    <row r="185" ht="15.75" customHeight="1">
      <c r="A185" s="1">
        <v>183.0</v>
      </c>
      <c r="B185" s="3" t="s">
        <v>186</v>
      </c>
      <c r="C185" s="3" t="str">
        <f>IFERROR(__xludf.DUMMYFUNCTION("GOOGLETRANSLATE(B185,""id"",""en"")"),"['Main', 'network', 'like', 'lag', 'login', 'reset', 'play', 'game', 'huuuuuuuhhhh', 'harm', '']")</f>
        <v>['Main', 'network', 'like', 'lag', 'login', 'reset', 'play', 'game', 'huuuuuuuhhhh', 'harm', '']</v>
      </c>
      <c r="D185" s="3">
        <v>1.0</v>
      </c>
    </row>
    <row r="186" ht="15.75" customHeight="1">
      <c r="A186" s="1">
        <v>184.0</v>
      </c>
      <c r="B186" s="3" t="s">
        <v>187</v>
      </c>
      <c r="C186" s="3" t="str">
        <f>IFERROR(__xludf.DUMMYFUNCTION("GOOGLETRANSLATE(B186,""id"",""en"")"),"['Telkomsel', 'here', 'ugly', 'application', 'open', 'the application', 'already', 'uninstall', 'until', 'install', 'many', 'tetep', ' Sometimes', the 'application', 'please', 'update', 'application', 'user', 'Telkomsel', 'disappointed', 'application', 'T"&amp;"elkomsel', 'buy', 'package', 'difficult' ]")</f>
        <v>['Telkomsel', 'here', 'ugly', 'application', 'open', 'the application', 'already', 'uninstall', 'until', 'install', 'many', 'tetep', ' Sometimes', the 'application', 'please', 'update', 'application', 'user', 'Telkomsel', 'disappointed', 'application', 'Telkomsel', 'buy', 'package', 'difficult' ]</v>
      </c>
      <c r="D186" s="3">
        <v>1.0</v>
      </c>
    </row>
    <row r="187" ht="15.75" customHeight="1">
      <c r="A187" s="1">
        <v>185.0</v>
      </c>
      <c r="B187" s="3" t="s">
        <v>188</v>
      </c>
      <c r="C187" s="3" t="str">
        <f>IFERROR(__xludf.DUMMYFUNCTION("GOOGLETRANSLATE(B187,""id"",""en"")"),"['application', 'useful', 'update', 'update', 'woowww', 'login', 'quality', 'maker', 'affect', 'results',' darling ',' really ',' school ',' University ',' Best ',' Jamin ',' produce ',' human ',' quality ',' rip ',' BUMN ',' Telkomsel ', ""]")</f>
        <v>['application', 'useful', 'update', 'update', 'woowww', 'login', 'quality', 'maker', 'affect', 'results',' darling ',' really ',' school ',' University ',' Best ',' Jamin ',' produce ',' human ',' quality ',' rip ',' BUMN ',' Telkomsel ', "]</v>
      </c>
      <c r="D187" s="3">
        <v>1.0</v>
      </c>
    </row>
    <row r="188" ht="15.75" customHeight="1">
      <c r="A188" s="1">
        <v>186.0</v>
      </c>
      <c r="B188" s="3" t="s">
        <v>189</v>
      </c>
      <c r="C188" s="3" t="str">
        <f>IFERROR(__xludf.DUMMYFUNCTION("GOOGLETRANSLATE(B188,""id"",""en"")"),"['quota', 'learn', 'Telkomsel', 'emg', 'google', 'meet', 'myself', 'buy', 'quota', 'learn', 'right', 'quota', ' The main ',' out ',' pulses', 'Sumpot', 'Google', 'Meet', ""]")</f>
        <v>['quota', 'learn', 'Telkomsel', 'emg', 'google', 'meet', 'myself', 'buy', 'quota', 'learn', 'right', 'quota', ' The main ',' out ',' pulses', 'Sumpot', 'Google', 'Meet', "]</v>
      </c>
      <c r="D188" s="3">
        <v>2.0</v>
      </c>
    </row>
    <row r="189" ht="15.75" customHeight="1">
      <c r="A189" s="1">
        <v>187.0</v>
      </c>
      <c r="B189" s="3" t="s">
        <v>190</v>
      </c>
      <c r="C189" s="3" t="str">
        <f>IFERROR(__xludf.DUMMYFUNCTION("GOOGLETRANSLATE(B189,""id"",""en"")"),"['Please', 'network', 'absent', 'difficult', 'AJG', 'UDH', 'expensive', 'TPI', 'service', 'ugly', 'oath', 'lag', ' BNGT ',' Telkom ',' Live ',' City ',' Lag ',' Severe ']")</f>
        <v>['Please', 'network', 'absent', 'difficult', 'AJG', 'UDH', 'expensive', 'TPI', 'service', 'ugly', 'oath', 'lag', ' BNGT ',' Telkom ',' Live ',' City ',' Lag ',' Severe ']</v>
      </c>
      <c r="D189" s="3">
        <v>1.0</v>
      </c>
    </row>
    <row r="190" ht="15.75" customHeight="1">
      <c r="A190" s="1">
        <v>188.0</v>
      </c>
      <c r="B190" s="3" t="s">
        <v>191</v>
      </c>
      <c r="C190" s="3" t="str">
        <f>IFERROR(__xludf.DUMMYFUNCTION("GOOGLETRANSLATE(B190,""id"",""en"")"),"['Over', 'use', 'application', 'times',' login ',' forced ',' HRS ',' deleted ',' APK ',' BRP ',' Benefit ',' Telkomsel ',' network ',' apk ',' lose ',' compared ',' operator ',' tks']")</f>
        <v>['Over', 'use', 'application', 'times',' login ',' forced ',' HRS ',' deleted ',' APK ',' BRP ',' Benefit ',' Telkomsel ',' network ',' apk ',' lose ',' compared ',' operator ',' tks']</v>
      </c>
      <c r="D190" s="3">
        <v>1.0</v>
      </c>
    </row>
    <row r="191" ht="15.75" customHeight="1">
      <c r="A191" s="1">
        <v>189.0</v>
      </c>
      <c r="B191" s="3" t="s">
        <v>192</v>
      </c>
      <c r="C191" s="3" t="str">
        <f>IFERROR(__xludf.DUMMYFUNCTION("GOOGLETRANSLATE(B191,""id"",""en"")"),"['Taiiilahhh', 'wasteful', 'AJG', 'buy', 'morning', 'afternoon', 'UDH', 'GB', 'Morning', 'Najiisss',' mah ',' Karna ',' card ',' DRI ',' Government ',' Wait ',' sent ',' LGI ',' TPI ',' Ampe ',' skrg ',' sent ',' Send ',' parahhh ',' mnding ' , 'Change', "&amp;"'card']")</f>
        <v>['Taiiilahhh', 'wasteful', 'AJG', 'buy', 'morning', 'afternoon', 'UDH', 'GB', 'Morning', 'Najiisss',' mah ',' Karna ',' card ',' DRI ',' Government ',' Wait ',' sent ',' LGI ',' TPI ',' Ampe ',' skrg ',' sent ',' Send ',' parahhh ',' mnding ' , 'Change', 'card']</v>
      </c>
      <c r="D191" s="3">
        <v>1.0</v>
      </c>
    </row>
    <row r="192" ht="15.75" customHeight="1">
      <c r="A192" s="1">
        <v>190.0</v>
      </c>
      <c r="B192" s="3" t="s">
        <v>193</v>
      </c>
      <c r="C192" s="3" t="str">
        <f>IFERROR(__xludf.DUMMYFUNCTION("GOOGLETRANSLATE(B192,""id"",""en"")"),"['many years',' comfortable ',' Telkomsel ',' a month ',' trahir ',' sjar ',' update ',' karuan ',' login ',' try ',' delete ',' install ',' "", 'Delete', 'Data', 'all', 'results', 'forced', 'star', 'Smula', 'second', 'Delete', 'Star', 'If', 'Star' , 'lov"&amp;"e']")</f>
        <v>['many years',' comfortable ',' Telkomsel ',' a month ',' trahir ',' sjar ',' update ',' karuan ',' login ',' try ',' delete ',' install ',' ", 'Delete', 'Data', 'all', 'results', 'forced', 'star', 'Smula', 'second', 'Delete', 'Star', 'If', 'Star' , 'love']</v>
      </c>
      <c r="D192" s="3">
        <v>1.0</v>
      </c>
    </row>
    <row r="193" ht="15.75" customHeight="1">
      <c r="A193" s="1">
        <v>191.0</v>
      </c>
      <c r="B193" s="3" t="s">
        <v>194</v>
      </c>
      <c r="C193" s="3" t="str">
        <f>IFERROR(__xludf.DUMMYFUNCTION("GOOGLETRANSLATE(B193,""id"",""en"")"),"['What's', 'wants', 'application', 'really', 'log', 'out', 'login', 'tried', 'for days', 'error', 'emotions', 'servant']")</f>
        <v>['What's', 'wants', 'application', 'really', 'log', 'out', 'login', 'tried', 'for days', 'error', 'emotions', 'servant']</v>
      </c>
      <c r="D193" s="3">
        <v>1.0</v>
      </c>
    </row>
    <row r="194" ht="15.75" customHeight="1">
      <c r="A194" s="1">
        <v>192.0</v>
      </c>
      <c r="B194" s="3" t="s">
        <v>195</v>
      </c>
      <c r="C194" s="3" t="str">
        <f>IFERROR(__xludf.DUMMYFUNCTION("GOOGLETRANSLATE(B194,""id"",""en"")"),"['application', 'garbage', 'login', 'difficult', 'open', 'use', 'network', 'telkom', 'lose', 'mym', 'buy', 'package', ' boss', 'contents',' reset ',' open ',' apk ',' use ',' provider ',' use ',' telkom ',' taken ',' pulses', ""]")</f>
        <v>['application', 'garbage', 'login', 'difficult', 'open', 'use', 'network', 'telkom', 'lose', 'mym', 'buy', 'package', ' boss', 'contents',' reset ',' open ',' apk ',' use ',' provider ',' use ',' telkom ',' taken ',' pulses', "]</v>
      </c>
      <c r="D194" s="3">
        <v>1.0</v>
      </c>
    </row>
    <row r="195" ht="15.75" customHeight="1">
      <c r="A195" s="1">
        <v>193.0</v>
      </c>
      <c r="B195" s="3" t="s">
        <v>196</v>
      </c>
      <c r="C195" s="3" t="str">
        <f>IFERROR(__xludf.DUMMYFUNCTION("GOOGLETRANSLATE(B195,""id"",""en"")"),"['Sorry', 'love', 'star', 'already', 'login', 'link', 'eeee', 'open', 'link', 'expiration', 'sent', ' Please ',' Benna ',' BOSQ ']")</f>
        <v>['Sorry', 'love', 'star', 'already', 'login', 'link', 'eeee', 'open', 'link', 'expiration', 'sent', ' Please ',' Benna ',' BOSQ ']</v>
      </c>
      <c r="D195" s="3">
        <v>1.0</v>
      </c>
    </row>
    <row r="196" ht="15.75" customHeight="1">
      <c r="A196" s="1">
        <v>194.0</v>
      </c>
      <c r="B196" s="3" t="s">
        <v>197</v>
      </c>
      <c r="C196" s="3" t="str">
        <f>IFERROR(__xludf.DUMMYFUNCTION("GOOGLETRANSLATE(B196,""id"",""en"")"),"['promo', 'Sometimes', 'slow', 'the network', 'sorry', 'talking', 'uda', 'stay', 'dija', 'servicenya', 'thanks', ""]")</f>
        <v>['promo', 'Sometimes', 'slow', 'the network', 'sorry', 'talking', 'uda', 'stay', 'dija', 'servicenya', 'thanks', "]</v>
      </c>
      <c r="D196" s="3">
        <v>5.0</v>
      </c>
    </row>
    <row r="197" ht="15.75" customHeight="1">
      <c r="A197" s="1">
        <v>195.0</v>
      </c>
      <c r="B197" s="3" t="s">
        <v>198</v>
      </c>
      <c r="C197" s="3" t="str">
        <f>IFERROR(__xludf.DUMMYFUNCTION("GOOGLETRANSLATE(B197,""id"",""en"")"),"['Woyyy', 'Features',' Lock ',' Credit ',' Credit ',' Sumpot ',' then ',' quota ',' buy ',' quota ',' unlimited ',' max ',' Price ',' GRA ',' GRA ',' Sucked ',' Pulse ',' Gedeg ',' APK ',' PDHL ',' Version ',' Gini ',' Quota ',' Credit ',' Sumpot ' , 'pul"&amp;"se', 'first', 'sucked', 'crazy', 'times',' apk ',' profit ',' gini ',' APK ',' AXISNET ',' Feature ',' Lock ',' pulse ',' gini ']")</f>
        <v>['Woyyy', 'Features',' Lock ',' Credit ',' Credit ',' Sumpot ',' then ',' quota ',' buy ',' quota ',' unlimited ',' max ',' Price ',' GRA ',' GRA ',' Sucked ',' Pulse ',' Gedeg ',' APK ',' PDHL ',' Version ',' Gini ',' Quota ',' Credit ',' Sumpot ' , 'pulse', 'first', 'sucked', 'crazy', 'times',' apk ',' profit ',' gini ',' APK ',' AXISNET ',' Feature ',' Lock ',' pulse ',' gini ']</v>
      </c>
      <c r="D197" s="3">
        <v>1.0</v>
      </c>
    </row>
    <row r="198" ht="15.75" customHeight="1">
      <c r="A198" s="1">
        <v>196.0</v>
      </c>
      <c r="B198" s="3" t="s">
        <v>199</v>
      </c>
      <c r="C198" s="3" t="str">
        <f>IFERROR(__xludf.DUMMYFUNCTION("GOOGLETRANSLATE(B198,""id"",""en"")"),"['sad', 'at the moment', 'pandemic', 'lied to', 'Telkomsel', 'free', 'quota', 'chek', 'Telkomsel', 'claim', 'fill', 'reset', ' pulse ',' claim it ',' quota ',' run out ',' pulse ',' sucked ',' luded ',' hmm ',' free ',' please ',' developer ',' if ',' fre"&amp;"e ' , 'please', 'pulse', 'person', 'sucked', 'thank', 'love', ""]")</f>
        <v>['sad', 'at the moment', 'pandemic', 'lied to', 'Telkomsel', 'free', 'quota', 'chek', 'Telkomsel', 'claim', 'fill', 'reset', ' pulse ',' claim it ',' quota ',' run out ',' pulse ',' sucked ',' luded ',' hmm ',' free ',' please ',' developer ',' if ',' free ' , 'please', 'pulse', 'person', 'sucked', 'thank', 'love', "]</v>
      </c>
      <c r="D198" s="3">
        <v>1.0</v>
      </c>
    </row>
    <row r="199" ht="15.75" customHeight="1">
      <c r="A199" s="1">
        <v>197.0</v>
      </c>
      <c r="B199" s="3" t="s">
        <v>200</v>
      </c>
      <c r="C199" s="3" t="str">
        <f>IFERROR(__xludf.DUMMYFUNCTION("GOOGLETRANSLATE(B199,""id"",""en"")"),"['Login', 'complicated', 'logout', 'open', 'the application', 'write', 'reset', 'number', 'then' wait ',' sms ',' disms ',' Have ',' enter ',' Browser ',' Boroboro ',' open ',' already ',' Dibrowsing ',' Malaj ',' Muter ',' Muter ',' Mulu ',' Connection '"&amp;",' Internet ' , 'good']")</f>
        <v>['Login', 'complicated', 'logout', 'open', 'the application', 'write', 'reset', 'number', 'then' wait ',' sms ',' disms ',' Have ',' enter ',' Browser ',' Boroboro ',' open ',' already ',' Dibrowsing ',' Malaj ',' Muter ',' Muter ',' Mulu ',' Connection ',' Internet ' , 'good']</v>
      </c>
      <c r="D199" s="3">
        <v>1.0</v>
      </c>
    </row>
    <row r="200" ht="15.75" customHeight="1">
      <c r="A200" s="1">
        <v>198.0</v>
      </c>
      <c r="B200" s="3" t="s">
        <v>201</v>
      </c>
      <c r="C200" s="3" t="str">
        <f>IFERROR(__xludf.DUMMYFUNCTION("GOOGLETRANSLATE(B200,""id"",""en"")"),"['application', 'damaged', 'file', 'charging', 'package', 'response', 'anything', 'repeat', 'times',' file ',' purchase ',' package ',' Saranin ',' patient ']")</f>
        <v>['application', 'damaged', 'file', 'charging', 'package', 'response', 'anything', 'repeat', 'times',' file ',' purchase ',' package ',' Saranin ',' patient ']</v>
      </c>
      <c r="D200" s="3">
        <v>1.0</v>
      </c>
    </row>
    <row r="201" ht="15.75" customHeight="1">
      <c r="A201" s="1">
        <v>199.0</v>
      </c>
      <c r="B201" s="3" t="s">
        <v>202</v>
      </c>
      <c r="C201" s="3" t="str">
        <f>IFERROR(__xludf.DUMMYFUNCTION("GOOGLETRANSLATE(B201,""id"",""en"")"),"['Mending', 'SIH', 'signal', 'stable', 'tasty', 'trading', 'Telkomsel', 'signal', 'bad', 'cave', 'network', 'the widest', ' Indonesia ',' hahhh ',' ']")</f>
        <v>['Mending', 'SIH', 'signal', 'stable', 'tasty', 'trading', 'Telkomsel', 'signal', 'bad', 'cave', 'network', 'the widest', ' Indonesia ',' hahhh ',' ']</v>
      </c>
      <c r="D201" s="3">
        <v>1.0</v>
      </c>
    </row>
    <row r="202" ht="15.75" customHeight="1">
      <c r="A202" s="1">
        <v>200.0</v>
      </c>
      <c r="B202" s="3" t="s">
        <v>203</v>
      </c>
      <c r="C202" s="3" t="str">
        <f>IFERROR(__xludf.DUMMYFUNCTION("GOOGLETRANSLATE(B202,""id"",""en"")"),"['Star', 'Bintang', 'Bad', 'missing', 'network', 'woiiii', 'kouta', 'garbage', 'a day', 'missing', 'network', 'fix', ' Tlol ',' network ',' org ',' ppkm ',' broken ',' expensive ',' bad ',' price ',' quality ',' according to ',' price ', ""]")</f>
        <v>['Star', 'Bintang', 'Bad', 'missing', 'network', 'woiiii', 'kouta', 'garbage', 'a day', 'missing', 'network', 'fix', ' Tlol ',' network ',' org ',' ppkm ',' broken ',' expensive ',' bad ',' price ',' quality ',' according to ',' price ', "]</v>
      </c>
      <c r="D202" s="3">
        <v>1.0</v>
      </c>
    </row>
    <row r="203" ht="15.75" customHeight="1">
      <c r="A203" s="1">
        <v>201.0</v>
      </c>
      <c r="B203" s="3" t="s">
        <v>204</v>
      </c>
      <c r="C203" s="3" t="str">
        <f>IFERROR(__xludf.DUMMYFUNCTION("GOOGLETRANSLATE(B203,""id"",""en"")"),"['Login', 'Accept', 'Notification', 'SMS', 'Click', 'Failed', 'Login', 'Application', 'Web', 'Try', 'Install', 'reset', ' And ',' Clear ',' Data ',' Releasing ',' Cellphone ',' Android ',' Oreo ',' Latest ',' Wrong ', ""]")</f>
        <v>['Login', 'Accept', 'Notification', 'SMS', 'Click', 'Failed', 'Login', 'Application', 'Web', 'Try', 'Install', 'reset', ' And ',' Clear ',' Data ',' Releasing ',' Cellphone ',' Android ',' Oreo ',' Latest ',' Wrong ', "]</v>
      </c>
      <c r="D203" s="3">
        <v>3.0</v>
      </c>
    </row>
    <row r="204" ht="15.75" customHeight="1">
      <c r="A204" s="1">
        <v>202.0</v>
      </c>
      <c r="B204" s="3" t="s">
        <v>205</v>
      </c>
      <c r="C204" s="3" t="str">
        <f>IFERROR(__xludf.DUMMYFUNCTION("GOOGLETRANSLATE(B204,""id"",""en"")"),"['update', 'the latest', 'heavy', 'lagg', 'login', 'difficult', 'enter', 'display', 'loading', 'network', 'internet', 'stable', ' Suggestion ',' please ',' update ',' sesimple ']")</f>
        <v>['update', 'the latest', 'heavy', 'lagg', 'login', 'difficult', 'enter', 'display', 'loading', 'network', 'internet', 'stable', ' Suggestion ',' please ',' update ',' sesimple ']</v>
      </c>
      <c r="D204" s="3">
        <v>2.0</v>
      </c>
    </row>
    <row r="205" ht="15.75" customHeight="1">
      <c r="A205" s="1">
        <v>203.0</v>
      </c>
      <c r="B205" s="3" t="s">
        <v>206</v>
      </c>
      <c r="C205" s="3" t="str">
        <f>IFERROR(__xludf.DUMMYFUNCTION("GOOGLETRANSLATE(B205,""id"",""en"")"),"['Hello', 'Application', 'Telkomsel', 'Error', 'Uninstall', 'Download', 'Update', 'Error', 'Meloading', 'Enter', 'Account', 'Telkomsel', ' Sell ​​']")</f>
        <v>['Hello', 'Application', 'Telkomsel', 'Error', 'Uninstall', 'Download', 'Update', 'Error', 'Meloading', 'Enter', 'Account', 'Telkomsel', ' Sell ​​']</v>
      </c>
      <c r="D205" s="3">
        <v>3.0</v>
      </c>
    </row>
    <row r="206" ht="15.75" customHeight="1">
      <c r="A206" s="1">
        <v>204.0</v>
      </c>
      <c r="B206" s="3" t="s">
        <v>207</v>
      </c>
      <c r="C206" s="3" t="str">
        <f>IFERROR(__xludf.DUMMYFUNCTION("GOOGLETRANSLATE(B206,""id"",""en"")"),"['Since', 'update', 'dbuka', 'update', 'open', 'after', 'update', 'open', 'tasty', 'version', 'gpp', 'pntg', ' Easted ']")</f>
        <v>['Since', 'update', 'dbuka', 'update', 'open', 'after', 'update', 'open', 'tasty', 'version', 'gpp', 'pntg', ' Easted ']</v>
      </c>
      <c r="D206" s="3">
        <v>1.0</v>
      </c>
    </row>
    <row r="207" ht="15.75" customHeight="1">
      <c r="A207" s="1">
        <v>205.0</v>
      </c>
      <c r="B207" s="3" t="s">
        <v>208</v>
      </c>
      <c r="C207" s="3" t="str">
        <f>IFERROR(__xludf.DUMMYFUNCTION("GOOGLETRANSLATE(B207,""id"",""en"")"),"['Kimak', 'bah', 'difficult', 'times',' entered ',' failed ',' here ',' severe ',' uda ',' package ',' expensive ',' because ',' Work ',' Telkomsel ']")</f>
        <v>['Kimak', 'bah', 'difficult', 'times',' entered ',' failed ',' here ',' severe ',' uda ',' package ',' expensive ',' because ',' Work ',' Telkomsel ']</v>
      </c>
      <c r="D207" s="3">
        <v>1.0</v>
      </c>
    </row>
    <row r="208" ht="15.75" customHeight="1">
      <c r="A208" s="1">
        <v>206.0</v>
      </c>
      <c r="B208" s="3" t="s">
        <v>209</v>
      </c>
      <c r="C208" s="3" t="str">
        <f>IFERROR(__xludf.DUMMYFUNCTION("GOOGLETRANSLATE(B208,""id"",""en"")"),"['Telkomsel', 'gmanasih', 'leftover', 'pulse', 'thousand', 'abis',' just ',' many ',' times', 'yes',' quota ',' full ',' Credit ',' leftover ',' thousand ',' Abis', 'GMANA', 'Bagu', 'pulses',' that way ',' big ',' contents', 'pulse', 'kepake', 'already' ,"&amp;" 'Abis', 'first']")</f>
        <v>['Telkomsel', 'gmanasih', 'leftover', 'pulse', 'thousand', 'abis',' just ',' many ',' times', 'yes',' quota ',' full ',' Credit ',' leftover ',' thousand ',' Abis', 'GMANA', 'Bagu', 'pulses',' that way ',' big ',' contents', 'pulse', 'kepake', 'already' , 'Abis', 'first']</v>
      </c>
      <c r="D208" s="3">
        <v>1.0</v>
      </c>
    </row>
    <row r="209" ht="15.75" customHeight="1">
      <c r="A209" s="1">
        <v>207.0</v>
      </c>
      <c r="B209" s="3" t="s">
        <v>210</v>
      </c>
      <c r="C209" s="3" t="str">
        <f>IFERROR(__xludf.DUMMYFUNCTION("GOOGLETRANSLATE(B209,""id"",""en"")"),"['Please', 'The application', 'light', 'easy', 'entered', 'apps',' class', 'Telkomsel', 'convenience', 'user', 'Please', 'Developer', ' Seriously ',' service ']")</f>
        <v>['Please', 'The application', 'light', 'easy', 'entered', 'apps',' class', 'Telkomsel', 'convenience', 'user', 'Please', 'Developer', ' Seriously ',' service ']</v>
      </c>
      <c r="D209" s="3">
        <v>2.0</v>
      </c>
    </row>
    <row r="210" ht="15.75" customHeight="1">
      <c r="A210" s="1">
        <v>208.0</v>
      </c>
      <c r="B210" s="3" t="s">
        <v>211</v>
      </c>
      <c r="C210" s="3" t="str">
        <f>IFERROR(__xludf.DUMMYFUNCTION("GOOGLETRANSLATE(B210,""id"",""en"")"),"['SBLM', 'Update', 'APK', 'Top', 'Credit', 'Buy', 'Quota', 'Monthly', 'After', 'APK', 'RENTATION', 'Balance', ' Decreases', 'The crime', 'quota', 'bought', 'worth', 'forced', 'HRS', 'subscribe', 'Disney', 'What's',' that's', 'Package', 'monthly' , 'BLM', "&amp;"'run out', 'PDHL', 'Unlimited', 'Reduced', 'IN', 'SPRTI', 'blur', 'users', 'Mending', '']")</f>
        <v>['SBLM', 'Update', 'APK', 'Top', 'Credit', 'Buy', 'Quota', 'Monthly', 'After', 'APK', 'RENTATION', 'Balance', ' Decreases', 'The crime', 'quota', 'bought', 'worth', 'forced', 'HRS', 'subscribe', 'Disney', 'What's',' that's', 'Package', 'monthly' , 'BLM', 'run out', 'PDHL', 'Unlimited', 'Reduced', 'IN', 'SPRTI', 'blur', 'users', 'Mending', '']</v>
      </c>
      <c r="D210" s="3">
        <v>1.0</v>
      </c>
    </row>
    <row r="211" ht="15.75" customHeight="1">
      <c r="A211" s="1">
        <v>209.0</v>
      </c>
      <c r="B211" s="3" t="s">
        <v>212</v>
      </c>
      <c r="C211" s="3" t="str">
        <f>IFERROR(__xludf.DUMMYFUNCTION("GOOGLETRANSLATE(B211,""id"",""en"")"),"['How', 'Application', 'Telkomsel', 'Enter', 'Application', 'Difficult', 'Different', 'Application', 'IM', 'Easy', 'Enter', ' Current ',' stable ',' halah ',' talk ',' doang ',' disappointed ',' buy ',' kouta ',' combo ',' magic ',' yesterday ',' entry ',"&amp;"' application ' , 'matched', 'network', 'slow', 'enter', 'application', 'slow', 'best', 'Telkomsel', 'Telkomsel', 'user', 'emotion', ""]")</f>
        <v>['How', 'Application', 'Telkomsel', 'Enter', 'Application', 'Difficult', 'Different', 'Application', 'IM', 'Easy', 'Enter', ' Current ',' stable ',' halah ',' talk ',' doang ',' disappointed ',' buy ',' kouta ',' combo ',' magic ',' yesterday ',' entry ',' application ' , 'matched', 'network', 'slow', 'enter', 'application', 'slow', 'best', 'Telkomsel', 'Telkomsel', 'user', 'emotion', "]</v>
      </c>
      <c r="D211" s="3">
        <v>1.0</v>
      </c>
    </row>
    <row r="212" ht="15.75" customHeight="1">
      <c r="A212" s="1">
        <v>210.0</v>
      </c>
      <c r="B212" s="3" t="s">
        <v>213</v>
      </c>
      <c r="C212" s="3" t="str">
        <f>IFERROR(__xludf.DUMMYFUNCTION("GOOGLETRANSLATE(B212,""id"",""en"")"),"['pulse', 'run out', 'run out', 'ntah', 'kmna', 'contents',' pulse ',' buy ',' package ',' combo ',' magic ',' leftover ',' eehh ',' tomorrow ',' noon ',' check ',' already ',' run out ',' pulse ',' leftover ',' silver ',' run out ',' kmna ',' emang ',' T"&amp;"elkomsel ' , 'tuyul', 'yaa', 'serious', 'ask', ""]")</f>
        <v>['pulse', 'run out', 'run out', 'ntah', 'kmna', 'contents',' pulse ',' buy ',' package ',' combo ',' magic ',' leftover ',' eehh ',' tomorrow ',' noon ',' check ',' already ',' run out ',' pulse ',' leftover ',' silver ',' run out ',' kmna ',' emang ',' Telkomsel ' , 'tuyul', 'yaa', 'serious', 'ask', "]</v>
      </c>
      <c r="D212" s="3">
        <v>1.0</v>
      </c>
    </row>
    <row r="213" ht="15.75" customHeight="1">
      <c r="A213" s="1">
        <v>211.0</v>
      </c>
      <c r="B213" s="3" t="s">
        <v>214</v>
      </c>
      <c r="C213" s="3" t="str">
        <f>IFERROR(__xludf.DUMMYFUNCTION("GOOGLETRANSLATE(B213,""id"",""en"")"),"['cmn', 'mugs',' tryrnya ',' right ',' read ',' comment ',' newest ',' mmg ',' byk ',' disappointed ',' tsel ',' apply ',' a month ',' DFTR ',' date ',' date ',' cem ',' kek ',' pulse ',' tb ',' reduced ',' pdhl ',' package ',' nelpo ',' sms' , 'athetan',"&amp;" 'trdftar', 'msh', 'leftover', 'pulse', 'rb', 'knp', 'skrg', 'left', 'yaaa', 'pdhl', 'PERRH', ' Mn ',' BNR ',' Bad ',' skrg ',' tsel ',' comment ',' spicy ',' disappointed ',' ']")</f>
        <v>['cmn', 'mugs',' tryrnya ',' right ',' read ',' comment ',' newest ',' mmg ',' byk ',' disappointed ',' tsel ',' apply ',' a month ',' DFTR ',' date ',' date ',' cem ',' kek ',' pulse ',' tb ',' reduced ',' pdhl ',' package ',' nelpo ',' sms' , 'athetan', 'trdftar', 'msh', 'leftover', 'pulse', 'rb', 'knp', 'skrg', 'left', 'yaaa', 'pdhl', 'PERRH', ' Mn ',' BNR ',' Bad ',' skrg ',' tsel ',' comment ',' spicy ',' disappointed ',' ']</v>
      </c>
      <c r="D213" s="3">
        <v>1.0</v>
      </c>
    </row>
    <row r="214" ht="15.75" customHeight="1">
      <c r="A214" s="1">
        <v>212.0</v>
      </c>
      <c r="B214" s="3" t="s">
        <v>215</v>
      </c>
      <c r="C214" s="3" t="str">
        <f>IFERROR(__xludf.DUMMYFUNCTION("GOOGLETRANSLATE(B214,""id"",""en"")"),"['upadate', 'the latest', 'bad', 'difficult', 'login', 'reaource', 'take-up', 'downgrade', 'like', 'version', 'comfortable', 'update', ' bad', '']")</f>
        <v>['upadate', 'the latest', 'bad', 'difficult', 'login', 'reaource', 'take-up', 'downgrade', 'like', 'version', 'comfortable', 'update', ' bad', '']</v>
      </c>
      <c r="D214" s="3">
        <v>1.0</v>
      </c>
    </row>
    <row r="215" ht="15.75" customHeight="1">
      <c r="A215" s="1">
        <v>213.0</v>
      </c>
      <c r="B215" s="3" t="s">
        <v>216</v>
      </c>
      <c r="C215" s="3" t="str">
        <f>IFERROR(__xludf.DUMMYFUNCTION("GOOGLETRANSLATE(B215,""id"",""en"")"),"['application', 'login', 'notif', 'update', 'out', 'updated', 'uda', 'verification', 'email', 'sms',' login ',' enter ',' Account ',' Google ',' etc. ',' ttep ',' jringal ',' stable ',' ']")</f>
        <v>['application', 'login', 'notif', 'update', 'out', 'updated', 'uda', 'verification', 'email', 'sms',' login ',' enter ',' Account ',' Google ',' etc. ',' ttep ',' jringal ',' stable ',' ']</v>
      </c>
      <c r="D215" s="3">
        <v>1.0</v>
      </c>
    </row>
    <row r="216" ht="15.75" customHeight="1">
      <c r="A216" s="1">
        <v>214.0</v>
      </c>
      <c r="B216" s="3" t="s">
        <v>217</v>
      </c>
      <c r="C216" s="3" t="str">
        <f>IFERROR(__xludf.DUMMYFUNCTION("GOOGLETRANSLATE(B216,""id"",""en"")"),"['UDH', 'Disappointed', 'Ama', 'Network', 'Telkom', 'Improved', 'Bad', 'Day', 'UDH', 'Ngak', 'Merhatiin', 'Costemer', ' Please ',' Telkomsel ',' fix ',' Network ',' Telkomsel ']")</f>
        <v>['UDH', 'Disappointed', 'Ama', 'Network', 'Telkom', 'Improved', 'Bad', 'Day', 'UDH', 'Ngak', 'Merhatiin', 'Costemer', ' Please ',' Telkomsel ',' fix ',' Network ',' Telkomsel ']</v>
      </c>
      <c r="D216" s="3">
        <v>1.0</v>
      </c>
    </row>
    <row r="217" ht="15.75" customHeight="1">
      <c r="A217" s="1">
        <v>215.0</v>
      </c>
      <c r="B217" s="3" t="s">
        <v>218</v>
      </c>
      <c r="C217" s="3" t="str">
        <f>IFERROR(__xludf.DUMMYFUNCTION("GOOGLETRANSLATE(B217,""id"",""en"")"),"['Help', 'makes it easy', 'users',' check ',' activity ',' SIM ',' Card ',' pulse ',' leftover ',' quota ',' number ',' phone ',' Registered ',' Please ',' Increase ',' Function ',' System ',' Work ',' Application ',' Thank ',' Love ']")</f>
        <v>['Help', 'makes it easy', 'users',' check ',' activity ',' SIM ',' Card ',' pulse ',' leftover ',' quota ',' number ',' phone ',' Registered ',' Please ',' Increase ',' Function ',' System ',' Work ',' Application ',' Thank ',' Love ']</v>
      </c>
      <c r="D217" s="3">
        <v>4.0</v>
      </c>
    </row>
    <row r="218" ht="15.75" customHeight="1">
      <c r="A218" s="1">
        <v>216.0</v>
      </c>
      <c r="B218" s="3" t="s">
        <v>219</v>
      </c>
      <c r="C218" s="3" t="str">
        <f>IFERROR(__xludf.DUMMYFUNCTION("GOOGLETRANSLATE(B218,""id"",""en"")"),"['please', 'Telkomsel', 'overcome', 'sorry', 'disorder', 'system', 'check', 'connection', 'repeat', 'transaction', 'minute', 'what' ngatasinnya ',' buy ',' package ',' package ',' try ',' buy ',' tetep ',' appear ',' please ',' fix ',' because ',' emergen"&amp;"cy ',' emergency ' , 'online', 'online', 'school', 'package', 'run out', 'please', 'Please', 'fix', ""]")</f>
        <v>['please', 'Telkomsel', 'overcome', 'sorry', 'disorder', 'system', 'check', 'connection', 'repeat', 'transaction', 'minute', 'what' ngatasinnya ',' buy ',' package ',' package ',' try ',' buy ',' tetep ',' appear ',' please ',' fix ',' because ',' emergency ',' emergency ' , 'online', 'online', 'school', 'package', 'run out', 'please', 'Please', 'fix', "]</v>
      </c>
      <c r="D218" s="3">
        <v>1.0</v>
      </c>
    </row>
    <row r="219" ht="15.75" customHeight="1">
      <c r="A219" s="1">
        <v>217.0</v>
      </c>
      <c r="B219" s="3" t="s">
        <v>220</v>
      </c>
      <c r="C219" s="3" t="str">
        <f>IFERROR(__xludf.DUMMYFUNCTION("GOOGLETRANSLATE(B219,""id"",""en"")"),"['Out', 'update', 'enter', 'pdhl', 'already', 'customer', 'loyal', 'poor', 'already', 'emergency', 'buy', 'package', ' already ',' Diisin ',' pulse ',' resentful ',' replace ',' plate ',' yellow ',' please ',' responded ',' donk ', ""]")</f>
        <v>['Out', 'update', 'enter', 'pdhl', 'already', 'customer', 'loyal', 'poor', 'already', 'emergency', 'buy', 'package', ' already ',' Diisin ',' pulse ',' resentful ',' replace ',' plate ',' yellow ',' please ',' responded ',' donk ', "]</v>
      </c>
      <c r="D219" s="3">
        <v>1.0</v>
      </c>
    </row>
    <row r="220" ht="15.75" customHeight="1">
      <c r="A220" s="1">
        <v>218.0</v>
      </c>
      <c r="B220" s="3" t="s">
        <v>221</v>
      </c>
      <c r="C220" s="3" t="str">
        <f>IFERROR(__xludf.DUMMYFUNCTION("GOOGLETRANSLATE(B220,""id"",""en"")"),"['', 'check', 'credit', 'Telkomsel', 'pulses',' check ',' pulse ',' code ',' USSD ',' pulses', 'finished', 'pulses',' pdhl ',' use ',' run out ',' ']")</f>
        <v>['', 'check', 'credit', 'Telkomsel', 'pulses',' check ',' pulse ',' code ',' USSD ',' pulses', 'finished', 'pulses',' pdhl ',' use ',' run out ',' ']</v>
      </c>
      <c r="D220" s="3">
        <v>1.0</v>
      </c>
    </row>
    <row r="221" ht="15.75" customHeight="1">
      <c r="A221" s="1">
        <v>219.0</v>
      </c>
      <c r="B221" s="3" t="s">
        <v>222</v>
      </c>
      <c r="C221" s="3" t="str">
        <f>IFERROR(__xludf.DUMMYFUNCTION("GOOGLETRANSLATE(B221,""id"",""en"")"),"['application', 'garbage', 'updated', 'login', 'already', 'delete', 'cache', 'macem', 'ttp', 'data', 'leak', 'call', ' Quality ',' Telkomsel ',' garbage ']")</f>
        <v>['application', 'garbage', 'updated', 'login', 'already', 'delete', 'cache', 'macem', 'ttp', 'data', 'leak', 'call', ' Quality ',' Telkomsel ',' garbage ']</v>
      </c>
      <c r="D221" s="3">
        <v>1.0</v>
      </c>
    </row>
    <row r="222" ht="15.75" customHeight="1">
      <c r="A222" s="1">
        <v>220.0</v>
      </c>
      <c r="B222" s="3" t="s">
        <v>223</v>
      </c>
      <c r="C222" s="3" t="str">
        <f>IFERROR(__xludf.DUMMYFUNCTION("GOOGLETRANSLATE(B222,""id"",""en"")"),"['application', 'abal', 'signal', 'abal', 'difficult', 'login', 'difficult', 'signal', 'telephone', 'signal', 'internet', 'Come', ' Exchange ',' Provider ', ""]")</f>
        <v>['application', 'abal', 'signal', 'abal', 'difficult', 'login', 'difficult', 'signal', 'telephone', 'signal', 'internet', 'Come', ' Exchange ',' Provider ', "]</v>
      </c>
      <c r="D222" s="3">
        <v>1.0</v>
      </c>
    </row>
    <row r="223" ht="15.75" customHeight="1">
      <c r="A223" s="1">
        <v>221.0</v>
      </c>
      <c r="B223" s="3" t="s">
        <v>224</v>
      </c>
      <c r="C223" s="3" t="str">
        <f>IFERROR(__xludf.DUMMYFUNCTION("GOOGLETRANSLATE(B223,""id"",""en"")"),"['Login', 'ajah', 'difficult', 'number', 'already', 'Bener', 'Link', 'click', 'internet', 'already', 'wifi', 'method', ' already ',' try ',' ajah ',' error ',' wrong ',' boss', ""]")</f>
        <v>['Login', 'ajah', 'difficult', 'number', 'already', 'Bener', 'Link', 'click', 'internet', 'already', 'wifi', 'method', ' already ',' try ',' ajah ',' error ',' wrong ',' boss', "]</v>
      </c>
      <c r="D223" s="3">
        <v>1.0</v>
      </c>
    </row>
    <row r="224" ht="15.75" customHeight="1">
      <c r="A224" s="1">
        <v>222.0</v>
      </c>
      <c r="B224" s="3" t="s">
        <v>225</v>
      </c>
      <c r="C224" s="3" t="str">
        <f>IFERROR(__xludf.DUMMYFUNCTION("GOOGLETRANSLATE(B224,""id"",""en"")"),"['network', 'Telkomsel', 'slow', 'times',' dead ',' lights', 'network', 'slow', 'really', 'please', 'fix', 'network', ' just ',' price ',' expensive ',' quality ',' no ',' slow ',' thank ',' love ']")</f>
        <v>['network', 'Telkomsel', 'slow', 'times',' dead ',' lights', 'network', 'slow', 'really', 'please', 'fix', 'network', ' just ',' price ',' expensive ',' quality ',' no ',' slow ',' thank ',' love ']</v>
      </c>
      <c r="D224" s="3">
        <v>1.0</v>
      </c>
    </row>
    <row r="225" ht="15.75" customHeight="1">
      <c r="A225" s="1">
        <v>223.0</v>
      </c>
      <c r="B225" s="3" t="s">
        <v>226</v>
      </c>
      <c r="C225" s="3" t="str">
        <f>IFERROR(__xludf.DUMMYFUNCTION("GOOGLETRANSLATE(B225,""id"",""en"")"),"['Hallo', 'Telkomsel', 'subscription', 'with you', 'service', 'Samakin', 'disappointing', 'Yesterday', 'yesterday', 'price', 'contents',' package ',' Application ',' Telkomsel ',' Bener ',' Bener ',' Open ']")</f>
        <v>['Hallo', 'Telkomsel', 'subscription', 'with you', 'service', 'Samakin', 'disappointing', 'Yesterday', 'yesterday', 'price', 'contents',' package ',' Application ',' Telkomsel ',' Bener ',' Bener ',' Open ']</v>
      </c>
      <c r="D225" s="3">
        <v>1.0</v>
      </c>
    </row>
    <row r="226" ht="15.75" customHeight="1">
      <c r="A226" s="1">
        <v>224.0</v>
      </c>
      <c r="B226" s="3" t="s">
        <v>227</v>
      </c>
      <c r="C226" s="3" t="str">
        <f>IFERROR(__xludf.DUMMYFUNCTION("GOOGLETRANSLATE(B226,""id"",""en"")"),"['Telkomsel', 'region', 'balikpapan', 'error', 'with you', 'Please', 'repaired', 'the application', 'already', 'open', 'Try', 'delete', ' then ',' Install ',' reset ',' tetep ',' error ',' how ',' Telkomsel ',' solution ',' bete ']")</f>
        <v>['Telkomsel', 'region', 'balikpapan', 'error', 'with you', 'Please', 'repaired', 'the application', 'already', 'open', 'Try', 'delete', ' then ',' Install ',' reset ',' tetep ',' error ',' how ',' Telkomsel ',' solution ',' bete ']</v>
      </c>
      <c r="D226" s="3">
        <v>5.0</v>
      </c>
    </row>
    <row r="227" ht="15.75" customHeight="1">
      <c r="A227" s="1">
        <v>225.0</v>
      </c>
      <c r="B227" s="3" t="s">
        <v>228</v>
      </c>
      <c r="C227" s="3" t="str">
        <f>IFERROR(__xludf.DUMMYFUNCTION("GOOGLETRANSLATE(B227,""id"",""en"")"),"['mantaaaaap', 'product', 'competitive', 'provider', 'Cancel', 'Matiin', 'card', 'product', 'adjust', 'need', 'price', 'compete', ' Thanks', 'love', 'repair']")</f>
        <v>['mantaaaaap', 'product', 'competitive', 'provider', 'Cancel', 'Matiin', 'card', 'product', 'adjust', 'need', 'price', 'compete', ' Thanks', 'love', 'repair']</v>
      </c>
      <c r="D227" s="3">
        <v>5.0</v>
      </c>
    </row>
    <row r="228" ht="15.75" customHeight="1">
      <c r="A228" s="1">
        <v>226.0</v>
      </c>
      <c r="B228" s="3" t="s">
        <v>229</v>
      </c>
      <c r="C228" s="3" t="str">
        <f>IFERROR(__xludf.DUMMYFUNCTION("GOOGLETRANSLATE(B228,""id"",""en"")"),"['buy', 'package', 'monthly', 'Nggk', 'Nyampe', 'a month', 'list', 'date', 'date', 'date', 'udh', 'nggk', ' Paraahh ',' Please ',' Fair ',' Fair ',' Consumer ',' Mentang ',' Mentang ',' Kenceng ',' Network ',' Stable ',' Trust ',' Consumers', 'Hianati' , "&amp;"'yaa', ""]")</f>
        <v>['buy', 'package', 'monthly', 'Nggk', 'Nyampe', 'a month', 'list', 'date', 'date', 'date', 'udh', 'nggk', ' Paraahh ',' Please ',' Fair ',' Fair ',' Consumer ',' Mentang ',' Mentang ',' Kenceng ',' Network ',' Stable ',' Trust ',' Consumers', 'Hianati' , 'yaa', "]</v>
      </c>
      <c r="D228" s="3">
        <v>1.0</v>
      </c>
    </row>
    <row r="229" ht="15.75" customHeight="1">
      <c r="A229" s="1">
        <v>227.0</v>
      </c>
      <c r="B229" s="3" t="s">
        <v>230</v>
      </c>
      <c r="C229" s="3" t="str">
        <f>IFERROR(__xludf.DUMMYFUNCTION("GOOGLETRANSLATE(B229,""id"",""en"")"),"['Package', 'Telkomsel', 'wasteful', 'use', 'buy', 'time', 'just', 'email', 'youtube']")</f>
        <v>['Package', 'Telkomsel', 'wasteful', 'use', 'buy', 'time', 'just', 'email', 'youtube']</v>
      </c>
      <c r="D229" s="3">
        <v>2.0</v>
      </c>
    </row>
    <row r="230" ht="15.75" customHeight="1">
      <c r="A230" s="1">
        <v>228.0</v>
      </c>
      <c r="B230" s="3" t="s">
        <v>231</v>
      </c>
      <c r="C230" s="3" t="str">
        <f>IFERROR(__xludf.DUMMYFUNCTION("GOOGLETRANSLATE(B230,""id"",""en"")"),"['Application', 'Bad', 'Download', 'Open', 'Susa', 'Loading', 'Spinting', 'Results',' Enter ',' Package ',' Please ',' Fix ',' The service is', '']")</f>
        <v>['Application', 'Bad', 'Download', 'Open', 'Susa', 'Loading', 'Spinting', 'Results',' Enter ',' Package ',' Please ',' Fix ',' The service is', '']</v>
      </c>
      <c r="D230" s="3">
        <v>1.0</v>
      </c>
    </row>
    <row r="231" ht="15.75" customHeight="1">
      <c r="A231" s="1">
        <v>229.0</v>
      </c>
      <c r="B231" s="3" t="s">
        <v>232</v>
      </c>
      <c r="C231" s="3" t="str">
        <f>IFERROR(__xludf.DUMMYFUNCTION("GOOGLETRANSLATE(B231,""id"",""en"")"),"['pulse', 'sucked', 'automatic', 'package', 'quota', 'run out', 'detrimental', 'consumer', 'try', 'Timd', 'provider', 'work', ' The system is', 'Save', 'Credit', 'Consumer', '']")</f>
        <v>['pulse', 'sucked', 'automatic', 'package', 'quota', 'run out', 'detrimental', 'consumer', 'try', 'Timd', 'provider', 'work', ' The system is', 'Save', 'Credit', 'Consumer', '']</v>
      </c>
      <c r="D231" s="3">
        <v>2.0</v>
      </c>
    </row>
    <row r="232" ht="15.75" customHeight="1">
      <c r="A232" s="1">
        <v>230.0</v>
      </c>
      <c r="B232" s="3" t="s">
        <v>233</v>
      </c>
      <c r="C232" s="3" t="str">
        <f>IFERROR(__xludf.DUMMYFUNCTION("GOOGLETRANSLATE(B232,""id"",""en"")"),"['SGT', 'Customer', 'Telkomsel', 'cheated', 'promo', 'promised', 'Telkomsel', 'byk', 'sin', 'blessing', 'mending', 'closed', ' ']")</f>
        <v>['SGT', 'Customer', 'Telkomsel', 'cheated', 'promo', 'promised', 'Telkomsel', 'byk', 'sin', 'blessing', 'mending', 'closed', ' ']</v>
      </c>
      <c r="D232" s="3">
        <v>1.0</v>
      </c>
    </row>
    <row r="233" ht="15.75" customHeight="1">
      <c r="A233" s="1">
        <v>231.0</v>
      </c>
      <c r="B233" s="3" t="s">
        <v>234</v>
      </c>
      <c r="C233" s="3" t="str">
        <f>IFERROR(__xludf.DUMMYFUNCTION("GOOGLETRANSLATE(B233,""id"",""en"")"),"['Wear', 'MyTelkomsel', 'have', 'Points',' Tangarin ',' point ',' balance ',' Linkaja ',' boss', 'Tangarin', 'exchange', 'Points',' Linkaja ',' notification ',' boundary ',' exchanging ',' run out ',' think ',' positive ',' tomorrow ',' Please ',' cook ',"&amp;"' times', 'Points',' Useful ' , 'tired', 'tired', 'gatherin', 'pliss', 'hope', 'update', '']")</f>
        <v>['Wear', 'MyTelkomsel', 'have', 'Points',' Tangarin ',' point ',' balance ',' Linkaja ',' boss', 'Tangarin', 'exchange', 'Points',' Linkaja ',' notification ',' boundary ',' exchanging ',' run out ',' think ',' positive ',' tomorrow ',' Please ',' cook ',' times', 'Points',' Useful ' , 'tired', 'tired', 'gatherin', 'pliss', 'hope', 'update', '']</v>
      </c>
      <c r="D233" s="3">
        <v>4.0</v>
      </c>
    </row>
    <row r="234" ht="15.75" customHeight="1">
      <c r="A234" s="1">
        <v>232.0</v>
      </c>
      <c r="B234" s="3" t="s">
        <v>235</v>
      </c>
      <c r="C234" s="3" t="str">
        <f>IFERROR(__xludf.DUMMYFUNCTION("GOOGLETRANSLATE(B234,""id"",""en"")"),"['Cord', 'Log', 'Failed', 'Mulu', 'Network', 'Kenceng', 'Log', 'APK', 'FAILURE', 'Mulu', 'CCD', 'Signal', ' Telkomsel ',' Atuh ',' how ',' buy ',' package ',' ']")</f>
        <v>['Cord', 'Log', 'Failed', 'Mulu', 'Network', 'Kenceng', 'Log', 'APK', 'FAILURE', 'Mulu', 'CCD', 'Signal', ' Telkomsel ',' Atuh ',' how ',' buy ',' package ',' ']</v>
      </c>
      <c r="D234" s="3">
        <v>1.0</v>
      </c>
    </row>
    <row r="235" ht="15.75" customHeight="1">
      <c r="A235" s="1">
        <v>233.0</v>
      </c>
      <c r="B235" s="3" t="s">
        <v>236</v>
      </c>
      <c r="C235" s="3" t="str">
        <f>IFERROR(__xludf.DUMMYFUNCTION("GOOGLETRANSLATE(B235,""id"",""en"")"),"['system', 'pulse', 'no', 'pulses',' package ',' pulse ',' run out ',' no ',' remain ',' package ',' replace ',' price ',' Subscriptions', 'rich', 'card', 'no']")</f>
        <v>['system', 'pulse', 'no', 'pulses',' package ',' pulse ',' run out ',' no ',' remain ',' package ',' replace ',' price ',' Subscriptions', 'rich', 'card', 'no']</v>
      </c>
      <c r="D235" s="3">
        <v>1.0</v>
      </c>
    </row>
    <row r="236" ht="15.75" customHeight="1">
      <c r="A236" s="1">
        <v>234.0</v>
      </c>
      <c r="B236" s="3" t="s">
        <v>237</v>
      </c>
      <c r="C236" s="3" t="str">
        <f>IFERROR(__xludf.DUMMYFUNCTION("GOOGLETRANSLATE(B236,""id"",""en"")"),"['Disappointed', 'Telkomsel', 'Register', 'Package', 'Thinking', 'YouTube', 'Unlimeted', 'Price', 'Drain', 'Credit', 'Live', 'Please', ' Return ',' pulse ',' ']")</f>
        <v>['Disappointed', 'Telkomsel', 'Register', 'Package', 'Thinking', 'YouTube', 'Unlimeted', 'Price', 'Drain', 'Credit', 'Live', 'Please', ' Return ',' pulse ',' ']</v>
      </c>
      <c r="D236" s="3">
        <v>1.0</v>
      </c>
    </row>
    <row r="237" ht="15.75" customHeight="1">
      <c r="A237" s="1">
        <v>235.0</v>
      </c>
      <c r="B237" s="3" t="s">
        <v>238</v>
      </c>
      <c r="C237" s="3" t="str">
        <f>IFERROR(__xludf.DUMMYFUNCTION("GOOGLETRANSLATE(B237,""id"",""en"")"),"['updated', 'difficult', 'open', 'the application', 'oldaaaaaaaaaaaaaaaaaa', 'really', 'good', 'updated', 'good', 'fast', 'loading']")</f>
        <v>['updated', 'difficult', 'open', 'the application', 'oldaaaaaaaaaaaaaaaaaa', 'really', 'good', 'updated', 'good', 'fast', 'loading']</v>
      </c>
      <c r="D237" s="3">
        <v>3.0</v>
      </c>
    </row>
    <row r="238" ht="15.75" customHeight="1">
      <c r="A238" s="1">
        <v>236.0</v>
      </c>
      <c r="B238" s="3" t="s">
        <v>239</v>
      </c>
      <c r="C238" s="3" t="str">
        <f>IFERROR(__xludf.DUMMYFUNCTION("GOOGLETRANSLATE(B238,""id"",""en"")"),"['Redeem', 'Points', 'Description', 'Failed', 'Times', 'Redeem', 'then', 'JDI', 'Claims', 'Gift', ""]")</f>
        <v>['Redeem', 'Points', 'Description', 'Failed', 'Times', 'Redeem', 'then', 'JDI', 'Claims', 'Gift', "]</v>
      </c>
      <c r="D238" s="3">
        <v>3.0</v>
      </c>
    </row>
    <row r="239" ht="15.75" customHeight="1">
      <c r="A239" s="1">
        <v>237.0</v>
      </c>
      <c r="B239" s="3" t="s">
        <v>240</v>
      </c>
      <c r="C239" s="3" t="str">
        <f>IFERROR(__xludf.DUMMYFUNCTION("GOOGLETRANSLATE(B239,""id"",""en"")"),"['Signsl', 'Not bad', 'Region', 'Domicile', 'Next to', 'West', 'Radius', 'Range', 'Signal', 'Full', 'Lost', ""]")</f>
        <v>['Signsl', 'Not bad', 'Region', 'Domicile', 'Next to', 'West', 'Radius', 'Range', 'Signal', 'Full', 'Lost', "]</v>
      </c>
      <c r="D239" s="3">
        <v>5.0</v>
      </c>
    </row>
    <row r="240" ht="15.75" customHeight="1">
      <c r="A240" s="1">
        <v>238.0</v>
      </c>
      <c r="B240" s="3" t="s">
        <v>241</v>
      </c>
      <c r="C240" s="3" t="str">
        <f>IFERROR(__xludf.DUMMYFUNCTION("GOOGLETRANSLATE(B240,""id"",""en"")"),"['Please', 'KNPA', 'Pairs', 'Package', 'responded', 'already', 'Try', 'Buy', 'Package', 'Telkomsel', 'Notification', ""]")</f>
        <v>['Please', 'KNPA', 'Pairs', 'Package', 'responded', 'already', 'Try', 'Buy', 'Package', 'Telkomsel', 'Notification', "]</v>
      </c>
      <c r="D240" s="3">
        <v>1.0</v>
      </c>
    </row>
    <row r="241" ht="15.75" customHeight="1">
      <c r="A241" s="1">
        <v>239.0</v>
      </c>
      <c r="B241" s="3" t="s">
        <v>242</v>
      </c>
      <c r="C241" s="3" t="str">
        <f>IFERROR(__xludf.DUMMYFUNCTION("GOOGLETRANSLATE(B241,""id"",""en"")"),"['error', 'gajelas',' Different ',' price ',' other ',' pat ',' hand ',' card ',' sultan ',' pulse ',' msh ',' buy ',' Quota ',' Writing ',' Success', 'Wait', 'Notip', 'Gada', 'Notip', 'Successful', 'Reduced', 'Pulses',' Telkomsel ',' Gabisa ',' Used ' , "&amp;"'buy', 'quota', 'busy', 'service', 'customer', 'try', 'agan', 'telkomsel', 'fix', 'cheat', 'service', 'indosat', ' Ooredoo ',' Honest ',' Bad ',' The Application ']")</f>
        <v>['error', 'gajelas',' Different ',' price ',' other ',' pat ',' hand ',' card ',' sultan ',' pulse ',' msh ',' buy ',' Quota ',' Writing ',' Success', 'Wait', 'Notip', 'Gada', 'Notip', 'Successful', 'Reduced', 'Pulses',' Telkomsel ',' Gabisa ',' Used ' , 'buy', 'quota', 'busy', 'service', 'customer', 'try', 'agan', 'telkomsel', 'fix', 'cheat', 'service', 'indosat', ' Ooredoo ',' Honest ',' Bad ',' The Application ']</v>
      </c>
      <c r="D241" s="3">
        <v>1.0</v>
      </c>
    </row>
    <row r="242" ht="15.75" customHeight="1">
      <c r="A242" s="1">
        <v>240.0</v>
      </c>
      <c r="B242" s="3" t="s">
        <v>243</v>
      </c>
      <c r="C242" s="3" t="str">
        <f>IFERROR(__xludf.DUMMYFUNCTION("GOOGLETRANSLATE(B242,""id"",""en"")"),"['Update', 'Error', 'Application', 'Application', 'Colse', 'Open', 'Application', 'Package', 'Promo', 'Buy', 'Error', 'Failed', ' right ',' check ',' promo ',' missing ',' hadeh ',' please ',' well ',' doooonk ']")</f>
        <v>['Update', 'Error', 'Application', 'Application', 'Colse', 'Open', 'Application', 'Package', 'Promo', 'Buy', 'Error', 'Failed', ' right ',' check ',' promo ',' missing ',' hadeh ',' please ',' well ',' doooonk ']</v>
      </c>
      <c r="D242" s="3">
        <v>2.0</v>
      </c>
    </row>
    <row r="243" ht="15.75" customHeight="1">
      <c r="A243" s="1">
        <v>241.0</v>
      </c>
      <c r="B243" s="3" t="s">
        <v>244</v>
      </c>
      <c r="C243" s="3" t="str">
        <f>IFERROR(__xludf.DUMMYFUNCTION("GOOGLETRANSLATE(B243,""id"",""en"")"),"['Appellation', 'Login', 'Difficult', 'Peripitation', 'SMS', 'FAILURE', 'RIBET', 'Mending', 'UDH', 'Simple', 'Please', 'Dinoerbari', ' Sya ',' user ',' telkosel ',' UDH ',' ']")</f>
        <v>['Appellation', 'Login', 'Difficult', 'Peripitation', 'SMS', 'FAILURE', 'RIBET', 'Mending', 'UDH', 'Simple', 'Please', 'Dinoerbari', ' Sya ',' user ',' telkosel ',' UDH ',' ']</v>
      </c>
      <c r="D243" s="3">
        <v>1.0</v>
      </c>
    </row>
    <row r="244" ht="15.75" customHeight="1">
      <c r="A244" s="1">
        <v>242.0</v>
      </c>
      <c r="B244" s="3" t="s">
        <v>245</v>
      </c>
      <c r="C244" s="3" t="str">
        <f>IFERROR(__xludf.DUMMYFUNCTION("GOOGLETRANSLATE(B244,""id"",""en"")"),"['Min', 'Please', 'The network', 'down', 'Gini', 'Change', 'Chip', 'Change', 'Down', 'The network', 'already', 'Paketan', ' expensive ',' competitors', 'cook', 'network', 'down', 'min', 'thank', 'love', 'sorry', 'customer', 'shaked', 'min', 'sorry' , 'Min"&amp;"', '']")</f>
        <v>['Min', 'Please', 'The network', 'down', 'Gini', 'Change', 'Chip', 'Change', 'Down', 'The network', 'already', 'Paketan', ' expensive ',' competitors', 'cook', 'network', 'down', 'min', 'thank', 'love', 'sorry', 'customer', 'shaked', 'min', 'sorry' , 'Min', '']</v>
      </c>
      <c r="D244" s="3">
        <v>5.0</v>
      </c>
    </row>
    <row r="245" ht="15.75" customHeight="1">
      <c r="A245" s="1">
        <v>243.0</v>
      </c>
      <c r="B245" s="3" t="s">
        <v>246</v>
      </c>
      <c r="C245" s="3" t="str">
        <f>IFERROR(__xludf.DUMMYFUNCTION("GOOGLETRANSLATE(B245,""id"",""en"")"),"['Login', 'Telkomsel', 'already', 'follow', 'step', 'verif', 'gabisa', 'login', 'since' Since ',' update ',' entry ',' Telkomsel ']")</f>
        <v>['Login', 'Telkomsel', 'already', 'follow', 'step', 'verif', 'gabisa', 'login', 'since' Since ',' update ',' entry ',' Telkomsel ']</v>
      </c>
      <c r="D245" s="3">
        <v>1.0</v>
      </c>
    </row>
    <row r="246" ht="15.75" customHeight="1">
      <c r="A246" s="1">
        <v>244.0</v>
      </c>
      <c r="B246" s="3" t="s">
        <v>247</v>
      </c>
      <c r="C246" s="3" t="str">
        <f>IFERROR(__xludf.DUMMYFUNCTION("GOOGLETRANSLATE(B246,""id"",""en"")"),"['', 'yes',' already ',' contents', 'package', 'Wait', 'clock', 'user', 'compendible', 'fast', 'already', 'suggestion', 'thank you ',' Results', 'comment', 'Mimin', 'Telkomsel', 'Fix', 'Mao', 'contents',' package ',' detached ',' package ',' promo ',' com"&amp;"posity ', 'Fast', 'activation', 'buy', '']")</f>
        <v>['', 'yes',' already ',' contents', 'package', 'Wait', 'clock', 'user', 'compendible', 'fast', 'already', 'suggestion', 'thank you ',' Results', 'comment', 'Mimin', 'Telkomsel', 'Fix', 'Mao', 'contents',' package ',' detached ',' package ',' promo ',' composity ', 'Fast', 'activation', 'buy', '']</v>
      </c>
      <c r="D246" s="3">
        <v>1.0</v>
      </c>
    </row>
    <row r="247" ht="15.75" customHeight="1">
      <c r="A247" s="1">
        <v>245.0</v>
      </c>
      <c r="B247" s="3" t="s">
        <v>248</v>
      </c>
      <c r="C247" s="3" t="str">
        <f>IFERROR(__xludf.DUMMYFUNCTION("GOOGLETRANSLATE(B247,""id"",""en"")"),"['Telkomsel', 'SLLU', 'problematic', 'package', 'filled', 'left', 'pulse', 'knpa', 'pulse', 'package', 'loss',' spend ',' Credit ',' Sia ',' ']")</f>
        <v>['Telkomsel', 'SLLU', 'problematic', 'package', 'filled', 'left', 'pulse', 'knpa', 'pulse', 'package', 'loss',' spend ',' Credit ',' Sia ',' ']</v>
      </c>
      <c r="D247" s="3">
        <v>2.0</v>
      </c>
    </row>
    <row r="248" ht="15.75" customHeight="1">
      <c r="A248" s="1">
        <v>246.0</v>
      </c>
      <c r="B248" s="3" t="s">
        <v>249</v>
      </c>
      <c r="C248" s="3" t="str">
        <f>IFERROR(__xludf.DUMMYFUNCTION("GOOGLETRANSLATE(B248,""id"",""en"")"),"['The application', 'Lemoooottt', 'Open', 'Muter', 'Muter', 'Doang', 'Kagak', 'Opened', 'Application', 'Lost', 'Application', 'Indosat', ' Cepet ',' NOT ',' ']")</f>
        <v>['The application', 'Lemoooottt', 'Open', 'Muter', 'Muter', 'Doang', 'Kagak', 'Opened', 'Application', 'Lost', 'Application', 'Indosat', ' Cepet ',' NOT ',' ']</v>
      </c>
      <c r="D248" s="3">
        <v>1.0</v>
      </c>
    </row>
    <row r="249" ht="15.75" customHeight="1">
      <c r="A249" s="1">
        <v>247.0</v>
      </c>
      <c r="B249" s="3" t="s">
        <v>250</v>
      </c>
      <c r="C249" s="3" t="str">
        <f>IFERROR(__xludf.DUMMYFUNCTION("GOOGLETRANSLATE(B249,""id"",""en"")"),"['application', 'buy', 'package', 'taik', 'package', 'put', 'situ', 'mean', 'already', 'network', 'slow', 'againhhhhhhhhhhhhhhhhhhhhhhhhhhh'")</f>
        <v>['application', 'buy', 'package', 'taik', 'package', 'put', 'situ', 'mean', 'already', 'network', 'slow', 'againhhhhhhhhhhhhhhhhhhhhhhhhhhh'</v>
      </c>
      <c r="D249" s="3">
        <v>1.0</v>
      </c>
    </row>
    <row r="250" ht="15.75" customHeight="1">
      <c r="A250" s="1">
        <v>248.0</v>
      </c>
      <c r="B250" s="3" t="s">
        <v>251</v>
      </c>
      <c r="C250" s="3" t="str">
        <f>IFERROR(__xludf.DUMMYFUNCTION("GOOGLETRANSLATE(B250,""id"",""en"")"),"['application', 'kayak', 'yellow', 'landslide', 'difference', 'open', 'application', 'there', 'choose', 'use', 'provider', 'yellow', ' Telkomsel ',' Red ',' Network ',' Yellow ',' Good ',' Nge ',' Game ',' Beeeh ',' Stable ',' Kayak ',' Telkomsel ',' Open"&amp;" ',' APK ' , 'LEG', 'LEG', 'Error', 'Open', 'APK', 'above', 'GB', 'smooth', 'ngeleg', 'yellow', 'yaah', 'yes' yaa ',' ratting ',' check ',' column ',' comment ',' really ',' star ',' ']")</f>
        <v>['application', 'kayak', 'yellow', 'landslide', 'difference', 'open', 'application', 'there', 'choose', 'use', 'provider', 'yellow', ' Telkomsel ',' Red ',' Network ',' Yellow ',' Good ',' Nge ',' Game ',' Beeeh ',' Stable ',' Kayak ',' Telkomsel ',' Open ',' APK ' , 'LEG', 'LEG', 'Error', 'Open', 'APK', 'above', 'GB', 'smooth', 'ngeleg', 'yellow', 'yaah', 'yes' yaa ',' ratting ',' check ',' column ',' comment ',' really ',' star ',' ']</v>
      </c>
      <c r="D250" s="3">
        <v>1.0</v>
      </c>
    </row>
    <row r="251" ht="15.75" customHeight="1">
      <c r="A251" s="1">
        <v>249.0</v>
      </c>
      <c r="B251" s="3" t="s">
        <v>252</v>
      </c>
      <c r="C251" s="3" t="str">
        <f>IFERROR(__xludf.DUMMYFUNCTION("GOOGLETRANSLATE(B251,""id"",""en"")"),"['combo', 'sick', 'active', 'unlimited', 'knp', 'user', 'telkomsel', 'different', 'mahalin', 'buy', 'package', 'internet', ' Please ',' JLSkan ']")</f>
        <v>['combo', 'sick', 'active', 'unlimited', 'knp', 'user', 'telkomsel', 'different', 'mahalin', 'buy', 'package', 'internet', ' Please ',' JLSkan ']</v>
      </c>
      <c r="D251" s="3">
        <v>1.0</v>
      </c>
    </row>
    <row r="252" ht="15.75" customHeight="1">
      <c r="A252" s="1">
        <v>250.0</v>
      </c>
      <c r="B252" s="3" t="s">
        <v>253</v>
      </c>
      <c r="C252" s="3" t="str">
        <f>IFERROR(__xludf.DUMMYFUNCTION("GOOGLETRANSLATE(B252,""id"",""en"")"),"['company', 'Telkomsel', 'Cook', 'Pay', 'Application', 'Lemot', 'Difficult', 'Accessible', 'Filled', 'Creative', 'Lemot']")</f>
        <v>['company', 'Telkomsel', 'Cook', 'Pay', 'Application', 'Lemot', 'Difficult', 'Accessible', 'Filled', 'Creative', 'Lemot']</v>
      </c>
      <c r="D252" s="3">
        <v>1.0</v>
      </c>
    </row>
    <row r="253" ht="15.75" customHeight="1">
      <c r="A253" s="1">
        <v>251.0</v>
      </c>
      <c r="B253" s="3" t="s">
        <v>254</v>
      </c>
      <c r="C253" s="3" t="str">
        <f>IFERROR(__xludf.DUMMYFUNCTION("GOOGLETRANSLATE(B253,""id"",""en"")"),"['chat', 'Operator', 'Help', 'Disable', 'Package', 'Internet', 'Connect', 'Reply', 'Chat', 'Chat', 'reset', 'Live', ' Disable ',' package ',' difficult ',' please ',' in the future ',' fox ',' Thanks']")</f>
        <v>['chat', 'Operator', 'Help', 'Disable', 'Package', 'Internet', 'Connect', 'Reply', 'Chat', 'Chat', 'reset', 'Live', ' Disable ',' package ',' difficult ',' please ',' in the future ',' fox ',' Thanks']</v>
      </c>
      <c r="D253" s="3">
        <v>1.0</v>
      </c>
    </row>
    <row r="254" ht="15.75" customHeight="1">
      <c r="A254" s="1">
        <v>252.0</v>
      </c>
      <c r="B254" s="3" t="s">
        <v>255</v>
      </c>
      <c r="C254" s="3" t="str">
        <f>IFERROR(__xludf.DUMMYFUNCTION("GOOGLETRANSLATE(B254,""id"",""en"")"),"['Telkomsel', 'Dear', 'Please', 'Note', 'Network', 'Pekanbaru', 'Comfortable', 'Play', 'Game', 'Please', 'cooperation', 'trivial', ' Consumers', 'have', 'intention', 'network', 'cellular', ""]")</f>
        <v>['Telkomsel', 'Dear', 'Please', 'Note', 'Network', 'Pekanbaru', 'Comfortable', 'Play', 'Game', 'Please', 'cooperation', 'trivial', ' Consumers', 'have', 'intention', 'network', 'cellular', "]</v>
      </c>
      <c r="D254" s="3">
        <v>1.0</v>
      </c>
    </row>
    <row r="255" ht="15.75" customHeight="1">
      <c r="A255" s="1">
        <v>253.0</v>
      </c>
      <c r="B255" s="3" t="s">
        <v>256</v>
      </c>
      <c r="C255" s="3" t="str">
        <f>IFERROR(__xludf.DUMMYFUNCTION("GOOGLETRANSLATE(B255,""id"",""en"")"),"['tariff', 'package', 'internet', 'expensive', 'network', 'Telkomsel', 'bad', 'user', 'loyal', 'Telkomsel', 'core', 'regretting', ' work ',' Telkomsel ',' bad ',' missing ',' lost ',' signal ',' stable ',' price ',' package ',' detrimental ',' user ',' lo"&amp;"yal ',' Telkomsel ' , 'Hopefully', 'Telkomsel', 'improved', 'user', 'exchanging', 'Provider', 'Restore', 'Signal', 'Slalu', 'Full', ""]")</f>
        <v>['tariff', 'package', 'internet', 'expensive', 'network', 'Telkomsel', 'bad', 'user', 'loyal', 'Telkomsel', 'core', 'regretting', ' work ',' Telkomsel ',' bad ',' missing ',' lost ',' signal ',' stable ',' price ',' package ',' detrimental ',' user ',' loyal ',' Telkomsel ' , 'Hopefully', 'Telkomsel', 'improved', 'user', 'exchanging', 'Provider', 'Restore', 'Signal', 'Slalu', 'Full', "]</v>
      </c>
      <c r="D255" s="3">
        <v>1.0</v>
      </c>
    </row>
    <row r="256" ht="15.75" customHeight="1">
      <c r="A256" s="1">
        <v>254.0</v>
      </c>
      <c r="B256" s="3" t="s">
        <v>257</v>
      </c>
      <c r="C256" s="3" t="str">
        <f>IFERROR(__xludf.DUMMYFUNCTION("GOOGLETRANSLATE(B256,""id"",""en"")"),"['Love', 'star', 'laah', 'package', 'internet', 'contents',' all ',' divided ',' divided ',' already ',' internet ',' main ',' Watch ',' Bangsaaaatttt ',' ']")</f>
        <v>['Love', 'star', 'laah', 'package', 'internet', 'contents',' all ',' divided ',' divided ',' already ',' internet ',' main ',' Watch ',' Bangsaaaatttt ',' ']</v>
      </c>
      <c r="D256" s="3">
        <v>1.0</v>
      </c>
    </row>
    <row r="257" ht="15.75" customHeight="1">
      <c r="A257" s="1">
        <v>255.0</v>
      </c>
      <c r="B257" s="3" t="s">
        <v>258</v>
      </c>
      <c r="C257" s="3" t="str">
        <f>IFERROR(__xludf.DUMMYFUNCTION("GOOGLETRANSLATE(B257,""id"",""en"")"),"['Bener', 'service', 'buy', 'package', 'MyTelkomsel', 'compared', 'application', 'bey', 'slow', 'really', 'buy', 'expensive', ' expensive ',' service ',' slow ']")</f>
        <v>['Bener', 'service', 'buy', 'package', 'MyTelkomsel', 'compared', 'application', 'bey', 'slow', 'really', 'buy', 'expensive', ' expensive ',' service ',' slow ']</v>
      </c>
      <c r="D257" s="3">
        <v>1.0</v>
      </c>
    </row>
    <row r="258" ht="15.75" customHeight="1">
      <c r="A258" s="1">
        <v>256.0</v>
      </c>
      <c r="B258" s="3" t="s">
        <v>259</v>
      </c>
      <c r="C258" s="3" t="str">
        <f>IFERROR(__xludf.DUMMYFUNCTION("GOOGLETRANSLATE(B258,""id"",""en"")"),"['questioning', 'signal', 'like', 'mind', 'apk', 'update', 'update', 'sometimes', 'times', 'rare']")</f>
        <v>['questioning', 'signal', 'like', 'mind', 'apk', 'update', 'update', 'sometimes', 'times', 'rare']</v>
      </c>
      <c r="D258" s="3">
        <v>4.0</v>
      </c>
    </row>
    <row r="259" ht="15.75" customHeight="1">
      <c r="A259" s="1">
        <v>257.0</v>
      </c>
      <c r="B259" s="3" t="s">
        <v>260</v>
      </c>
      <c r="C259" s="3" t="str">
        <f>IFERROR(__xludf.DUMMYFUNCTION("GOOGLETRANSLATE(B259,""id"",""en"")"),"['knp', 'signal', 'Telkomsel', 'mnjadi', 'slow', 'mksimal', 'bkin', 'emotion', 'update', 'fail', 'trs',' muterr ',' TRS ',' KNP ',' PDHL ',' Prition ',' SLL ',' PKE ',' Sympathy ',' RSA ',' BKN ',' Ngeluh ',' all ',' Pngguna ',' Telkomsel ' , 'various', '"&amp;"area', 'tlg', 'kmbalikn', 'sprti', 'mksh']")</f>
        <v>['knp', 'signal', 'Telkomsel', 'mnjadi', 'slow', 'mksimal', 'bkin', 'emotion', 'update', 'fail', 'trs',' muterr ',' TRS ',' KNP ',' PDHL ',' Prition ',' SLL ',' PKE ',' Sympathy ',' RSA ',' BKN ',' Ngeluh ',' all ',' Pngguna ',' Telkomsel ' , 'various', 'area', 'tlg', 'kmbalikn', 'sprti', 'mksh']</v>
      </c>
      <c r="D259" s="3">
        <v>3.0</v>
      </c>
    </row>
    <row r="260" ht="15.75" customHeight="1">
      <c r="A260" s="1">
        <v>258.0</v>
      </c>
      <c r="B260" s="3" t="s">
        <v>261</v>
      </c>
      <c r="C260" s="3" t="str">
        <f>IFERROR(__xludf.DUMMYFUNCTION("GOOGLETRANSLATE(B260,""id"",""en"")"),"['thought', 'fed up', 'Telkomsel', 'yaaaahhh', 'let', 'call', 'sms',' malaaaaaaaassss', 'buy', 'package', 'internet', 'Telkomsel', ' Kampong ',' Changing ',' Card ',' Provider ',' Enter ',' ']")</f>
        <v>['thought', 'fed up', 'Telkomsel', 'yaaaahhh', 'let', 'call', 'sms',' malaaaaaaaassss', 'buy', 'package', 'internet', 'Telkomsel', ' Kampong ',' Changing ',' Card ',' Provider ',' Enter ',' ']</v>
      </c>
      <c r="D260" s="3">
        <v>1.0</v>
      </c>
    </row>
    <row r="261" ht="15.75" customHeight="1">
      <c r="A261" s="1">
        <v>259.0</v>
      </c>
      <c r="B261" s="3" t="s">
        <v>262</v>
      </c>
      <c r="C261" s="3" t="str">
        <f>IFERROR(__xludf.DUMMYFUNCTION("GOOGLETRANSLATE(B261,""id"",""en"")"),"['Please', 'network', 'fix', 'ugly', 'times',' network ',' kek ',' face ',' kelen ',' udh ',' network ',' ngeleg ',' Price ',' expensive ',' AJG ',' Ngilak ',' Chapter ',' Price ',' Expensive ',' Network ',' Quality ',' Think ',' Life ',' Wak ',' Hard ' ,"&amp;" 'Price', 'expensive', 'asw', '']")</f>
        <v>['Please', 'network', 'fix', 'ugly', 'times',' network ',' kek ',' face ',' kelen ',' udh ',' network ',' ngeleg ',' Price ',' expensive ',' AJG ',' Ngilak ',' Chapter ',' Price ',' Expensive ',' Network ',' Quality ',' Think ',' Life ',' Wak ',' Hard ' , 'Price', 'expensive', 'asw', '']</v>
      </c>
      <c r="D261" s="3">
        <v>1.0</v>
      </c>
    </row>
    <row r="262" ht="15.75" customHeight="1">
      <c r="A262" s="1">
        <v>260.0</v>
      </c>
      <c r="B262" s="3" t="s">
        <v>263</v>
      </c>
      <c r="C262" s="3" t="str">
        <f>IFERROR(__xludf.DUMMYFUNCTION("GOOGLETRANSLATE(B262,""id"",""en"")"),"['Heyy', 'users',' Telkomsel ',' me ',' news', 'kah', 'complaining', 'difficult', 'signal', 'me', 'combo', 'Sakti', ' unlimited ',' Malem ',' I ',' sound ',' cruel ',' buy ',' expensive ',' TPI ',' signal ',' difficult ',' signal ',' I ',' setolol ' , 'Te"&amp;"lkomsel', 'Lebaran', 'smooth', 'because', 'Huhhhh', 'care', 'I've,' change ',' card ', ""]")</f>
        <v>['Heyy', 'users',' Telkomsel ',' me ',' news', 'kah', 'complaining', 'difficult', 'signal', 'me', 'combo', 'Sakti', ' unlimited ',' Malem ',' I ',' sound ',' cruel ',' buy ',' expensive ',' TPI ',' signal ',' difficult ',' signal ',' I ',' setolol ' , 'Telkomsel', 'Lebaran', 'smooth', 'because', 'Huhhhh', 'care', 'I've,' change ',' card ', "]</v>
      </c>
      <c r="D262" s="3">
        <v>1.0</v>
      </c>
    </row>
    <row r="263" ht="15.75" customHeight="1">
      <c r="A263" s="1">
        <v>261.0</v>
      </c>
      <c r="B263" s="3" t="s">
        <v>264</v>
      </c>
      <c r="C263" s="3" t="str">
        <f>IFERROR(__xludf.DUMMYFUNCTION("GOOGLETRANSLATE(B263,""id"",""en"")"),"['Customer', 'servicenya', 'Sloe', 'response', 'rich', 'child', 'conch', 'Ahmad', 'Customer', 'Service', 'cave', 'Didiemin', ' cave ',' buy ',' package ',' internet ',' process', 'pulse', 'cave', 'little', 'times',' huh ',' customer ',' service ',' amateu"&amp;"r ' ]")</f>
        <v>['Customer', 'servicenya', 'Sloe', 'response', 'rich', 'child', 'conch', 'Ahmad', 'Customer', 'Service', 'cave', 'Didiemin', ' cave ',' buy ',' package ',' internet ',' process', 'pulse', 'cave', 'little', 'times',' huh ',' customer ',' service ',' amateur ' ]</v>
      </c>
      <c r="D263" s="3">
        <v>1.0</v>
      </c>
    </row>
    <row r="264" ht="15.75" customHeight="1">
      <c r="A264" s="1">
        <v>262.0</v>
      </c>
      <c r="B264" s="3" t="s">
        <v>265</v>
      </c>
      <c r="C264" s="3" t="str">
        <f>IFERROR(__xludf.DUMMYFUNCTION("GOOGLETRANSLATE(B264,""id"",""en"")"),"['Disappointed', 'Telkomsel', 'APK', 'Dauna', 'in', 'logout', 'all day', 'login', 'already', 'expanded', 'ugly', 'Close', ' The APK is 'Used', 'Useful', '']")</f>
        <v>['Disappointed', 'Telkomsel', 'APK', 'Dauna', 'in', 'logout', 'all day', 'login', 'already', 'expanded', 'ugly', 'Close', ' The APK is 'Used', 'Useful', '']</v>
      </c>
      <c r="D264" s="3">
        <v>1.0</v>
      </c>
    </row>
    <row r="265" ht="15.75" customHeight="1">
      <c r="A265" s="1">
        <v>263.0</v>
      </c>
      <c r="B265" s="3" t="s">
        <v>266</v>
      </c>
      <c r="C265" s="3" t="str">
        <f>IFERROR(__xludf.DUMMYFUNCTION("GOOGLETRANSLATE(B265,""id"",""en"")"),"['Kayak', 'gini', 'buy', 'package', 'internet', 'sms',' enter ',' package ',' active ',' right ',' live ',' data ',' pulse ',' sucked ',' zero ',' telkosel ',' ngak ',' choice ',' main ',' poor ']")</f>
        <v>['Kayak', 'gini', 'buy', 'package', 'internet', 'sms',' enter ',' package ',' active ',' right ',' live ',' data ',' pulse ',' sucked ',' zero ',' telkosel ',' ngak ',' choice ',' main ',' poor ']</v>
      </c>
      <c r="D265" s="3">
        <v>1.0</v>
      </c>
    </row>
    <row r="266" ht="15.75" customHeight="1">
      <c r="A266" s="1">
        <v>264.0</v>
      </c>
      <c r="B266" s="3" t="s">
        <v>267</v>
      </c>
      <c r="C266" s="3" t="str">
        <f>IFERROR(__xludf.DUMMYFUNCTION("GOOGLETRANSLATE(B266,""id"",""en"")"),"['Come', 'destroyed', 'provider', 'suggestion', 'think', 'provider', 'already', 'package', 'expensive', 'signal', 'Severe', 'Severe', ' ']")</f>
        <v>['Come', 'destroyed', 'provider', 'suggestion', 'think', 'provider', 'already', 'package', 'expensive', 'signal', 'Severe', 'Severe', ' ']</v>
      </c>
      <c r="D266" s="3">
        <v>1.0</v>
      </c>
    </row>
    <row r="267" ht="15.75" customHeight="1">
      <c r="A267" s="1">
        <v>265.0</v>
      </c>
      <c r="B267" s="3" t="s">
        <v>268</v>
      </c>
      <c r="C267" s="3" t="str">
        <f>IFERROR(__xludf.DUMMYFUNCTION("GOOGLETRANSLATE(B267,""id"",""en"")"),"['Here', 'Signal', 'Telkomsel', 'Bad', 'Please', 'Repaired', 'Quality', 'Network', 'Telkomsel', 'Happy', 'Stay', 'County', ' Kotabaru ',' Kalimantan ',' south ',' precise ',' sub-district ',' pointing ',' south ',' hopefully ',' Telkomsel ',' best ',' cus"&amp;"tomer ',' quality ',' signalnha ' , 'thank you']")</f>
        <v>['Here', 'Signal', 'Telkomsel', 'Bad', 'Please', 'Repaired', 'Quality', 'Network', 'Telkomsel', 'Happy', 'Stay', 'County', ' Kotabaru ',' Kalimantan ',' south ',' precise ',' sub-district ',' pointing ',' south ',' hopefully ',' Telkomsel ',' best ',' customer ',' quality ',' signalnha ' , 'thank you']</v>
      </c>
      <c r="D267" s="3">
        <v>1.0</v>
      </c>
    </row>
    <row r="268" ht="15.75" customHeight="1">
      <c r="A268" s="1">
        <v>266.0</v>
      </c>
      <c r="B268" s="3" t="s">
        <v>269</v>
      </c>
      <c r="C268" s="3" t="str">
        <f>IFERROR(__xludf.DUMMYFUNCTION("GOOGLETRANSLATE(B268,""id"",""en"")"),"['buy', 'package', 'data', 'direct', 'application', 'many years',' number ',' cellphone ',' Telkomsel ',' conscious', 'already', 'naughty', ' Telkomsel ',' list ',' package ',' purchase ',' quota ',' date ',' date ',' brrti ',' fill ',' reset ',' purchase"&amp;" ',' package ',' quota ' , 'Register', 'Date', 'date', 'backward', 'truz', 'counted', 'brapa', 'talk', 'profit', 'loss',' kta ',' thousand ',' people ',' price ',' expensive ',' come on ',' Fair ']")</f>
        <v>['buy', 'package', 'data', 'direct', 'application', 'many years',' number ',' cellphone ',' Telkomsel ',' conscious', 'already', 'naughty', ' Telkomsel ',' list ',' package ',' purchase ',' quota ',' date ',' date ',' brrti ',' fill ',' reset ',' purchase ',' package ',' quota ' , 'Register', 'Date', 'date', 'backward', 'truz', 'counted', 'brapa', 'talk', 'profit', 'loss',' kta ',' thousand ',' people ',' price ',' expensive ',' come on ',' Fair ']</v>
      </c>
      <c r="D268" s="3">
        <v>2.0</v>
      </c>
    </row>
    <row r="269" ht="15.75" customHeight="1">
      <c r="A269" s="1">
        <v>267.0</v>
      </c>
      <c r="B269" s="3" t="s">
        <v>270</v>
      </c>
      <c r="C269" s="3" t="str">
        <f>IFERROR(__xludf.DUMMYFUNCTION("GOOGLETRANSLATE(B269,""id"",""en"")"),"['Please', 'improvement', 'signal', 'UDH', 'many years',' use ',' Telkomsel ',' Telkomsel ',' know ',' card ',' network ',' satisfying ',' now ',' activity ',' disturbed ',' because 'cheap', 'package', 'Telkomsel', 'yes', 'already', 'pay', 'expensive', 'n"&amp;"etwork', 'according to' , 'Price', 'Package', 'Please', 'Fix', 'Network', 'Thank you', ""]")</f>
        <v>['Please', 'improvement', 'signal', 'UDH', 'many years',' use ',' Telkomsel ',' Telkomsel ',' know ',' card ',' network ',' satisfying ',' now ',' activity ',' disturbed ',' because 'cheap', 'package', 'Telkomsel', 'yes', 'already', 'pay', 'expensive', 'network', 'according to' , 'Price', 'Package', 'Please', 'Fix', 'Network', 'Thank you', "]</v>
      </c>
      <c r="D269" s="3">
        <v>2.0</v>
      </c>
    </row>
    <row r="270" ht="15.75" customHeight="1">
      <c r="A270" s="1">
        <v>268.0</v>
      </c>
      <c r="B270" s="3" t="s">
        <v>271</v>
      </c>
      <c r="C270" s="3" t="str">
        <f>IFERROR(__xludf.DUMMYFUNCTION("GOOGLETRANSLATE(B270,""id"",""en"")"),"['Yesterday', 'buy', 'kouta', 'game', 'bln', 'play', 'buy', 'kouta', 'just', 'apk', 'open', 'klu', ' Play ',' connect ',' MeContact ',' Cuekin ',' Response ',' Cuman ',' Robot ',' Taeee ',' PHP ',' NjiiiIirrrrrrrrr ',' ']")</f>
        <v>['Yesterday', 'buy', 'kouta', 'game', 'bln', 'play', 'buy', 'kouta', 'just', 'apk', 'open', 'klu', ' Play ',' connect ',' MeContact ',' Cuekin ',' Response ',' Cuman ',' Robot ',' Taeee ',' PHP ',' NjiiiIirrrrrrrrr ',' ']</v>
      </c>
      <c r="D270" s="3">
        <v>1.0</v>
      </c>
    </row>
    <row r="271" ht="15.75" customHeight="1">
      <c r="A271" s="1">
        <v>269.0</v>
      </c>
      <c r="B271" s="3" t="s">
        <v>272</v>
      </c>
      <c r="C271" s="3" t="str">
        <f>IFERROR(__xludf.DUMMYFUNCTION("GOOGLETRANSLATE(B271,""id"",""en"")"),"['', 'Telkomsel', 'opened', 'signal', 'severe', 'rich', 'next door', 'good', 'network', 'village', 'check', 'tip', 'limit ',' Out ',' Pekah ',' ']")</f>
        <v>['', 'Telkomsel', 'opened', 'signal', 'severe', 'rich', 'next door', 'good', 'network', 'village', 'check', 'tip', 'limit ',' Out ',' Pekah ',' ']</v>
      </c>
      <c r="D271" s="3">
        <v>2.0</v>
      </c>
    </row>
    <row r="272" ht="15.75" customHeight="1">
      <c r="A272" s="1">
        <v>270.0</v>
      </c>
      <c r="B272" s="3" t="s">
        <v>273</v>
      </c>
      <c r="C272" s="3" t="str">
        <f>IFERROR(__xludf.DUMMYFUNCTION("GOOGLETRANSLATE(B272,""id"",""en"")"),"['Telkomsel', 'YTH', 'complement', 'update', 'application', 'Telkomsel', 'enter', 'account', 'sympathy', 'entry', 'failed', 'try', ' Description ',' Time ',' Try ',' Please ',' Help ',' Thank ',' Love ']")</f>
        <v>['Telkomsel', 'YTH', 'complement', 'update', 'application', 'Telkomsel', 'enter', 'account', 'sympathy', 'entry', 'failed', 'try', ' Description ',' Time ',' Try ',' Please ',' Help ',' Thank ',' Love ']</v>
      </c>
      <c r="D272" s="3">
        <v>5.0</v>
      </c>
    </row>
    <row r="273" ht="15.75" customHeight="1">
      <c r="A273" s="1">
        <v>271.0</v>
      </c>
      <c r="B273" s="3" t="s">
        <v>274</v>
      </c>
      <c r="C273" s="3" t="str">
        <f>IFERROR(__xludf.DUMMYFUNCTION("GOOGLETRANSLATE(B273,""id"",""en"")"),"['Update', 'APK', 'Open', 'APK', 'Try', 'Open', 'Loading', 'then', 'like', 'signal', 'signal', 'Good']")</f>
        <v>['Update', 'APK', 'Open', 'APK', 'Try', 'Open', 'Loading', 'then', 'like', 'signal', 'signal', 'Good']</v>
      </c>
      <c r="D273" s="3">
        <v>1.0</v>
      </c>
    </row>
    <row r="274" ht="15.75" customHeight="1">
      <c r="A274" s="1">
        <v>272.0</v>
      </c>
      <c r="B274" s="3" t="s">
        <v>275</v>
      </c>
      <c r="C274" s="3" t="str">
        <f>IFERROR(__xludf.DUMMYFUNCTION("GOOGLETRANSLATE(B274,""id"",""en"")"),"['The application', 'slow', 'open', 'padahl', 'UDH', 'update', 'version', 'newest', 'open', 'buset', 'deh', 'oldaaaaa', ' Buangeet ',' already ',' update ',' the latest ',' okay ',' longaa ',' network ',' skrg ',' ugly ',' skrg ',' decline ',' please ',' "&amp;"repair ' ]")</f>
        <v>['The application', 'slow', 'open', 'padahl', 'UDH', 'update', 'version', 'newest', 'open', 'buset', 'deh', 'oldaaaaa', ' Buangeet ',' already ',' update ',' the latest ',' okay ',' longaa ',' network ',' skrg ',' ugly ',' skrg ',' decline ',' please ',' repair ' ]</v>
      </c>
      <c r="D274" s="3">
        <v>1.0</v>
      </c>
    </row>
    <row r="275" ht="15.75" customHeight="1">
      <c r="A275" s="1">
        <v>273.0</v>
      </c>
      <c r="B275" s="3" t="s">
        <v>276</v>
      </c>
      <c r="C275" s="3" t="str">
        <f>IFERROR(__xludf.DUMMYFUNCTION("GOOGLETRANSLATE(B275,""id"",""en"")"),"['disappointed', 'network', 'Telkomsel', 'price', 'package', 'expensive', 'network', 'ugly', 'network', 'Telkomsel', 'good', 'please', ' Fix ',' buy ',' love ',' procedure ',' thank you ']")</f>
        <v>['disappointed', 'network', 'Telkomsel', 'price', 'package', 'expensive', 'network', 'ugly', 'network', 'Telkomsel', 'good', 'please', ' Fix ',' buy ',' love ',' procedure ',' thank you ']</v>
      </c>
      <c r="D275" s="3">
        <v>1.0</v>
      </c>
    </row>
    <row r="276" ht="15.75" customHeight="1">
      <c r="A276" s="1">
        <v>274.0</v>
      </c>
      <c r="B276" s="3" t="s">
        <v>277</v>
      </c>
      <c r="C276" s="3" t="str">
        <f>IFERROR(__xludf.DUMMYFUNCTION("GOOGLETRANSLATE(B276,""id"",""en"")"),"['Top', 'package', 'quota', 'combo', 'Sakti', 'period', 'forced', 'level', 'quota', 'use', 'forced', 'Genesis',' Families', 'use', 'packages',' quota ',' forced ',' customers', 'moved', 'operator', '']")</f>
        <v>['Top', 'package', 'quota', 'combo', 'Sakti', 'period', 'forced', 'level', 'quota', 'use', 'forced', 'Genesis',' Families', 'use', 'packages',' quota ',' forced ',' customers', 'moved', 'operator', '']</v>
      </c>
      <c r="D276" s="3">
        <v>2.0</v>
      </c>
    </row>
    <row r="277" ht="15.75" customHeight="1">
      <c r="A277" s="1">
        <v>275.0</v>
      </c>
      <c r="B277" s="3" t="s">
        <v>278</v>
      </c>
      <c r="C277" s="3" t="str">
        <f>IFERROR(__xludf.DUMMYFUNCTION("GOOGLETRANSLATE(B277,""id"",""en"")"),"['network', 'Jancokk', 'open', 'Severe', 'times',' signal ',' weak ',' night ',' UDAH ',' Bukak ',' loss', 'expensive', ' quality ',' low ',' lose ',' card ',' next door ',' cheap ',' signal ',' decent ']")</f>
        <v>['network', 'Jancokk', 'open', 'Severe', 'times',' signal ',' weak ',' night ',' UDAH ',' Bukak ',' loss', 'expensive', ' quality ',' low ',' lose ',' card ',' next door ',' cheap ',' signal ',' decent ']</v>
      </c>
      <c r="D277" s="3">
        <v>1.0</v>
      </c>
    </row>
    <row r="278" ht="15.75" customHeight="1">
      <c r="A278" s="1">
        <v>276.0</v>
      </c>
      <c r="B278" s="3" t="s">
        <v>279</v>
      </c>
      <c r="C278" s="3" t="str">
        <f>IFERROR(__xludf.DUMMYFUNCTION("GOOGLETRANSLATE(B278,""id"",""en"")"),"['', 'opened', 'ehhh', 'update', 'newest', 'application', 'add', 'can', 'open', 'check', 'signal', 'good', 'please ',' Dongg ',' Telkomsel ',' opened ']")</f>
        <v>['', 'opened', 'ehhh', 'update', 'newest', 'application', 'add', 'can', 'open', 'check', 'signal', 'good', 'please ',' Dongg ',' Telkomsel ',' opened ']</v>
      </c>
      <c r="D278" s="3">
        <v>1.0</v>
      </c>
    </row>
    <row r="279" ht="15.75" customHeight="1">
      <c r="A279" s="1">
        <v>277.0</v>
      </c>
      <c r="B279" s="3" t="s">
        <v>280</v>
      </c>
      <c r="C279" s="3" t="str">
        <f>IFERROR(__xludf.DUMMYFUNCTION("GOOGLETRANSLATE(B279,""id"",""en"")"),"['oath', 'bngt', 'quota', 'expensive', 'according to', 'network', 'good', 'min', 'please', 'taught', 'provide', 'love', ' network ',' good ',' better ',' bankrupt ',' already ',' teach ',' min ',' ade ',' provide ',' network ',' good ',' quota ',' expensi"&amp;"ve ' , 'Good', 'network', 'thanks']")</f>
        <v>['oath', 'bngt', 'quota', 'expensive', 'according to', 'network', 'good', 'min', 'please', 'taught', 'provide', 'love', ' network ',' good ',' better ',' bankrupt ',' already ',' teach ',' min ',' ade ',' provide ',' network ',' good ',' quota ',' expensive ' , 'Good', 'network', 'thanks']</v>
      </c>
      <c r="D279" s="3">
        <v>5.0</v>
      </c>
    </row>
    <row r="280" ht="15.75" customHeight="1">
      <c r="A280" s="1">
        <v>278.0</v>
      </c>
      <c r="B280" s="3" t="s">
        <v>281</v>
      </c>
      <c r="C280" s="3" t="str">
        <f>IFERROR(__xludf.DUMMYFUNCTION("GOOGLETRANSLATE(B280,""id"",""en"")"),"['signal', 'troubled', 'operator', 'center', 'Dept', 'dumpanya', 'sucked', 'Atik', 'pdahal', 'broken', 'jingan', 'city', ' Promo ',' package ',' that's', 'apply', 'July', 'TPI', 'CMA', 'appears',' times', 'fill', 'package', '']")</f>
        <v>['signal', 'troubled', 'operator', 'center', 'Dept', 'dumpanya', 'sucked', 'Atik', 'pdahal', 'broken', 'jingan', 'city', ' Promo ',' package ',' that's', 'apply', 'July', 'TPI', 'CMA', 'appears',' times', 'fill', 'package', '']</v>
      </c>
      <c r="D280" s="3">
        <v>1.0</v>
      </c>
    </row>
    <row r="281" ht="15.75" customHeight="1">
      <c r="A281" s="1">
        <v>279.0</v>
      </c>
      <c r="B281" s="3" t="s">
        <v>282</v>
      </c>
      <c r="C281" s="3" t="str">
        <f>IFERROR(__xludf.DUMMYFUNCTION("GOOGLETRANSLATE(B281,""id"",""en"")"),"['Package', 'Combo', 'Sakti', 'Unlimited', 'FUP', 'Subscriptions',' Disney ',' Hotstar ',' a month ',' Current ',' watching ',' Fup ',' Quota ',' main ',' run out ',' connection ',' slow ',' automatic ',' streaming ',' Disney ',' buffering ',' redundant '"&amp;",' subscription ',' a month ',' worse ' , 'watch', 'youtube', 'quality', 'picture', 'buffering', 'operator', 'private', 'implement', 'system', 'fup', 'gini', 'slow', ' Telkomsel ',' Severe ',' improvement ',' service ',' rather than ',' replace ',' logo '"&amp;", ""]")</f>
        <v>['Package', 'Combo', 'Sakti', 'Unlimited', 'FUP', 'Subscriptions',' Disney ',' Hotstar ',' a month ',' Current ',' watching ',' Fup ',' Quota ',' main ',' run out ',' connection ',' slow ',' automatic ',' streaming ',' Disney ',' buffering ',' redundant ',' subscription ',' a month ',' worse ' , 'watch', 'youtube', 'quality', 'picture', 'buffering', 'operator', 'private', 'implement', 'system', 'fup', 'gini', 'slow', ' Telkomsel ',' Severe ',' improvement ',' service ',' rather than ',' replace ',' logo ', "]</v>
      </c>
      <c r="D281" s="3">
        <v>1.0</v>
      </c>
    </row>
    <row r="282" ht="15.75" customHeight="1">
      <c r="A282" s="1">
        <v>280.0</v>
      </c>
      <c r="B282" s="3" t="s">
        <v>283</v>
      </c>
      <c r="C282" s="3" t="str">
        <f>IFERROR(__xludf.DUMMYFUNCTION("GOOGLETRANSLATE(B282,""id"",""en"")"),"['Since', 'Update', 'APK', 'Telkomsel', 'opened', 'Link', 'Open', 'Error', 'Please', 'Repaired', 'Hard', 'Buy', ' quota ',' check ',' details', 'manual', 'dial', '']")</f>
        <v>['Since', 'Update', 'APK', 'Telkomsel', 'opened', 'Link', 'Open', 'Error', 'Please', 'Repaired', 'Hard', 'Buy', ' quota ',' check ',' details', 'manual', 'dial', '']</v>
      </c>
      <c r="D282" s="3">
        <v>1.0</v>
      </c>
    </row>
    <row r="283" ht="15.75" customHeight="1">
      <c r="A283" s="1">
        <v>281.0</v>
      </c>
      <c r="B283" s="3" t="s">
        <v>284</v>
      </c>
      <c r="C283" s="3" t="str">
        <f>IFERROR(__xludf.DUMMYFUNCTION("GOOGLETRANSLATE(B283,""id"",""en"")"),"['Telkomsel', 'quota', 'internet', 'post', 'muter', 'tlong', 'fix', 'convenience']")</f>
        <v>['Telkomsel', 'quota', 'internet', 'post', 'muter', 'tlong', 'fix', 'convenience']</v>
      </c>
      <c r="D283" s="3">
        <v>2.0</v>
      </c>
    </row>
    <row r="284" ht="15.75" customHeight="1">
      <c r="A284" s="1">
        <v>282.0</v>
      </c>
      <c r="B284" s="3" t="s">
        <v>285</v>
      </c>
      <c r="C284" s="3" t="str">
        <f>IFERROR(__xludf.DUMMYFUNCTION("GOOGLETRANSLATE(B284,""id"",""en"")"),"['Telkomsel', 'performance', 'game', 'lag', 'broken', 'broken', 'damage', 'system', 'kah', 'how', 'hope', 'fix', ' good ',' really ',' use ',' rating ',' down ',' already ',' better ',' ride ',' thx ']")</f>
        <v>['Telkomsel', 'performance', 'game', 'lag', 'broken', 'broken', 'damage', 'system', 'kah', 'how', 'hope', 'fix', ' good ',' really ',' use ',' rating ',' down ',' already ',' better ',' ride ',' thx ']</v>
      </c>
      <c r="D284" s="3">
        <v>1.0</v>
      </c>
    </row>
    <row r="285" ht="15.75" customHeight="1">
      <c r="A285" s="1">
        <v>283.0</v>
      </c>
      <c r="B285" s="3" t="s">
        <v>286</v>
      </c>
      <c r="C285" s="3" t="str">
        <f>IFERROR(__xludf.DUMMYFUNCTION("GOOGLETRANSLATE(B285,""id"",""en"")"),"['Application', 'Telkomsel', 'Open', 'Try', 'Full', 'White', 'Doang', 'Litu', 'Kali', 'Click', 'Application', ""]")</f>
        <v>['Application', 'Telkomsel', 'Open', 'Try', 'Full', 'White', 'Doang', 'Litu', 'Kali', 'Click', 'Application', "]</v>
      </c>
      <c r="D285" s="3">
        <v>2.0</v>
      </c>
    </row>
    <row r="286" ht="15.75" customHeight="1">
      <c r="A286" s="1">
        <v>284.0</v>
      </c>
      <c r="B286" s="3" t="s">
        <v>287</v>
      </c>
      <c r="C286" s="3" t="str">
        <f>IFERROR(__xludf.DUMMYFUNCTION("GOOGLETRANSLATE(B286,""id"",""en"")"),"['The application', 'slow', 'package', 'expensive', 'kalu', 'update', 'enter', 'entry', 'difficult', 'install', ""]")</f>
        <v>['The application', 'slow', 'package', 'expensive', 'kalu', 'update', 'enter', 'entry', 'difficult', 'install', "]</v>
      </c>
      <c r="D286" s="3">
        <v>1.0</v>
      </c>
    </row>
    <row r="287" ht="15.75" customHeight="1">
      <c r="A287" s="1">
        <v>285.0</v>
      </c>
      <c r="B287" s="3" t="s">
        <v>288</v>
      </c>
      <c r="C287" s="3" t="str">
        <f>IFERROR(__xludf.DUMMYFUNCTION("GOOGLETRANSLATE(B287,""id"",""en"")"),"['application', 'Bagusss',' enter ',' already ',' confirm ',' number ',' account ',' apk ',' tetep ',' enter ',' already ',' uninstall ',' already ',' download ',' then ',' try ',' entered ',' tetep ',' enter ',' what ',' ']")</f>
        <v>['application', 'Bagusss',' enter ',' already ',' confirm ',' number ',' account ',' apk ',' tetep ',' enter ',' already ',' uninstall ',' already ',' download ',' then ',' try ',' entered ',' tetep ',' enter ',' what ',' ']</v>
      </c>
      <c r="D287" s="3">
        <v>2.0</v>
      </c>
    </row>
    <row r="288" ht="15.75" customHeight="1">
      <c r="A288" s="1">
        <v>286.0</v>
      </c>
      <c r="B288" s="3" t="s">
        <v>289</v>
      </c>
      <c r="C288" s="3" t="str">
        <f>IFERROR(__xludf.DUMMYFUNCTION("GOOGLETRANSLATE(B288,""id"",""en"")"),"['Update', 'Good', 'Login', 'Hard', 'Sandy', 'Already', 'Send', 'Enter', 'Application', 'Kek', 'Gini', 'Ngebug', ' How ',' Betah ',' Telkomsel ',' Kek ',' Gini ']")</f>
        <v>['Update', 'Good', 'Login', 'Hard', 'Sandy', 'Already', 'Send', 'Enter', 'Application', 'Kek', 'Gini', 'Ngebug', ' How ',' Betah ',' Telkomsel ',' Kek ',' Gini ']</v>
      </c>
      <c r="D288" s="3">
        <v>1.0</v>
      </c>
    </row>
    <row r="289" ht="15.75" customHeight="1">
      <c r="A289" s="1">
        <v>287.0</v>
      </c>
      <c r="B289" s="3" t="s">
        <v>290</v>
      </c>
      <c r="C289" s="3" t="str">
        <f>IFERROR(__xludf.DUMMYFUNCTION("GOOGLETRANSLATE(B289,""id"",""en"")"),"['Sayangkan', 'Wear', 'Perdana', 'Telkomsel', 'Good', 'Network', 'Good', 'Movers',' Village ',' Loading ',' Erorr ',' Please ',' Fix ',' Consumers', 'Disappointed', 'Please', 'Fix', '']")</f>
        <v>['Sayangkan', 'Wear', 'Perdana', 'Telkomsel', 'Good', 'Network', 'Good', 'Movers',' Village ',' Loading ',' Erorr ',' Please ',' Fix ',' Consumers', 'Disappointed', 'Please', 'Fix', '']</v>
      </c>
      <c r="D289" s="3">
        <v>2.0</v>
      </c>
    </row>
    <row r="290" ht="15.75" customHeight="1">
      <c r="A290" s="1">
        <v>288.0</v>
      </c>
      <c r="B290" s="3" t="s">
        <v>291</v>
      </c>
      <c r="C290" s="3" t="str">
        <f>IFERROR(__xludf.DUMMYFUNCTION("GOOGLETRANSLATE(B290,""id"",""en"")"),"['Log', 'Min', 'Written', 'Trjadi', 'Error', 'Internet', 'Current', 'LWT', 'Code', 'SMS', 'TTP', 'BSA', ' Enter ',' Try ',' Please ',' Help ']")</f>
        <v>['Log', 'Min', 'Written', 'Trjadi', 'Error', 'Internet', 'Current', 'LWT', 'Code', 'SMS', 'TTP', 'BSA', ' Enter ',' Try ',' Please ',' Help ']</v>
      </c>
      <c r="D290" s="3">
        <v>1.0</v>
      </c>
    </row>
    <row r="291" ht="15.75" customHeight="1">
      <c r="A291" s="1">
        <v>289.0</v>
      </c>
      <c r="B291" s="3" t="s">
        <v>292</v>
      </c>
      <c r="C291" s="3" t="str">
        <f>IFERROR(__xludf.DUMMYFUNCTION("GOOGLETRANSLATE(B291,""id"",""en"")"),"['Please', 'Sorry', 'Problem', 'Payment', 'Via', 'Fund', 'Lost', 'Please', 'Help', ""]")</f>
        <v>['Please', 'Sorry', 'Problem', 'Payment', 'Via', 'Fund', 'Lost', 'Please', 'Help', "]</v>
      </c>
      <c r="D291" s="3">
        <v>3.0</v>
      </c>
    </row>
    <row r="292" ht="15.75" customHeight="1">
      <c r="A292" s="1">
        <v>290.0</v>
      </c>
      <c r="B292" s="3" t="s">
        <v>293</v>
      </c>
      <c r="C292" s="3" t="str">
        <f>IFERROR(__xludf.DUMMYFUNCTION("GOOGLETRANSLATE(B292,""id"",""en"")"),"['Mahalllll', 'Network', 'Lemottt', 'Application', 'Error', 'Shomething', 'Went', 'Wrong', 'according to', 'Price', 'Quality', 'Update', ' ',' moved ',' Yellow ',' entered ',' sense ',' price ',' smooth ',' bye ',' Telkomsel ']")</f>
        <v>['Mahalllll', 'Network', 'Lemottt', 'Application', 'Error', 'Shomething', 'Went', 'Wrong', 'according to', 'Price', 'Quality', 'Update', ' ',' moved ',' Yellow ',' entered ',' sense ',' price ',' smooth ',' bye ',' Telkomsel ']</v>
      </c>
      <c r="D292" s="3">
        <v>1.0</v>
      </c>
    </row>
    <row r="293" ht="15.75" customHeight="1">
      <c r="A293" s="1">
        <v>291.0</v>
      </c>
      <c r="B293" s="3" t="s">
        <v>294</v>
      </c>
      <c r="C293" s="3" t="str">
        <f>IFERROR(__xludf.DUMMYFUNCTION("GOOGLETRANSLATE(B293,""id"",""en"")"),"['hope', 'anomaly', 'where', 'nominal', 'pulse', 'according to', 'hope', 'wifi', 'APL', 'Loading', 'wifi', 'loading', ' ']")</f>
        <v>['hope', 'anomaly', 'where', 'nominal', 'pulse', 'according to', 'hope', 'wifi', 'APL', 'Loading', 'wifi', 'loading', ' ']</v>
      </c>
      <c r="D293" s="3">
        <v>1.0</v>
      </c>
    </row>
    <row r="294" ht="15.75" customHeight="1">
      <c r="A294" s="1">
        <v>292.0</v>
      </c>
      <c r="B294" s="3" t="s">
        <v>295</v>
      </c>
      <c r="C294" s="3" t="str">
        <f>IFERROR(__xludf.DUMMYFUNCTION("GOOGLETRANSLATE(B294,""id"",""en"")"),"['signal', 'difficult', 'in the area', 'tasty', 'tasty', 'complaint', 'application', 'response', 'told', 'replace', 'APN', 'APN', ' replaced ',' tetep ',' signal ',' difficult ',' come on ',' price ',' package ',' above ',' cook ',' signal ',' below ',' s"&amp;"tandard ',' thank ' , 'love']")</f>
        <v>['signal', 'difficult', 'in the area', 'tasty', 'tasty', 'complaint', 'application', 'response', 'told', 'replace', 'APN', 'APN', ' replaced ',' tetep ',' signal ',' difficult ',' come on ',' price ',' package ',' above ',' cook ',' signal ',' below ',' standard ',' thank ' , 'love']</v>
      </c>
      <c r="D294" s="3">
        <v>1.0</v>
      </c>
    </row>
    <row r="295" ht="15.75" customHeight="1">
      <c r="A295" s="1">
        <v>293.0</v>
      </c>
      <c r="B295" s="3" t="s">
        <v>296</v>
      </c>
      <c r="C295" s="3" t="str">
        <f>IFERROR(__xludf.DUMMYFUNCTION("GOOGLETRANSLATE(B295,""id"",""en"")"),"['', 'Understand', 'high school', 'application', 'bru', 'buy', 'credit', 'intention', 'buy', 'package', 'application', 'right', 'checked ',' pulse ',' UDH ',' stay ',' kbeli ',' pket ',' sndiri ',' bsa ',' bizarre ']")</f>
        <v>['', 'Understand', 'high school', 'application', 'bru', 'buy', 'credit', 'intention', 'buy', 'package', 'application', 'right', 'checked ',' pulse ',' UDH ',' stay ',' kbeli ',' pket ',' sndiri ',' bsa ',' bizarre ']</v>
      </c>
      <c r="D295" s="3">
        <v>1.0</v>
      </c>
    </row>
    <row r="296" ht="15.75" customHeight="1">
      <c r="A296" s="1">
        <v>294.0</v>
      </c>
      <c r="B296" s="3" t="s">
        <v>297</v>
      </c>
      <c r="C296" s="3" t="str">
        <f>IFERROR(__xludf.DUMMYFUNCTION("GOOGLETRANSLATE(B296,""id"",""en"")"),"['application', 'Telkomsel', 'reset', 'application', 'update', 'July', 'yok', 'kagak', 'rich', 'gini', 'helloooooo', 'bntr', ' Appearing ',' Internal ',' Network ',' Application ',' UDH ',' Suggestion ',' Strong ',' Ush ',' Update ',' Application ',' Cepe"&amp;"t ',' Nyusah ',' Udh ' , 'Main', 'internet cafe', 'Read']")</f>
        <v>['application', 'Telkomsel', 'reset', 'application', 'update', 'July', 'yok', 'kagak', 'rich', 'gini', 'helloooooo', 'bntr', ' Appearing ',' Internal ',' Network ',' Application ',' UDH ',' Suggestion ',' Strong ',' Ush ',' Update ',' Application ',' Cepet ',' Nyusah ',' Udh ' , 'Main', 'internet cafe', 'Read']</v>
      </c>
      <c r="D296" s="3">
        <v>1.0</v>
      </c>
    </row>
    <row r="297" ht="15.75" customHeight="1">
      <c r="A297" s="1">
        <v>295.0</v>
      </c>
      <c r="B297" s="3" t="s">
        <v>298</v>
      </c>
      <c r="C297" s="3" t="str">
        <f>IFERROR(__xludf.DUMMYFUNCTION("GOOGLETRANSLATE(B297,""id"",""en"")"),"['Package', 'Internet', 'Unlimited', 'Rb', 'price', 'RB', 'then', 'circumcised', 'telephone', 'Community', 'Telkomsel', 'Unlimited', ' Minutes', 'Doank', 'Telkomsel', 'Gara', 'Reopens',' Change ',' Change ',' Logo ',' Logo ',' Bagus', 'Display', 'Applicat"&amp;"ion', 'Bagusan' , 'Simple', 'strange', 'original', 'disappointed', 'service', '']")</f>
        <v>['Package', 'Internet', 'Unlimited', 'Rb', 'price', 'RB', 'then', 'circumcised', 'telephone', 'Community', 'Telkomsel', 'Unlimited', ' Minutes', 'Doank', 'Telkomsel', 'Gara', 'Reopens',' Change ',' Change ',' Logo ',' Logo ',' Bagus', 'Display', 'Application', 'Bagusan' , 'Simple', 'strange', 'original', 'disappointed', 'service', '']</v>
      </c>
      <c r="D297" s="3">
        <v>1.0</v>
      </c>
    </row>
    <row r="298" ht="15.75" customHeight="1">
      <c r="A298" s="1">
        <v>296.0</v>
      </c>
      <c r="B298" s="3" t="s">
        <v>299</v>
      </c>
      <c r="C298" s="3" t="str">
        <f>IFERROR(__xludf.DUMMYFUNCTION("GOOGLETRANSLATE(B298,""id"",""en"")"),"['times',' Open ',' App ',' Login ',' Login ',' FAILUR ',' KLINK ',' LINK ',' SMS ',' LEMOT ',' Play ',' Update ',' Many ',' times', ""]")</f>
        <v>['times',' Open ',' App ',' Login ',' Login ',' FAILUR ',' KLINK ',' LINK ',' SMS ',' LEMOT ',' Play ',' Update ',' Many ',' times', "]</v>
      </c>
      <c r="D298" s="3">
        <v>1.0</v>
      </c>
    </row>
    <row r="299" ht="15.75" customHeight="1">
      <c r="A299" s="1">
        <v>297.0</v>
      </c>
      <c r="B299" s="3" t="s">
        <v>300</v>
      </c>
      <c r="C299" s="3" t="str">
        <f>IFERROR(__xludf.DUMMYFUNCTION("GOOGLETRANSLATE(B299,""id"",""en"")"),"['Update', 'Star', 'Stuck', 'Why', 'Crazy', 'Severe', 'Make', 'Buy', 'Package', 'Expensive', 'Expensive', 'Circle', ' signal ',' okay ',' problem ',' but ',' not ']")</f>
        <v>['Update', 'Star', 'Stuck', 'Why', 'Crazy', 'Severe', 'Make', 'Buy', 'Package', 'Expensive', 'Expensive', 'Circle', ' signal ',' okay ',' problem ',' but ',' not ']</v>
      </c>
      <c r="D299" s="3">
        <v>1.0</v>
      </c>
    </row>
    <row r="300" ht="15.75" customHeight="1">
      <c r="A300" s="1">
        <v>298.0</v>
      </c>
      <c r="B300" s="3" t="s">
        <v>301</v>
      </c>
      <c r="C300" s="3" t="str">
        <f>IFERROR(__xludf.DUMMYFUNCTION("GOOGLETRANSLATE(B300,""id"",""en"")"),"['customer', 'loyal', 'Telkomsel', 'disappointed', 'application', 'complaints', 'reviewer', 'times', 'Telkomsel', 'thank you', 'promo', ""]")</f>
        <v>['customer', 'loyal', 'Telkomsel', 'disappointed', 'application', 'complaints', 'reviewer', 'times', 'Telkomsel', 'thank you', 'promo', "]</v>
      </c>
      <c r="D300" s="3">
        <v>1.0</v>
      </c>
    </row>
    <row r="301" ht="15.75" customHeight="1">
      <c r="A301" s="1">
        <v>299.0</v>
      </c>
      <c r="B301" s="3" t="s">
        <v>302</v>
      </c>
      <c r="C301" s="3" t="str">
        <f>IFERROR(__xludf.DUMMYFUNCTION("GOOGLETRANSLATE(B301,""id"",""en"")"),"['Please', 'Sorry', 'Offended', 'Fair', 'Purchase', 'Package', 'Data', 'Internet', 'Expensive', 'Use', 'Data', 'Results',' Package ',' data ',' Internet ',' drained ',' Package ',' Data ',' Simultaneous', 'Harap', 'Review', 'Related', 'Thank you', ""]")</f>
        <v>['Please', 'Sorry', 'Offended', 'Fair', 'Purchase', 'Package', 'Data', 'Internet', 'Expensive', 'Use', 'Data', 'Results',' Package ',' data ',' Internet ',' drained ',' Package ',' Data ',' Simultaneous', 'Harap', 'Review', 'Related', 'Thank you', "]</v>
      </c>
      <c r="D301" s="3">
        <v>1.0</v>
      </c>
    </row>
    <row r="302" ht="15.75" customHeight="1">
      <c r="A302" s="1">
        <v>300.0</v>
      </c>
      <c r="B302" s="3" t="s">
        <v>303</v>
      </c>
      <c r="C302" s="3" t="str">
        <f>IFERROR(__xludf.DUMMYFUNCTION("GOOGLETRANSLATE(B302,""id"",""en"")"),"['What', 'menu', 'package', 'omg', 'multimedia', 'buy', 'package', 'package', 'data', 'daftqr', 'buy', 'donations',' Telkomsel ']")</f>
        <v>['What', 'menu', 'package', 'omg', 'multimedia', 'buy', 'package', 'package', 'data', 'daftqr', 'buy', 'donations',' Telkomsel ']</v>
      </c>
      <c r="D302" s="3">
        <v>1.0</v>
      </c>
    </row>
    <row r="303" ht="15.75" customHeight="1">
      <c r="A303" s="1">
        <v>301.0</v>
      </c>
      <c r="B303" s="3" t="s">
        <v>304</v>
      </c>
      <c r="C303" s="3" t="str">
        <f>IFERROR(__xludf.DUMMYFUNCTION("GOOGLETRANSLATE(B303,""id"",""en"")"),"['Application', 'difficult', 'Login', 'Yaudah', 'Delete', 'Application', 'Discard', 'Card', 'Provider', 'Dizziness',' Mending ',' Move ',' Providers', 'easy', 'access']")</f>
        <v>['Application', 'difficult', 'Login', 'Yaudah', 'Delete', 'Application', 'Discard', 'Card', 'Provider', 'Dizziness',' Mending ',' Move ',' Providers', 'easy', 'access']</v>
      </c>
      <c r="D303" s="3">
        <v>1.0</v>
      </c>
    </row>
    <row r="304" ht="15.75" customHeight="1">
      <c r="A304" s="1">
        <v>302.0</v>
      </c>
      <c r="B304" s="3" t="s">
        <v>305</v>
      </c>
      <c r="C304" s="3" t="str">
        <f>IFERROR(__xludf.DUMMYFUNCTION("GOOGLETRANSLATE(B304,""id"",""en"")"),"['application', 'taik', 'contents',' credit ',' lgsg ',' suck ',' rupiah ',' buy ',' package ',' internet ',' reduced ',' pulses', ' Buy ',' Package ',' Please ',' CIAMS ',' Fix ',' Buy ',' Credit ',' Money ',' Suck ',' YouTuber ',' Tiktoker ',' Love ',' "&amp;"ugly ' , 'application']")</f>
        <v>['application', 'taik', 'contents',' credit ',' lgsg ',' suck ',' rupiah ',' buy ',' package ',' internet ',' reduced ',' pulses', ' Buy ',' Package ',' Please ',' CIAMS ',' Fix ',' Buy ',' Credit ',' Money ',' Suck ',' YouTuber ',' Tiktoker ',' Love ',' ugly ' , 'application']</v>
      </c>
      <c r="D304" s="3">
        <v>1.0</v>
      </c>
    </row>
    <row r="305" ht="15.75" customHeight="1">
      <c r="A305" s="1">
        <v>303.0</v>
      </c>
      <c r="B305" s="3" t="s">
        <v>306</v>
      </c>
      <c r="C305" s="3" t="str">
        <f>IFERROR(__xludf.DUMMYFUNCTION("GOOGLETRANSLATE(B305,""id"",""en"")"),"['Disappointed', 'users', 'Telkomsel', 'Quality', 'Network', 'Bad', 'Network', 'Plosok', 'Negeri', 'proof', 'Affordable', ""]")</f>
        <v>['Disappointed', 'users', 'Telkomsel', 'Quality', 'Network', 'Bad', 'Network', 'Plosok', 'Negeri', 'proof', 'Affordable', "]</v>
      </c>
      <c r="D305" s="3">
        <v>1.0</v>
      </c>
    </row>
    <row r="306" ht="15.75" customHeight="1">
      <c r="A306" s="1">
        <v>304.0</v>
      </c>
      <c r="B306" s="3" t="s">
        <v>307</v>
      </c>
      <c r="C306" s="3" t="str">
        <f>IFERROR(__xludf.DUMMYFUNCTION("GOOGLETRANSLATE(B306,""id"",""en"")"),"['Min', 'Package', 'Telkomsel', 'Sya', 'price', 'Different', 'Telkomsel', 'friend', 'buy', 'package', 'expensive', 'habit', ' buy ',' package ',' expensive ',' then ',' application ',' Telkomsel ',' price ',' expensive ',' different ',' application ',' Te"&amp;"lkomsel ',' friend ',' GTU ' , 'Min', 'Telkom', 'cell', 'Different', 'GMNA', 'Disappointed', 'Use', 'Telkomsel']")</f>
        <v>['Min', 'Package', 'Telkomsel', 'Sya', 'price', 'Different', 'Telkomsel', 'friend', 'buy', 'package', 'expensive', 'habit', ' buy ',' package ',' expensive ',' then ',' application ',' Telkomsel ',' price ',' expensive ',' different ',' application ',' Telkomsel ',' friend ',' GTU ' , 'Min', 'Telkom', 'cell', 'Different', 'GMNA', 'Disappointed', 'Use', 'Telkomsel']</v>
      </c>
      <c r="D306" s="3">
        <v>2.0</v>
      </c>
    </row>
    <row r="307" ht="15.75" customHeight="1">
      <c r="A307" s="1">
        <v>305.0</v>
      </c>
      <c r="B307" s="3" t="s">
        <v>308</v>
      </c>
      <c r="C307" s="3" t="str">
        <f>IFERROR(__xludf.DUMMYFUNCTION("GOOGLETRANSLATE(B307,""id"",""en"")"),"['Excuse', 'times',' enter ',' code ',' voucher ',' internet ',' sorry ',' system ',' busy ',' times', 'money', 'buy', ' Vouchers', 'internet', 'vain', 'vain', 'voucher', 'redeem']")</f>
        <v>['Excuse', 'times',' enter ',' code ',' voucher ',' internet ',' sorry ',' system ',' busy ',' times', 'money', 'buy', ' Vouchers', 'internet', 'vain', 'vain', 'voucher', 'redeem']</v>
      </c>
      <c r="D307" s="3">
        <v>2.0</v>
      </c>
    </row>
    <row r="308" ht="15.75" customHeight="1">
      <c r="A308" s="1">
        <v>306.0</v>
      </c>
      <c r="B308" s="3" t="s">
        <v>309</v>
      </c>
      <c r="C308" s="3" t="str">
        <f>IFERROR(__xludf.DUMMYFUNCTION("GOOGLETRANSLATE(B308,""id"",""en"")"),"['fraud', 'sya', 'transfer', 'pulse', 'foam', 'fraud', 'hope', 'help', 'anjeeng', ""]")</f>
        <v>['fraud', 'sya', 'transfer', 'pulse', 'foam', 'fraud', 'hope', 'help', 'anjeeng', "]</v>
      </c>
      <c r="D308" s="3">
        <v>5.0</v>
      </c>
    </row>
    <row r="309" ht="15.75" customHeight="1">
      <c r="A309" s="1">
        <v>307.0</v>
      </c>
      <c r="B309" s="3" t="s">
        <v>310</v>
      </c>
      <c r="C309" s="3" t="str">
        <f>IFERROR(__xludf.DUMMYFUNCTION("GOOGLETRANSLATE(B309,""id"",""en"")"),"['fill', 'credit', 'Linkaja', 'shopeepay', 'times',' rb ',' gada ',' entered ',' gini ',' yak ',' telkomsel ',' maintenance ',' fill in ',' package ',' waste ',' money ',' update ',' option ',' payment ',' ngilan ',' just ',' pulse ',' doang ',' contents'"&amp;", 'pulses' , 'payment', 'payment', 'how', 'buy', 'package', 'data', 'try', '']")</f>
        <v>['fill', 'credit', 'Linkaja', 'shopeepay', 'times',' rb ',' gada ',' entered ',' gini ',' yak ',' telkomsel ',' maintenance ',' fill in ',' package ',' waste ',' money ',' update ',' option ',' payment ',' ngilan ',' just ',' pulse ',' doang ',' contents', 'pulses' , 'payment', 'payment', 'how', 'buy', 'package', 'data', 'try', '']</v>
      </c>
      <c r="D309" s="3">
        <v>2.0</v>
      </c>
    </row>
    <row r="310" ht="15.75" customHeight="1">
      <c r="A310" s="1">
        <v>308.0</v>
      </c>
      <c r="B310" s="3" t="s">
        <v>311</v>
      </c>
      <c r="C310" s="3" t="str">
        <f>IFERROR(__xludf.DUMMYFUNCTION("GOOGLETRANSLATE(B310,""id"",""en"")"),"['pulse', 'sucked', 'day', 'enter', 'application', 'tsel', 'difficult', 'log', 'out', 'update', ""]")</f>
        <v>['pulse', 'sucked', 'day', 'enter', 'application', 'tsel', 'difficult', 'log', 'out', 'update', "]</v>
      </c>
      <c r="D310" s="3">
        <v>1.0</v>
      </c>
    </row>
    <row r="311" ht="15.75" customHeight="1">
      <c r="A311" s="1">
        <v>309.0</v>
      </c>
      <c r="B311" s="3" t="s">
        <v>312</v>
      </c>
      <c r="C311" s="3" t="str">
        <f>IFERROR(__xludf.DUMMYFUNCTION("GOOGLETRANSLATE(B311,""id"",""en"")"),"['Signal', 'Telkomsel', 'Severe', 'Very', 'Sometimes',' Lost ',' already ',' price ',' expensive ',' quality ',' ugly ',' Telkomsel ',' strange ',' update ',' in ',' repaired ',' move ',' card ',' thank ',' love ', ""]")</f>
        <v>['Signal', 'Telkomsel', 'Severe', 'Very', 'Sometimes',' Lost ',' already ',' price ',' expensive ',' quality ',' ugly ',' Telkomsel ',' strange ',' update ',' in ',' repaired ',' move ',' card ',' thank ',' love ', "]</v>
      </c>
      <c r="D311" s="3">
        <v>1.0</v>
      </c>
    </row>
    <row r="312" ht="15.75" customHeight="1">
      <c r="A312" s="1">
        <v>310.0</v>
      </c>
      <c r="B312" s="3" t="s">
        <v>313</v>
      </c>
      <c r="C312" s="3" t="str">
        <f>IFERROR(__xludf.DUMMYFUNCTION("GOOGLETRANSLATE(B312,""id"",""en"")"),"['use', 'Telkomsel', 'area', 'Kalimantan', 'West', 'signal', 'satisfying', 'signal', 'slow', 'like', 'missing', 'appears',' continuous', 'troubles',' play ',' game ',' right ',' watch ',' youtube ',' smooth ',' rich ',' play ',' game ',' please ',' fix ' "&amp;", 'signal']")</f>
        <v>['use', 'Telkomsel', 'area', 'Kalimantan', 'West', 'signal', 'satisfying', 'signal', 'slow', 'like', 'missing', 'appears',' continuous', 'troubles',' play ',' game ',' right ',' watch ',' youtube ',' smooth ',' rich ',' play ',' game ',' please ',' fix ' , 'signal']</v>
      </c>
      <c r="D312" s="3">
        <v>1.0</v>
      </c>
    </row>
    <row r="313" ht="15.75" customHeight="1">
      <c r="A313" s="1">
        <v>311.0</v>
      </c>
      <c r="B313" s="3" t="s">
        <v>314</v>
      </c>
      <c r="C313" s="3" t="str">
        <f>IFERROR(__xludf.DUMMYFUNCTION("GOOGLETRANSLATE(B313,""id"",""en"")"),"['Sousiny', 'here', 'severe', 'crazy', 'difficult', 'forgiveness',' area ',' inland ',' building ',' what ',' min ',' increase ',' Quality ',' signal ']")</f>
        <v>['Sousiny', 'here', 'severe', 'crazy', 'difficult', 'forgiveness',' area ',' inland ',' building ',' what ',' min ',' increase ',' Quality ',' signal ']</v>
      </c>
      <c r="D313" s="3">
        <v>4.0</v>
      </c>
    </row>
    <row r="314" ht="15.75" customHeight="1">
      <c r="A314" s="1">
        <v>312.0</v>
      </c>
      <c r="B314" s="3" t="s">
        <v>315</v>
      </c>
      <c r="C314" s="3" t="str">
        <f>IFERROR(__xludf.DUMMYFUNCTION("GOOGLETRANSLATE(B314,""id"",""en"")"),"['Product', 'Telkomsel', 'form', 'good', 'network', 'Telkomsel', 'slow', 'three', 'fast', 'bye', 'Telkomsel', 'slow', ' Fast ',' Bankrupt ',' Report ',' Telkomsel ',' Yok ',' Bankrupt ',' company ', ""]")</f>
        <v>['Product', 'Telkomsel', 'form', 'good', 'network', 'Telkomsel', 'slow', 'three', 'fast', 'bye', 'Telkomsel', 'slow', ' Fast ',' Bankrupt ',' Report ',' Telkomsel ',' Yok ',' Bankrupt ',' company ', "]</v>
      </c>
      <c r="D314" s="3">
        <v>1.0</v>
      </c>
    </row>
    <row r="315" ht="15.75" customHeight="1">
      <c r="A315" s="1">
        <v>313.0</v>
      </c>
      <c r="B315" s="3" t="s">
        <v>316</v>
      </c>
      <c r="C315" s="3" t="str">
        <f>IFERROR(__xludf.DUMMYFUNCTION("GOOGLETRANSLATE(B315,""id"",""en"")"),"['Package', 'Telkomsel', 'week', 'price', 'strangling', 'pandemic', 'price', 'skyrocket', 'hope', 'decline', 'price', 'tomorrow', ' next day', '']")</f>
        <v>['Package', 'Telkomsel', 'week', 'price', 'strangling', 'pandemic', 'price', 'skyrocket', 'hope', 'decline', 'price', 'tomorrow', ' next day', '']</v>
      </c>
      <c r="D315" s="3">
        <v>2.0</v>
      </c>
    </row>
    <row r="316" ht="15.75" customHeight="1">
      <c r="A316" s="1">
        <v>314.0</v>
      </c>
      <c r="B316" s="3" t="s">
        <v>317</v>
      </c>
      <c r="C316" s="3" t="str">
        <f>IFERROR(__xludf.DUMMYFUNCTION("GOOGLETRANSLATE(B316,""id"",""en"")"),"['Promo', 'Yuk', 'Sharing', 'Credit', 'Telkomsel', 'Sharing', 'Smiling', 'Happy', 'Sharing', 'Beautiful']")</f>
        <v>['Promo', 'Yuk', 'Sharing', 'Credit', 'Telkomsel', 'Sharing', 'Smiling', 'Happy', 'Sharing', 'Beautiful']</v>
      </c>
      <c r="D316" s="3">
        <v>2.0</v>
      </c>
    </row>
    <row r="317" ht="15.75" customHeight="1">
      <c r="A317" s="1">
        <v>315.0</v>
      </c>
      <c r="B317" s="3" t="s">
        <v>318</v>
      </c>
      <c r="C317" s="3" t="str">
        <f>IFERROR(__xludf.DUMMYFUNCTION("GOOGLETRANSLATE(B317,""id"",""en"")"),"['enter', 'application', 'difficult', 'network', 'good', 'often', 'logout', 'account', 'login', 'reset', 'number', 'difficult', ' Login ',' reset ',' promo ',' promo ',' quota ',' internet ',' number ',' friend ',' promo ']")</f>
        <v>['enter', 'application', 'difficult', 'network', 'good', 'often', 'logout', 'account', 'login', 'reset', 'number', 'difficult', ' Login ',' reset ',' promo ',' promo ',' quota ',' internet ',' number ',' friend ',' promo ']</v>
      </c>
      <c r="D317" s="3">
        <v>2.0</v>
      </c>
    </row>
    <row r="318" ht="15.75" customHeight="1">
      <c r="A318" s="1">
        <v>316.0</v>
      </c>
      <c r="B318" s="3" t="s">
        <v>319</v>
      </c>
      <c r="C318" s="3" t="str">
        <f>IFERROR(__xludf.DUMMYFUNCTION("GOOGLETRANSLATE(B318,""id"",""en"")"),"['Telkomsel', 'already', 'rich', 'disappointed', 'deh', 'kapok', 'this make', 'network', 'missing', 'download', 'file', 'gede', ' GB ',' Network ',' Down ',' Dead ',' Electricity ',' Network ',' Nasty ',' Package ',' Expensive ',' Divided ',' Sosmed ',' Y"&amp;"ouTube ',' Game ' , 'pokonya', 'gajelas', 'please', 'repaired', '']")</f>
        <v>['Telkomsel', 'already', 'rich', 'disappointed', 'deh', 'kapok', 'this make', 'network', 'missing', 'download', 'file', 'gede', ' GB ',' Network ',' Down ',' Dead ',' Electricity ',' Network ',' Nasty ',' Package ',' Expensive ',' Divided ',' Sosmed ',' YouTube ',' Game ' , 'pokonya', 'gajelas', 'please', 'repaired', '']</v>
      </c>
      <c r="D318" s="3">
        <v>1.0</v>
      </c>
    </row>
    <row r="319" ht="15.75" customHeight="1">
      <c r="A319" s="1">
        <v>317.0</v>
      </c>
      <c r="B319" s="3" t="s">
        <v>320</v>
      </c>
      <c r="C319" s="3" t="str">
        <f>IFERROR(__xludf.DUMMYFUNCTION("GOOGLETRANSLATE(B319,""id"",""en"")"),"['enter', 'Mulu', 'enter', 'Yesterday', 'enter', 'enter', 'enter', 'what', 'please', 'fix', 'dizziness',' see ',' The rest of ',' free ',' quota ',' enter ',' enter ',' dizziness', 'ajah', 'please', 'fix', '']")</f>
        <v>['enter', 'Mulu', 'enter', 'Yesterday', 'enter', 'enter', 'enter', 'what', 'please', 'fix', 'dizziness',' see ',' The rest of ',' free ',' quota ',' enter ',' enter ',' dizziness', 'ajah', 'please', 'fix', '']</v>
      </c>
      <c r="D319" s="3">
        <v>1.0</v>
      </c>
    </row>
    <row r="320" ht="15.75" customHeight="1">
      <c r="A320" s="1">
        <v>318.0</v>
      </c>
      <c r="B320" s="3" t="s">
        <v>321</v>
      </c>
      <c r="C320" s="3" t="str">
        <f>IFERROR(__xludf.DUMMYFUNCTION("GOOGLETRANSLATE(B320,""id"",""en"")"),"['out', 'updated', 'difficult', 'login', 'signal', 'use', 'game', 'browsing', 'smooth', 'already', 'try', 'mode', ' plane ',' delete ',' cache ',' delete ',' data ',' install ',' reset ',' gabisa ',' hadehhhh ']")</f>
        <v>['out', 'updated', 'difficult', 'login', 'signal', 'use', 'game', 'browsing', 'smooth', 'already', 'try', 'mode', ' plane ',' delete ',' cache ',' delete ',' data ',' install ',' reset ',' gabisa ',' hadehhhh ']</v>
      </c>
      <c r="D320" s="3">
        <v>1.0</v>
      </c>
    </row>
    <row r="321" ht="15.75" customHeight="1">
      <c r="A321" s="1">
        <v>319.0</v>
      </c>
      <c r="B321" s="3" t="s">
        <v>322</v>
      </c>
      <c r="C321" s="3" t="str">
        <f>IFERROR(__xludf.DUMMYFUNCTION("GOOGLETRANSLATE(B321,""id"",""en"")"),"['Please', 'Login', 'Telkomsel', 'Click', 'Link', 'Expired', 'SMS', 'Link', 'Enter', 'Direct', 'Click', ""]")</f>
        <v>['Please', 'Login', 'Telkomsel', 'Click', 'Link', 'Expired', 'SMS', 'Link', 'Enter', 'Direct', 'Click', "]</v>
      </c>
      <c r="D321" s="3">
        <v>5.0</v>
      </c>
    </row>
    <row r="322" ht="15.75" customHeight="1">
      <c r="A322" s="1">
        <v>320.0</v>
      </c>
      <c r="B322" s="3" t="s">
        <v>323</v>
      </c>
      <c r="C322" s="3" t="str">
        <f>IFERROR(__xludf.DUMMYFUNCTION("GOOGLETRANSLATE(B322,""id"",""en"")"),"['please', 'Telkomsel', 'network', 'internet', 'optimize', 'already', 'use', 'Telkomsel', 'times',' disappointed ',' really ',' connection ',' Bad, 'living', 'area', 'Kalimantan', 'Kabupaten', 'Kotawaringin', 'Timur', 'District', 'Seruyan']")</f>
        <v>['please', 'Telkomsel', 'network', 'internet', 'optimize', 'already', 'use', 'Telkomsel', 'times',' disappointed ',' really ',' connection ',' Bad, 'living', 'area', 'Kalimantan', 'Kabupaten', 'Kotawaringin', 'Timur', 'District', 'Seruyan']</v>
      </c>
      <c r="D322" s="3">
        <v>1.0</v>
      </c>
    </row>
    <row r="323" ht="15.75" customHeight="1">
      <c r="A323" s="1">
        <v>321.0</v>
      </c>
      <c r="B323" s="3" t="s">
        <v>324</v>
      </c>
      <c r="C323" s="3" t="str">
        <f>IFERROR(__xludf.DUMMYFUNCTION("GOOGLETRANSLATE(B323,""id"",""en"")"),"['Login', 'Application', 'Telkomsel', 'Stuck', 'Link', 'Shipped', 'SMS', 'Buffering', 'Failed', 'Admin', 'Send', 'Email', ' response', '']")</f>
        <v>['Login', 'Application', 'Telkomsel', 'Stuck', 'Link', 'Shipped', 'SMS', 'Buffering', 'Failed', 'Admin', 'Send', 'Email', ' response', '']</v>
      </c>
      <c r="D323" s="3">
        <v>1.0</v>
      </c>
    </row>
    <row r="324" ht="15.75" customHeight="1">
      <c r="A324" s="1">
        <v>322.0</v>
      </c>
      <c r="B324" s="3" t="s">
        <v>325</v>
      </c>
      <c r="C324" s="3" t="str">
        <f>IFERROR(__xludf.DUMMYFUNCTION("GOOGLETRANSLATE(B324,""id"",""en"")"),"['Package', 'Unlimited', 'DIBESIN', 'APPLY', 'PACKAGE', 'BONUS', 'Unlimited', 'Unlimited', 'Dibitiesin', 'Males',' Telkomsel ',' Gini ',' expensive ',' signal ',' difficult ']")</f>
        <v>['Package', 'Unlimited', 'DIBESIN', 'APPLY', 'PACKAGE', 'BONUS', 'Unlimited', 'Unlimited', 'Dibitiesin', 'Males',' Telkomsel ',' Gini ',' expensive ',' signal ',' difficult ']</v>
      </c>
      <c r="D324" s="3">
        <v>1.0</v>
      </c>
    </row>
    <row r="325" ht="15.75" customHeight="1">
      <c r="A325" s="1">
        <v>323.0</v>
      </c>
      <c r="B325" s="3" t="s">
        <v>326</v>
      </c>
      <c r="C325" s="3" t="str">
        <f>IFERROR(__xludf.DUMMYFUNCTION("GOOGLETRANSLATE(B325,""id"",""en"")"),"['Please', 'Telkomsel', 'Tower', 'Established', 'Karna', 'Village', 'Tower', 'Signal', 'Difficult', 'Next', 'Address',' Village ',' Manggar ',' Raya ',' Kec ',' Tanjung ',' Lago ',' Kab ',' Banyuasin ',' Province ',' Sum ',' Cell ',' Palembang ', ""]")</f>
        <v>['Please', 'Telkomsel', 'Tower', 'Established', 'Karna', 'Village', 'Tower', 'Signal', 'Difficult', 'Next', 'Address',' Village ',' Manggar ',' Raya ',' Kec ',' Tanjung ',' Lago ',' Kab ',' Banyuasin ',' Province ',' Sum ',' Cell ',' Palembang ', "]</v>
      </c>
      <c r="D325" s="3">
        <v>5.0</v>
      </c>
    </row>
    <row r="326" ht="15.75" customHeight="1">
      <c r="A326" s="1">
        <v>324.0</v>
      </c>
      <c r="B326" s="3" t="s">
        <v>327</v>
      </c>
      <c r="C326" s="3" t="str">
        <f>IFERROR(__xludf.DUMMYFUNCTION("GOOGLETRANSLATE(B326,""id"",""en"")"),"['Hello', 'Boyolali', 'signal', 'Telkomsel', 'Gear', 'deteriorated', 'user', 'number', 'Telkomsel', 'signal', 'difficult', 'Please', ' Repaired ',' Sorry ',' Maturing ',' Heart ',' ']")</f>
        <v>['Hello', 'Boyolali', 'signal', 'Telkomsel', 'Gear', 'deteriorated', 'user', 'number', 'Telkomsel', 'signal', 'difficult', 'Please', ' Repaired ',' Sorry ',' Maturing ',' Heart ',' ']</v>
      </c>
      <c r="D326" s="3">
        <v>2.0</v>
      </c>
    </row>
    <row r="327" ht="15.75" customHeight="1">
      <c r="A327" s="1">
        <v>325.0</v>
      </c>
      <c r="B327" s="3" t="s">
        <v>328</v>
      </c>
      <c r="C327" s="3" t="str">
        <f>IFERROR(__xludf.DUMMYFUNCTION("GOOGLETRANSLATE(B327,""id"",""en"")"),"['tesss',' easy ',' application ',' help ',' vavite ',' person ',' uses', 'progress',' home ',' suction ',' thumbs', 'shape', ' thank you', '']")</f>
        <v>['tesss',' easy ',' application ',' help ',' vavite ',' person ',' uses', 'progress',' home ',' suction ',' thumbs', 'shape', ' thank you', '']</v>
      </c>
      <c r="D327" s="3">
        <v>5.0</v>
      </c>
    </row>
    <row r="328" ht="15.75" customHeight="1">
      <c r="A328" s="1">
        <v>326.0</v>
      </c>
      <c r="B328" s="3" t="s">
        <v>329</v>
      </c>
      <c r="C328" s="3" t="str">
        <f>IFERROR(__xludf.DUMMYFUNCTION("GOOGLETRANSLATE(B328,""id"",""en"")"),"['Trying', 'open', 'application', 'Telkomsel', 'MyTelkomsel', 'open', 'enter', 'display', 'screen', 'white', 'screen', 'blank', ' buy ',' package ',' internet ',' buy ',' package ',' internet ',' application ',' menu ',' package ',' internet ',' appears',"&amp;" 'hope', 'repair' , 'Comfort', 'Customer', 'In the future', '']")</f>
        <v>['Trying', 'open', 'application', 'Telkomsel', 'MyTelkomsel', 'open', 'enter', 'display', 'screen', 'white', 'screen', 'blank', ' buy ',' package ',' internet ',' buy ',' package ',' internet ',' application ',' menu ',' package ',' internet ',' appears', 'hope', 'repair' , 'Comfort', 'Customer', 'In the future', '']</v>
      </c>
      <c r="D328" s="3">
        <v>1.0</v>
      </c>
    </row>
    <row r="329" ht="15.75" customHeight="1">
      <c r="A329" s="1">
        <v>327.0</v>
      </c>
      <c r="B329" s="3" t="s">
        <v>330</v>
      </c>
      <c r="C329" s="3" t="str">
        <f>IFERROR(__xludf.DUMMYFUNCTION("GOOGLETRANSLATE(B329,""id"",""en"")"),"['Nanyany', 'Min', 'I'll be', 'buy', 'credit', 'emergency', 'Magi', 'right', 'buy', 'puls',' automatically ',' truncated ',' Cut it ',' Pointed ',' Paying ',' Application ',' Loss', 'Please', 'Min', 'Fix', 'Fear', 'Renaibut']")</f>
        <v>['Nanyany', 'Min', 'I'll be', 'buy', 'credit', 'emergency', 'Magi', 'right', 'buy', 'puls',' automatically ',' truncated ',' Cut it ',' Pointed ',' Paying ',' Application ',' Loss', 'Please', 'Min', 'Fix', 'Fear', 'Renaibut']</v>
      </c>
      <c r="D329" s="3">
        <v>2.0</v>
      </c>
    </row>
    <row r="330" ht="15.75" customHeight="1">
      <c r="A330" s="1">
        <v>328.0</v>
      </c>
      <c r="B330" s="3" t="s">
        <v>331</v>
      </c>
      <c r="C330" s="3" t="str">
        <f>IFERROR(__xludf.DUMMYFUNCTION("GOOGLETRANSLATE(B330,""id"",""en"")"),"['application', 'then', 'strange', 'really', 'sms',' Telkomsel ',' package ',' GB ',' active ',' August ',' buy ',' right ',' SMS ',' buy ',' package ',' GB ',' right ',' check ',' situ ',' promo ',' really ',' disappointed ',' really ',' already ',' user"&amp;" ' , 'Telkomsel', 'Lecture', 'Kayak', 'Gini', 'It's', 'Silling', 'Account', 'Telkomsel', '']")</f>
        <v>['application', 'then', 'strange', 'really', 'sms',' Telkomsel ',' package ',' GB ',' active ',' August ',' buy ',' right ',' SMS ',' buy ',' package ',' GB ',' right ',' check ',' situ ',' promo ',' really ',' disappointed ',' really ',' already ',' user ' , 'Telkomsel', 'Lecture', 'Kayak', 'Gini', 'It's', 'Silling', 'Account', 'Telkomsel', '']</v>
      </c>
      <c r="D330" s="3">
        <v>3.0</v>
      </c>
    </row>
    <row r="331" ht="15.75" customHeight="1">
      <c r="A331" s="1">
        <v>329.0</v>
      </c>
      <c r="B331" s="3" t="s">
        <v>332</v>
      </c>
      <c r="C331" s="3" t="str">
        <f>IFERROR(__xludf.DUMMYFUNCTION("GOOGLETRANSLATE(B331,""id"",""en"")"),"['updated', 'super', 'slow', 'quota', 'network', 'good', 'already', 'restart', 'buy', 'package', 'difficult', 'fix', ' ']")</f>
        <v>['updated', 'super', 'slow', 'quota', 'network', 'good', 'already', 'restart', 'buy', 'package', 'difficult', 'fix', ' ']</v>
      </c>
      <c r="D331" s="3">
        <v>1.0</v>
      </c>
    </row>
    <row r="332" ht="15.75" customHeight="1">
      <c r="A332" s="1">
        <v>330.0</v>
      </c>
      <c r="B332" s="3" t="s">
        <v>333</v>
      </c>
      <c r="C332" s="3" t="str">
        <f>IFERROR(__xludf.DUMMYFUNCTION("GOOGLETRANSLATE(B332,""id"",""en"")"),"['Telkomsel', 'turn', 'Change', 'application', 'difficult', 'bnget', 'enter', 'mlah', 'number', 'registered', 'drdl', 'pkek', ' Nomers', 'how', 'enter', 'Telkomsel']")</f>
        <v>['Telkomsel', 'turn', 'Change', 'application', 'difficult', 'bnget', 'enter', 'mlah', 'number', 'registered', 'drdl', 'pkek', ' Nomers', 'how', 'enter', 'Telkomsel']</v>
      </c>
      <c r="D332" s="3">
        <v>1.0</v>
      </c>
    </row>
    <row r="333" ht="15.75" customHeight="1">
      <c r="A333" s="1">
        <v>331.0</v>
      </c>
      <c r="B333" s="3" t="s">
        <v>334</v>
      </c>
      <c r="C333" s="3" t="str">
        <f>IFERROR(__xludf.DUMMYFUNCTION("GOOGLETRANSLATE(B333,""id"",""en"")"),"['Install', 'app', 'disappointed', 'signal', 'area', 'difficult', 'signal', 'ning', 'mbok', 'repaired', 'imagine', 'replace', ' Lho ',' Telkomsel ',' Beheading ',' Sousal ',' Bener ',' Sad ',' ']")</f>
        <v>['Install', 'app', 'disappointed', 'signal', 'area', 'difficult', 'signal', 'ning', 'mbok', 'repaired', 'imagine', 'replace', ' Lho ',' Telkomsel ',' Beheading ',' Sousal ',' Bener ',' Sad ',' ']</v>
      </c>
      <c r="D333" s="3">
        <v>1.0</v>
      </c>
    </row>
    <row r="334" ht="15.75" customHeight="1">
      <c r="A334" s="1">
        <v>332.0</v>
      </c>
      <c r="B334" s="3" t="s">
        <v>335</v>
      </c>
      <c r="C334" s="3" t="str">
        <f>IFERROR(__xludf.DUMMYFUNCTION("GOOGLETRANSLATE(B334,""id"",""en"")"),"['Woy', 'min', 'stlh', 'update', 'knp', 'login', 'tsel', 'pdhal', 'signal', 'slow', 'threat', 'package', ' expensive ',' Dri ',' laen ',' rich ',' gini ',' can ', ""]")</f>
        <v>['Woy', 'min', 'stlh', 'update', 'knp', 'login', 'tsel', 'pdhal', 'signal', 'slow', 'threat', 'package', ' expensive ',' Dri ',' laen ',' rich ',' gini ',' can ', "]</v>
      </c>
      <c r="D334" s="3">
        <v>1.0</v>
      </c>
    </row>
    <row r="335" ht="15.75" customHeight="1">
      <c r="A335" s="1">
        <v>333.0</v>
      </c>
      <c r="B335" s="3" t="s">
        <v>336</v>
      </c>
      <c r="C335" s="3" t="str">
        <f>IFERROR(__xludf.DUMMYFUNCTION("GOOGLETRANSLATE(B335,""id"",""en"")"),"['complaints',' loan ',' credit ',' loan ',' sms', 'bill', 'noon', 'entry', 'yesterday', 'pls',' cut ',' Please, 'Help']")</f>
        <v>['complaints',' loan ',' credit ',' loan ',' sms', 'bill', 'noon', 'entry', 'yesterday', 'pls',' cut ',' Please, 'Help']</v>
      </c>
      <c r="D335" s="3">
        <v>4.0</v>
      </c>
    </row>
    <row r="336" ht="15.75" customHeight="1">
      <c r="A336" s="1">
        <v>334.0</v>
      </c>
      <c r="B336" s="3" t="s">
        <v>337</v>
      </c>
      <c r="C336" s="3" t="str">
        <f>IFERROR(__xludf.DUMMYFUNCTION("GOOGLETRANSLATE(B336,""id"",""en"")"),"['buy', 'package', 'combo', 'failed', 'description', 'leftover', 'pulse', 'sufficient', 'buy', 'package', 'combo', 'please', ' Fill ',' reset ',' pulse ',' buy ',' package ',' Try ',' buy ',' package ',' missing ',' list ',' Telkomsel ',' intention ',' lo"&amp;"ve ' , 'offer', 'package', 'joking', '']")</f>
        <v>['buy', 'package', 'combo', 'failed', 'description', 'leftover', 'pulse', 'sufficient', 'buy', 'package', 'combo', 'please', ' Fill ',' reset ',' pulse ',' buy ',' package ',' Try ',' buy ',' package ',' missing ',' list ',' Telkomsel ',' intention ',' love ' , 'offer', 'package', 'joking', '']</v>
      </c>
      <c r="D336" s="3">
        <v>1.0</v>
      </c>
    </row>
    <row r="337" ht="15.75" customHeight="1">
      <c r="A337" s="1">
        <v>335.0</v>
      </c>
      <c r="B337" s="3" t="s">
        <v>338</v>
      </c>
      <c r="C337" s="3" t="str">
        <f>IFERROR(__xludf.DUMMYFUNCTION("GOOGLETRANSLATE(B337,""id"",""en"")"),"['application', 'Telkomsel', 'bad', 'compared to', 'application', 'im', 'entry', 'difficult', 'delete', 'download', 'hope', 'entry', ' HARD ',' DIIPLIKAKAKANA ',' SeVeum ',' Sevelum ',' Enter ',' Menu ',' Heavy ',' Loading ',' Enter ',' Application ',' Mu"&amp;"st ',' press', 'SMS' , 'repaired', '']")</f>
        <v>['application', 'Telkomsel', 'bad', 'compared to', 'application', 'im', 'entry', 'difficult', 'delete', 'download', 'hope', 'entry', ' HARD ',' DIIPLIKAKAKANA ',' SeVeum ',' Sevelum ',' Enter ',' Menu ',' Heavy ',' Loading ',' Enter ',' Application ',' Must ',' press', 'SMS' , 'repaired', '']</v>
      </c>
      <c r="D337" s="3">
        <v>1.0</v>
      </c>
    </row>
    <row r="338" ht="15.75" customHeight="1">
      <c r="A338" s="1">
        <v>336.0</v>
      </c>
      <c r="B338" s="3" t="s">
        <v>339</v>
      </c>
      <c r="C338" s="3" t="str">
        <f>IFERROR(__xludf.DUMMYFUNCTION("GOOGLETRANSLATE(B338,""id"",""en"")"),"['What', 'difficult', 'see', 'leftover', 'package', 'application', 'error', 'mulu', 'network', 'fast', 'application', 'ngelag', ' Mulu ']")</f>
        <v>['What', 'difficult', 'see', 'leftover', 'package', 'application', 'error', 'mulu', 'network', 'fast', 'application', 'ngelag', ' Mulu ']</v>
      </c>
      <c r="D338" s="3">
        <v>1.0</v>
      </c>
    </row>
    <row r="339" ht="15.75" customHeight="1">
      <c r="A339" s="1">
        <v>337.0</v>
      </c>
      <c r="B339" s="3" t="s">
        <v>340</v>
      </c>
      <c r="C339" s="3" t="str">
        <f>IFERROR(__xludf.DUMMYFUNCTION("GOOGLETRANSLATE(B339,""id"",""en"")"),"['signal', 'then', 'decreases',' internet ',' crazy ',' price ',' package ',' expensive ',' according to ',' network ',' bangett ',' bangett ',' Telkomsel ',' skg ',' mending ',' im ',' hrga ',' package ',' bnyk ',' promo ',' dqn ',' network ',' stable ',"&amp;"' severe ',' tsel ' , 'skg', 'andelin', 'expensive', 'doang', ""]")</f>
        <v>['signal', 'then', 'decreases',' internet ',' crazy ',' price ',' package ',' expensive ',' according to ',' network ',' bangett ',' bangett ',' Telkomsel ',' skg ',' mending ',' im ',' hrga ',' package ',' bnyk ',' promo ',' dqn ',' network ',' stable ',' severe ',' tsel ' , 'skg', 'andelin', 'expensive', 'doang', "]</v>
      </c>
      <c r="D339" s="3">
        <v>1.0</v>
      </c>
    </row>
    <row r="340" ht="15.75" customHeight="1">
      <c r="A340" s="1">
        <v>338.0</v>
      </c>
      <c r="B340" s="3" t="s">
        <v>341</v>
      </c>
      <c r="C340" s="3" t="str">
        <f>IFERROR(__xludf.DUMMYFUNCTION("GOOGLETRANSLATE(B340,""id"",""en"")"),"['Disappointed', 'really', 'buy', 'package', 'subscription', 'Sampe', 'complaints',' response ',' chat ',' customer ',' service ',' service ',' zero ',' oath ',' disappointed ',' application ',' operator ',' worry ',' sampe ',' moved ',' operator ',' bad "&amp;"',' service ']")</f>
        <v>['Disappointed', 'really', 'buy', 'package', 'subscription', 'Sampe', 'complaints',' response ',' chat ',' customer ',' service ',' service ',' zero ',' oath ',' disappointed ',' application ',' operator ',' worry ',' sampe ',' moved ',' operator ',' bad ',' service ']</v>
      </c>
      <c r="D340" s="3">
        <v>1.0</v>
      </c>
    </row>
    <row r="341" ht="15.75" customHeight="1">
      <c r="A341" s="1">
        <v>339.0</v>
      </c>
      <c r="B341" s="3" t="s">
        <v>342</v>
      </c>
      <c r="C341" s="3" t="str">
        <f>IFERROR(__xludf.DUMMYFUNCTION("GOOGLETRANSLATE(B341,""id"",""en"")"),"['update', 'version', 'newest', 'slow', 'login', 'duration', 'click', 'sms',' second ',' sms', 'tetima', 'seconds',' Enter ',' application ']")</f>
        <v>['update', 'version', 'newest', 'slow', 'login', 'duration', 'click', 'sms',' second ',' sms', 'tetima', 'seconds',' Enter ',' application ']</v>
      </c>
      <c r="D341" s="3">
        <v>1.0</v>
      </c>
    </row>
    <row r="342" ht="15.75" customHeight="1">
      <c r="A342" s="1">
        <v>340.0</v>
      </c>
      <c r="B342" s="3" t="s">
        <v>343</v>
      </c>
      <c r="C342" s="3" t="str">
        <f>IFERROR(__xludf.DUMMYFUNCTION("GOOGLETRANSLATE(B342,""id"",""en"")"),"['enter', 'Telkomsel', 'error', 'link', 'upload', 'failed', 'entry', 'ugly', 'really', 'please', 'solution', 'thank', ' love', '']")</f>
        <v>['enter', 'Telkomsel', 'error', 'link', 'upload', 'failed', 'entry', 'ugly', 'really', 'please', 'solution', 'thank', ' love', '']</v>
      </c>
      <c r="D342" s="3">
        <v>1.0</v>
      </c>
    </row>
    <row r="343" ht="15.75" customHeight="1">
      <c r="A343" s="1">
        <v>341.0</v>
      </c>
      <c r="B343" s="3" t="s">
        <v>344</v>
      </c>
      <c r="C343" s="3" t="str">
        <f>IFERROR(__xludf.DUMMYFUNCTION("GOOGLETRANSLATE(B343,""id"",""en"")"),"['Mimin', 'How', 'Telkomsel', 'People', 'Login', 'Verification', 'How', 'Lwat', 'MyTelkomsel', 'Update', 'Login', 'Difficult', ' Forgiveness', 'Bagusan', 'Delet', 'Discard', 'The card', 'dizzy']")</f>
        <v>['Mimin', 'How', 'Telkomsel', 'People', 'Login', 'Verification', 'How', 'Lwat', 'MyTelkomsel', 'Update', 'Login', 'Difficult', ' Forgiveness', 'Bagusan', 'Delet', 'Discard', 'The card', 'dizzy']</v>
      </c>
      <c r="D343" s="3">
        <v>1.0</v>
      </c>
    </row>
    <row r="344" ht="15.75" customHeight="1">
      <c r="A344" s="1">
        <v>342.0</v>
      </c>
      <c r="B344" s="3" t="s">
        <v>345</v>
      </c>
      <c r="C344" s="3" t="str">
        <f>IFERROR(__xludf.DUMMYFUNCTION("GOOGLETRANSLATE(B344,""id"",""en"")"),"['please', 'Telkomsel', 'already', 'buy', 'package', 'education', 'week', 'right', 'google', 'meet', 'reduced', 'quota', ' main ',' Quota ',' quota ',' education ',' google ',' meet ',' accessed ',' quota ',' education ',' please ',' system ',' repair ', "&amp;"""]")</f>
        <v>['please', 'Telkomsel', 'already', 'buy', 'package', 'education', 'week', 'right', 'google', 'meet', 'reduced', 'quota', ' main ',' Quota ',' quota ',' education ',' google ',' meet ',' accessed ',' quota ',' education ',' please ',' system ',' repair ', "]</v>
      </c>
      <c r="D344" s="3">
        <v>3.0</v>
      </c>
    </row>
    <row r="345" ht="15.75" customHeight="1">
      <c r="A345" s="1">
        <v>343.0</v>
      </c>
      <c r="B345" s="3" t="s">
        <v>346</v>
      </c>
      <c r="C345" s="3" t="str">
        <f>IFERROR(__xludf.DUMMYFUNCTION("GOOGLETRANSLATE(B345,""id"",""en"")"),"['Please', 'Open', 'App', 'Telkomsel', 'Log', 'reset', 'difficult', 'really', 'log', 'beg', 'fix', 'service', ' ']")</f>
        <v>['Please', 'Open', 'App', 'Telkomsel', 'Log', 'reset', 'difficult', 'really', 'log', 'beg', 'fix', 'service', ' ']</v>
      </c>
      <c r="D345" s="3">
        <v>1.0</v>
      </c>
    </row>
    <row r="346" ht="15.75" customHeight="1">
      <c r="A346" s="1">
        <v>344.0</v>
      </c>
      <c r="B346" s="3" t="s">
        <v>347</v>
      </c>
      <c r="C346" s="3" t="str">
        <f>IFERROR(__xludf.DUMMYFUNCTION("GOOGLETRANSLATE(B346,""id"",""en"")"),"['With you', 'Telkomsel', 'Moor', 'Sousal', 'ugly', 'SPT', 'skrg', 'Application', 'updated', 'updated', 'used', 'please' Customize ',' service ',' price ',' comparable ',' ']")</f>
        <v>['With you', 'Telkomsel', 'Moor', 'Sousal', 'ugly', 'SPT', 'skrg', 'Application', 'updated', 'updated', 'used', 'please' Customize ',' service ',' price ',' comparable ',' ']</v>
      </c>
      <c r="D346" s="3">
        <v>1.0</v>
      </c>
    </row>
    <row r="347" ht="15.75" customHeight="1">
      <c r="A347" s="1">
        <v>345.0</v>
      </c>
      <c r="B347" s="3" t="s">
        <v>348</v>
      </c>
      <c r="C347" s="3" t="str">
        <f>IFERROR(__xludf.DUMMYFUNCTION("GOOGLETRANSLATE(B347,""id"",""en"")"),"['Please', 'Application', 'Log', 'IUT', 'Application', 'Stopped', 'Cuman', 'Telkomsel', 'Application', 'Perdana', 'Log', 'Out', ' Stopped ',' HandPhone ',' Konestar ',' Repeated ',' Times', 'Please', 'Fix']")</f>
        <v>['Please', 'Application', 'Log', 'IUT', 'Application', 'Stopped', 'Cuman', 'Telkomsel', 'Application', 'Perdana', 'Log', 'Out', ' Stopped ',' HandPhone ',' Konestar ',' Repeated ',' Times', 'Please', 'Fix']</v>
      </c>
      <c r="D347" s="3">
        <v>4.0</v>
      </c>
    </row>
    <row r="348" ht="15.75" customHeight="1">
      <c r="A348" s="1">
        <v>346.0</v>
      </c>
      <c r="B348" s="3" t="s">
        <v>349</v>
      </c>
      <c r="C348" s="3" t="str">
        <f>IFERROR(__xludf.DUMMYFUNCTION("GOOGLETRANSLATE(B348,""id"",""en"")"),"['Application', 'MyTelkomsel', 'Update', 'Gabisa', 'Opened', 'Try', 'Uninstall', 'Install', 'Re-Install', 'Login', 'Enter', 'Make', ' mytelkomsel ',' rare ',' problematic ',' problematic ',' please ',' fix ']")</f>
        <v>['Application', 'MyTelkomsel', 'Update', 'Gabisa', 'Opened', 'Try', 'Uninstall', 'Install', 'Re-Install', 'Login', 'Enter', 'Make', ' mytelkomsel ',' rare ',' problematic ',' problematic ',' please ',' fix ']</v>
      </c>
      <c r="D348" s="3">
        <v>1.0</v>
      </c>
    </row>
    <row r="349" ht="15.75" customHeight="1">
      <c r="A349" s="1">
        <v>347.0</v>
      </c>
      <c r="B349" s="3" t="s">
        <v>350</v>
      </c>
      <c r="C349" s="3" t="str">
        <f>IFERROR(__xludf.DUMMYFUNCTION("GOOGLETRANSLATE(B349,""id"",""en"")"),"['Telkomsel', 'buy', 'package', 'SDNG', 'processed', 'pulse', 'run out', 'SJA', 'Time', 'run out', 'pulses',' that's', ' SJA ',' Service ',' Telkomsel ',' Bgus', 'Imagine', 'Times',' Pulse ',' Out ',' Register ',' Package ',' Pinda ',' Card ',' Dripada ' "&amp;", 'Times', 'pulses', 'run out', 'BGitu', 'SJA']")</f>
        <v>['Telkomsel', 'buy', 'package', 'SDNG', 'processed', 'pulse', 'run out', 'SJA', 'Time', 'run out', 'pulses',' that's', ' SJA ',' Service ',' Telkomsel ',' Bgus', 'Imagine', 'Times',' Pulse ',' Out ',' Register ',' Package ',' Pinda ',' Card ',' Dripada ' , 'Times', 'pulses', 'run out', 'BGitu', 'SJA']</v>
      </c>
      <c r="D349" s="3">
        <v>1.0</v>
      </c>
    </row>
    <row r="350" ht="15.75" customHeight="1">
      <c r="A350" s="1">
        <v>348.0</v>
      </c>
      <c r="B350" s="3" t="s">
        <v>351</v>
      </c>
      <c r="C350" s="3" t="str">
        <f>IFERROR(__xludf.DUMMYFUNCTION("GOOGLETRANSLATE(B350,""id"",""en"")"),"['error', 'mulu', 'yesterday', 'signal', 'smooth', 'until', 'wifi', 'tetep', 'nga', 'enter', 'update', 'clear', ' Data ',' Chance ',' Distop ',' App ',' Wonder ', ""]")</f>
        <v>['error', 'mulu', 'yesterday', 'signal', 'smooth', 'until', 'wifi', 'tetep', 'nga', 'enter', 'update', 'clear', ' Data ',' Chance ',' Distop ',' App ',' Wonder ', "]</v>
      </c>
      <c r="D350" s="3">
        <v>1.0</v>
      </c>
    </row>
    <row r="351" ht="15.75" customHeight="1">
      <c r="A351" s="1">
        <v>349.0</v>
      </c>
      <c r="B351" s="3" t="s">
        <v>352</v>
      </c>
      <c r="C351" s="3" t="str">
        <f>IFERROR(__xludf.DUMMYFUNCTION("GOOGLETRANSLATE(B351,""id"",""en"")"),"['Signal', 'Telkomsel', 'Severe', 'really', 'Andelin', 'Switch', 'It's better', 'use', 'signalny', 'satisfaction', 'users', ""]")</f>
        <v>['Signal', 'Telkomsel', 'Severe', 'really', 'Andelin', 'Switch', 'It's better', 'use', 'signalny', 'satisfaction', 'users', "]</v>
      </c>
      <c r="D351" s="3">
        <v>1.0</v>
      </c>
    </row>
    <row r="352" ht="15.75" customHeight="1">
      <c r="A352" s="1">
        <v>350.0</v>
      </c>
      <c r="B352" s="3" t="s">
        <v>353</v>
      </c>
      <c r="C352" s="3" t="str">
        <f>IFERROR(__xludf.DUMMYFUNCTION("GOOGLETRANSLATE(B352,""id"",""en"")"),"['SUCCESS', 'Update', 'Open', 'Application', 'Update', 'PlayStore', 'PlayStore', 'Choice', 'Uninstall', 'Uninstall', 'enter', ' Login ',' OTP ',' ']")</f>
        <v>['SUCCESS', 'Update', 'Open', 'Application', 'Update', 'PlayStore', 'PlayStore', 'Choice', 'Uninstall', 'Uninstall', 'enter', ' Login ',' OTP ',' ']</v>
      </c>
      <c r="D352" s="3">
        <v>1.0</v>
      </c>
    </row>
    <row r="353" ht="15.75" customHeight="1">
      <c r="A353" s="1">
        <v>351.0</v>
      </c>
      <c r="B353" s="3" t="s">
        <v>354</v>
      </c>
      <c r="C353" s="3" t="str">
        <f>IFERROR(__xludf.DUMMYFUNCTION("GOOGLETRANSLATE(B353,""id"",""en"")"),"['Knp', 'Credit', 'Reduced', 'Use', 'Package', 'Please', 'Fix', 'Disappointed', 'KLI', 'BLI', 'Credit', 'Reduced', ' ']")</f>
        <v>['Knp', 'Credit', 'Reduced', 'Use', 'Package', 'Please', 'Fix', 'Disappointed', 'KLI', 'BLI', 'Credit', 'Reduced', ' ']</v>
      </c>
      <c r="D353" s="3">
        <v>2.0</v>
      </c>
    </row>
    <row r="354" ht="15.75" customHeight="1">
      <c r="A354" s="1">
        <v>352.0</v>
      </c>
      <c r="B354" s="3" t="s">
        <v>355</v>
      </c>
      <c r="C354" s="3" t="str">
        <f>IFERROR(__xludf.DUMMYFUNCTION("GOOGLETRANSLATE(B354,""id"",""en"")"),"['Application', 'Telkomsel', 'in the future', 'poor', 'dilapidated', 'coma', 'thinking', 'chance', 'thinking', 'what', 'consumers',' happy ',' Application ',' rotten ',' difficult ',' enter ',' KB ',' Speed ​​',' Network ',' suggest ',' contact ',' direct"&amp;"ly ',' Benerin ',' person ',' customer ' , 'Ngeluh', 'reason', 'hope', 'in the future', 'added', 'rotten', 'application']")</f>
        <v>['Application', 'Telkomsel', 'in the future', 'poor', 'dilapidated', 'coma', 'thinking', 'chance', 'thinking', 'what', 'consumers',' happy ',' Application ',' rotten ',' difficult ',' enter ',' KB ',' Speed ​​',' Network ',' suggest ',' contact ',' directly ',' Benerin ',' person ',' customer ' , 'Ngeluh', 'reason', 'hope', 'in the future', 'added', 'rotten', 'application']</v>
      </c>
      <c r="D354" s="3">
        <v>1.0</v>
      </c>
    </row>
    <row r="355" ht="15.75" customHeight="1">
      <c r="A355" s="1">
        <v>353.0</v>
      </c>
      <c r="B355" s="3" t="s">
        <v>356</v>
      </c>
      <c r="C355" s="3" t="str">
        <f>IFERROR(__xludf.DUMMYFUNCTION("GOOGLETRANSLATE(B355,""id"",""en"")"),"['take', 'Package', 'Telkomsel', 'Processed', 'Network', 'Telkomsel', 'Slow', 'Gini', ""]")</f>
        <v>['take', 'Package', 'Telkomsel', 'Processed', 'Network', 'Telkomsel', 'Slow', 'Gini', "]</v>
      </c>
      <c r="D355" s="3">
        <v>2.0</v>
      </c>
    </row>
    <row r="356" ht="15.75" customHeight="1">
      <c r="A356" s="1">
        <v>354.0</v>
      </c>
      <c r="B356" s="3" t="s">
        <v>357</v>
      </c>
      <c r="C356" s="3" t="str">
        <f>IFERROR(__xludf.DUMMYFUNCTION("GOOGLETRANSLATE(B356,""id"",""en"")"),"['network', 'Telkomsel', 'disappointed', 'really', 'date', 'application', 'MyTelkomsel', 'opened', 'stay', 'JKRT', 'ironic', 'gini', ' buy ',' package ',' use ',' please ',' repair ']")</f>
        <v>['network', 'Telkomsel', 'disappointed', 'really', 'date', 'application', 'MyTelkomsel', 'opened', 'stay', 'JKRT', 'ironic', 'gini', ' buy ',' package ',' use ',' please ',' repair ']</v>
      </c>
      <c r="D356" s="3">
        <v>1.0</v>
      </c>
    </row>
    <row r="357" ht="15.75" customHeight="1">
      <c r="A357" s="1">
        <v>355.0</v>
      </c>
      <c r="B357" s="3" t="s">
        <v>358</v>
      </c>
      <c r="C357" s="3" t="str">
        <f>IFERROR(__xludf.DUMMYFUNCTION("GOOGLETRANSLATE(B357,""id"",""en"")"),"['Application', 'opened', 'difficult', 'Loading', 'reset', 'signal', 'okay', 'SAY', 'Yesterday', 'buy', 'pulse', 'quota', ' Pulses', 'Out', '']")</f>
        <v>['Application', 'opened', 'difficult', 'Loading', 'reset', 'signal', 'okay', 'SAY', 'Yesterday', 'buy', 'pulse', 'quota', ' Pulses', 'Out', '']</v>
      </c>
      <c r="D357" s="3">
        <v>2.0</v>
      </c>
    </row>
    <row r="358" ht="15.75" customHeight="1">
      <c r="A358" s="1">
        <v>356.0</v>
      </c>
      <c r="B358" s="3" t="s">
        <v>359</v>
      </c>
      <c r="C358" s="3" t="str">
        <f>IFERROR(__xludf.DUMMYFUNCTION("GOOGLETRANSLATE(B358,""id"",""en"")"),"['', 'regretting', 'quality', 'network', 'users', 'APK', 'Out', 'Increase', 'Quality', 'Login', 'Thank you', ""]")</f>
        <v>['', 'regretting', 'quality', 'network', 'users', 'APK', 'Out', 'Increase', 'Quality', 'Login', 'Thank you', "]</v>
      </c>
      <c r="D358" s="3">
        <v>1.0</v>
      </c>
    </row>
    <row r="359" ht="15.75" customHeight="1">
      <c r="A359" s="1">
        <v>357.0</v>
      </c>
      <c r="B359" s="3" t="s">
        <v>360</v>
      </c>
      <c r="C359" s="3" t="str">
        <f>IFERROR(__xludf.DUMMYFUNCTION("GOOGLETRANSLATE(B359,""id"",""en"")"),"['Used', 'Please', 'Repaired', 'Application', 'Latest', 'Forced', 'Hunted', 'Buru', 'Team', 'Developer', 'Telkomsel', 'Please', ' repaired ',' application ',' easy ',' light ',' application ',' thank ',' love ']")</f>
        <v>['Used', 'Please', 'Repaired', 'Application', 'Latest', 'Forced', 'Hunted', 'Buru', 'Team', 'Developer', 'Telkomsel', 'Please', ' repaired ',' application ',' easy ',' light ',' application ',' thank ',' love ']</v>
      </c>
      <c r="D359" s="3">
        <v>1.0</v>
      </c>
    </row>
    <row r="360" ht="15.75" customHeight="1">
      <c r="A360" s="1">
        <v>358.0</v>
      </c>
      <c r="B360" s="3" t="s">
        <v>361</v>
      </c>
      <c r="C360" s="3" t="str">
        <f>IFERROR(__xludf.DUMMYFUNCTION("GOOGLETRANSLATE(B360,""id"",""en"")"),"['Telkomsel', 'entry', 'pad', 'check', 'enter', 'failed', 'error', 'disappointed', 'package', 'call', 'promo', 'change', ' Logo ',' Package ',' Expensive ',' Please ',' Explanation ',' Related ',' Dadly ',' Bahi ',' Telkomsel ',' Easily ',' Purchase ',' P"&amp;"ackage ',' Check ' , 'balance', 'disturbed', '']")</f>
        <v>['Telkomsel', 'entry', 'pad', 'check', 'enter', 'failed', 'error', 'disappointed', 'package', 'call', 'promo', 'change', ' Logo ',' Package ',' Expensive ',' Please ',' Explanation ',' Related ',' Dadly ',' Bahi ',' Telkomsel ',' Easily ',' Purchase ',' Package ',' Check ' , 'balance', 'disturbed', '']</v>
      </c>
      <c r="D360" s="3">
        <v>3.0</v>
      </c>
    </row>
    <row r="361" ht="15.75" customHeight="1">
      <c r="A361" s="1">
        <v>359.0</v>
      </c>
      <c r="B361" s="3" t="s">
        <v>362</v>
      </c>
      <c r="C361" s="3" t="str">
        <f>IFERROR(__xludf.DUMMYFUNCTION("GOOGLETRANSLATE(B361,""id"",""en"")"),"['Matpg', 'SaYakasih', 'Star', 'Customer', 'Denied', 'Purpose', 'MAIN', 'Thanks',' Sorry ',' Package ',' Quota ',' Use ',' Wait ',' my sister ',' bought ',' package ',' quota ',' reported ',' money ',' fall ',' Where ',' Thanks', ""]")</f>
        <v>['Matpg', 'SaYakasih', 'Star', 'Customer', 'Denied', 'Purpose', 'MAIN', 'Thanks',' Sorry ',' Package ',' Quota ',' Use ',' Wait ',' my sister ',' bought ',' package ',' quota ',' reported ',' money ',' fall ',' Where ',' Thanks', "]</v>
      </c>
      <c r="D361" s="3">
        <v>5.0</v>
      </c>
    </row>
    <row r="362" ht="15.75" customHeight="1">
      <c r="A362" s="1">
        <v>360.0</v>
      </c>
      <c r="B362" s="3" t="s">
        <v>363</v>
      </c>
      <c r="C362" s="3" t="str">
        <f>IFERROR(__xludf.DUMMYFUNCTION("GOOGLETRANSLATE(B362,""id"",""en"")"),"['The application', 'KNP', 'opened', 'UDH', 'signal', 'missing', 'UDH', 'card', 'Tetep', 'Open', 'Application', 'Telkomsel', ' Knp ',' knp ',' knp ']")</f>
        <v>['The application', 'KNP', 'opened', 'UDH', 'signal', 'missing', 'UDH', 'card', 'Tetep', 'Open', 'Application', 'Telkomsel', ' Knp ',' knp ',' knp ']</v>
      </c>
      <c r="D362" s="3">
        <v>1.0</v>
      </c>
    </row>
    <row r="363" ht="15.75" customHeight="1">
      <c r="A363" s="1">
        <v>361.0</v>
      </c>
      <c r="B363" s="3" t="s">
        <v>364</v>
      </c>
      <c r="C363" s="3" t="str">
        <f>IFERROR(__xludf.DUMMYFUNCTION("GOOGLETRANSLATE(B363,""id"",""en"")"),"['Please', 'team', 'Developer', 'Telkomsel', 'fix', 'system', 'application', 'version', 'light', 'easy', 'look', 'interesting', ' Application ',' Hunted ',' Buru ',' Forced ',' Please ',' Sorry ',' Thank ',' Love ']")</f>
        <v>['Please', 'team', 'Developer', 'Telkomsel', 'fix', 'system', 'application', 'version', 'light', 'easy', 'look', 'interesting', ' Application ',' Hunted ',' Buru ',' Forced ',' Please ',' Sorry ',' Thank ',' Love ']</v>
      </c>
      <c r="D363" s="3">
        <v>1.0</v>
      </c>
    </row>
    <row r="364" ht="15.75" customHeight="1">
      <c r="A364" s="1">
        <v>362.0</v>
      </c>
      <c r="B364" s="3" t="s">
        <v>365</v>
      </c>
      <c r="C364" s="3" t="str">
        <f>IFERROR(__xludf.DUMMYFUNCTION("GOOGLETRANSLATE(B364,""id"",""en"")"),"['Outside', 'Signal', 'Speed', 'Access', 'Application', 'Inhibits', 'MyTelkomsel', 'Please', 'Resolved', 'Thank you', ""]")</f>
        <v>['Outside', 'Signal', 'Speed', 'Access', 'Application', 'Inhibits', 'MyTelkomsel', 'Please', 'Resolved', 'Thank you', "]</v>
      </c>
      <c r="D364" s="3">
        <v>4.0</v>
      </c>
    </row>
    <row r="365" ht="15.75" customHeight="1">
      <c r="A365" s="1">
        <v>363.0</v>
      </c>
      <c r="B365" s="3" t="s">
        <v>366</v>
      </c>
      <c r="C365" s="3" t="str">
        <f>IFERROR(__xludf.DUMMYFUNCTION("GOOGLETRANSLATE(B365,""id"",""en"")"),"['Telkomsel', 'parahhhh', 'sihhh', 'active', 'quota', 'run out', 'knp', 'cut', 'pulse', 'main', 'please', 'fix', ' Gini ',' Disight ',' Consumer ',' ']")</f>
        <v>['Telkomsel', 'parahhhh', 'sihhh', 'active', 'quota', 'run out', 'knp', 'cut', 'pulse', 'main', 'please', 'fix', ' Gini ',' Disight ',' Consumer ',' ']</v>
      </c>
      <c r="D365" s="3">
        <v>1.0</v>
      </c>
    </row>
    <row r="366" ht="15.75" customHeight="1">
      <c r="A366" s="1">
        <v>364.0</v>
      </c>
      <c r="B366" s="3" t="s">
        <v>367</v>
      </c>
      <c r="C366" s="3" t="str">
        <f>IFERROR(__xludf.DUMMYFUNCTION("GOOGLETRANSLATE(B366,""id"",""en"")"),"['The application', 'opened', 'his writing', 'Try', 'already', 'updated', 'opened', 'told', 'update', 'please', 'what', 'NOT']")</f>
        <v>['The application', 'opened', 'his writing', 'Try', 'already', 'updated', 'opened', 'told', 'update', 'please', 'what', 'NOT']</v>
      </c>
      <c r="D366" s="3">
        <v>5.0</v>
      </c>
    </row>
    <row r="367" ht="15.75" customHeight="1">
      <c r="A367" s="1">
        <v>365.0</v>
      </c>
      <c r="B367" s="3" t="s">
        <v>368</v>
      </c>
      <c r="C367" s="3" t="str">
        <f>IFERROR(__xludf.DUMMYFUNCTION("GOOGLETRANSLATE(B367,""id"",""en"")"),"['application', 'benefits',' dear ',' sometimes', 'loggingout', 'login', 'difficult', 'update', 'difficult', 'login', 'struggle', 'login', ' Enter ',' beg ',' enhanced ',' accessibility ',' user ',' comfortable ',' application ',' ']")</f>
        <v>['application', 'benefits',' dear ',' sometimes', 'loggingout', 'login', 'difficult', 'update', 'difficult', 'login', 'struggle', 'login', ' Enter ',' beg ',' enhanced ',' accessibility ',' user ',' comfortable ',' application ',' ']</v>
      </c>
      <c r="D367" s="3">
        <v>4.0</v>
      </c>
    </row>
    <row r="368" ht="15.75" customHeight="1">
      <c r="A368" s="1">
        <v>366.0</v>
      </c>
      <c r="B368" s="3" t="s">
        <v>369</v>
      </c>
      <c r="C368" s="3" t="str">
        <f>IFERROR(__xludf.DUMMYFUNCTION("GOOGLETRANSLATE(B368,""id"",""en"")"),"['Lola', 'loading', 'stay', 'city', 'signal', 'down', 'kayak', 'draw', 'rope', 'saggy', 'hey', 'package', ' Combo ',' Sapimu ',' ']")</f>
        <v>['Lola', 'loading', 'stay', 'city', 'signal', 'down', 'kayak', 'draw', 'rope', 'saggy', 'hey', 'package', ' Combo ',' Sapimu ',' ']</v>
      </c>
      <c r="D368" s="3">
        <v>3.0</v>
      </c>
    </row>
    <row r="369" ht="15.75" customHeight="1">
      <c r="A369" s="1">
        <v>367.0</v>
      </c>
      <c r="B369" s="3" t="s">
        <v>370</v>
      </c>
      <c r="C369" s="3" t="str">
        <f>IFERROR(__xludf.DUMMYFUNCTION("GOOGLETRANSLATE(B369,""id"",""en"")"),"['Easeness',' purchase ',' package ',' promo ',' unfortunate ',' sometimes', 'network', 'lost', 'Padhl', 'play', 'game', 'myself', ' Lose ',' Ranked ',' Telkomsel ',' Adorable ',' Gift ',' I get ',' Satukuk ',' ']")</f>
        <v>['Easeness',' purchase ',' package ',' promo ',' unfortunate ',' sometimes', 'network', 'lost', 'Padhl', 'play', 'game', 'myself', ' Lose ',' Ranked ',' Telkomsel ',' Adorable ',' Gift ',' I get ',' Satukuk ',' ']</v>
      </c>
      <c r="D369" s="3">
        <v>5.0</v>
      </c>
    </row>
    <row r="370" ht="15.75" customHeight="1">
      <c r="A370" s="1">
        <v>368.0</v>
      </c>
      <c r="B370" s="3" t="s">
        <v>371</v>
      </c>
      <c r="C370" s="3" t="str">
        <f>IFERROR(__xludf.DUMMYFUNCTION("GOOGLETRANSLATE(B370,""id"",""en"")"),"['suggestion', 'friend', 'mnding', 'moved', 'operator', 'SNI', 'Telkomsel', 'already', 'signal', 'slow', 'package', 'internet', ' super ',' expensive ',' basically ',' no ',' good ',' Telkomsel ',' already ',' expensive ',' signal ',' slow ',' yesterday '"&amp;",' use ',' im ' , 'Indosat', 'smooth', 'Jaya', 'cave', 'moved', 'Telkomsel', 'Raying', 'cave', 'Mending', 'Indosat', 'Telkomsel', 'expensive', ' slow ',' no ',' quality ',' clay ',' indosat ',' cheap ',' network ',' smooth ',' no ',' use ',' slow ',' kaya"&amp;"k ',' Telkomsel ' , 'old school']")</f>
        <v>['suggestion', 'friend', 'mnding', 'moved', 'operator', 'SNI', 'Telkomsel', 'already', 'signal', 'slow', 'package', 'internet', ' super ',' expensive ',' basically ',' no ',' good ',' Telkomsel ',' already ',' expensive ',' signal ',' slow ',' yesterday ',' use ',' im ' , 'Indosat', 'smooth', 'Jaya', 'cave', 'moved', 'Telkomsel', 'Raying', 'cave', 'Mending', 'Indosat', 'Telkomsel', 'expensive', ' slow ',' no ',' quality ',' clay ',' indosat ',' cheap ',' network ',' smooth ',' no ',' use ',' slow ',' kayak ',' Telkomsel ' , 'old school']</v>
      </c>
      <c r="D370" s="3">
        <v>1.0</v>
      </c>
    </row>
    <row r="371" ht="15.75" customHeight="1">
      <c r="A371" s="1">
        <v>369.0</v>
      </c>
      <c r="B371" s="3" t="s">
        <v>372</v>
      </c>
      <c r="C371" s="3" t="str">
        <f>IFERROR(__xludf.DUMMYFUNCTION("GOOGLETRANSLATE(B371,""id"",""en"")"),"['funny', 'customers',' Telkomsel ',' longest ',' cheap ',' expensive ',' wkwkwkwk ',' bonus', 'bonus',' reward ',' given ',' gada ',' funny']")</f>
        <v>['funny', 'customers',' Telkomsel ',' longest ',' cheap ',' expensive ',' wkwkwkwk ',' bonus', 'bonus',' reward ',' given ',' gada ',' funny']</v>
      </c>
      <c r="D371" s="3">
        <v>2.0</v>
      </c>
    </row>
    <row r="372" ht="15.75" customHeight="1">
      <c r="A372" s="1">
        <v>370.0</v>
      </c>
      <c r="B372" s="3" t="s">
        <v>373</v>
      </c>
      <c r="C372" s="3" t="str">
        <f>IFERROR(__xludf.DUMMYFUNCTION("GOOGLETRANSLATE(B372,""id"",""en"")"),"['update', 'add', 'strange', 'UDH', 'strange', 'plusin', 'yes',' buy ',' package ',' complicated ',' login ',' number ',' Sent ',' Link ',' Verification ',' UDH ',' clicked ',' Error ',' Mulu ',' Verinika ',' Order ',' Login ',' UDH ',' Login ',' Error ' "&amp;", 'Litu', '']")</f>
        <v>['update', 'add', 'strange', 'UDH', 'strange', 'plusin', 'yes',' buy ',' package ',' complicated ',' login ',' number ',' Sent ',' Link ',' Verification ',' UDH ',' clicked ',' Error ',' Mulu ',' Verinika ',' Order ',' Login ',' UDH ',' Login ',' Error ' , 'Litu', '']</v>
      </c>
      <c r="D372" s="3">
        <v>1.0</v>
      </c>
    </row>
    <row r="373" ht="15.75" customHeight="1">
      <c r="A373" s="1">
        <v>371.0</v>
      </c>
      <c r="B373" s="3" t="s">
        <v>374</v>
      </c>
      <c r="C373" s="3" t="str">
        <f>IFERROR(__xludf.DUMMYFUNCTION("GOOGLETRANSLATE(B373,""id"",""en"")"),"['Hey', 'Telkomsel', 'Live', 'City', 'Sawahlunto', 'Village', 'Talawi', 'Network', 'NGK', 'Good', 'here', 'Network', ' Not ',' Karuan ',' please ',' Uda ',' MOVER ',' PAKEK ',' Telkomsel ',' Ngk ']")</f>
        <v>['Hey', 'Telkomsel', 'Live', 'City', 'Sawahlunto', 'Village', 'Talawi', 'Network', 'NGK', 'Good', 'here', 'Network', ' Not ',' Karuan ',' please ',' Uda ',' MOVER ',' PAKEK ',' Telkomsel ',' Ngk ']</v>
      </c>
      <c r="D373" s="3">
        <v>2.0</v>
      </c>
    </row>
    <row r="374" ht="15.75" customHeight="1">
      <c r="A374" s="1">
        <v>372.0</v>
      </c>
      <c r="B374" s="3" t="s">
        <v>375</v>
      </c>
      <c r="C374" s="3" t="str">
        <f>IFERROR(__xludf.DUMMYFUNCTION("GOOGLETRANSLATE(B374,""id"",""en"")"),"['Please', 'The info', 'Can', 'Transfer', 'Credit', 'Data', 'Operator', 'Under', 'COMMENT', 'Judge', 'Please', 'repaired', ' Responded ',' Kendaya ',' ']")</f>
        <v>['Please', 'The info', 'Can', 'Transfer', 'Credit', 'Data', 'Operator', 'Under', 'COMMENT', 'Judge', 'Please', 'repaired', ' Responded ',' Kendaya ',' ']</v>
      </c>
      <c r="D374" s="3">
        <v>3.0</v>
      </c>
    </row>
    <row r="375" ht="15.75" customHeight="1">
      <c r="A375" s="1">
        <v>373.0</v>
      </c>
      <c r="B375" s="3" t="s">
        <v>376</v>
      </c>
      <c r="C375" s="3" t="str">
        <f>IFERROR(__xludf.DUMMYFUNCTION("GOOGLETRANSLATE(B375,""id"",""en"")"),"['please', 'process',' fast ',' complaint ',' Telkomsel ',' chat ',' Veronika ',' finishing ',' complaint ',' help ',' package ',' data ',' Combo ',' Sakti ',' GB ',' for ',' Cancel ',' Purchase ',' Credit ',' Cut ',' Package ',' Combo ',' Sakti ',' Pleas"&amp;"e ',' Salacikan ' , 'Dengn', 'fast', '']")</f>
        <v>['please', 'process',' fast ',' complaint ',' Telkomsel ',' chat ',' Veronika ',' finishing ',' complaint ',' help ',' package ',' data ',' Combo ',' Sakti ',' GB ',' for ',' Cancel ',' Purchase ',' Credit ',' Cut ',' Package ',' Combo ',' Sakti ',' Please ',' Salacikan ' , 'Dengn', 'fast', '']</v>
      </c>
      <c r="D375" s="3">
        <v>1.0</v>
      </c>
    </row>
    <row r="376" ht="15.75" customHeight="1">
      <c r="A376" s="1">
        <v>374.0</v>
      </c>
      <c r="B376" s="3" t="s">
        <v>377</v>
      </c>
      <c r="C376" s="3" t="str">
        <f>IFERROR(__xludf.DUMMYFUNCTION("GOOGLETRANSLATE(B376,""id"",""en"")"),"['What', 'quota', 'chat', 'GB', 'On', 'Sampe', 'GB', 'Should', 'Check', 'Application', 'Please', 'Repaired', ' Decreases', 'Service', '']")</f>
        <v>['What', 'quota', 'chat', 'GB', 'On', 'Sampe', 'GB', 'Should', 'Check', 'Application', 'Please', 'Repaired', ' Decreases', 'Service', '']</v>
      </c>
      <c r="D376" s="3">
        <v>1.0</v>
      </c>
    </row>
    <row r="377" ht="15.75" customHeight="1">
      <c r="A377" s="1">
        <v>375.0</v>
      </c>
      <c r="B377" s="3" t="s">
        <v>378</v>
      </c>
      <c r="C377" s="3" t="str">
        <f>IFERROR(__xludf.DUMMYFUNCTION("GOOGLETRANSLATE(B377,""id"",""en"")"),"['quality', 'signal', 'Telkomsel', 'area', 'Cikarang', 'rotten', 'game', 'PES', 'connection', 'rotten', 'Nge', 'lag', ' The connection ',' broke ',' according to ',' price ',' package ',' expensive ',' quality ',' comparable ', ""]")</f>
        <v>['quality', 'signal', 'Telkomsel', 'area', 'Cikarang', 'rotten', 'game', 'PES', 'connection', 'rotten', 'Nge', 'lag', ' The connection ',' broke ',' according to ',' price ',' package ',' expensive ',' quality ',' comparable ', "]</v>
      </c>
      <c r="D377" s="3">
        <v>1.0</v>
      </c>
    </row>
    <row r="378" ht="15.75" customHeight="1">
      <c r="A378" s="1">
        <v>376.0</v>
      </c>
      <c r="B378" s="3" t="s">
        <v>379</v>
      </c>
      <c r="C378" s="3" t="str">
        <f>IFERROR(__xludf.DUMMYFUNCTION("GOOGLETRANSLATE(B378,""id"",""en"")"),"['Star', 'lack of', 'package', 'expensive', 'open', 'Telkomsel', 'Maen', 'game', 'rotten', 'rich', 'management', 'gloomy', ' The network is', 'PKE', 'Uda', 'here', 'ugly', 'expensive', 'quality', 'garbage']")</f>
        <v>['Star', 'lack of', 'package', 'expensive', 'open', 'Telkomsel', 'Maen', 'game', 'rotten', 'rich', 'management', 'gloomy', ' The network is', 'PKE', 'Uda', 'here', 'ugly', 'expensive', 'quality', 'garbage']</v>
      </c>
      <c r="D378" s="3">
        <v>1.0</v>
      </c>
    </row>
    <row r="379" ht="15.75" customHeight="1">
      <c r="A379" s="1">
        <v>377.0</v>
      </c>
      <c r="B379" s="3" t="s">
        <v>380</v>
      </c>
      <c r="C379" s="3" t="str">
        <f>IFERROR(__xludf.DUMMYFUNCTION("GOOGLETRANSLATE(B379,""id"",""en"")"),"['Akunya', 'Wrong', 'Liat', 'Application', 'Use', 'Application', 'No', 'Prasaan', 'Price', 'Package', 'Change', 'Trllu', ' Faham ',' use ',' application ',' actually ',' purpose ',' application ',' Help ',' Spaya ',' Faham ',' Application ',' Thank ',' ']")</f>
        <v>['Akunya', 'Wrong', 'Liat', 'Application', 'Use', 'Application', 'No', 'Prasaan', 'Price', 'Package', 'Change', 'Trllu', ' Faham ',' use ',' application ',' actually ',' purpose ',' application ',' Help ',' Spaya ',' Faham ',' Application ',' Thank ',' ']</v>
      </c>
      <c r="D379" s="3">
        <v>5.0</v>
      </c>
    </row>
    <row r="380" ht="15.75" customHeight="1">
      <c r="A380" s="1">
        <v>378.0</v>
      </c>
      <c r="B380" s="3" t="s">
        <v>381</v>
      </c>
      <c r="C380" s="3" t="str">
        <f>IFERROR(__xludf.DUMMYFUNCTION("GOOGLETRANSLATE(B380,""id"",""en"")"),"['Internet', 'Telkomsel', 'slow', 'fast', 'compared to', 'slow', 'already', 'change', 'provider', 'buy', 'package', 'expensive', ' slow', '']")</f>
        <v>['Internet', 'Telkomsel', 'slow', 'fast', 'compared to', 'slow', 'already', 'change', 'provider', 'buy', 'package', 'expensive', ' slow', '']</v>
      </c>
      <c r="D380" s="3">
        <v>1.0</v>
      </c>
    </row>
    <row r="381" ht="15.75" customHeight="1">
      <c r="A381" s="1">
        <v>379.0</v>
      </c>
      <c r="B381" s="3" t="s">
        <v>382</v>
      </c>
      <c r="C381" s="3" t="str">
        <f>IFERROR(__xludf.DUMMYFUNCTION("GOOGLETRANSLATE(B381,""id"",""en"")"),"['application', 'sucks',' little ',' error ',' try ',' disorder ',' technology ',' sometimes', 'application', 'error', 'application', 'cellphone', ' Disappointed ',' really ',' preperished ',' special ',' Indonesia ',' please ',' update ',' dunk ',' find "&amp;"out ',' love ',' star ',' Ntar ',' no ' , 'error', 'love', 'star', 'friend', 'updated', 'tlg', 'download', 'eagle', 'looked', 'wait', 'review', 'friend', ' Download ']")</f>
        <v>['application', 'sucks',' little ',' error ',' try ',' disorder ',' technology ',' sometimes', 'application', 'error', 'application', 'cellphone', ' Disappointed ',' really ',' preperished ',' special ',' Indonesia ',' please ',' update ',' dunk ',' find out ',' love ',' star ',' Ntar ',' no ' , 'error', 'love', 'star', 'friend', 'updated', 'tlg', 'download', 'eagle', 'looked', 'wait', 'review', 'friend', ' Download ']</v>
      </c>
      <c r="D381" s="3">
        <v>1.0</v>
      </c>
    </row>
    <row r="382" ht="15.75" customHeight="1">
      <c r="A382" s="1">
        <v>380.0</v>
      </c>
      <c r="B382" s="3" t="s">
        <v>383</v>
      </c>
      <c r="C382" s="3" t="str">
        <f>IFERROR(__xludf.DUMMYFUNCTION("GOOGLETRANSLATE(B382,""id"",""en"")"),"['Network', 'Telkomsel', 'a few "",' Good ',' Change ',' Change ',' The Nares ',' Change ',' Ungk ',' Network ',' Best ',' KGK ',' according to ',' ad ',' original ']")</f>
        <v>['Network', 'Telkomsel', 'a few ",' Good ',' Change ',' Change ',' The Nares ',' Change ',' Ungk ',' Network ',' Best ',' KGK ',' according to ',' ad ',' original ']</v>
      </c>
      <c r="D382" s="3">
        <v>1.0</v>
      </c>
    </row>
    <row r="383" ht="15.75" customHeight="1">
      <c r="A383" s="1">
        <v>381.0</v>
      </c>
      <c r="B383" s="3" t="s">
        <v>384</v>
      </c>
      <c r="C383" s="3" t="str">
        <f>IFERROR(__xludf.DUMMYFUNCTION("GOOGLETRANSLATE(B383,""id"",""en"")"),"['Telkomsel', 'here', 'signal', 'ugly', 'internet', 'slow', 'play', 'game', 'price', 'package', 'according to', 'his web', ' Jelexxxxxx ',' ']")</f>
        <v>['Telkomsel', 'here', 'signal', 'ugly', 'internet', 'slow', 'play', 'game', 'price', 'package', 'according to', 'his web', ' Jelexxxxxx ',' ']</v>
      </c>
      <c r="D383" s="3">
        <v>1.0</v>
      </c>
    </row>
    <row r="384" ht="15.75" customHeight="1">
      <c r="A384" s="1">
        <v>382.0</v>
      </c>
      <c r="B384" s="3" t="s">
        <v>385</v>
      </c>
      <c r="C384" s="3" t="str">
        <f>IFERROR(__xludf.DUMMYFUNCTION("GOOGLETRANSLATE(B384,""id"",""en"")"),"['user', 'interface', 'service', 'good', 'obstacle', 'login', 'signal', 'good', 'duration', 'verification', 'please', 'extended', ' Seconds', 'Verification', 'Via', 'SMS', 'Signal', 'Good', '']")</f>
        <v>['user', 'interface', 'service', 'good', 'obstacle', 'login', 'signal', 'good', 'duration', 'verification', 'please', 'extended', ' Seconds', 'Verification', 'Via', 'SMS', 'Signal', 'Good', '']</v>
      </c>
      <c r="D384" s="3">
        <v>3.0</v>
      </c>
    </row>
    <row r="385" ht="15.75" customHeight="1">
      <c r="A385" s="1">
        <v>383.0</v>
      </c>
      <c r="B385" s="3" t="s">
        <v>386</v>
      </c>
      <c r="C385" s="3" t="str">
        <f>IFERROR(__xludf.DUMMYFUNCTION("GOOGLETRANSLATE(B385,""id"",""en"")"),"['crazy', 'sanguh', 'Telkomsel', 'just', 'package', 'emergency', 'knpa', 'date', 'tnggl', 'kmaren', 'sya', 'already', ' hours', 'already', 'entered', 'date', 'as a result', 'package', 'then', 'nn first', 'sya', 'pay', 'so', 'belom', 'smpat' , 'already', '"&amp;"dates',' siatemn ',' disturbed ',' lgi ',' paa ',' paker ',' emergency ',' already ',' wait ',' hope ',' gini ',' Sya ',' lgi ',' bngt ',' plsa ',' emergency ',' min ',' ']")</f>
        <v>['crazy', 'sanguh', 'Telkomsel', 'just', 'package', 'emergency', 'knpa', 'date', 'tnggl', 'kmaren', 'sya', 'already', ' hours', 'already', 'entered', 'date', 'as a result', 'package', 'then', 'nn first', 'sya', 'pay', 'so', 'belom', 'smpat' , 'already', 'dates',' siatemn ',' disturbed ',' lgi ',' paa ',' paker ',' emergency ',' already ',' wait ',' hope ',' gini ',' Sya ',' lgi ',' bngt ',' plsa ',' emergency ',' min ',' ']</v>
      </c>
      <c r="D385" s="3">
        <v>1.0</v>
      </c>
    </row>
    <row r="386" ht="15.75" customHeight="1">
      <c r="A386" s="1">
        <v>384.0</v>
      </c>
      <c r="B386" s="3" t="s">
        <v>387</v>
      </c>
      <c r="C386" s="3" t="str">
        <f>IFERROR(__xludf.DUMMYFUNCTION("GOOGLETRANSLATE(B386,""id"",""en"")"),"['Rates',' expensive ',' network ',' ugly ',' number ',' waste ',' darling ',' buy ',' okay ',' expensive ',' internet ',' Semarang ',' Mending ',' use ',' tri ',' cheap ',' signal ',' Telkomsel ',' strange ',' office ',' near ',' really ',' grapari ',' s"&amp;"ignal ',' good ' , 'tri', 'wkwkwkwk', 'tri', 'number', 'backup', 'rowal', 'wkwkwkk']")</f>
        <v>['Rates',' expensive ',' network ',' ugly ',' number ',' waste ',' darling ',' buy ',' okay ',' expensive ',' internet ',' Semarang ',' Mending ',' use ',' tri ',' cheap ',' signal ',' Telkomsel ',' strange ',' office ',' near ',' really ',' grapari ',' signal ',' good ' , 'tri', 'wkwkwkwk', 'tri', 'number', 'backup', 'rowal', 'wkwkwkk']</v>
      </c>
      <c r="D386" s="3">
        <v>1.0</v>
      </c>
    </row>
    <row r="387" ht="15.75" customHeight="1">
      <c r="A387" s="1">
        <v>385.0</v>
      </c>
      <c r="B387" s="3" t="s">
        <v>388</v>
      </c>
      <c r="C387" s="3" t="str">
        <f>IFERROR(__xludf.DUMMYFUNCTION("GOOGLETRANSLATE(B387,""id"",""en"")"),"['rare', 'really', 'can', 'promo', 'package', 'cheap', 'competitive', 'interesting', 'menu', 'choice', 'features',' location ',' Troublesome ',' choose ',' package ',' offered ',' ']")</f>
        <v>['rare', 'really', 'can', 'promo', 'package', 'cheap', 'competitive', 'interesting', 'menu', 'choice', 'features',' location ',' Troublesome ',' choose ',' package ',' offered ',' ']</v>
      </c>
      <c r="D387" s="3">
        <v>2.0</v>
      </c>
    </row>
    <row r="388" ht="15.75" customHeight="1">
      <c r="A388" s="1">
        <v>386.0</v>
      </c>
      <c r="B388" s="3" t="s">
        <v>389</v>
      </c>
      <c r="C388" s="3" t="str">
        <f>IFERROR(__xludf.DUMMYFUNCTION("GOOGLETRANSLATE(B388,""id"",""en"")"),"['Signal', 'Telkomsel', 'Leg', 'Main', 'Geme', 'Cave', 'Udh', 'Telkomsel', 'Th', 'Like', 'Leg', 'Admin', ' Please, 'signal', 'strict', 'kayak', 'disappointing', 'users', 'loyal', 'Telkomsel', ""]")</f>
        <v>['Signal', 'Telkomsel', 'Leg', 'Main', 'Geme', 'Cave', 'Udh', 'Telkomsel', 'Th', 'Like', 'Leg', 'Admin', ' Please, 'signal', 'strict', 'kayak', 'disappointing', 'users', 'loyal', 'Telkomsel', "]</v>
      </c>
      <c r="D388" s="3">
        <v>1.0</v>
      </c>
    </row>
    <row r="389" ht="15.75" customHeight="1">
      <c r="A389" s="1">
        <v>387.0</v>
      </c>
      <c r="B389" s="3" t="s">
        <v>390</v>
      </c>
      <c r="C389" s="3" t="str">
        <f>IFERROR(__xludf.DUMMYFUNCTION("GOOGLETRANSLATE(B389,""id"",""en"")"),"['Sorry', 'Telkomsel', 'Love', 'Star', 'Update', 'Ampe', 'Application', 'Telkomsel', 'Difficult', 'Access',' Network ',' Good ',' Package ',' see ',' leftover ',' credit ',' Telkomsel ',' difficult ',' Naudubilah ',' try ',' complaints', 'Massager', 'Telk"&amp;"omsel', 'reply', 'try' , 'Call', 'Center', 'Network', 'Application', 'Whats', 'Wrong', 'Telkomsel', 'oath', 'Gini', 'update', 'update', 'access']")</f>
        <v>['Sorry', 'Telkomsel', 'Love', 'Star', 'Update', 'Ampe', 'Application', 'Telkomsel', 'Difficult', 'Access',' Network ',' Good ',' Package ',' see ',' leftover ',' credit ',' Telkomsel ',' difficult ',' Naudubilah ',' try ',' complaints', 'Massager', 'Telkomsel', 'reply', 'try' , 'Call', 'Center', 'Network', 'Application', 'Whats', 'Wrong', 'Telkomsel', 'oath', 'Gini', 'update', 'update', 'access']</v>
      </c>
      <c r="D389" s="3">
        <v>2.0</v>
      </c>
    </row>
    <row r="390" ht="15.75" customHeight="1">
      <c r="A390" s="1">
        <v>388.0</v>
      </c>
      <c r="B390" s="3" t="s">
        <v>391</v>
      </c>
      <c r="C390" s="3" t="str">
        <f>IFERROR(__xludf.DUMMYFUNCTION("GOOGLETRANSLATE(B390,""id"",""en"")"),"['price', 'package', 'data', 'expensive', 'operator', 'quality', 'network', 'users',' Telkomsel ',' loyal ',' satisfied ',' criticism ',' responded to ',' star ',' auto ',' down ',' ']")</f>
        <v>['price', 'package', 'data', 'expensive', 'operator', 'quality', 'network', 'users',' Telkomsel ',' loyal ',' satisfied ',' criticism ',' responded to ',' star ',' auto ',' down ',' ']</v>
      </c>
      <c r="D390" s="3">
        <v>1.0</v>
      </c>
    </row>
    <row r="391" ht="15.75" customHeight="1">
      <c r="A391" s="1">
        <v>389.0</v>
      </c>
      <c r="B391" s="3" t="s">
        <v>392</v>
      </c>
      <c r="C391" s="3" t="str">
        <f>IFERROR(__xludf.DUMMYFUNCTION("GOOGLETRANSLATE(B391,""id"",""en"")"),"['Helping', 'making easier', 'charging', 'PUZA', 'ATW', 'Package', 'Internet', 'just', 'please', 'fix', 'network', 'internet', ' Region ',' Kotabaru ',' Bogor ', ""]")</f>
        <v>['Helping', 'making easier', 'charging', 'PUZA', 'ATW', 'Package', 'Internet', 'just', 'please', 'fix', 'network', 'internet', ' Region ',' Kotabaru ',' Bogor ', "]</v>
      </c>
      <c r="D391" s="3">
        <v>5.0</v>
      </c>
    </row>
    <row r="392" ht="15.75" customHeight="1">
      <c r="A392" s="1">
        <v>390.0</v>
      </c>
      <c r="B392" s="3" t="s">
        <v>393</v>
      </c>
      <c r="C392" s="3" t="str">
        <f>IFERROR(__xludf.DUMMYFUNCTION("GOOGLETRANSLATE(B392,""id"",""en"")"),"['Plis',' Deh ',' Telkom ',' Kolot ',' Cook ',' Package ',' I ',' OUT ',' TRUS ',' WIFI ',' friend ',' Indosat ',' Enter ',' application ',' Telkomsel ',' then ',' list ',' application ',' no ',' package ',' promo ',' then ',' me ',' must ',' what ' , 'AJ"&amp;"G', 'cravings']")</f>
        <v>['Plis',' Deh ',' Telkom ',' Kolot ',' Cook ',' Package ',' I ',' OUT ',' TRUS ',' WIFI ',' friend ',' Indosat ',' Enter ',' application ',' Telkomsel ',' then ',' list ',' application ',' no ',' package ',' promo ',' then ',' me ',' must ',' what ' , 'AJG', 'cravings']</v>
      </c>
      <c r="D392" s="3">
        <v>1.0</v>
      </c>
    </row>
    <row r="393" ht="15.75" customHeight="1">
      <c r="A393" s="1">
        <v>391.0</v>
      </c>
      <c r="B393" s="3" t="s">
        <v>394</v>
      </c>
      <c r="C393" s="3" t="str">
        <f>IFERROR(__xludf.DUMMYFUNCTION("GOOGLETRANSLATE(B393,""id"",""en"")"),"['min', 'Benerin', 'Sell', 'quota', 'buy', 'quota', 'information', 'active', 'just', 'disappointed', 'customer']")</f>
        <v>['min', 'Benerin', 'Sell', 'quota', 'buy', 'quota', 'information', 'active', 'just', 'disappointed', 'customer']</v>
      </c>
      <c r="D393" s="3">
        <v>3.0</v>
      </c>
    </row>
    <row r="394" ht="15.75" customHeight="1">
      <c r="A394" s="1">
        <v>392.0</v>
      </c>
      <c r="B394" s="3" t="s">
        <v>395</v>
      </c>
      <c r="C394" s="3" t="str">
        <f>IFERROR(__xludf.DUMMYFUNCTION("GOOGLETRANSLATE(B394,""id"",""en"")"),"['Forgiveness',' Reality ',' Telkomsel ',' Open ',' App ',' MyTelkomsel ',' Fill ',' Credit ',' Buy ',' Package ',' Updated ',' App ',' opened ',' Disappointed ',' Season ',' Bangetm ']")</f>
        <v>['Forgiveness',' Reality ',' Telkomsel ',' Open ',' App ',' MyTelkomsel ',' Fill ',' Credit ',' Buy ',' Package ',' Updated ',' App ',' opened ',' Disappointed ',' Season ',' Bangetm ']</v>
      </c>
      <c r="D394" s="3">
        <v>2.0</v>
      </c>
    </row>
    <row r="395" ht="15.75" customHeight="1">
      <c r="A395" s="1">
        <v>393.0</v>
      </c>
      <c r="B395" s="3" t="s">
        <v>396</v>
      </c>
      <c r="C395" s="3" t="str">
        <f>IFERROR(__xludf.DUMMYFUNCTION("GOOGLETRANSLATE(B395,""id"",""en"")"),"['', 'change', 'menu', 'menu', 'lag', 'memory', 'leaks',' content ',' image ',' load ',' reset ',' spend ',' quota ',' already ',' content ',' image ',' dahlah ',' buy ',' quota ',' dancing ',' gituan ',' can ',' see ',' status', 'bar', 'WHILE', 'scrollin"&amp;"g', 'memory', 'memory', 'data', 'took', 'just', 'thumbnail', 'dark', 'mode', 'glare', 'open', 'malem ',' Malem ',' thank ',' Kasih ',' keep ',' update ',' and ',' user ',' friendly ',' ']")</f>
        <v>['', 'change', 'menu', 'menu', 'lag', 'memory', 'leaks',' content ',' image ',' load ',' reset ',' spend ',' quota ',' already ',' content ',' image ',' dahlah ',' buy ',' quota ',' dancing ',' gituan ',' can ',' see ',' status', 'bar', 'WHILE', 'scrolling', 'memory', 'memory', 'data', 'took', 'just', 'thumbnail', 'dark', 'mode', 'glare', 'open', 'malem ',' Malem ',' thank ',' Kasih ',' keep ',' update ',' and ',' user ',' friendly ',' ']</v>
      </c>
      <c r="D395" s="3">
        <v>1.0</v>
      </c>
    </row>
    <row r="396" ht="15.75" customHeight="1">
      <c r="A396" s="1">
        <v>394.0</v>
      </c>
      <c r="B396" s="3" t="s">
        <v>397</v>
      </c>
      <c r="C396" s="3" t="str">
        <f>IFERROR(__xludf.DUMMYFUNCTION("GOOGLETRANSLATE(B396,""id"",""en"")"),"['Telkomsel', 'slow', 'quota', 'youtube', 'watch', 'youtube', 'udh', 'bli', 'pket', 'you', 'tube', 'watch', ' YouTube ',' Telkomsel ',' please ',' right ',' ']")</f>
        <v>['Telkomsel', 'slow', 'quota', 'youtube', 'watch', 'youtube', 'udh', 'bli', 'pket', 'you', 'tube', 'watch', ' YouTube ',' Telkomsel ',' please ',' right ',' ']</v>
      </c>
      <c r="D396" s="3">
        <v>2.0</v>
      </c>
    </row>
    <row r="397" ht="15.75" customHeight="1">
      <c r="A397" s="1">
        <v>395.0</v>
      </c>
      <c r="B397" s="3" t="s">
        <v>398</v>
      </c>
      <c r="C397" s="3" t="str">
        <f>IFERROR(__xludf.DUMMYFUNCTION("GOOGLETRANSLATE(B397,""id"",""en"")"),"['application', 'updated', 'difficult', 'log', 'error', 'emotion', 'ugly', 'Telkomsel', 'please', 'repaired', 'area', 'samarinda', ' North']")</f>
        <v>['application', 'updated', 'difficult', 'log', 'error', 'emotion', 'ugly', 'Telkomsel', 'please', 'repaired', 'area', 'samarinda', ' North']</v>
      </c>
      <c r="D397" s="3">
        <v>1.0</v>
      </c>
    </row>
    <row r="398" ht="15.75" customHeight="1">
      <c r="A398" s="1">
        <v>396.0</v>
      </c>
      <c r="B398" s="3" t="s">
        <v>399</v>
      </c>
      <c r="C398" s="3" t="str">
        <f>IFERROR(__xludf.DUMMYFUNCTION("GOOGLETRANSLATE(B398,""id"",""en"")"),"['Paraahh', 'Login', 'MyTelkomsel', 'Error', 'PDHL', 'Ngeclik', 'Magic', 'Link', 'Loadinggggggg', 'Limina', 'Error', 'Kayak', ' Before ',' Change ',' Logo ',' payaaahh ',' delete ']")</f>
        <v>['Paraahh', 'Login', 'MyTelkomsel', 'Error', 'PDHL', 'Ngeclik', 'Magic', 'Link', 'Loadinggggggg', 'Limina', 'Error', 'Kayak', ' Before ',' Change ',' Logo ',' payaaahh ',' delete ']</v>
      </c>
      <c r="D398" s="3">
        <v>1.0</v>
      </c>
    </row>
    <row r="399" ht="15.75" customHeight="1">
      <c r="A399" s="1">
        <v>397.0</v>
      </c>
      <c r="B399" s="3" t="s">
        <v>400</v>
      </c>
      <c r="C399" s="3" t="str">
        <f>IFERROR(__xludf.DUMMYFUNCTION("GOOGLETRANSLATE(B399,""id"",""en"")"),"['Telkomsel', 'expensive', 'steady', 'sii', 'package', 'package', 'watch', 'maxtrem', 'already', 'expensive', 'requirements', ""]")</f>
        <v>['Telkomsel', 'expensive', 'steady', 'sii', 'package', 'package', 'watch', 'maxtrem', 'already', 'expensive', 'requirements', "]</v>
      </c>
      <c r="D399" s="3">
        <v>1.0</v>
      </c>
    </row>
    <row r="400" ht="15.75" customHeight="1">
      <c r="A400" s="1">
        <v>398.0</v>
      </c>
      <c r="B400" s="3" t="s">
        <v>401</v>
      </c>
      <c r="C400" s="3" t="str">
        <f>IFERROR(__xludf.DUMMYFUNCTION("GOOGLETRANSLATE(B400,""id"",""en"")"),"['The use', 'application', 'Login', 'Ribet', 'Use', 'Link', 'Verification', 'Please', 'Convenience', 'Ribet']")</f>
        <v>['The use', 'application', 'Login', 'Ribet', 'Use', 'Link', 'Verification', 'Please', 'Convenience', 'Ribet']</v>
      </c>
      <c r="D400" s="3">
        <v>4.0</v>
      </c>
    </row>
    <row r="401" ht="15.75" customHeight="1">
      <c r="A401" s="1">
        <v>399.0</v>
      </c>
      <c r="B401" s="3" t="s">
        <v>402</v>
      </c>
      <c r="C401" s="3" t="str">
        <f>IFERROR(__xludf.DUMMYFUNCTION("GOOGLETRANSLATE(B401,""id"",""en"")"),"['thank', 'love', 'Telkomsel', 'really', 'disappointed', 'ama', 'price', 'package', 'thousand', 'pulse', 'thousand', 'just', ' Nyisain ',' thousand ',' doang ',' crazy ',' data ',' that's', 'use', 'pulse', 'access',' internet ',' quota ',' crazy ',' love "&amp;"' , 'Bintang', 'try', 'gave', 'rating', 'star', 'many years', 'use', 'card', 'Telkomsel', 'Kek', 'gini']")</f>
        <v>['thank', 'love', 'Telkomsel', 'really', 'disappointed', 'ama', 'price', 'package', 'thousand', 'pulse', 'thousand', 'just', ' Nyisain ',' thousand ',' doang ',' crazy ',' data ',' that's', 'use', 'pulse', 'access',' internet ',' quota ',' crazy ',' love ' , 'Bintang', 'try', 'gave', 'rating', 'star', 'many years', 'use', 'card', 'Telkomsel', 'Kek', 'gini']</v>
      </c>
      <c r="D401" s="3">
        <v>1.0</v>
      </c>
    </row>
    <row r="402" ht="15.75" customHeight="1">
      <c r="A402" s="1">
        <v>400.0</v>
      </c>
      <c r="B402" s="3" t="s">
        <v>403</v>
      </c>
      <c r="C402" s="3" t="str">
        <f>IFERROR(__xludf.DUMMYFUNCTION("GOOGLETRANSLATE(B402,""id"",""en"")"),"['signal', 'Telkomsel', 'the day', 'bad', 'dlu', 'good', 'please', 'kasi', 'quality', 'network', 'good', 'user', ' Telkomsel ',' moves', 'heart']")</f>
        <v>['signal', 'Telkomsel', 'the day', 'bad', 'dlu', 'good', 'please', 'kasi', 'quality', 'network', 'good', 'user', ' Telkomsel ',' moves', 'heart']</v>
      </c>
      <c r="D402" s="3">
        <v>1.0</v>
      </c>
    </row>
    <row r="403" ht="15.75" customHeight="1">
      <c r="A403" s="1">
        <v>401.0</v>
      </c>
      <c r="B403" s="3" t="s">
        <v>404</v>
      </c>
      <c r="C403" s="3" t="str">
        <f>IFERROR(__xludf.DUMMYFUNCTION("GOOGLETRANSLATE(B403,""id"",""en"")"),"['Severe', 'Application', 'Update', 'Good', 'Enter', 'Link', 'Submitted', 'Number', 'Application', 'Install', 'Smartphone', 'Number', ' Please, 'Performance', 'Application', 'Bener', 'Worse', 'Fill', 'Credit', 'Application', 'Pay', 'Use', 'Shopeepay', 'Ca"&amp;"shback', 'Ada' , 'pulses', 'missing', 'uses', 'disappointed', 'Telkomsel']")</f>
        <v>['Severe', 'Application', 'Update', 'Good', 'Enter', 'Link', 'Submitted', 'Number', 'Application', 'Install', 'Smartphone', 'Number', ' Please, 'Performance', 'Application', 'Bener', 'Worse', 'Fill', 'Credit', 'Application', 'Pay', 'Use', 'Shopeepay', 'Cashback', 'Ada' , 'pulses', 'missing', 'uses', 'disappointed', 'Telkomsel']</v>
      </c>
      <c r="D403" s="3">
        <v>1.0</v>
      </c>
    </row>
    <row r="404" ht="15.75" customHeight="1">
      <c r="A404" s="1">
        <v>402.0</v>
      </c>
      <c r="B404" s="3" t="s">
        <v>405</v>
      </c>
      <c r="C404" s="3" t="str">
        <f>IFERROR(__xludf.DUMMYFUNCTION("GOOGLETRANSLATE(B404,""id"",""en"")"),"['Sya', 'Disappointed', 'Update', 'APK', 'BSA', 'Enter', 'Loading', 'then', 'Natural', 'Sya', 'Alamin', 'Credit', ' Buy ',' Where ',' Hopefully ',' Fix ',' ']")</f>
        <v>['Sya', 'Disappointed', 'Update', 'APK', 'BSA', 'Enter', 'Loading', 'then', 'Natural', 'Sya', 'Alamin', 'Credit', ' Buy ',' Where ',' Hopefully ',' Fix ',' ']</v>
      </c>
      <c r="D404" s="3">
        <v>1.0</v>
      </c>
    </row>
    <row r="405" ht="15.75" customHeight="1">
      <c r="A405" s="1">
        <v>403.0</v>
      </c>
      <c r="B405" s="3" t="s">
        <v>406</v>
      </c>
      <c r="C405" s="3" t="str">
        <f>IFERROR(__xludf.DUMMYFUNCTION("GOOGLETRANSLATE(B405,""id"",""en"")"),"['use', 'number', 'price', 'quota', 'Telkomsel', 'cheap', 'rather', 'subscribe', 'number', 'Telkomsel', 'price', 'quota', ' Telkomsel ',' Tetep ',' expensive ']")</f>
        <v>['use', 'number', 'price', 'quota', 'Telkomsel', 'cheap', 'rather', 'subscribe', 'number', 'Telkomsel', 'price', 'quota', ' Telkomsel ',' Tetep ',' expensive ']</v>
      </c>
      <c r="D405" s="3">
        <v>2.0</v>
      </c>
    </row>
    <row r="406" ht="15.75" customHeight="1">
      <c r="A406" s="1">
        <v>404.0</v>
      </c>
      <c r="B406" s="3" t="s">
        <v>407</v>
      </c>
      <c r="C406" s="3" t="str">
        <f>IFERROR(__xludf.DUMMYFUNCTION("GOOGLETRANSLATE(B406,""id"",""en"")"),"['ppkm', 'malem', 'slow', 'network', 'reasonable', 'pure', 'expensive', 'TPI', 'signal', 'battered', 'Come', 'Mending', ' Change ',' Provider ',' friend ',' here ',' Telkomsel ',' Ngco ']")</f>
        <v>['ppkm', 'malem', 'slow', 'network', 'reasonable', 'pure', 'expensive', 'TPI', 'signal', 'battered', 'Come', 'Mending', ' Change ',' Provider ',' friend ',' here ',' Telkomsel ',' Ngco ']</v>
      </c>
      <c r="D406" s="3">
        <v>1.0</v>
      </c>
    </row>
    <row r="407" ht="15.75" customHeight="1">
      <c r="A407" s="1">
        <v>405.0</v>
      </c>
      <c r="B407" s="3" t="s">
        <v>408</v>
      </c>
      <c r="C407" s="3" t="str">
        <f>IFERROR(__xludf.DUMMYFUNCTION("GOOGLETRANSLATE(B407,""id"",""en"")"),"['', 'content', 'pulse', 'contents',' ilang ',' pulses', 'KMNA', 'SMS', 'package', 'emergency', 'pdhal', 'Disoltch', 'Package ',' emergency ',' contents', 'credit', 'banking', 'kgk', 'enter', 'dri', 'banking', 'finished', 'right', 'telephone', 'wait', 'Re"&amp;"store', 'kgk', 'cs', 'abis', 'contract', 'time', 'Telkomsel', 'bapuk', ""]")</f>
        <v>['', 'content', 'pulse', 'contents',' ilang ',' pulses', 'KMNA', 'SMS', 'package', 'emergency', 'pdhal', 'Disoltch', 'Package ',' emergency ',' contents', 'credit', 'banking', 'kgk', 'enter', 'dri', 'banking', 'finished', 'right', 'telephone', 'wait', 'Restore', 'kgk', 'cs', 'abis', 'contract', 'time', 'Telkomsel', 'bapuk', "]</v>
      </c>
      <c r="D407" s="3">
        <v>2.0</v>
      </c>
    </row>
    <row r="408" ht="15.75" customHeight="1">
      <c r="A408" s="1">
        <v>406.0</v>
      </c>
      <c r="B408" s="3" t="s">
        <v>409</v>
      </c>
      <c r="C408" s="3" t="str">
        <f>IFERROR(__xludf.DUMMYFUNCTION("GOOGLETRANSLATE(B408,""id"",""en"")"),"['Eko', 'Andi', 'Saputra', 'Package', 'Available', 'Bought', 'Process',' Service ',' Slow ',' Network ',' Stable ',' Ngk ',' Kin ',' promo ',' klok ',' signal ',' slow ',' like ',' ilang ',' really ',' operator ']")</f>
        <v>['Eko', 'Andi', 'Saputra', 'Package', 'Available', 'Bought', 'Process',' Service ',' Slow ',' Network ',' Stable ',' Ngk ',' Kin ',' promo ',' klok ',' signal ',' slow ',' like ',' ilang ',' really ',' operator ']</v>
      </c>
      <c r="D408" s="3">
        <v>1.0</v>
      </c>
    </row>
    <row r="409" ht="15.75" customHeight="1">
      <c r="A409" s="1">
        <v>407.0</v>
      </c>
      <c r="B409" s="3" t="s">
        <v>410</v>
      </c>
      <c r="C409" s="3" t="str">
        <f>IFERROR(__xludf.DUMMYFUNCTION("GOOGLETRANSLATE(B409,""id"",""en"")"),"['Play', 'Cut', 'Credit', 'Permission', 'Wear', 'Credit', 'Rp', 'Access',' Internet ',' Non ',' Package ',' Check ',' quota ',' buy ',' package ',' tsel ',' tsel ',' udh ',' quality ',' signal ',' error ',' disappointing ',' ']")</f>
        <v>['Play', 'Cut', 'Credit', 'Permission', 'Wear', 'Credit', 'Rp', 'Access',' Internet ',' Non ',' Package ',' Check ',' quota ',' buy ',' package ',' tsel ',' tsel ',' udh ',' quality ',' signal ',' error ',' disappointing ',' ']</v>
      </c>
      <c r="D409" s="3">
        <v>1.0</v>
      </c>
    </row>
    <row r="410" ht="15.75" customHeight="1">
      <c r="A410" s="1">
        <v>408.0</v>
      </c>
      <c r="B410" s="3" t="s">
        <v>411</v>
      </c>
      <c r="C410" s="3" t="str">
        <f>IFERROR(__xludf.DUMMYFUNCTION("GOOGLETRANSLATE(B410,""id"",""en"")"),"['', 'annoyed', 'application', 'login', 'use', 'link', 'no', 'sent', 'sms',' already ',' repeated ',' try ',' was sent ',' SMS ',' Ribet ',' in ',' Application ',' How ',' Try ',' App ',' Perfect ',' Sok ',' Sok ',' Use ',' Application ', 'Leet']")</f>
        <v>['', 'annoyed', 'application', 'login', 'use', 'link', 'no', 'sent', 'sms',' already ',' repeated ',' try ',' was sent ',' SMS ',' Ribet ',' in ',' Application ',' How ',' Try ',' App ',' Perfect ',' Sok ',' Sok ',' Use ',' Application ', 'Leet']</v>
      </c>
      <c r="D410" s="3">
        <v>1.0</v>
      </c>
    </row>
    <row r="411" ht="15.75" customHeight="1">
      <c r="A411" s="1">
        <v>409.0</v>
      </c>
      <c r="B411" s="3" t="s">
        <v>412</v>
      </c>
      <c r="C411" s="3" t="str">
        <f>IFERROR(__xludf.DUMMYFUNCTION("GOOGLETRANSLATE(B411,""id"",""en"")"),"['payment', 'link', 'point', 'browser', 'told', 'update', 'application', 'already', 'version', 'newest', 'list', 'package', ' Complete ',' Details', ""]")</f>
        <v>['payment', 'link', 'point', 'browser', 'told', 'update', 'application', 'already', 'version', 'newest', 'list', 'package', ' Complete ',' Details', "]</v>
      </c>
      <c r="D411" s="3">
        <v>2.0</v>
      </c>
    </row>
    <row r="412" ht="15.75" customHeight="1">
      <c r="A412" s="1">
        <v>410.0</v>
      </c>
      <c r="B412" s="3" t="s">
        <v>413</v>
      </c>
      <c r="C412" s="3" t="str">
        <f>IFERROR(__xludf.DUMMYFUNCTION("GOOGLETRANSLATE(B412,""id"",""en"")"),"['', 'poor', 'purpose', 'heart', 'krna', 'customer', 'loyal', 'telkomsel', 'loyal', 'log', 'log', 'log ',' difficult ',' forgiveness', 'description', 'session', 'oops',' error ',' hadeeeeh ',' tired ',' application ',' dislodial ',' alternating ',' log ',"&amp;" 'Via', 'SMS', 'enter', 'signal', 'Not bad', 'Sorry', 'Uninstall', 'loyal', 'check', 'follow', 'Telkomsel', 'Points', "" ]")</f>
        <v>['', 'poor', 'purpose', 'heart', 'krna', 'customer', 'loyal', 'telkomsel', 'loyal', 'log', 'log', 'log ',' difficult ',' forgiveness', 'description', 'session', 'oops',' error ',' hadeeeeh ',' tired ',' application ',' dislodial ',' alternating ',' log ', 'Via', 'SMS', 'enter', 'signal', 'Not bad', 'Sorry', 'Uninstall', 'loyal', 'check', 'follow', 'Telkomsel', 'Points', " ]</v>
      </c>
      <c r="D412" s="3">
        <v>1.0</v>
      </c>
    </row>
    <row r="413" ht="15.75" customHeight="1">
      <c r="A413" s="1">
        <v>411.0</v>
      </c>
      <c r="B413" s="3" t="s">
        <v>414</v>
      </c>
      <c r="C413" s="3" t="str">
        <f>IFERROR(__xludf.DUMMYFUNCTION("GOOGLETRANSLATE(B413,""id"",""en"")"),"['Thinking', 'Love', 'Bintang', 'See', 'Review', 'Naturally', 'Love', 'Star', 'Love', 'Star', 'Complaints',' Application ',' slow ',' signal ',' good ',' use ',' wifi ',' speed ',' complaints', 'signal', 'telkomsel', 'difficult', 'pretty', 'kenceng', 'sms"&amp;"' , 'Telkomsel', 'Sakti', 'check', 'package', 'available', 'price', 'package', 'application', 'expensive']")</f>
        <v>['Thinking', 'Love', 'Bintang', 'See', 'Review', 'Naturally', 'Love', 'Star', 'Love', 'Star', 'Complaints',' Application ',' slow ',' signal ',' good ',' use ',' wifi ',' speed ',' complaints', 'signal', 'telkomsel', 'difficult', 'pretty', 'kenceng', 'sms' , 'Telkomsel', 'Sakti', 'check', 'package', 'available', 'price', 'package', 'application', 'expensive']</v>
      </c>
      <c r="D413" s="3">
        <v>1.0</v>
      </c>
    </row>
    <row r="414" ht="15.75" customHeight="1">
      <c r="A414" s="1">
        <v>412.0</v>
      </c>
      <c r="B414" s="3" t="s">
        <v>415</v>
      </c>
      <c r="C414" s="3" t="str">
        <f>IFERROR(__xludf.DUMMYFUNCTION("GOOGLETRANSLATE(B414,""id"",""en"")"),"['already', 'apk', 'open', 'log', 'failed', 'error', 'what', 'wrong', 'already', 'right', 'network', 'smooth', ' Tetep ',' Try ',' Clean ',' Data ',' Download ',' reset ',' Tetep ',' ']")</f>
        <v>['already', 'apk', 'open', 'log', 'failed', 'error', 'what', 'wrong', 'already', 'right', 'network', 'smooth', ' Tetep ',' Try ',' Clean ',' Data ',' Download ',' reset ',' Tetep ',' ']</v>
      </c>
      <c r="D414" s="3">
        <v>2.0</v>
      </c>
    </row>
    <row r="415" ht="15.75" customHeight="1">
      <c r="A415" s="1">
        <v>413.0</v>
      </c>
      <c r="B415" s="3" t="s">
        <v>416</v>
      </c>
      <c r="C415" s="3" t="str">
        <f>IFERROR(__xludf.DUMMYFUNCTION("GOOGLETRANSLATE(B415,""id"",""en"")"),"['Update', 'difficult', 'opened', 'the application', 'please', 'repaired', 'satisfying', 'user', 'terumomel', 'thank you']")</f>
        <v>['Update', 'difficult', 'opened', 'the application', 'please', 'repaired', 'satisfying', 'user', 'terumomel', 'thank you']</v>
      </c>
      <c r="D415" s="3">
        <v>2.0</v>
      </c>
    </row>
    <row r="416" ht="15.75" customHeight="1">
      <c r="A416" s="1">
        <v>414.0</v>
      </c>
      <c r="B416" s="3" t="s">
        <v>417</v>
      </c>
      <c r="C416" s="3" t="str">
        <f>IFERROR(__xludf.DUMMYFUNCTION("GOOGLETRANSLATE(B416,""id"",""en"")"),"['Love', 'Star', 'Add', 'Input', 'Points',' Try ',' Switch ',' Points', 'Please', 'Love', 'Geratis',' Cutting ',' Credit ',' Example ',' Switch ',' Package ',' Data ',' Internet ',' Wear ',' Points', 'Eating', 'Costs',' Please ',' Geratis', 'hope' , 'ACC'"&amp;", 'Amin', '']")</f>
        <v>['Love', 'Star', 'Add', 'Input', 'Points',' Try ',' Switch ',' Points', 'Please', 'Love', 'Geratis',' Cutting ',' Credit ',' Example ',' Switch ',' Package ',' Data ',' Internet ',' Wear ',' Points', 'Eating', 'Costs',' Please ',' Geratis', 'hope' , 'ACC', 'Amin', '']</v>
      </c>
      <c r="D416" s="3">
        <v>5.0</v>
      </c>
    </row>
    <row r="417" ht="15.75" customHeight="1">
      <c r="A417" s="1">
        <v>415.0</v>
      </c>
      <c r="B417" s="3" t="s">
        <v>418</v>
      </c>
      <c r="C417" s="3" t="str">
        <f>IFERROR(__xludf.DUMMYFUNCTION("GOOGLETRANSLATE(B417,""id"",""en"")"),"['open', 'apk', 'gabisa', 'open', 'smooth', 'contents', 'pulse', 'direct', 'run out', 'list', 'strange', '']")</f>
        <v>['open', 'apk', 'gabisa', 'open', 'smooth', 'contents', 'pulse', 'direct', 'run out', 'list', 'strange', '']</v>
      </c>
      <c r="D417" s="3">
        <v>1.0</v>
      </c>
    </row>
    <row r="418" ht="15.75" customHeight="1">
      <c r="A418" s="1">
        <v>416.0</v>
      </c>
      <c r="B418" s="3" t="s">
        <v>419</v>
      </c>
      <c r="C418" s="3" t="str">
        <f>IFERROR(__xludf.DUMMYFUNCTION("GOOGLETRANSLATE(B418,""id"",""en"")"),"['Please', 'Login', 'Send', 'Link', 'Try', 'Use', 'Number', 'Ferifikasi', 'Constraints',' Nomer ',' Tide ',' Butut ',' Open ',' internet ',' core ',' flexible ']")</f>
        <v>['Please', 'Login', 'Send', 'Link', 'Try', 'Use', 'Number', 'Ferifikasi', 'Constraints',' Nomer ',' Tide ',' Butut ',' Open ',' internet ',' core ',' flexible ']</v>
      </c>
      <c r="D418" s="3">
        <v>1.0</v>
      </c>
    </row>
    <row r="419" ht="15.75" customHeight="1">
      <c r="A419" s="1">
        <v>417.0</v>
      </c>
      <c r="B419" s="3" t="s">
        <v>420</v>
      </c>
      <c r="C419" s="3" t="str">
        <f>IFERROR(__xludf.DUMMYFUNCTION("GOOGLETRANSLATE(B419,""id"",""en"")"),"['Love', 'Bintang', 'mah', 'minus',' already ',' many ',' pulses', 'abis',' Neh ',' leftover ',' pulses', 'Abis',' Data ',' wifi ',' trs', 'leftover', 'quota', '']")</f>
        <v>['Love', 'Bintang', 'mah', 'minus',' already ',' many ',' pulses', 'abis',' Neh ',' leftover ',' pulses', 'Abis',' Data ',' wifi ',' trs', 'leftover', 'quota', '']</v>
      </c>
      <c r="D419" s="3">
        <v>1.0</v>
      </c>
    </row>
    <row r="420" ht="15.75" customHeight="1">
      <c r="A420" s="1">
        <v>418.0</v>
      </c>
      <c r="B420" s="3" t="s">
        <v>421</v>
      </c>
      <c r="C420" s="3" t="str">
        <f>IFERROR(__xludf.DUMMYFUNCTION("GOOGLETRANSLATE(B420,""id"",""en"")"),"['', 'signal', 'internet', 'Telkomsel', 'yesterday', 'difficult', 'then', 'right', 'internet', 'pull', 'pulses',' kouta ',' internet ',' Active ',' run out ',' scorched ',' deh ',' disappear ',' Alhamdulillah ',' Kouta ',' results ',' event ',' check ',' "&amp;"then 'thank God', 'Alhamdulillah', 'Pulse', 'Target', 'Sampe', 'Rb', 'annoyed', 'really', 'open', 'application', 'MyTelkomsel', 'difficult', '']")</f>
        <v>['', 'signal', 'internet', 'Telkomsel', 'yesterday', 'difficult', 'then', 'right', 'internet', 'pull', 'pulses',' kouta ',' internet ',' Active ',' run out ',' scorched ',' deh ',' disappear ',' Alhamdulillah ',' Kouta ',' results ',' event ',' check ',' then 'thank God', 'Alhamdulillah', 'Pulse', 'Target', 'Sampe', 'Rb', 'annoyed', 'really', 'open', 'application', 'MyTelkomsel', 'difficult', '']</v>
      </c>
      <c r="D420" s="3">
        <v>3.0</v>
      </c>
    </row>
    <row r="421" ht="15.75" customHeight="1">
      <c r="A421" s="1">
        <v>419.0</v>
      </c>
      <c r="B421" s="3" t="s">
        <v>422</v>
      </c>
      <c r="C421" s="3" t="str">
        <f>IFERROR(__xludf.DUMMYFUNCTION("GOOGLETRANSLATE(B421,""id"",""en"")"),"['Rancu', 'signal', 'ilang', 'expensive', 'doang', 'quality', 'nil', 'moved', 'hello', 'good', 'dilapid', 'kalh', ' Ama ',' Providee ',' cheap ',' pulp ']")</f>
        <v>['Rancu', 'signal', 'ilang', 'expensive', 'doang', 'quality', 'nil', 'moved', 'hello', 'good', 'dilapid', 'kalh', ' Ama ',' Providee ',' cheap ',' pulp ']</v>
      </c>
      <c r="D421" s="3">
        <v>1.0</v>
      </c>
    </row>
    <row r="422" ht="15.75" customHeight="1">
      <c r="A422" s="1">
        <v>420.0</v>
      </c>
      <c r="B422" s="3" t="s">
        <v>423</v>
      </c>
      <c r="C422" s="3" t="str">
        <f>IFERROR(__xludf.DUMMYFUNCTION("GOOGLETRANSLATE(B422,""id"",""en"")"),"['Knp', 'entry', 'application', 'error', 'mulu', 'severe', 'bnget', 'udh', 'gini', 'mulu', 'logut', 'bkin', ' Application ',' Bner ',' Napa ',' Srius', 'little', 'Kek']")</f>
        <v>['Knp', 'entry', 'application', 'error', 'mulu', 'severe', 'bnget', 'udh', 'gini', 'mulu', 'logut', 'bkin', ' Application ',' Bner ',' Napa ',' Srius', 'little', 'Kek']</v>
      </c>
      <c r="D422" s="3">
        <v>1.0</v>
      </c>
    </row>
    <row r="423" ht="15.75" customHeight="1">
      <c r="A423" s="1">
        <v>421.0</v>
      </c>
      <c r="B423" s="3" t="s">
        <v>424</v>
      </c>
      <c r="C423" s="3" t="str">
        <f>IFERROR(__xludf.DUMMYFUNCTION("GOOGLETRANSLATE(B423,""id"",""en"")"),"['Please', 'Read', 'Message', 'Disappointed', 'Servant', 'Nominal', 'Register', 'Package', 'Disney', 'Hotstar', 'Karna', 'Number', ' work ',' noon ',' top ',' pulse ',' graphari ',' cinere ',' mall ',' thank ',' sms', 'notification', 'noon', 'registered',"&amp;" 'package' , 'Disney', 'hotstar', 'active', 'active', 'approval', 'how', 'means', ""]")</f>
        <v>['Please', 'Read', 'Message', 'Disappointed', 'Servant', 'Nominal', 'Register', 'Package', 'Disney', 'Hotstar', 'Karna', 'Number', ' work ',' noon ',' top ',' pulse ',' graphari ',' cinere ',' mall ',' thank ',' sms', 'notification', 'noon', 'registered', 'package' , 'Disney', 'hotstar', 'active', 'active', 'approval', 'how', 'means', "]</v>
      </c>
      <c r="D423" s="3">
        <v>1.0</v>
      </c>
    </row>
    <row r="424" ht="15.75" customHeight="1">
      <c r="A424" s="1">
        <v>422.0</v>
      </c>
      <c r="B424" s="3" t="s">
        <v>425</v>
      </c>
      <c r="C424" s="3" t="str">
        <f>IFERROR(__xludf.DUMMYFUNCTION("GOOGLETRANSLATE(B424,""id"",""en"")"),"['Fix', 'App', 'Sis', 'App', 'Down', 'Please', 'Diligently', 'Notification', 'Warning', 'Use', 'Monthly', ""]")</f>
        <v>['Fix', 'App', 'Sis', 'App', 'Down', 'Please', 'Diligently', 'Notification', 'Warning', 'Use', 'Monthly', "]</v>
      </c>
      <c r="D424" s="3">
        <v>3.0</v>
      </c>
    </row>
    <row r="425" ht="15.75" customHeight="1">
      <c r="A425" s="1">
        <v>423.0</v>
      </c>
      <c r="B425" s="3" t="s">
        <v>426</v>
      </c>
      <c r="C425" s="3" t="str">
        <f>IFERROR(__xludf.DUMMYFUNCTION("GOOGLETRANSLATE(B425,""id"",""en"")"),"['Transfer', 'pulse', 'balance', 'lagging', 'min', 'knpa', 'no', 'pulse', 'Rbu', 'transfer', 'Rbu', 'sya', ' Fill ',' pulse ',' org ',' subscription ',' Sya ',' wrong ',' number ',' Sya ',' contents', 'number', 'Sya', 'transfer', 'pulses' , 'number', 'pac"&amp;"kage', 'cheap', 'application', 'Telkomsel', 'hrus',' left ',' no ',' buy ',' pket ',' sya ',' want ',' ']")</f>
        <v>['Transfer', 'pulse', 'balance', 'lagging', 'min', 'knpa', 'no', 'pulse', 'Rbu', 'transfer', 'Rbu', 'sya', ' Fill ',' pulse ',' org ',' subscription ',' Sya ',' wrong ',' number ',' Sya ',' contents', 'number', 'Sya', 'transfer', 'pulses' , 'number', 'package', 'cheap', 'application', 'Telkomsel', 'hrus',' left ',' no ',' buy ',' pket ',' sya ',' want ',' ']</v>
      </c>
      <c r="D425" s="3">
        <v>1.0</v>
      </c>
    </row>
    <row r="426" ht="15.75" customHeight="1">
      <c r="A426" s="1">
        <v>424.0</v>
      </c>
      <c r="B426" s="3" t="s">
        <v>427</v>
      </c>
      <c r="C426" s="3" t="str">
        <f>IFERROR(__xludf.DUMMYFUNCTION("GOOGLETRANSLATE(B426,""id"",""en"")"),"['quota', 'game', 'giga', 'signal', 'severe', 'really', 'rto', 'sanctuary', 'gave', 'bonus',' pakek ',' nge ',' Game ',' bonus', 'Loe', 'except', 'game', 'offline', 'pakek', 'internet', 'smooth', '']")</f>
        <v>['quota', 'game', 'giga', 'signal', 'severe', 'really', 'rto', 'sanctuary', 'gave', 'bonus',' pakek ',' nge ',' Game ',' bonus', 'Loe', 'except', 'game', 'offline', 'pakek', 'internet', 'smooth', '']</v>
      </c>
      <c r="D426" s="3">
        <v>1.0</v>
      </c>
    </row>
    <row r="427" ht="15.75" customHeight="1">
      <c r="A427" s="1">
        <v>425.0</v>
      </c>
      <c r="B427" s="3" t="s">
        <v>428</v>
      </c>
      <c r="C427" s="3" t="str">
        <f>IFERROR(__xludf.DUMMYFUNCTION("GOOGLETRANSLATE(B427,""id"",""en"")"),"['hi', 'min', 'purchase', 'package', 'data', 'extra', 'unlimited', 'Telkomsel', 'signal', 'supports',' notification ',' transaction ',' pulse ',' sufficient ',' please ',' system ',' repaired ',' detrimental ',' user ',' thank you ', ""]")</f>
        <v>['hi', 'min', 'purchase', 'package', 'data', 'extra', 'unlimited', 'Telkomsel', 'signal', 'supports',' notification ',' transaction ',' pulse ',' sufficient ',' please ',' system ',' repaired ',' detrimental ',' user ',' thank you ', "]</v>
      </c>
      <c r="D427" s="3">
        <v>1.0</v>
      </c>
    </row>
    <row r="428" ht="15.75" customHeight="1">
      <c r="A428" s="1">
        <v>426.0</v>
      </c>
      <c r="B428" s="3" t="s">
        <v>429</v>
      </c>
      <c r="C428" s="3" t="str">
        <f>IFERROR(__xludf.DUMMYFUNCTION("GOOGLETRANSLATE(B428,""id"",""en"")"),"['Service', 'Good', 'Package', 'Combo', 'Sakti', 'Economic', 'The', 'Best', 'Lahh', 'Use', 'Telkomsel', ""]")</f>
        <v>['Service', 'Good', 'Package', 'Combo', 'Sakti', 'Economic', 'The', 'Best', 'Lahh', 'Use', 'Telkomsel', "]</v>
      </c>
      <c r="D428" s="3">
        <v>5.0</v>
      </c>
    </row>
    <row r="429" ht="15.75" customHeight="1">
      <c r="A429" s="1">
        <v>427.0</v>
      </c>
      <c r="B429" s="3" t="s">
        <v>430</v>
      </c>
      <c r="C429" s="3" t="str">
        <f>IFERROR(__xludf.DUMMYFUNCTION("GOOGLETRANSLATE(B429,""id"",""en"")"),"['tariff', 'package', 'internet', 'expensive', 'user', 'Telkomsel', 'mah', 'internet', 'cheap', 'customer', 'Disahal', 'quality', ' bad network', '']")</f>
        <v>['tariff', 'package', 'internet', 'expensive', 'user', 'Telkomsel', 'mah', 'internet', 'cheap', 'customer', 'Disahal', 'quality', ' bad network', '']</v>
      </c>
      <c r="D429" s="3">
        <v>1.0</v>
      </c>
    </row>
    <row r="430" ht="15.75" customHeight="1">
      <c r="A430" s="1">
        <v>428.0</v>
      </c>
      <c r="B430" s="3" t="s">
        <v>431</v>
      </c>
      <c r="C430" s="3" t="str">
        <f>IFERROR(__xludf.DUMMYFUNCTION("GOOGLETRANSLATE(B430,""id"",""en"")"),"['Disappointed', 'Telkomsel', 'purchase', 'quota', 'additional', 'sllu', 'smooth', 'TPI', 'knapa', 'difficult', 'buy', 'quota', ' Additional ',' System ',' SLLU ',' Busy ',' ']")</f>
        <v>['Disappointed', 'Telkomsel', 'purchase', 'quota', 'additional', 'sllu', 'smooth', 'TPI', 'knapa', 'difficult', 'buy', 'quota', ' Additional ',' System ',' SLLU ',' Busy ',' ']</v>
      </c>
      <c r="D430" s="3">
        <v>4.0</v>
      </c>
    </row>
    <row r="431" ht="15.75" customHeight="1">
      <c r="A431" s="1">
        <v>429.0</v>
      </c>
      <c r="B431" s="3" t="s">
        <v>432</v>
      </c>
      <c r="C431" s="3" t="str">
        <f>IFERROR(__xludf.DUMMYFUNCTION("GOOGLETRANSLATE(B431,""id"",""en"")"),"['Telkomsel', 'experience', 'bankruptcy', 'fix', 'network', 'here', 'Sousiny', 'destroyed', 'bad', 'signal', 'ugly', 'service', ' ugly ',' network ',' quality ',' bad ',' hrs', 'diotak', 'utich', 'provider', 'good', 'telkomsel', 'jeleeekkk']")</f>
        <v>['Telkomsel', 'experience', 'bankruptcy', 'fix', 'network', 'here', 'Sousiny', 'destroyed', 'bad', 'signal', 'ugly', 'service', ' ugly ',' network ',' quality ',' bad ',' hrs', 'diotak', 'utich', 'provider', 'good', 'telkomsel', 'jeleeekkk']</v>
      </c>
      <c r="D431" s="3">
        <v>1.0</v>
      </c>
    </row>
    <row r="432" ht="15.75" customHeight="1">
      <c r="A432" s="1">
        <v>430.0</v>
      </c>
      <c r="B432" s="3" t="s">
        <v>433</v>
      </c>
      <c r="C432" s="3" t="str">
        <f>IFERROR(__xludf.DUMMYFUNCTION("GOOGLETRANSLATE(B432,""id"",""en"")"),"['service', 'best', 'signal', 'limited', 'remote', 'remote', 'loyal', 'Telkomsel', 'The', 'Best', 'Love', 'Telkomsel', ' ']")</f>
        <v>['service', 'best', 'signal', 'limited', 'remote', 'remote', 'loyal', 'Telkomsel', 'The', 'Best', 'Love', 'Telkomsel', ' ']</v>
      </c>
      <c r="D432" s="3">
        <v>5.0</v>
      </c>
    </row>
    <row r="433" ht="15.75" customHeight="1">
      <c r="A433" s="1">
        <v>431.0</v>
      </c>
      <c r="B433" s="3" t="s">
        <v>434</v>
      </c>
      <c r="C433" s="3" t="str">
        <f>IFERROR(__xludf.DUMMYFUNCTION("GOOGLETRANSLATE(B433,""id"",""en"")"),"['Activation', 'Package', 'Internet', 'Combo', 'Sakti', 'Max', 'RB', 'Finish', 'Transaction', 'Package', 'On', 'Already', ' Complaints', 'impressed', 'serious',' help ',' Telkomsel ',' serious', 'come on', 'company', 'as if', 'customer', 'gini', ""]")</f>
        <v>['Activation', 'Package', 'Internet', 'Combo', 'Sakti', 'Max', 'RB', 'Finish', 'Transaction', 'Package', 'On', 'Already', ' Complaints', 'impressed', 'serious',' help ',' Telkomsel ',' serious', 'come on', 'company', 'as if', 'customer', 'gini', "]</v>
      </c>
      <c r="D433" s="3">
        <v>1.0</v>
      </c>
    </row>
    <row r="434" ht="15.75" customHeight="1">
      <c r="A434" s="1">
        <v>432.0</v>
      </c>
      <c r="B434" s="3" t="s">
        <v>435</v>
      </c>
      <c r="C434" s="3" t="str">
        <f>IFERROR(__xludf.DUMMYFUNCTION("GOOGLETRANSLATE(B434,""id"",""en"")"),"['knp', 'right', 'update', 'app', 'version', 'newest', 'open', 'app', 'pdhl', 'before', 'update', 'persist', ' App ',' open ',' skarang ',' already ',' update ',' version ',' log ']")</f>
        <v>['knp', 'right', 'update', 'app', 'version', 'newest', 'open', 'app', 'pdhl', 'before', 'update', 'persist', ' App ',' open ',' skarang ',' already ',' update ',' version ',' log ']</v>
      </c>
      <c r="D434" s="3">
        <v>1.0</v>
      </c>
    </row>
    <row r="435" ht="15.75" customHeight="1">
      <c r="A435" s="1">
        <v>433.0</v>
      </c>
      <c r="B435" s="3" t="s">
        <v>436</v>
      </c>
      <c r="C435" s="3" t="str">
        <f>IFERROR(__xludf.DUMMYFUNCTION("GOOGLETRANSLATE(B435,""id"",""en"")"),"['huh', 'idiot', 'update', 'already', 'update', 'open', 'update', 'mean', 'try', 'hurt', ""]")</f>
        <v>['huh', 'idiot', 'update', 'already', 'update', 'open', 'update', 'mean', 'try', 'hurt', "]</v>
      </c>
      <c r="D435" s="3">
        <v>1.0</v>
      </c>
    </row>
    <row r="436" ht="15.75" customHeight="1">
      <c r="A436" s="1">
        <v>434.0</v>
      </c>
      <c r="B436" s="3" t="s">
        <v>437</v>
      </c>
      <c r="C436" s="3" t="str">
        <f>IFERROR(__xludf.DUMMYFUNCTION("GOOGLETRANSLATE(B436,""id"",""en"")"),"['Update', 'opened', 'Condition', 'Signal', 'Application', 'Opened', 'Please', 'Repaired', 'Comfortable', '']")</f>
        <v>['Update', 'opened', 'Condition', 'Signal', 'Application', 'Opened', 'Please', 'Repaired', 'Comfortable', '']</v>
      </c>
      <c r="D436" s="3">
        <v>1.0</v>
      </c>
    </row>
    <row r="437" ht="15.75" customHeight="1">
      <c r="A437" s="1">
        <v>435.0</v>
      </c>
      <c r="B437" s="3" t="s">
        <v>438</v>
      </c>
      <c r="C437" s="3" t="str">
        <f>IFERROR(__xludf.DUMMYFUNCTION("GOOGLETRANSLATE(B437,""id"",""en"")"),"['Yesterday', 'Network', 'Good', 'Open', 'Application', 'Telkomsel', 'Skrg', 'Gabisa', 'Open', 'Reason', 'Error', 'Network', ' ugly ',' pub ',' smooth ',' puny ',' application ',' reallyin ']")</f>
        <v>['Yesterday', 'Network', 'Good', 'Open', 'Application', 'Telkomsel', 'Skrg', 'Gabisa', 'Open', 'Reason', 'Error', 'Network', ' ugly ',' pub ',' smooth ',' puny ',' application ',' reallyin ']</v>
      </c>
      <c r="D437" s="3">
        <v>1.0</v>
      </c>
    </row>
    <row r="438" ht="15.75" customHeight="1">
      <c r="A438" s="1">
        <v>436.0</v>
      </c>
      <c r="B438" s="3" t="s">
        <v>439</v>
      </c>
      <c r="C438" s="3" t="str">
        <f>IFERROR(__xludf.DUMMYFUNCTION("GOOGLETRANSLATE(B438,""id"",""en"")"),"['Please', 'What', 'Terbang', 'Paba', 'Telkomsel', 'Buy', 'Package', 'Internet', 'Combo', 'Sakti', 'GB', 'Credit', ' worth ',' Rp ',' pulse ',' pulled ',' package ',' internet ',' entered ',' how ',' call ',' telkomsel ',' dri ',' yesterday ',' told ' , '"&amp;"Wait', 'Please', 'Paketan', 'Sent', 'Please', 'Credit', 'Returned', 'Disappointed', 'Telkomsel']")</f>
        <v>['Please', 'What', 'Terbang', 'Paba', 'Telkomsel', 'Buy', 'Package', 'Internet', 'Combo', 'Sakti', 'GB', 'Credit', ' worth ',' Rp ',' pulse ',' pulled ',' package ',' internet ',' entered ',' how ',' call ',' telkomsel ',' dri ',' yesterday ',' told ' , 'Wait', 'Please', 'Paketan', 'Sent', 'Please', 'Credit', 'Returned', 'Disappointed', 'Telkomsel']</v>
      </c>
      <c r="D438" s="3">
        <v>1.0</v>
      </c>
    </row>
    <row r="439" ht="15.75" customHeight="1">
      <c r="A439" s="1">
        <v>437.0</v>
      </c>
      <c r="B439" s="3" t="s">
        <v>440</v>
      </c>
      <c r="C439" s="3" t="str">
        <f>IFERROR(__xludf.DUMMYFUNCTION("GOOGLETRANSLATE(B439,""id"",""en"")"),"['The application', 'good', 'quality', 'network', 'poor', 'lower', 'star', 'severe', 'signal', 'already', 'already', 'migration', ' Hello ',' ']")</f>
        <v>['The application', 'good', 'quality', 'network', 'poor', 'lower', 'star', 'severe', 'signal', 'already', 'already', 'migration', ' Hello ',' ']</v>
      </c>
      <c r="D439" s="3">
        <v>1.0</v>
      </c>
    </row>
    <row r="440" ht="15.75" customHeight="1">
      <c r="A440" s="1">
        <v>438.0</v>
      </c>
      <c r="B440" s="3" t="s">
        <v>441</v>
      </c>
      <c r="C440" s="3" t="str">
        <f>IFERROR(__xludf.DUMMYFUNCTION("GOOGLETRANSLATE(B440,""id"",""en"")"),"['Stlah', 'update', 'payment', 'money', 'platform', 'funds',' sddikit ',' complicated ',' buy ',' package ',' contents', 'pulses',' funds', 'buy', 'package', 'use', 'pulses',' disappointed ']")</f>
        <v>['Stlah', 'update', 'payment', 'money', 'platform', 'funds',' sddikit ',' complicated ',' buy ',' package ',' contents', 'pulses',' funds', 'buy', 'package', 'use', 'pulses',' disappointed ']</v>
      </c>
      <c r="D440" s="3">
        <v>3.0</v>
      </c>
    </row>
    <row r="441" ht="15.75" customHeight="1">
      <c r="A441" s="1">
        <v>439.0</v>
      </c>
      <c r="B441" s="3" t="s">
        <v>442</v>
      </c>
      <c r="C441" s="3" t="str">
        <f>IFERROR(__xludf.DUMMYFUNCTION("GOOGLETRANSLATE(B441,""id"",""en"")"),"['Package', 'Combo', 'Sakti', 'Unlimited', 'Out', 'Quota', 'Main', 'Restricted', 'Kbps',' Move ',' Smartfren ',' Card ',' Telkomsel ',' already ',' Not bad ', ""]")</f>
        <v>['Package', 'Combo', 'Sakti', 'Unlimited', 'Out', 'Quota', 'Main', 'Restricted', 'Kbps',' Move ',' Smartfren ',' Card ',' Telkomsel ',' already ',' Not bad ', "]</v>
      </c>
      <c r="D441" s="3">
        <v>1.0</v>
      </c>
    </row>
    <row r="442" ht="15.75" customHeight="1">
      <c r="A442" s="1">
        <v>440.0</v>
      </c>
      <c r="B442" s="3" t="s">
        <v>443</v>
      </c>
      <c r="C442" s="3" t="str">
        <f>IFERROR(__xludf.DUMMYFUNCTION("GOOGLETRANSLATE(B442,""id"",""en"")"),"['difficult', 'open', 'app', 'already', 'contents',' pulse ',' buy ',' package ',' right ',' kayak ',' like ',' gini ',' smpe ',' skrg ',' open ',' app ',' open ',' please ',' love ',' promo ',' purchase ',' quota ', ""]")</f>
        <v>['difficult', 'open', 'app', 'already', 'contents',' pulse ',' buy ',' package ',' right ',' kayak ',' like ',' gini ',' smpe ',' skrg ',' open ',' app ',' open ',' please ',' love ',' promo ',' purchase ',' quota ', "]</v>
      </c>
      <c r="D442" s="3">
        <v>1.0</v>
      </c>
    </row>
    <row r="443" ht="15.75" customHeight="1">
      <c r="A443" s="1">
        <v>441.0</v>
      </c>
      <c r="B443" s="3" t="s">
        <v>444</v>
      </c>
      <c r="C443" s="3" t="str">
        <f>IFERROR(__xludf.DUMMYFUNCTION("GOOGLETRANSLATE(B443,""id"",""en"")"),"['update', 'then', 'told', 'login', 'stump', 'verification', 'cook', 'told', 'verification', 'just', 'second', 'sms',' Verification ',' Minutes', 'sent', 'idiot', 'application', 'think', 'signal', 'good', 'indo', 'idiot', 'really', 'programer', 'Males' , "&amp;"'Maketin', 'application', 'fired', 'programer', 'idiot', 'really', 'application', 'complicated', 'error', 'mulu', 'server', 'already', ' good ',' sibled ',' error ',' idiot ',' idiot ']")</f>
        <v>['update', 'then', 'told', 'login', 'stump', 'verification', 'cook', 'told', 'verification', 'just', 'second', 'sms',' Verification ',' Minutes', 'sent', 'idiot', 'application', 'think', 'signal', 'good', 'indo', 'idiot', 'really', 'programer', 'Males' , 'Maketin', 'application', 'fired', 'programer', 'idiot', 'really', 'application', 'complicated', 'error', 'mulu', 'server', 'already', ' good ',' sibled ',' error ',' idiot ',' idiot ']</v>
      </c>
      <c r="D443" s="3">
        <v>1.0</v>
      </c>
    </row>
    <row r="444" ht="15.75" customHeight="1">
      <c r="A444" s="1">
        <v>442.0</v>
      </c>
      <c r="B444" s="3" t="s">
        <v>445</v>
      </c>
      <c r="C444" s="3" t="str">
        <f>IFERROR(__xludf.DUMMYFUNCTION("GOOGLETRANSLATE(B444,""id"",""en"")"),"['oiya', 'app', 'user', 'friendly', 'please', 'quota', 'open', 'app', 'buy', 'package', 'data', 'buy', ' quota ',' stingy ',' love ',' promo ',' package ',' gatcha ',' ']")</f>
        <v>['oiya', 'app', 'user', 'friendly', 'please', 'quota', 'open', 'app', 'buy', 'package', 'data', 'buy', ' quota ',' stingy ',' love ',' promo ',' package ',' gatcha ',' ']</v>
      </c>
      <c r="D444" s="3">
        <v>4.0</v>
      </c>
    </row>
    <row r="445" ht="15.75" customHeight="1">
      <c r="A445" s="1">
        <v>443.0</v>
      </c>
      <c r="B445" s="3" t="s">
        <v>446</v>
      </c>
      <c r="C445" s="3" t="str">
        <f>IFERROR(__xludf.DUMMYFUNCTION("GOOGLETRANSLATE(B445,""id"",""en"")"),"['Sorry', 'Min', 'Abis',' Update ',' Application ',' Difficult ',' Login ',' Sorry ',' Error ',' Error ',' Nomer ',' Email ',' Input ',' already ',' Bener ',' already ',' shipment ',' Link ',' Login ',' Login ',' Cook ',' Abis', 'Update', 'Kek', 'Gini' , "&amp;"'Min', '']")</f>
        <v>['Sorry', 'Min', 'Abis',' Update ',' Application ',' Difficult ',' Login ',' Sorry ',' Error ',' Error ',' Nomer ',' Email ',' Input ',' already ',' Bener ',' already ',' shipment ',' Link ',' Login ',' Login ',' Cook ',' Abis', 'Update', 'Kek', 'Gini' , 'Min', '']</v>
      </c>
      <c r="D445" s="3">
        <v>1.0</v>
      </c>
    </row>
    <row r="446" ht="15.75" customHeight="1">
      <c r="A446" s="1">
        <v>444.0</v>
      </c>
      <c r="B446" s="3" t="s">
        <v>447</v>
      </c>
      <c r="C446" s="3" t="str">
        <f>IFERROR(__xludf.DUMMYFUNCTION("GOOGLETRANSLATE(B446,""id"",""en"")"),"['Application', 'noise', 'entry', 'application', 'difficult', 'misconception', 'network', 'error', 'system', 'open', 'application', 'entry', ' wrong ',' Tellkomsel ',' signal ',' network ',' user ',' Telkomsel ',' disappointed ',' service ',' please ',' u"&amp;"ser ',' Telkomsel ', ""]")</f>
        <v>['Application', 'noise', 'entry', 'application', 'difficult', 'misconception', 'network', 'error', 'system', 'open', 'application', 'entry', ' wrong ',' Tellkomsel ',' signal ',' network ',' user ',' Telkomsel ',' disappointed ',' service ',' please ',' user ',' Telkomsel ', "]</v>
      </c>
      <c r="D446" s="3">
        <v>1.0</v>
      </c>
    </row>
    <row r="447" ht="15.75" customHeight="1">
      <c r="A447" s="1">
        <v>445.0</v>
      </c>
      <c r="B447" s="3" t="s">
        <v>448</v>
      </c>
      <c r="C447" s="3" t="str">
        <f>IFERROR(__xludf.DUMMYFUNCTION("GOOGLETRANSLATE(B447,""id"",""en"")"),"['Date', 'July', 'Sampe', 'July', 'application', 'use', 'quota', 'use', 'card', 'prepaid', 'error', 'gini', ' troublesome ',' looks', 'serve', 'customer', '']")</f>
        <v>['Date', 'July', 'Sampe', 'July', 'application', 'use', 'quota', 'use', 'card', 'prepaid', 'error', 'gini', ' troublesome ',' looks', 'serve', 'customer', '']</v>
      </c>
      <c r="D447" s="3">
        <v>1.0</v>
      </c>
    </row>
    <row r="448" ht="15.75" customHeight="1">
      <c r="A448" s="1">
        <v>446.0</v>
      </c>
      <c r="B448" s="3" t="s">
        <v>449</v>
      </c>
      <c r="C448" s="3" t="str">
        <f>IFERROR(__xludf.DUMMYFUNCTION("GOOGLETRANSLATE(B448,""id"",""en"")"),"['Quota', 'Game', 'Play', 'Mobile', 'Legends', 'Buy', 'Quota', 'Game', 'Sia', 'Sia', 'Buy', 'Credit']")</f>
        <v>['Quota', 'Game', 'Play', 'Mobile', 'Legends', 'Buy', 'Quota', 'Game', 'Sia', 'Sia', 'Buy', 'Credit']</v>
      </c>
      <c r="D448" s="3">
        <v>1.0</v>
      </c>
    </row>
    <row r="449" ht="15.75" customHeight="1">
      <c r="A449" s="1">
        <v>447.0</v>
      </c>
      <c r="B449" s="3" t="s">
        <v>450</v>
      </c>
      <c r="C449" s="3" t="str">
        <f>IFERROR(__xludf.DUMMYFUNCTION("GOOGLETRANSLATE(B449,""id"",""en"")"),"['Suladed', 'Package', 'Data', 'Daily', 'Check', 'Credit', 'Drinked', 'Strange', 'Times',' Repeated ',' Package ',' Data ',' disappointing', '']")</f>
        <v>['Suladed', 'Package', 'Data', 'Daily', 'Check', 'Credit', 'Drinked', 'Strange', 'Times',' Repeated ',' Package ',' Data ',' disappointing', '']</v>
      </c>
      <c r="D449" s="3">
        <v>3.0</v>
      </c>
    </row>
    <row r="450" ht="15.75" customHeight="1">
      <c r="A450" s="1">
        <v>448.0</v>
      </c>
      <c r="B450" s="3" t="s">
        <v>451</v>
      </c>
      <c r="C450" s="3" t="str">
        <f>IFERROR(__xludf.DUMMYFUNCTION("GOOGLETRANSLATE(B450,""id"",""en"")"),"['Please', 'Fix', 'Sometimes',' VPN ',' Enter ',' Application ',' Network ',' Stable ',' Network ',' Stable ',' Yutuban ',' Current ',' Biat ',' buk ',' telephone ',' network ',' tidal ',' stable ',' VPN ',' dlu ',' open ',' apk ',' bru ',' open ']")</f>
        <v>['Please', 'Fix', 'Sometimes',' VPN ',' Enter ',' Application ',' Network ',' Stable ',' Network ',' Stable ',' Yutuban ',' Current ',' Biat ',' buk ',' telephone ',' network ',' tidal ',' stable ',' VPN ',' dlu ',' open ',' apk ',' bru ',' open ']</v>
      </c>
      <c r="D450" s="3">
        <v>1.0</v>
      </c>
    </row>
    <row r="451" ht="15.75" customHeight="1">
      <c r="A451" s="1">
        <v>449.0</v>
      </c>
      <c r="B451" s="3" t="s">
        <v>452</v>
      </c>
      <c r="C451" s="3" t="str">
        <f>IFERROR(__xludf.DUMMYFUNCTION("GOOGLETRANSLATE(B451,""id"",""en"")"),"['Good', 'ugly', 'The application', 'Haduhh', 'Severe', 'Bener', 'Telkomsel', 'application', 'ugly', 'really', 'wkkwk']")</f>
        <v>['Good', 'ugly', 'The application', 'Haduhh', 'Severe', 'Bener', 'Telkomsel', 'application', 'ugly', 'really', 'wkkwk']</v>
      </c>
      <c r="D451" s="3">
        <v>1.0</v>
      </c>
    </row>
    <row r="452" ht="15.75" customHeight="1">
      <c r="A452" s="1">
        <v>450.0</v>
      </c>
      <c r="B452" s="3" t="s">
        <v>453</v>
      </c>
      <c r="C452" s="3" t="str">
        <f>IFERROR(__xludf.DUMMYFUNCTION("GOOGLETRANSLATE(B452,""id"",""en"")"),"['Application', 'Telkomsel', 'features',' ugly ',' package ',' combony ',' expensive ',' expensive ',' TPI ',' quota ',' increase ',' TPI ',' need ',' just ',' package ',' combo ',' unlimitite ',' buy ',' right ',' usage ',' bkn ',' entrepreneur ',' need "&amp;"',' quota ',' rmh ' , 'ladder', 'usage', 'internet', 'please', 'enter', 'package', 'combo', 'unlimitiet', 'buy']")</f>
        <v>['Application', 'Telkomsel', 'features',' ugly ',' package ',' combony ',' expensive ',' expensive ',' TPI ',' quota ',' increase ',' TPI ',' need ',' just ',' package ',' combo ',' unlimitite ',' buy ',' right ',' usage ',' bkn ',' entrepreneur ',' need ',' quota ',' rmh ' , 'ladder', 'usage', 'internet', 'please', 'enter', 'package', 'combo', 'unlimitiet', 'buy']</v>
      </c>
      <c r="D452" s="3">
        <v>3.0</v>
      </c>
    </row>
    <row r="453" ht="15.75" customHeight="1">
      <c r="A453" s="1">
        <v>451.0</v>
      </c>
      <c r="B453" s="3" t="s">
        <v>454</v>
      </c>
      <c r="C453" s="3" t="str">
        <f>IFERROR(__xludf.DUMMYFUNCTION("GOOGLETRANSLATE(B453,""id"",""en"")"),"['Loss',' Update ',' MB ',' Update ',' Sumbin ',' Difficult ',' Enter ',' Sumbin ',' Hard ',' Kayak ',' Expensive ',' Network ',' Ngak ',' Sales', 'Change', 'Card', '']")</f>
        <v>['Loss',' Update ',' MB ',' Update ',' Sumbin ',' Difficult ',' Enter ',' Sumbin ',' Hard ',' Kayak ',' Expensive ',' Network ',' Ngak ',' Sales', 'Change', 'Card', '']</v>
      </c>
      <c r="D453" s="3">
        <v>1.0</v>
      </c>
    </row>
    <row r="454" ht="15.75" customHeight="1">
      <c r="A454" s="1">
        <v>452.0</v>
      </c>
      <c r="B454" s="3" t="s">
        <v>455</v>
      </c>
      <c r="C454" s="3" t="str">
        <f>IFERROR(__xludf.DUMMYFUNCTION("GOOGLETRANSLATE(B454,""id"",""en"")"),"['Difficult', 'Bener', 'Login', 'Udh', 'Check', 'Check', 'Log', 'Out', 'Login', 'Pekah', 'Telkomsel']")</f>
        <v>['Difficult', 'Bener', 'Login', 'Udh', 'Check', 'Check', 'Log', 'Out', 'Login', 'Pekah', 'Telkomsel']</v>
      </c>
      <c r="D454" s="3">
        <v>1.0</v>
      </c>
    </row>
    <row r="455" ht="15.75" customHeight="1">
      <c r="A455" s="1">
        <v>453.0</v>
      </c>
      <c r="B455" s="3" t="s">
        <v>456</v>
      </c>
      <c r="C455" s="3" t="str">
        <f>IFERROR(__xludf.DUMMYFUNCTION("GOOGLETRANSLATE(B455,""id"",""en"")"),"['application', 'since' update ',' difficult ',' enter ',' application ',' already ',' get ',' link ',' sms ',' click ',' enter ',' Terips', 'signal', 'ugly', 'already', 'Thun', 'Make', 'Telkomsel', 'ugly', 'area', 'Bekasi', 'City']")</f>
        <v>['application', 'since' update ',' difficult ',' enter ',' application ',' already ',' get ',' link ',' sms ',' click ',' enter ',' Terips', 'signal', 'ugly', 'already', 'Thun', 'Make', 'Telkomsel', 'ugly', 'area', 'Bekasi', 'City']</v>
      </c>
      <c r="D455" s="3">
        <v>1.0</v>
      </c>
    </row>
    <row r="456" ht="15.75" customHeight="1">
      <c r="A456" s="1">
        <v>454.0</v>
      </c>
      <c r="B456" s="3" t="s">
        <v>457</v>
      </c>
      <c r="C456" s="3" t="str">
        <f>IFERROR(__xludf.DUMMYFUNCTION("GOOGLETRANSLATE(B456,""id"",""en"")"),"['Thn', 'Telkomsel', 'disappointing', 'Mbuka', 'Application', 'Sometimes', 'No', 'Open', 'Video', 'Klu', 'Disconnect', ""]")</f>
        <v>['Thn', 'Telkomsel', 'disappointing', 'Mbuka', 'Application', 'Sometimes', 'No', 'Open', 'Video', 'Klu', 'Disconnect', "]</v>
      </c>
      <c r="D456" s="3">
        <v>3.0</v>
      </c>
    </row>
    <row r="457" ht="15.75" customHeight="1">
      <c r="A457" s="1">
        <v>455.0</v>
      </c>
      <c r="B457" s="3" t="s">
        <v>458</v>
      </c>
      <c r="C457" s="3" t="str">
        <f>IFERROR(__xludf.DUMMYFUNCTION("GOOGLETRANSLATE(B457,""id"",""en"")"),"['His name', 'Telkomsel', 'his community', 'Season', 'Upgrade', 'Service', 'Sampe', 'ugly', 'Mulu', 'Sunynya', 'Good', 'second', ' Mending ',' Bakar ',' Office ',' Ngelintanin ',' User ',' Expensive ',' Get ',' ']")</f>
        <v>['His name', 'Telkomsel', 'his community', 'Season', 'Upgrade', 'Service', 'Sampe', 'ugly', 'Mulu', 'Sunynya', 'Good', 'second', ' Mending ',' Bakar ',' Office ',' Ngelintanin ',' User ',' Expensive ',' Get ',' ']</v>
      </c>
      <c r="D457" s="3">
        <v>1.0</v>
      </c>
    </row>
    <row r="458" ht="15.75" customHeight="1">
      <c r="A458" s="1">
        <v>456.0</v>
      </c>
      <c r="B458" s="3" t="s">
        <v>459</v>
      </c>
      <c r="C458" s="3" t="str">
        <f>IFERROR(__xludf.DUMMYFUNCTION("GOOGLETRANSLATE(B458,""id"",""en"")"),"['hate', 'annoyed', 'mamgkel', 'slow', 'thief', 'pulse', 'yesterday', 'jdi', 'position', 'off', 'activate', ' already ',' many ',' times', 'Males',' use ',' safe ',' nyimpen ',' pulse ']")</f>
        <v>['hate', 'annoyed', 'mamgkel', 'slow', 'thief', 'pulse', 'yesterday', 'jdi', 'position', 'off', 'activate', ' already ',' many ',' times', 'Males',' use ',' safe ',' nyimpen ',' pulse ']</v>
      </c>
      <c r="D458" s="3">
        <v>1.0</v>
      </c>
    </row>
    <row r="459" ht="15.75" customHeight="1">
      <c r="A459" s="1">
        <v>457.0</v>
      </c>
      <c r="B459" s="3" t="s">
        <v>460</v>
      </c>
      <c r="C459" s="3" t="str">
        <f>IFERROR(__xludf.DUMMYFUNCTION("GOOGLETRANSLATE(B459,""id"",""en"")"),"['pulse', 'missing', 'pdhal', 'service', 'Rupiah', 'Not bad', ""]")</f>
        <v>['pulse', 'missing', 'pdhal', 'service', 'Rupiah', 'Not bad', "]</v>
      </c>
      <c r="D459" s="3">
        <v>1.0</v>
      </c>
    </row>
    <row r="460" ht="15.75" customHeight="1">
      <c r="A460" s="1">
        <v>458.0</v>
      </c>
      <c r="B460" s="3" t="s">
        <v>461</v>
      </c>
      <c r="C460" s="3" t="str">
        <f>IFERROR(__xludf.DUMMYFUNCTION("GOOGLETRANSLATE(B460,""id"",""en"")"),"['application', 'bad', 'boong', 'good', 'application']")</f>
        <v>['application', 'bad', 'boong', 'good', 'application']</v>
      </c>
      <c r="D460" s="3">
        <v>5.0</v>
      </c>
    </row>
    <row r="461" ht="15.75" customHeight="1">
      <c r="A461" s="1">
        <v>459.0</v>
      </c>
      <c r="B461" s="3" t="s">
        <v>462</v>
      </c>
      <c r="C461" s="3" t="str">
        <f>IFERROR(__xludf.DUMMYFUNCTION("GOOGLETRANSLATE(B461,""id"",""en"")"),"['network', 'Telkomsel', 'bad', 'price', 'quota', 'expensive', 'send', 'message', 'forgiveness', 'disappointed', 'Telkomsel', ""]")</f>
        <v>['network', 'Telkomsel', 'bad', 'price', 'quota', 'expensive', 'send', 'message', 'forgiveness', 'disappointed', 'Telkomsel', "]</v>
      </c>
      <c r="D461" s="3">
        <v>1.0</v>
      </c>
    </row>
    <row r="462" ht="15.75" customHeight="1">
      <c r="A462" s="1">
        <v>460.0</v>
      </c>
      <c r="B462" s="3" t="s">
        <v>463</v>
      </c>
      <c r="C462" s="3" t="str">
        <f>IFERROR(__xludf.DUMMYFUNCTION("GOOGLETRANSLATE(B462,""id"",""en"")"),"['Telkomsel', 'card', 'signal', 'internet', 'stealth', 'package', 'expensive', 'quality', 'abal', 'abal', 'use', 'Telkomsel', ' Mending ',' use ',' card ',' Telkomsel ',' ']")</f>
        <v>['Telkomsel', 'card', 'signal', 'internet', 'stealth', 'package', 'expensive', 'quality', 'abal', 'abal', 'use', 'Telkomsel', ' Mending ',' use ',' card ',' Telkomsel ',' ']</v>
      </c>
      <c r="D462" s="3">
        <v>1.0</v>
      </c>
    </row>
    <row r="463" ht="15.75" customHeight="1">
      <c r="A463" s="1">
        <v>461.0</v>
      </c>
      <c r="B463" s="3" t="s">
        <v>464</v>
      </c>
      <c r="C463" s="3" t="str">
        <f>IFERROR(__xludf.DUMMYFUNCTION("GOOGLETRANSLATE(B463,""id"",""en"")"),"['Please', 'explanation', 'contents', 'package', 'date', 'July', 'run out', 'date', 'August', 'count it', 'brti', ""]")</f>
        <v>['Please', 'explanation', 'contents', 'package', 'date', 'July', 'run out', 'date', 'August', 'count it', 'brti', "]</v>
      </c>
      <c r="D463" s="3">
        <v>5.0</v>
      </c>
    </row>
    <row r="464" ht="15.75" customHeight="1">
      <c r="A464" s="1">
        <v>462.0</v>
      </c>
      <c r="B464" s="3" t="s">
        <v>465</v>
      </c>
      <c r="C464" s="3" t="str">
        <f>IFERROR(__xludf.DUMMYFUNCTION("GOOGLETRANSLATE(B464,""id"",""en"")"),"['Good', 'The application', 'please', 'package', 'internet', 'expensive', 'Telkomsel', 'famous',' expensive ',' signal ',' no ',' good ',' Hope ',' Jaya ',' Network ',' ugly ',' Unfortunately ',' Paketan ',' Out ',' Credit ',' Sumpot ',' Data ',' On ', """&amp;"]")</f>
        <v>['Good', 'The application', 'please', 'package', 'internet', 'expensive', 'Telkomsel', 'famous',' expensive ',' signal ',' no ',' good ',' Hope ',' Jaya ',' Network ',' ugly ',' Unfortunately ',' Paketan ',' Out ',' Credit ',' Sumpot ',' Data ',' On ', "]</v>
      </c>
      <c r="D464" s="3">
        <v>3.0</v>
      </c>
    </row>
    <row r="465" ht="15.75" customHeight="1">
      <c r="A465" s="1">
        <v>463.0</v>
      </c>
      <c r="B465" s="3" t="s">
        <v>466</v>
      </c>
      <c r="C465" s="3" t="str">
        <f>IFERROR(__xludf.DUMMYFUNCTION("GOOGLETRANSLATE(B465,""id"",""en"")"),"['Credit', 'Suck', 'Woiii', 'Data', 'Matiin', 'Somplak', 'Activein', 'Data', 'PKE', 'WiFi', 'Enter', 'App', ' Telkomsel ',' Eroor ',' turn ',' Monitor ',' Data ',' App ',' Tekomsel ',' Open ',' Credit ',' Cut ',' Basic ',' Simpita ', ""]")</f>
        <v>['Credit', 'Suck', 'Woiii', 'Data', 'Matiin', 'Somplak', 'Activein', 'Data', 'PKE', 'WiFi', 'Enter', 'App', ' Telkomsel ',' Eroor ',' turn ',' Monitor ',' Data ',' App ',' Tekomsel ',' Open ',' Credit ',' Cut ',' Basic ',' Simpita ', "]</v>
      </c>
      <c r="D465" s="3">
        <v>1.0</v>
      </c>
    </row>
    <row r="466" ht="15.75" customHeight="1">
      <c r="A466" s="1">
        <v>464.0</v>
      </c>
      <c r="B466" s="3" t="s">
        <v>467</v>
      </c>
      <c r="C466" s="3" t="str">
        <f>IFERROR(__xludf.DUMMYFUNCTION("GOOGLETRANSLATE(B466,""id"",""en"")"),"['Wear', 'sympathy', 'Telkomsel', 'BBRAPA', 'signal', 'ugly', 'loading', 'disorder', 'then', 'gerangan', 'Telkomsel', 'emang', ' Improvements', 'min', 'info', 'customers',' understand it ',' ']")</f>
        <v>['Wear', 'sympathy', 'Telkomsel', 'BBRAPA', 'signal', 'ugly', 'loading', 'disorder', 'then', 'gerangan', 'Telkomsel', 'emang', ' Improvements', 'min', 'info', 'customers',' understand it ',' ']</v>
      </c>
      <c r="D466" s="3">
        <v>1.0</v>
      </c>
    </row>
    <row r="467" ht="15.75" customHeight="1">
      <c r="A467" s="1">
        <v>465.0</v>
      </c>
      <c r="B467" s="3" t="s">
        <v>468</v>
      </c>
      <c r="C467" s="3" t="str">
        <f>IFERROR(__xludf.DUMMYFUNCTION("GOOGLETRANSLATE(B467,""id"",""en"")"),"['Quota', 'Telkomsel', 'Expensive', 'wasteful', 'Emporting', 'User', 'Wall', 'Thin', 'Use', 'Card', 'Axis',' Cheap ',' Save ',' use ',' Telkomsel ',' want ',' watch ',' Olympics', 'concluded', 'use', 'Telkomsel', 'forced', 'tormented']")</f>
        <v>['Quota', 'Telkomsel', 'Expensive', 'wasteful', 'Emporting', 'User', 'Wall', 'Thin', 'Use', 'Card', 'Axis',' Cheap ',' Save ',' use ',' Telkomsel ',' want ',' watch ',' Olympics', 'concluded', 'use', 'Telkomsel', 'forced', 'tormented']</v>
      </c>
      <c r="D467" s="3">
        <v>1.0</v>
      </c>
    </row>
    <row r="468" ht="15.75" customHeight="1">
      <c r="A468" s="1">
        <v>466.0</v>
      </c>
      <c r="B468" s="3" t="s">
        <v>469</v>
      </c>
      <c r="C468" s="3" t="str">
        <f>IFERROR(__xludf.DUMMYFUNCTION("GOOGLETRANSLATE(B468,""id"",""en"")"),"['Please', 'The network', 'repaired', 'electricity', 'go out', 'network', 'Telkomsel', 'missing', 'network', 'right', 'play', 'game', ' AFK ',' use ',' Hero ',' MMR ',' Imagine ',' feeling ', ""]")</f>
        <v>['Please', 'The network', 'repaired', 'electricity', 'go out', 'network', 'Telkomsel', 'missing', 'network', 'right', 'play', 'game', ' AFK ',' use ',' Hero ',' MMR ',' Imagine ',' feeling ', "]</v>
      </c>
      <c r="D468" s="3">
        <v>1.0</v>
      </c>
    </row>
    <row r="469" ht="15.75" customHeight="1">
      <c r="A469" s="1">
        <v>467.0</v>
      </c>
      <c r="B469" s="3" t="s">
        <v>470</v>
      </c>
      <c r="C469" s="3" t="str">
        <f>IFERROR(__xludf.DUMMYFUNCTION("GOOGLETRANSLATE(B469,""id"",""en"")"),"['Hello', 'Min', 'Please', 'The info', 'Telkomsel', 'Update', 'Gabisa', 'Enter', 'Open', 'APK', 'White', 'Doang', ' screen ',' rich ',' ngefreez ',' sometimes', 'item', 'doang', 'sebelm', 'update', 'smooth', 'Please', 'help']")</f>
        <v>['Hello', 'Min', 'Please', 'The info', 'Telkomsel', 'Update', 'Gabisa', 'Enter', 'Open', 'APK', 'White', 'Doang', ' screen ',' rich ',' ngefreez ',' sometimes', 'item', 'doang', 'sebelm', 'update', 'smooth', 'Please', 'help']</v>
      </c>
      <c r="D469" s="3">
        <v>1.0</v>
      </c>
    </row>
    <row r="470" ht="15.75" customHeight="1">
      <c r="A470" s="1">
        <v>468.0</v>
      </c>
      <c r="B470" s="3" t="s">
        <v>471</v>
      </c>
      <c r="C470" s="3" t="str">
        <f>IFERROR(__xludf.DUMMYFUNCTION("GOOGLETRANSLATE(B470,""id"",""en"")"),"['buy', 'thousand', 'buy', 'times',' love ',' price ',' cheap ',' wear ',' Telkomsel ',' village ',' signal ',' slalu ',' Hard ',' Learning ',' Online ',' ']")</f>
        <v>['buy', 'thousand', 'buy', 'times',' love ',' price ',' cheap ',' wear ',' Telkomsel ',' village ',' signal ',' slalu ',' Hard ',' Learning ',' Online ',' ']</v>
      </c>
      <c r="D470" s="3">
        <v>5.0</v>
      </c>
    </row>
    <row r="471" ht="15.75" customHeight="1">
      <c r="A471" s="1">
        <v>469.0</v>
      </c>
      <c r="B471" s="3" t="s">
        <v>472</v>
      </c>
      <c r="C471" s="3" t="str">
        <f>IFERROR(__xludf.DUMMYFUNCTION("GOOGLETRANSLATE(B471,""id"",""en"")"),"['application', 'slow', 'packagein', 'data', 'wifi', 'gabisa', 'entry', 'app', 'slow', 'severe', 'right', 'already', ' Pointed ',' expensive ',' open ',' Telkomsel ',' Lawak ',' Application ',' Telkomsel ',' deliberate ',' buy ',' expensive ',' Duakali ',"&amp;"' Kek ',' Gini ' , 'Hambur', 'really', 'pulse', 'telephone', 'sms',' expensive ',' packagein ',' sms', 'gabisa', 'bought', 'Telkomsel', 'forced', ' Gosh ',' wanted ',' Change ',' Provider ',' Need ',' Signal ',' Telkomsel ']")</f>
        <v>['application', 'slow', 'packagein', 'data', 'wifi', 'gabisa', 'entry', 'app', 'slow', 'severe', 'right', 'already', ' Pointed ',' expensive ',' open ',' Telkomsel ',' Lawak ',' Application ',' Telkomsel ',' deliberate ',' buy ',' expensive ',' Duakali ',' Kek ',' Gini ' , 'Hambur', 'really', 'pulse', 'telephone', 'sms',' expensive ',' packagein ',' sms', 'gabisa', 'bought', 'Telkomsel', 'forced', ' Gosh ',' wanted ',' Change ',' Provider ',' Need ',' Signal ',' Telkomsel ']</v>
      </c>
      <c r="D471" s="3">
        <v>1.0</v>
      </c>
    </row>
    <row r="472" ht="15.75" customHeight="1">
      <c r="A472" s="1">
        <v>470.0</v>
      </c>
      <c r="B472" s="3" t="s">
        <v>473</v>
      </c>
      <c r="C472" s="3" t="str">
        <f>IFERROR(__xludf.DUMMYFUNCTION("GOOGLETRANSLATE(B472,""id"",""en"")"),"['Application', 'Update', 'Latest', 'Payment', 'Debit', 'Confirm', 'BLM', 'Change']")</f>
        <v>['Application', 'Update', 'Latest', 'Payment', 'Debit', 'Confirm', 'BLM', 'Change']</v>
      </c>
      <c r="D472" s="3">
        <v>3.0</v>
      </c>
    </row>
    <row r="473" ht="15.75" customHeight="1">
      <c r="A473" s="1">
        <v>471.0</v>
      </c>
      <c r="B473" s="3" t="s">
        <v>474</v>
      </c>
      <c r="C473" s="3" t="str">
        <f>IFERROR(__xludf.DUMMYFUNCTION("GOOGLETRANSLATE(B473,""id"",""en"")"),"['Telkomsel', 'Sukabumi', 'signal', 'ugly', 'PDHL', 'Telkomsel', 'speeding', 'signal', 'Taun', 'Telkomsel', 'times',' signal ',' bad', '']")</f>
        <v>['Telkomsel', 'Sukabumi', 'signal', 'ugly', 'PDHL', 'Telkomsel', 'speeding', 'signal', 'Taun', 'Telkomsel', 'times',' signal ',' bad', '']</v>
      </c>
      <c r="D473" s="3">
        <v>4.0</v>
      </c>
    </row>
    <row r="474" ht="15.75" customHeight="1">
      <c r="A474" s="1">
        <v>472.0</v>
      </c>
      <c r="B474" s="3" t="s">
        <v>475</v>
      </c>
      <c r="C474" s="3" t="str">
        <f>IFERROR(__xludf.DUMMYFUNCTION("GOOGLETRANSLATE(B474,""id"",""en"")"),"['Credit', 'Sumpot', 'Used', 'Register', 'Package', 'Call', 'Pulse', 'Sekrng', 'Remnant', 'Register', 'Package', 'Confirmed', ' Services', 'satisfying', '']")</f>
        <v>['Credit', 'Sumpot', 'Used', 'Register', 'Package', 'Call', 'Pulse', 'Sekrng', 'Remnant', 'Register', 'Package', 'Confirmed', ' Services', 'satisfying', '']</v>
      </c>
      <c r="D474" s="3">
        <v>1.0</v>
      </c>
    </row>
    <row r="475" ht="15.75" customHeight="1">
      <c r="A475" s="1">
        <v>473.0</v>
      </c>
      <c r="B475" s="3" t="s">
        <v>476</v>
      </c>
      <c r="C475" s="3" t="str">
        <f>IFERROR(__xludf.DUMMYFUNCTION("GOOGLETRANSLATE(B475,""id"",""en"")"),"['suggestion', 'user', 'like', 'display', 'interface', 'informative', 'choice', 'color', 'font', 'fit', 'interface', 'look', ' informative ',' lack ',' icon ',' thank you ']")</f>
        <v>['suggestion', 'user', 'like', 'display', 'interface', 'informative', 'choice', 'color', 'font', 'fit', 'interface', 'look', ' informative ',' lack ',' icon ',' thank you ']</v>
      </c>
      <c r="D475" s="3">
        <v>3.0</v>
      </c>
    </row>
    <row r="476" ht="15.75" customHeight="1">
      <c r="A476" s="1">
        <v>474.0</v>
      </c>
      <c r="B476" s="3" t="s">
        <v>477</v>
      </c>
      <c r="C476" s="3" t="str">
        <f>IFERROR(__xludf.DUMMYFUNCTION("GOOGLETRANSLATE(B476,""id"",""en"")"),"['Customer', 'use', 'promo', 'quota', 'all', 'net', 'price', 'cheap', 'thank', 'love', 'Telkomsel', ""]")</f>
        <v>['Customer', 'use', 'promo', 'quota', 'all', 'net', 'price', 'cheap', 'thank', 'love', 'Telkomsel', "]</v>
      </c>
      <c r="D476" s="3">
        <v>3.0</v>
      </c>
    </row>
    <row r="477" ht="15.75" customHeight="1">
      <c r="A477" s="1">
        <v>475.0</v>
      </c>
      <c r="B477" s="3" t="s">
        <v>478</v>
      </c>
      <c r="C477" s="3" t="str">
        <f>IFERROR(__xludf.DUMMYFUNCTION("GOOGLETRANSLATE(B477,""id"",""en"")"),"['transaction', 'fast', 'cost', 'cheap', 'promo', 'hopefully', 'Telkomsel', 'promo', 'promo', 'giving', 'convenience', 'vocational "",' ']")</f>
        <v>['transaction', 'fast', 'cost', 'cheap', 'promo', 'hopefully', 'Telkomsel', 'promo', 'promo', 'giving', 'convenience', 'vocational ",' ']</v>
      </c>
      <c r="D477" s="3">
        <v>5.0</v>
      </c>
    </row>
    <row r="478" ht="15.75" customHeight="1">
      <c r="A478" s="1">
        <v>476.0</v>
      </c>
      <c r="B478" s="3" t="s">
        <v>479</v>
      </c>
      <c r="C478" s="3" t="str">
        <f>IFERROR(__xludf.DUMMYFUNCTION("GOOGLETRANSLATE(B478,""id"",""en"")"),"['Telkomsel', 'network', 'please', 'follow', 'down', 'network', 'Telkomsel', 'how', 'package', 'main', 'quota', 'sosmed', ' She ',' quota ',' main ',' use ',' package ',' sosmed ',' right ',' package ',' data ',' main ',' finished ',' filled ',' what ' , "&amp;"'']")</f>
        <v>['Telkomsel', 'network', 'please', 'follow', 'down', 'network', 'Telkomsel', 'how', 'package', 'main', 'quota', 'sosmed', ' She ',' quota ',' main ',' use ',' package ',' sosmed ',' right ',' package ',' data ',' main ',' finished ',' filled ',' what ' , '']</v>
      </c>
      <c r="D478" s="3">
        <v>2.0</v>
      </c>
    </row>
    <row r="479" ht="15.75" customHeight="1">
      <c r="A479" s="1">
        <v>477.0</v>
      </c>
      <c r="B479" s="3" t="s">
        <v>480</v>
      </c>
      <c r="C479" s="3" t="str">
        <f>IFERROR(__xludf.DUMMYFUNCTION("GOOGLETRANSLATE(B479,""id"",""en"")"),"['Network', 'Internet', 'Telkomsel', 'ugly', 'Come', 'Leave', 'Telkomsel', 'Network', 'ugly', 'Customer', 'Harm', 'Uda', ' Buy ',' Expensive ',' Quota ',' Taunya ',' Enjoy ']")</f>
        <v>['Network', 'Internet', 'Telkomsel', 'ugly', 'Come', 'Leave', 'Telkomsel', 'Network', 'ugly', 'Customer', 'Harm', 'Uda', ' Buy ',' Expensive ',' Quota ',' Taunya ',' Enjoy ']</v>
      </c>
      <c r="D479" s="3">
        <v>1.0</v>
      </c>
    </row>
    <row r="480" ht="15.75" customHeight="1">
      <c r="A480" s="1">
        <v>478.0</v>
      </c>
      <c r="B480" s="3" t="s">
        <v>481</v>
      </c>
      <c r="C480" s="3" t="str">
        <f>IFERROR(__xludf.DUMMYFUNCTION("GOOGLETRANSLATE(B480,""id"",""en"")"),"['woe', 'admin', 'Telkomsel', 'update', 'difficult', 'login', 'right', 'session', 'sorry', 'error', 'session', 'Ajg', ' How ',' Please ',' Enlightenment ',' Cave ',' Ngebeli ',' Unlimited ',' Selalalu ',' Telkomsel ',' Ngebeli ',' Login ',' TTD ',' Custom"&amp;"er ',' Faithful ' , 'disappointed', '']")</f>
        <v>['woe', 'admin', 'Telkomsel', 'update', 'difficult', 'login', 'right', 'session', 'sorry', 'error', 'session', 'Ajg', ' How ',' Please ',' Enlightenment ',' Cave ',' Ngebeli ',' Unlimited ',' Selalalu ',' Telkomsel ',' Ngebeli ',' Login ',' TTD ',' Customer ',' Faithful ' , 'disappointed', '']</v>
      </c>
      <c r="D480" s="3">
        <v>1.0</v>
      </c>
    </row>
    <row r="481" ht="15.75" customHeight="1">
      <c r="A481" s="1">
        <v>479.0</v>
      </c>
      <c r="B481" s="3" t="s">
        <v>482</v>
      </c>
      <c r="C481" s="3" t="str">
        <f>IFERROR(__xludf.DUMMYFUNCTION("GOOGLETRANSLATE(B481,""id"",""en"")"),"['account', 'Telkomsel', 'login', 'try', 'method', 'enter', 'failed', 'error']")</f>
        <v>['account', 'Telkomsel', 'login', 'try', 'method', 'enter', 'failed', 'error']</v>
      </c>
      <c r="D481" s="3">
        <v>2.0</v>
      </c>
    </row>
    <row r="482" ht="15.75" customHeight="1">
      <c r="A482" s="1">
        <v>480.0</v>
      </c>
      <c r="B482" s="3" t="s">
        <v>483</v>
      </c>
      <c r="C482" s="3" t="str">
        <f>IFERROR(__xludf.DUMMYFUNCTION("GOOGLETRANSLATE(B482,""id"",""en"")"),"['', 'Telkomsel', 'Abis', 'updated', 'gabisa', 'entry', 'account', 'error', 'error', 'network', 'network', 'internet', "" ]")</f>
        <v>['', 'Telkomsel', 'Abis', 'updated', 'gabisa', 'entry', 'account', 'error', 'error', 'network', 'network', 'internet', " ]</v>
      </c>
      <c r="D482" s="3">
        <v>2.0</v>
      </c>
    </row>
    <row r="483" ht="15.75" customHeight="1">
      <c r="A483" s="1">
        <v>481.0</v>
      </c>
      <c r="B483" s="3" t="s">
        <v>484</v>
      </c>
      <c r="C483" s="3" t="str">
        <f>IFERROR(__xludf.DUMMYFUNCTION("GOOGLETRANSLATE(B483,""id"",""en"")"),"['Credit', 'Savenya', 'Indosat', 'Paketan', 'Credit', 'Forgot', 'Buy', 'Package', 'Drain', 'Credit', 'Telkomsel', 'Drain', ' pulse', '']")</f>
        <v>['Credit', 'Savenya', 'Indosat', 'Paketan', 'Credit', 'Forgot', 'Buy', 'Package', 'Drain', 'Credit', 'Telkomsel', 'Drain', ' pulse', '']</v>
      </c>
      <c r="D483" s="3">
        <v>1.0</v>
      </c>
    </row>
    <row r="484" ht="15.75" customHeight="1">
      <c r="A484" s="1">
        <v>482.0</v>
      </c>
      <c r="B484" s="3" t="s">
        <v>485</v>
      </c>
      <c r="C484" s="3" t="str">
        <f>IFERROR(__xludf.DUMMYFUNCTION("GOOGLETRANSLATE(B484,""id"",""en"")"),"['', 'Exchange', 'Points',' GB ',' intenet ',' Notif ',' internet ',' get ',' points', 'truncated', 'hoax', 'doang', 'event ',' Exchange ',' points', 'hadeeeeeehhhhh', 'sunshine', 'contents',' pulses', 'like', 'big', 'mulu', 'subscription', 'Telkomsel', '"&amp;"already', '']")</f>
        <v>['', 'Exchange', 'Points',' GB ',' intenet ',' Notif ',' internet ',' get ',' points', 'truncated', 'hoax', 'doang', 'event ',' Exchange ',' points', 'hadeeeeeehhhhh', 'sunshine', 'contents',' pulses', 'like', 'big', 'mulu', 'subscription', 'Telkomsel', 'already', '']</v>
      </c>
      <c r="D484" s="3">
        <v>2.0</v>
      </c>
    </row>
    <row r="485" ht="15.75" customHeight="1">
      <c r="A485" s="1">
        <v>483.0</v>
      </c>
      <c r="B485" s="3" t="s">
        <v>486</v>
      </c>
      <c r="C485" s="3" t="str">
        <f>IFERROR(__xludf.DUMMYFUNCTION("GOOGLETRANSLATE(B485,""id"",""en"")"),"['Star', 'skrg', 'love', 'star', 'Telkomsel', 'gave', 'gift', 'beloved', 'Kya', 'next door', 'love', 'bneran', ' Give ',' Daily ',' Check ',' Turn ',' Deket ',' get ',' Gift ',' Open ',' Application ',' Try ',' Install ',' reset ',' difficult ' , 'Login',"&amp;" 'Login', 'Delicious', 'Code', 'Veriv', 'Rich', 'Krna', 'Link', 'Click', ""]")</f>
        <v>['Star', 'skrg', 'love', 'star', 'Telkomsel', 'gave', 'gift', 'beloved', 'Kya', 'next door', 'love', 'bneran', ' Give ',' Daily ',' Check ',' Turn ',' Deket ',' get ',' Gift ',' Open ',' Application ',' Try ',' Install ',' reset ',' difficult ' , 'Login', 'Login', 'Delicious', 'Code', 'Veriv', 'Rich', 'Krna', 'Link', 'Click', "]</v>
      </c>
      <c r="D485" s="3">
        <v>2.0</v>
      </c>
    </row>
    <row r="486" ht="15.75" customHeight="1">
      <c r="A486" s="1">
        <v>484.0</v>
      </c>
      <c r="B486" s="3" t="s">
        <v>487</v>
      </c>
      <c r="C486" s="3" t="str">
        <f>IFERROR(__xludf.DUMMYFUNCTION("GOOGLETRANSLATE(B486,""id"",""en"")"),"['Good', 'useful', 'really', 'APK', 'buy', 'quota', 'easy', 'TPI', 'suggestion', 'price', 'quota', 'down', ' little ',' Papa ',' subscribe ',' tens', 'please', 'love', 'promo']")</f>
        <v>['Good', 'useful', 'really', 'APK', 'buy', 'quota', 'easy', 'TPI', 'suggestion', 'price', 'quota', 'down', ' little ',' Papa ',' subscribe ',' tens', 'please', 'love', 'promo']</v>
      </c>
      <c r="D486" s="3">
        <v>5.0</v>
      </c>
    </row>
    <row r="487" ht="15.75" customHeight="1">
      <c r="A487" s="1">
        <v>485.0</v>
      </c>
      <c r="B487" s="3" t="s">
        <v>488</v>
      </c>
      <c r="C487" s="3" t="str">
        <f>IFERROR(__xludf.DUMMYFUNCTION("GOOGLETRANSLATE(B487,""id"",""en"")"),"['already', 'disappointed', 'Telkomsel', 'moved', 'next door', 'skrang', 'boundary', 'use', 'egk', 'rich', 'package', 'free', ' Unlimited ',' Disappointed ',' Heavy ']")</f>
        <v>['already', 'disappointed', 'Telkomsel', 'moved', 'next door', 'skrang', 'boundary', 'use', 'egk', 'rich', 'package', 'free', ' Unlimited ',' Disappointed ',' Heavy ']</v>
      </c>
      <c r="D487" s="3">
        <v>1.0</v>
      </c>
    </row>
    <row r="488" ht="15.75" customHeight="1">
      <c r="A488" s="1">
        <v>486.0</v>
      </c>
      <c r="B488" s="3" t="s">
        <v>489</v>
      </c>
      <c r="C488" s="3" t="str">
        <f>IFERROR(__xludf.DUMMYFUNCTION("GOOGLETRANSLATE(B488,""id"",""en"")"),"['quota', 'internet', 'separated', 'pulse', 'quota', 'run out', 'pulse', 'run out', 'used', 'realized', 'thank you', 'his attention', ' ']")</f>
        <v>['quota', 'internet', 'separated', 'pulse', 'quota', 'run out', 'pulse', 'run out', 'used', 'realized', 'thank you', 'his attention', ' ']</v>
      </c>
      <c r="D488" s="3">
        <v>3.0</v>
      </c>
    </row>
    <row r="489" ht="15.75" customHeight="1">
      <c r="A489" s="1">
        <v>487.0</v>
      </c>
      <c r="B489" s="3" t="s">
        <v>490</v>
      </c>
      <c r="C489" s="3" t="str">
        <f>IFERROR(__xludf.DUMMYFUNCTION("GOOGLETRANSLATE(B489,""id"",""en"")"),"['number', 'prepaid', 'already', 'send', 'gift', 'number', 'pdahal', 'use', 'darling', 'pay', 'replace', 'prepaid', ' Send ',' Package ',' pulse ',' org ']")</f>
        <v>['number', 'prepaid', 'already', 'send', 'gift', 'number', 'pdahal', 'use', 'darling', 'pay', 'replace', 'prepaid', ' Send ',' Package ',' pulse ',' org ']</v>
      </c>
      <c r="D489" s="3">
        <v>1.0</v>
      </c>
    </row>
    <row r="490" ht="15.75" customHeight="1">
      <c r="A490" s="1">
        <v>488.0</v>
      </c>
      <c r="B490" s="3" t="s">
        <v>491</v>
      </c>
      <c r="C490" s="3" t="str">
        <f>IFERROR(__xludf.DUMMYFUNCTION("GOOGLETRANSLATE(B490,""id"",""en"")"),"['application', 'difficult', 'opened', 'daily', 'check', 'blm', 'run out', 'his time', 'sdgkn', 'quota', 'wifi', 'fast', ' Login ',' application ',' slow ',' skali ',' sdgkn ',' app ',' provider ',' problematic ',' telkomsel ',' koq ',' gini ', ""]")</f>
        <v>['application', 'difficult', 'opened', 'daily', 'check', 'blm', 'run out', 'his time', 'sdgkn', 'quota', 'wifi', 'fast', ' Login ',' application ',' slow ',' skali ',' sdgkn ',' app ',' provider ',' problematic ',' telkomsel ',' koq ',' gini ', "]</v>
      </c>
      <c r="D490" s="3">
        <v>1.0</v>
      </c>
    </row>
    <row r="491" ht="15.75" customHeight="1">
      <c r="A491" s="1">
        <v>489.0</v>
      </c>
      <c r="B491" s="3" t="s">
        <v>492</v>
      </c>
      <c r="C491" s="3" t="str">
        <f>IFERROR(__xludf.DUMMYFUNCTION("GOOGLETRANSLATE(B491,""id"",""en"")"),"['signal', 'good', 'Telkomsel', 'appreciates',' customers', 'loyal', 'number', 'Telkomsel', 'use', 'buy', 'package', 'internet', ' number ',' cheap ',' package ',' internet ',' number ',' package ',' cheap ',' please ',' enter ',' ']")</f>
        <v>['signal', 'good', 'Telkomsel', 'appreciates',' customers', 'loyal', 'number', 'Telkomsel', 'use', 'buy', 'package', 'internet', ' number ',' cheap ',' package ',' internet ',' number ',' package ',' cheap ',' please ',' enter ',' ']</v>
      </c>
      <c r="D491" s="3">
        <v>2.0</v>
      </c>
    </row>
    <row r="492" ht="15.75" customHeight="1">
      <c r="A492" s="1">
        <v>490.0</v>
      </c>
      <c r="B492" s="3" t="s">
        <v>493</v>
      </c>
      <c r="C492" s="3" t="str">
        <f>IFERROR(__xludf.DUMMYFUNCTION("GOOGLETRANSLATE(B492,""id"",""en"")"),"['strange', 'package', 'monthly', 'pulse', 'cut', 'signal', 'ugly', 'quality', 'increase', 'undermine', 'difficult', ""]")</f>
        <v>['strange', 'package', 'monthly', 'pulse', 'cut', 'signal', 'ugly', 'quality', 'increase', 'undermine', 'difficult', "]</v>
      </c>
      <c r="D492" s="3">
        <v>1.0</v>
      </c>
    </row>
    <row r="493" ht="15.75" customHeight="1">
      <c r="A493" s="1">
        <v>491.0</v>
      </c>
      <c r="B493" s="3" t="s">
        <v>494</v>
      </c>
      <c r="C493" s="3" t="str">
        <f>IFERROR(__xludf.DUMMYFUNCTION("GOOGLETRANSLATE(B493,""id"",""en"")"),"['buy', 'package', 'game', 'GGB', 'smpe', 'active', 'run out', 'tetep', 'GB', 'emang', 'mnding', 'card', ' Next to ',' GB ',' Current ', ""]")</f>
        <v>['buy', 'package', 'game', 'GGB', 'smpe', 'active', 'run out', 'tetep', 'GB', 'emang', 'mnding', 'card', ' Next to ',' GB ',' Current ', "]</v>
      </c>
      <c r="D493" s="3">
        <v>1.0</v>
      </c>
    </row>
    <row r="494" ht="15.75" customHeight="1">
      <c r="A494" s="1">
        <v>492.0</v>
      </c>
      <c r="B494" s="3" t="s">
        <v>495</v>
      </c>
      <c r="C494" s="3" t="str">
        <f>IFERROR(__xludf.DUMMYFUNCTION("GOOGLETRANSLATE(B494,""id"",""en"")"),"['Contents',' Package ',' Swadaya ',' Telkomsel ',' per month ',' Purchases', 'Date', 'July', 'use', 'Date', 'July', 'quota', ' used ',' leftover ',' quota ',' date ',' July ',' go bankrupt ',' wasteful ',' quota ', ""]")</f>
        <v>['Contents',' Package ',' Swadaya ',' Telkomsel ',' per month ',' Purchases', 'Date', 'July', 'use', 'Date', 'July', 'quota', ' used ',' leftover ',' quota ',' date ',' July ',' go bankrupt ',' wasteful ',' quota ', "]</v>
      </c>
      <c r="D494" s="3">
        <v>1.0</v>
      </c>
    </row>
    <row r="495" ht="15.75" customHeight="1">
      <c r="A495" s="1">
        <v>493.0</v>
      </c>
      <c r="B495" s="3" t="s">
        <v>496</v>
      </c>
      <c r="C495" s="3" t="str">
        <f>IFERROR(__xludf.DUMMYFUNCTION("GOOGLETRANSLATE(B495,""id"",""en"")"),"['NGK', 'Buy', 'Package', 'Combo', 'Sakti', 'SLLU', 'Buy', 'Package', 'Combo', 'Sakti', 'Knpa', 'Skrg', ' NGK ',' Please ',' Donk ',' Telkomsel ',' Increase ',' Quality ',' ']")</f>
        <v>['NGK', 'Buy', 'Package', 'Combo', 'Sakti', 'SLLU', 'Buy', 'Package', 'Combo', 'Sakti', 'Knpa', 'Skrg', ' NGK ',' Please ',' Donk ',' Telkomsel ',' Increase ',' Quality ',' ']</v>
      </c>
      <c r="D495" s="3">
        <v>1.0</v>
      </c>
    </row>
    <row r="496" ht="15.75" customHeight="1">
      <c r="A496" s="1">
        <v>494.0</v>
      </c>
      <c r="B496" s="3" t="s">
        <v>497</v>
      </c>
      <c r="C496" s="3" t="str">
        <f>IFERROR(__xludf.DUMMYFUNCTION("GOOGLETRANSLATE(B496,""id"",""en"")"),"['Purchase', 'Package', 'Application', 'Telkomsel', 'Purchase', 'Package', 'Success', 'Please', 'Help', 'Min', ""]")</f>
        <v>['Purchase', 'Package', 'Application', 'Telkomsel', 'Purchase', 'Package', 'Success', 'Please', 'Help', 'Min', "]</v>
      </c>
      <c r="D496" s="3">
        <v>1.0</v>
      </c>
    </row>
    <row r="497" ht="15.75" customHeight="1">
      <c r="A497" s="1">
        <v>495.0</v>
      </c>
      <c r="B497" s="3" t="s">
        <v>498</v>
      </c>
      <c r="C497" s="3" t="str">
        <f>IFERROR(__xludf.DUMMYFUNCTION("GOOGLETRANSLATE(B497,""id"",""en"")"),"['application', 'crazy', 'balance', 'already', 'truncated', 'package', 'internet', 'enter', 'where', 'money', 'already', 'buy', ' Package ',' Application ',' Bangkeee ',' ']")</f>
        <v>['application', 'crazy', 'balance', 'already', 'truncated', 'package', 'internet', 'enter', 'where', 'money', 'already', 'buy', ' Package ',' Application ',' Bangkeee ',' ']</v>
      </c>
      <c r="D497" s="3">
        <v>1.0</v>
      </c>
    </row>
    <row r="498" ht="15.75" customHeight="1">
      <c r="A498" s="1">
        <v>496.0</v>
      </c>
      <c r="B498" s="3" t="s">
        <v>499</v>
      </c>
      <c r="C498" s="3" t="str">
        <f>IFERROR(__xludf.DUMMYFUNCTION("GOOGLETRANSLATE(B498,""id"",""en"")"),"['buy', 'package', 'lapse', 'price', 'package', 'nelfon', 'sms', 'process', 'balance', 'gopay', 'cut', 'how' Service ',' disappointing ']")</f>
        <v>['buy', 'package', 'lapse', 'price', 'package', 'nelfon', 'sms', 'process', 'balance', 'gopay', 'cut', 'how' Service ',' disappointing ']</v>
      </c>
      <c r="D498" s="3">
        <v>1.0</v>
      </c>
    </row>
    <row r="499" ht="15.75" customHeight="1">
      <c r="A499" s="1">
        <v>497.0</v>
      </c>
      <c r="B499" s="3" t="s">
        <v>500</v>
      </c>
      <c r="C499" s="3" t="str">
        <f>IFERROR(__xludf.DUMMYFUNCTION("GOOGLETRANSLATE(B499,""id"",""en"")"),"['Login', 'Fun', 'Send', 'SMS', 'Verification', 'Please', 'Help', 'KOQ', 'Enter', 'Login', 'Menu', 'Home', ' Kayak ',' check ',' kouta ',' like ',' gini ',' update ',' then enter ']")</f>
        <v>['Login', 'Fun', 'Send', 'SMS', 'Verification', 'Please', 'Help', 'KOQ', 'Enter', 'Login', 'Menu', 'Home', ' Kayak ',' check ',' kouta ',' like ',' gini ',' update ',' then enter ']</v>
      </c>
      <c r="D499" s="3">
        <v>3.0</v>
      </c>
    </row>
    <row r="500" ht="15.75" customHeight="1">
      <c r="A500" s="1">
        <v>498.0</v>
      </c>
      <c r="B500" s="3" t="s">
        <v>501</v>
      </c>
      <c r="C500" s="3" t="str">
        <f>IFERROR(__xludf.DUMMYFUNCTION("GOOGLETRANSLATE(B500,""id"",""en"")"),"['Good', 'unit', 'Telkomsel', 'pay attention', 'signal', 'please', 'child', 'school', 'online', 'tried', 'Naek', 'Mount', ' Looking ',' signal ',' please ',' assisted ',' min ']")</f>
        <v>['Good', 'unit', 'Telkomsel', 'pay attention', 'signal', 'please', 'child', 'school', 'online', 'tried', 'Naek', 'Mount', ' Looking ',' signal ',' please ',' assisted ',' min ']</v>
      </c>
      <c r="D500" s="3">
        <v>5.0</v>
      </c>
    </row>
    <row r="501" ht="15.75" customHeight="1">
      <c r="A501" s="1">
        <v>499.0</v>
      </c>
      <c r="B501" s="3" t="s">
        <v>502</v>
      </c>
      <c r="C501" s="3" t="str">
        <f>IFERROR(__xludf.DUMMYFUNCTION("GOOGLETRANSLATE(B501,""id"",""en"")"),"['Please', 'love', 'reasons',' pulse ',' pulled ',' charging ',' pulse ',' internet ',' turned off ',' avoid ',' use ',' pulses', ' already ',' filled ',' thousand ',' right ',' barreng ',' pulse ',' already ',' stay ',' thousand ',' please ',' make it di"&amp;"fficult ',' difficult ' ]")</f>
        <v>['Please', 'love', 'reasons',' pulse ',' pulled ',' charging ',' pulse ',' internet ',' turned off ',' avoid ',' use ',' pulses', ' already ',' filled ',' thousand ',' right ',' barreng ',' pulse ',' already ',' stay ',' thousand ',' please ',' make it difficult ',' difficult ' ]</v>
      </c>
      <c r="D501" s="3">
        <v>1.0</v>
      </c>
    </row>
    <row r="502" ht="15.75" customHeight="1">
      <c r="A502" s="1">
        <v>500.0</v>
      </c>
      <c r="B502" s="3" t="s">
        <v>503</v>
      </c>
      <c r="C502" s="3" t="str">
        <f>IFERROR(__xludf.DUMMYFUNCTION("GOOGLETRANSLATE(B502,""id"",""en"")"),"['Good', 'here', 'Bener', 'Application', 'Check', 'Daily', 'Dapetin', 'Quota', 'Errr', 'Application', 'Internet', 'Good', ' ']")</f>
        <v>['Good', 'here', 'Bener', 'Application', 'Check', 'Daily', 'Dapetin', 'Quota', 'Errr', 'Application', 'Internet', 'Good', ' ']</v>
      </c>
      <c r="D502" s="3">
        <v>2.0</v>
      </c>
    </row>
    <row r="503" ht="15.75" customHeight="1">
      <c r="A503" s="1">
        <v>501.0</v>
      </c>
      <c r="B503" s="3" t="s">
        <v>504</v>
      </c>
      <c r="C503" s="3" t="str">
        <f>IFERROR(__xludf.DUMMYFUNCTION("GOOGLETRANSLATE(B503,""id"",""en"")"),"['already', 'Telkomsel', 'July', 'official', 'moved', 'operator', 'operator', 'climbing']")</f>
        <v>['already', 'Telkomsel', 'July', 'official', 'moved', 'operator', 'operator', 'climbing']</v>
      </c>
      <c r="D503" s="3">
        <v>1.0</v>
      </c>
    </row>
    <row r="504" ht="15.75" customHeight="1">
      <c r="A504" s="1">
        <v>502.0</v>
      </c>
      <c r="B504" s="3" t="s">
        <v>505</v>
      </c>
      <c r="C504" s="3" t="str">
        <f>IFERROR(__xludf.DUMMYFUNCTION("GOOGLETRANSLATE(B504,""id"",""en"")"),"['Telkomsel', 'BUMN', 'worst', 'Mending', 'closed', 'lose', 'competitiveness',' provider ',' already ',' slow ',' pulse ',' chick ',' Expensive ',' Heager ',' Tax ',' Price ',' Norry ',' Facilities', 'Cheap', 'Plus',' Application ',' Troubled ',' Huft ', "&amp;"""]")</f>
        <v>['Telkomsel', 'BUMN', 'worst', 'Mending', 'closed', 'lose', 'competitiveness',' provider ',' already ',' slow ',' pulse ',' chick ',' Expensive ',' Heager ',' Tax ',' Price ',' Norry ',' Facilities', 'Cheap', 'Plus',' Application ',' Troubled ',' Huft ', "]</v>
      </c>
      <c r="D504" s="3">
        <v>1.0</v>
      </c>
    </row>
    <row r="505" ht="15.75" customHeight="1">
      <c r="A505" s="1">
        <v>503.0</v>
      </c>
      <c r="B505" s="3" t="s">
        <v>506</v>
      </c>
      <c r="C505" s="3" t="str">
        <f>IFERROR(__xludf.DUMMYFUNCTION("GOOGLETRANSLATE(B505,""id"",""en"")"),"['application', 'bad', 'error', 'klu', 'open', 'application', 'times',' login ',' application ',' login ',' directly ',' open ',' TLG ',' Telkomsel ',' Fix ',' Application ',' TRIMS ']")</f>
        <v>['application', 'bad', 'error', 'klu', 'open', 'application', 'times',' login ',' application ',' login ',' directly ',' open ',' TLG ',' Telkomsel ',' Fix ',' Application ',' TRIMS ']</v>
      </c>
      <c r="D505" s="3">
        <v>1.0</v>
      </c>
    </row>
    <row r="506" ht="15.75" customHeight="1">
      <c r="A506" s="1">
        <v>504.0</v>
      </c>
      <c r="B506" s="3" t="s">
        <v>507</v>
      </c>
      <c r="C506" s="3" t="str">
        <f>IFERROR(__xludf.DUMMYFUNCTION("GOOGLETRANSLATE(B506,""id"",""en"")"),"['Telkomsel', 'Used', 'Loading', 'Mulu', 'That's',' appears', 'pop', 'Something', 'was',' Wrong ',' emang ',' down ',' Network ',' stable ', ""]")</f>
        <v>['Telkomsel', 'Used', 'Loading', 'Mulu', 'That's',' appears', 'pop', 'Something', 'was',' Wrong ',' emang ',' down ',' Network ',' stable ', "]</v>
      </c>
      <c r="D506" s="3">
        <v>2.0</v>
      </c>
    </row>
    <row r="507" ht="15.75" customHeight="1">
      <c r="A507" s="1">
        <v>505.0</v>
      </c>
      <c r="B507" s="3" t="s">
        <v>508</v>
      </c>
      <c r="C507" s="3" t="str">
        <f>IFERROR(__xludf.DUMMYFUNCTION("GOOGLETRANSLATE(B507,""id"",""en"")"),"['Snyal', 'Kayak', 'Taikkkkk', 'Taik', 'Bkin', 'Emotion', 'ping', 'Snyal', 'Down', 'Kaga', 'PDAH', 'DEKET', ' Tower ',' Kek ',' Taiikkkk ',' signal ',' rotten ',' rotten ',' price ',' expensive ',' signal ',' quality ',' Ancurrr ',' disappointed ',' COKK "&amp;"' , '']")</f>
        <v>['Snyal', 'Kayak', 'Taikkkkk', 'Taik', 'Bkin', 'Emotion', 'ping', 'Snyal', 'Down', 'Kaga', 'PDAH', 'DEKET', ' Tower ',' Kek ',' Taiikkkk ',' signal ',' rotten ',' rotten ',' price ',' expensive ',' signal ',' quality ',' Ancurrr ',' disappointed ',' COKK ' , '']</v>
      </c>
      <c r="D507" s="3">
        <v>1.0</v>
      </c>
    </row>
    <row r="508" ht="15.75" customHeight="1">
      <c r="A508" s="1">
        <v>506.0</v>
      </c>
      <c r="B508" s="3" t="s">
        <v>509</v>
      </c>
      <c r="C508" s="3" t="str">
        <f>IFERROR(__xludf.DUMMYFUNCTION("GOOGLETRANSLATE(B508,""id"",""en"")"),"['bad', 'contents',' pulse ',' direct ',' sucked ',' thousand ',' reason ',' access', 'internet', 'non', 'package', 'open', ' Internet ',' access', 'crazy', 'Telkomsel', '']")</f>
        <v>['bad', 'contents',' pulse ',' direct ',' sucked ',' thousand ',' reason ',' access', 'internet', 'non', 'package', 'open', ' Internet ',' access', 'crazy', 'Telkomsel', '']</v>
      </c>
      <c r="D508" s="3">
        <v>1.0</v>
      </c>
    </row>
    <row r="509" ht="15.75" customHeight="1">
      <c r="A509" s="1">
        <v>507.0</v>
      </c>
      <c r="B509" s="3" t="s">
        <v>510</v>
      </c>
      <c r="C509" s="3" t="str">
        <f>IFERROR(__xludf.DUMMYFUNCTION("GOOGLETRANSLATE(B509,""id"",""en"")"),"['application', 'buy', 'package', 'data', 'appears',' warning ',' sorry ',' system ',' error ',' occurred ',' please ',' help ',' ']")</f>
        <v>['application', 'buy', 'package', 'data', 'appears',' warning ',' sorry ',' system ',' error ',' occurred ',' please ',' help ',' ']</v>
      </c>
      <c r="D509" s="3">
        <v>2.0</v>
      </c>
    </row>
    <row r="510" ht="15.75" customHeight="1">
      <c r="A510" s="1">
        <v>508.0</v>
      </c>
      <c r="B510" s="3" t="s">
        <v>511</v>
      </c>
      <c r="C510" s="3" t="str">
        <f>IFERROR(__xludf.DUMMYFUNCTION("GOOGLETRANSLATE(B510,""id"",""en"")"),"['Sad', 'really', 'update', 'features',' package ',' internet ',' kayak ',' combo ',' sakti ',' unlimited ',' package ',' extra ',' unlimited ',' etc. ',' update ',' package ',' already ',' no ',' already ',' that's', 'price', 'package', 'internet', 'expe"&amp;"nsive', 'tens' , 'Pakek', 'Telkomsel', 'Kayak', 'Gini', 'The story', 'Customer', 'Switch', 'Operator', 'Please', 'Admin', 'Evaluated', ""]")</f>
        <v>['Sad', 'really', 'update', 'features',' package ',' internet ',' kayak ',' combo ',' sakti ',' unlimited ',' package ',' extra ',' unlimited ',' etc. ',' update ',' package ',' already ',' no ',' already ',' that's', 'price', 'package', 'internet', 'expensive', 'tens' , 'Pakek', 'Telkomsel', 'Kayak', 'Gini', 'The story', 'Customer', 'Switch', 'Operator', 'Please', 'Admin', 'Evaluated', "]</v>
      </c>
      <c r="D510" s="3">
        <v>1.0</v>
      </c>
    </row>
    <row r="511" ht="15.75" customHeight="1">
      <c r="A511" s="1">
        <v>509.0</v>
      </c>
      <c r="B511" s="3" t="s">
        <v>512</v>
      </c>
      <c r="C511" s="3" t="str">
        <f>IFERROR(__xludf.DUMMYFUNCTION("GOOGLETRANSLATE(B511,""id"",""en"")"),"['Network', 'Telkomsel', 'Clock', 'Afternoon', 'Error', 'Network', 'Spinting', 'Play', 'Cousin', 'Axis',' Network ',' Current ',' Telkomsel ',' tended ',' substituted ',' network ',' price ',' package ',' update ',' expensive ',' turn ',' network ',' no '"&amp;",' update ',' retreat ' , 'backward', 'how', 'network', 'mentok', 'card', 'use', '']")</f>
        <v>['Network', 'Telkomsel', 'Clock', 'Afternoon', 'Error', 'Network', 'Spinting', 'Play', 'Cousin', 'Axis',' Network ',' Current ',' Telkomsel ',' tended ',' substituted ',' network ',' price ',' package ',' update ',' expensive ',' turn ',' network ',' no ',' update ',' retreat ' , 'backward', 'how', 'network', 'mentok', 'card', 'use', '']</v>
      </c>
      <c r="D511" s="3">
        <v>1.0</v>
      </c>
    </row>
    <row r="512" ht="15.75" customHeight="1">
      <c r="A512" s="1">
        <v>510.0</v>
      </c>
      <c r="B512" s="3" t="s">
        <v>513</v>
      </c>
      <c r="C512" s="3" t="str">
        <f>IFERROR(__xludf.DUMMYFUNCTION("GOOGLETRANSLATE(B512,""id"",""en"")"),"['Please', 'promo', 'package', 'cheerful', 'given', 'customer', 'number', 'prize', 'quota', 'daily', 'check', 'active', ' Extended ',' a week ',' customers', 'Telkomsel']")</f>
        <v>['Please', 'promo', 'package', 'cheerful', 'given', 'customer', 'number', 'prize', 'quota', 'daily', 'check', 'active', ' Extended ',' a week ',' customers', 'Telkomsel']</v>
      </c>
      <c r="D512" s="3">
        <v>3.0</v>
      </c>
    </row>
    <row r="513" ht="15.75" customHeight="1">
      <c r="A513" s="1">
        <v>511.0</v>
      </c>
      <c r="B513" s="3" t="s">
        <v>514</v>
      </c>
      <c r="C513" s="3" t="str">
        <f>IFERROR(__xludf.DUMMYFUNCTION("GOOGLETRANSLATE(B513,""id"",""en"")"),"['The story', 'malem', 'buy', 'quota', 'rb', 'total', 'quota', 'GB', 'trs',' already ',' buy ',' direct ',' run out ',' quota ',' TPI ',' pajngan ',' doang ',' function ',' doang ',' patient ',' buy ',' package ',' package ',' cool ',' whatsapan ' , 'Abis"&amp;"',' just now ',' buy ',' already ',' buy ',' package ',' suck ',' pulses', 'position', 'already', 'buy', 'bkn', ' SBLM ',' buy ',' Ngilake ',' RB ',' Mending ',' Network ',' fast ', ""]")</f>
        <v>['The story', 'malem', 'buy', 'quota', 'rb', 'total', 'quota', 'GB', 'trs',' already ',' buy ',' direct ',' run out ',' quota ',' TPI ',' pajngan ',' doang ',' function ',' doang ',' patient ',' buy ',' package ',' package ',' cool ',' whatsapan ' , 'Abis',' just now ',' buy ',' already ',' buy ',' package ',' suck ',' pulses', 'position', 'already', 'buy', 'bkn', ' SBLM ',' buy ',' Ngilake ',' RB ',' Mending ',' Network ',' fast ', "]</v>
      </c>
      <c r="D513" s="3">
        <v>1.0</v>
      </c>
    </row>
    <row r="514" ht="15.75" customHeight="1">
      <c r="A514" s="1">
        <v>512.0</v>
      </c>
      <c r="B514" s="3" t="s">
        <v>515</v>
      </c>
      <c r="C514" s="3" t="str">
        <f>IFERROR(__xludf.DUMMYFUNCTION("GOOGLETRANSLATE(B514,""id"",""en"")"),"['Disappointed', 'Dangan', 'Telkomsel', 'Error', 'Update', 'Login', 'Use', 'Link', 'Telkomsel', 'Safe', 'Please', 'Admin', ' Fix ',' Success', 'Support', '']")</f>
        <v>['Disappointed', 'Dangan', 'Telkomsel', 'Error', 'Update', 'Login', 'Use', 'Link', 'Telkomsel', 'Safe', 'Please', 'Admin', ' Fix ',' Success', 'Support', '']</v>
      </c>
      <c r="D514" s="3">
        <v>5.0</v>
      </c>
    </row>
    <row r="515" ht="15.75" customHeight="1">
      <c r="A515" s="1">
        <v>513.0</v>
      </c>
      <c r="B515" s="3" t="s">
        <v>516</v>
      </c>
      <c r="C515" s="3" t="str">
        <f>IFERROR(__xludf.DUMMYFUNCTION("GOOGLETRANSLATE(B515,""id"",""en"")"),"['Telkomsel', 'slow', 'open', 'Telkomsel', 'Wait', 'sms', 'link', 'already', 'click', 'link', 'difficult', 'enter']")</f>
        <v>['Telkomsel', 'slow', 'open', 'Telkomsel', 'Wait', 'sms', 'link', 'already', 'click', 'link', 'difficult', 'enter']</v>
      </c>
      <c r="D515" s="3">
        <v>1.0</v>
      </c>
    </row>
    <row r="516" ht="15.75" customHeight="1">
      <c r="A516" s="1">
        <v>514.0</v>
      </c>
      <c r="B516" s="3" t="s">
        <v>517</v>
      </c>
      <c r="C516" s="3" t="str">
        <f>IFERROR(__xludf.DUMMYFUNCTION("GOOGLETRANSLATE(B516,""id"",""en"")"),"['operator', 'please', 'comment', 'google', 'play', 'store', 'gini', 'finish', 'told', 'whatsapp', 'telephone', 'where' pulses', 'Sumpot', 'buy', 'package', 'bureaucracy', 'mbulet', 'update', 'mytelkomsel', 'anti', 'climax', 'application', 'open', 'Lola' "&amp;"]")</f>
        <v>['operator', 'please', 'comment', 'google', 'play', 'store', 'gini', 'finish', 'told', 'whatsapp', 'telephone', 'where' pulses', 'Sumpot', 'buy', 'package', 'bureaucracy', 'mbulet', 'update', 'mytelkomsel', 'anti', 'climax', 'application', 'open', 'Lola' ]</v>
      </c>
      <c r="D516" s="3">
        <v>1.0</v>
      </c>
    </row>
    <row r="517" ht="15.75" customHeight="1">
      <c r="A517" s="1">
        <v>515.0</v>
      </c>
      <c r="B517" s="3" t="s">
        <v>518</v>
      </c>
      <c r="C517" s="3" t="str">
        <f>IFERROR(__xludf.DUMMYFUNCTION("GOOGLETRANSLATE(B517,""id"",""en"")"),"['Application', 'package', 'quota', 'cheap', 'available', 'application', 'pulse', 'lost', 'lgsg', 'rupiah', 'can', 'traced', ' Sucked ',' quota ',' msh ',' active ',' tens', 'giga', 'msh', 'byk', 'deficiencies',' detrimental ',' oath ',' loss', 'use' , 'A"&amp;"pplication', 'number', 'Telkomsel', 'Require', '']")</f>
        <v>['Application', 'package', 'quota', 'cheap', 'available', 'application', 'pulse', 'lost', 'lgsg', 'rupiah', 'can', 'traced', ' Sucked ',' quota ',' msh ',' active ',' tens', 'giga', 'msh', 'byk', 'deficiencies',' detrimental ',' oath ',' loss', 'use' , 'Application', 'number', 'Telkomsel', 'Require', '']</v>
      </c>
      <c r="D517" s="3">
        <v>1.0</v>
      </c>
    </row>
    <row r="518" ht="15.75" customHeight="1">
      <c r="A518" s="1">
        <v>516.0</v>
      </c>
      <c r="B518" s="3" t="s">
        <v>519</v>
      </c>
      <c r="C518" s="3" t="str">
        <f>IFERROR(__xludf.DUMMYFUNCTION("GOOGLETRANSLATE(B518,""id"",""en"")"),"['poor', 'tsel', 'get', 'permission', 'price', 'internet', 'expensive', 'difficult', 'change', 'card', 'package', 'card', ' Tidah ',' fair ',' ']")</f>
        <v>['poor', 'tsel', 'get', 'permission', 'price', 'internet', 'expensive', 'difficult', 'change', 'card', 'package', 'card', ' Tidah ',' fair ',' ']</v>
      </c>
      <c r="D518" s="3">
        <v>1.0</v>
      </c>
    </row>
    <row r="519" ht="15.75" customHeight="1">
      <c r="A519" s="1">
        <v>517.0</v>
      </c>
      <c r="B519" s="3" t="s">
        <v>520</v>
      </c>
      <c r="C519" s="3" t="str">
        <f>IFERROR(__xludf.DUMMYFUNCTION("GOOGLETRANSLATE(B519,""id"",""en"")"),"['knp', 'abis',' apdet ',' entered ',' app ',' so ',' mihil ',' package ',' fix ',' move ',' total ',' indosat ',' Nomers', 'Hijrah', '']")</f>
        <v>['knp', 'abis',' apdet ',' entered ',' app ',' so ',' mihil ',' package ',' fix ',' move ',' total ',' indosat ',' Nomers', 'Hijrah', '']</v>
      </c>
      <c r="D519" s="3">
        <v>1.0</v>
      </c>
    </row>
    <row r="520" ht="15.75" customHeight="1">
      <c r="A520" s="1">
        <v>518.0</v>
      </c>
      <c r="B520" s="3" t="s">
        <v>521</v>
      </c>
      <c r="C520" s="3" t="str">
        <f>IFERROR(__xludf.DUMMYFUNCTION("GOOGLETRANSLATE(B520,""id"",""en"")"),"['update', 'slow', 'enter', 'gini', 'told', 'enter', 'something', 'something', 'wrong', 'emang', 'problematic', 'application', ' ']")</f>
        <v>['update', 'slow', 'enter', 'gini', 'told', 'enter', 'something', 'something', 'wrong', 'emang', 'problematic', 'application', ' ']</v>
      </c>
      <c r="D520" s="3">
        <v>1.0</v>
      </c>
    </row>
    <row r="521" ht="15.75" customHeight="1">
      <c r="A521" s="1">
        <v>519.0</v>
      </c>
      <c r="B521" s="3" t="s">
        <v>522</v>
      </c>
      <c r="C521" s="3" t="str">
        <f>IFERROR(__xludf.DUMMYFUNCTION("GOOGLETRANSLATE(B521,""id"",""en"")"),"['Woiii', 'Telkomsel', 'pig', 'signal', 'kayak', 'pig', 'download', 'APL', 'fast', 'play', 'game', 'signal', ' Jump ',' pig ',' Detinent ',' Package ',' Number ',' One ',' Telkomsel ',' Pigiiii ', ""]")</f>
        <v>['Woiii', 'Telkomsel', 'pig', 'signal', 'kayak', 'pig', 'download', 'APL', 'fast', 'play', 'game', 'signal', ' Jump ',' pig ',' Detinent ',' Package ',' Number ',' One ',' Telkomsel ',' Pigiiii ', "]</v>
      </c>
      <c r="D521" s="3">
        <v>1.0</v>
      </c>
    </row>
    <row r="522" ht="15.75" customHeight="1">
      <c r="A522" s="1">
        <v>520.0</v>
      </c>
      <c r="B522" s="3" t="s">
        <v>523</v>
      </c>
      <c r="C522" s="3" t="str">
        <f>IFERROR(__xludf.DUMMYFUNCTION("GOOGLETRANSLATE(B522,""id"",""en"")"),"['application', 'trash', 'kagak', 'open', 'delete', 'chache', 'delete', 'data', 'uninstall', 'dowload', 'open', 'direct', ' Playstore ',' no ',' entered ',' Hadeh ',' Telkomsel ',' That's ',' Loooohhhhhhhhhhhhhhhhhhhhhhhhhhhhhhhhhhhhhhhhhhhhhhhhhhhhhhhhhh"&amp;"hhhhhhhhhhhhhhhhhhhhhhhhhhhhhhhhhhhhhhhhhhhhhhhhhhhhhhhhhhhhhhhhhhhhhhhhhhhhhhhhhhhhhhhhhhhhhhhhhhhhhhhhhhhhhhhhhhhhhhhhhhhhhhhhhhhhhhhhhhhhhhhhhhhhhhhhhhhhhhhhhhhhhhhhhhhhhhhhhhhhhhhhhhhhhhhhhhhhhhhh")</f>
        <v>['application', 'trash', 'kagak', 'open', 'delete', 'chache', 'delete', 'data', 'uninstall', 'dowload', 'open', 'direct', ' Playstore ',' no ',' entered ',' Hadeh ',' Telkomsel ',' That's ',' Loooohhhhhhhhhhhhhhhhhhhhhhhhhhhhhhhhhhhhhhhhhhhhhhhhhhhhhhhhhhhhhhhhhhhhhhhhhhhhhhhhhhhhhhhhhhhhhhhhhhhhhhhhhhhhhhhhhhhhhhhhhhhhhhhhhhhhhhhhhhhhhhhhhhhhhhhhhhhhhhhhhhhhhhhhhhhhhhhhhhhhhhhhhhhhhhhhhhhhhhhhhhhhhhhhhhhhhhhhhhhhhhhhhhhhhhhhhhhhhhhhhhhhhhhhhhhhhhhhhh</v>
      </c>
      <c r="D522" s="3">
        <v>1.0</v>
      </c>
    </row>
    <row r="523" ht="15.75" customHeight="1">
      <c r="A523" s="1">
        <v>521.0</v>
      </c>
      <c r="B523" s="3" t="s">
        <v>524</v>
      </c>
      <c r="C523" s="3" t="str">
        <f>IFERROR(__xludf.DUMMYFUNCTION("GOOGLETRANSLATE(B523,""id"",""en"")"),"['price', 'quota', 'internet', 'leaning', 'scorched', 'bought', 'pulse', 'active', 'card', 'times',' moved ',' car ',' Heart ',' Bye ',' ']")</f>
        <v>['price', 'quota', 'internet', 'leaning', 'scorched', 'bought', 'pulse', 'active', 'card', 'times',' moved ',' car ',' Heart ',' Bye ',' ']</v>
      </c>
      <c r="D523" s="3">
        <v>1.0</v>
      </c>
    </row>
    <row r="524" ht="15.75" customHeight="1">
      <c r="A524" s="1">
        <v>522.0</v>
      </c>
      <c r="B524" s="3" t="s">
        <v>525</v>
      </c>
      <c r="C524" s="3" t="str">
        <f>IFERROR(__xludf.DUMMYFUNCTION("GOOGLETRANSLATE(B524,""id"",""en"")"),"['Application', 'Slow', 'Parahhhhhhh', 'Bukak', 'YouTube', 'Game', 'Current', 'Application', 'Open', 'Lemot', 'Parahhhh', 'pdhal', ' Check ',' quota ',' aaannnjjjiiinnngggggg ',' bug ',' telkomnyet ',' please ',' benerin ',' lahh ']")</f>
        <v>['Application', 'Slow', 'Parahhhhhhh', 'Bukak', 'YouTube', 'Game', 'Current', 'Application', 'Open', 'Lemot', 'Parahhhh', 'pdhal', ' Check ',' quota ',' aaannnjjjiiinnngggggg ',' bug ',' telkomnyet ',' please ',' benerin ',' lahh ']</v>
      </c>
      <c r="D524" s="3">
        <v>1.0</v>
      </c>
    </row>
    <row r="525" ht="15.75" customHeight="1">
      <c r="A525" s="1">
        <v>523.0</v>
      </c>
      <c r="B525" s="3" t="s">
        <v>526</v>
      </c>
      <c r="C525" s="3" t="str">
        <f>IFERROR(__xludf.DUMMYFUNCTION("GOOGLETRANSLATE(B525,""id"",""en"")"),"['Sinyal', 'bad', 'Sending', 'Telkomsel', 'Provider', 'number', 'have', 'signal', 'network', 'best', 'UDH', 'HRG', ' expensive ',' quota ',' fast ',' run out ',' signal ',' bad ',' beg ',' fixed ', ""]")</f>
        <v>['Sinyal', 'bad', 'Sending', 'Telkomsel', 'Provider', 'number', 'have', 'signal', 'network', 'best', 'UDH', 'HRG', ' expensive ',' quota ',' fast ',' run out ',' signal ',' bad ',' beg ',' fixed ', "]</v>
      </c>
      <c r="D525" s="3">
        <v>1.0</v>
      </c>
    </row>
    <row r="526" ht="15.75" customHeight="1">
      <c r="A526" s="1">
        <v>524.0</v>
      </c>
      <c r="B526" s="3" t="s">
        <v>527</v>
      </c>
      <c r="C526" s="3" t="str">
        <f>IFERROR(__xludf.DUMMYFUNCTION("GOOGLETRANSLATE(B526,""id"",""en"")"),"['Application', 'Applicative', 'Very', 'users',' Telkomsel ',' Application ',' sophisticated ',' Safe ',' Comfortable ',' Prizes', 'Mantap', 'Recommended', ' dech ',' just ']")</f>
        <v>['Application', 'Applicative', 'Very', 'users',' Telkomsel ',' Application ',' sophisticated ',' Safe ',' Comfortable ',' Prizes', 'Mantap', 'Recommended', ' dech ',' just ']</v>
      </c>
      <c r="D526" s="3">
        <v>5.0</v>
      </c>
    </row>
    <row r="527" ht="15.75" customHeight="1">
      <c r="A527" s="1">
        <v>525.0</v>
      </c>
      <c r="B527" s="3" t="s">
        <v>528</v>
      </c>
      <c r="C527" s="3" t="str">
        <f>IFERROR(__xludf.DUMMYFUNCTION("GOOGLETRANSLATE(B527,""id"",""en"")"),"['game', 'famous',' codm ',' Genshin ',' Impact ',' The ',' Legend ',' Neverland ',' entry ',' quota ',' gamesmax ',' user ',' card ',' Telkomsel ',' quota ',' combo ',' Sakti ',' quota ',' gamesmax ',' wasted ']")</f>
        <v>['game', 'famous',' codm ',' Genshin ',' Impact ',' The ',' Legend ',' Neverland ',' entry ',' quota ',' gamesmax ',' user ',' card ',' Telkomsel ',' quota ',' combo ',' Sakti ',' quota ',' gamesmax ',' wasted ']</v>
      </c>
      <c r="D527" s="3">
        <v>3.0</v>
      </c>
    </row>
    <row r="528" ht="15.75" customHeight="1">
      <c r="A528" s="1">
        <v>526.0</v>
      </c>
      <c r="B528" s="3" t="s">
        <v>529</v>
      </c>
      <c r="C528" s="3" t="str">
        <f>IFERROR(__xludf.DUMMYFUNCTION("GOOGLETRANSLATE(B528,""id"",""en"")"),"['pulse', 'unemployed', 'sumps', 'no', 'internet', 'anything', 'just', 'missing', 'package', 'card']")</f>
        <v>['pulse', 'unemployed', 'sumps', 'no', 'internet', 'anything', 'just', 'missing', 'package', 'card']</v>
      </c>
      <c r="D528" s="3">
        <v>1.0</v>
      </c>
    </row>
    <row r="529" ht="15.75" customHeight="1">
      <c r="A529" s="1">
        <v>527.0</v>
      </c>
      <c r="B529" s="3" t="s">
        <v>530</v>
      </c>
      <c r="C529" s="3" t="str">
        <f>IFERROR(__xludf.DUMMYFUNCTION("GOOGLETRANSLATE(B529,""id"",""en"")"),"['Date', 'buy', 'Peket', 'Combo', 'Sakti', 'Giga', 'Kaya', 'get "",' Kuata ',' Giga ',' thousand ',' really ',' Disappointed ',' Move ',' Operator ',' Network ',' Congratulations', 'Live', 'Telkomsel', ""]")</f>
        <v>['Date', 'buy', 'Peket', 'Combo', 'Sakti', 'Giga', 'Kaya', 'get ",' Kuata ',' Giga ',' thousand ',' really ',' Disappointed ',' Move ',' Operator ',' Network ',' Congratulations', 'Live', 'Telkomsel', "]</v>
      </c>
      <c r="D529" s="3">
        <v>1.0</v>
      </c>
    </row>
    <row r="530" ht="15.75" customHeight="1">
      <c r="A530" s="1">
        <v>528.0</v>
      </c>
      <c r="B530" s="3" t="s">
        <v>531</v>
      </c>
      <c r="C530" s="3" t="str">
        <f>IFERROR(__xludf.DUMMYFUNCTION("GOOGLETRANSLATE(B530,""id"",""en"")"),"['buy', 'Package', 'Hello', 'Unlimeted', 'Change', 'subscription', 'failed', 'sdngkan', 'boundary', 'commented', 'date', 'July', ' ']")</f>
        <v>['buy', 'Package', 'Hello', 'Unlimeted', 'Change', 'subscription', 'failed', 'sdngkan', 'boundary', 'commented', 'date', 'July', ' ']</v>
      </c>
      <c r="D530" s="3">
        <v>1.0</v>
      </c>
    </row>
    <row r="531" ht="15.75" customHeight="1">
      <c r="A531" s="1">
        <v>529.0</v>
      </c>
      <c r="B531" s="3" t="s">
        <v>532</v>
      </c>
      <c r="C531" s="3" t="str">
        <f>IFERROR(__xludf.DUMMYFUNCTION("GOOGLETRANSLATE(B531,""id"",""en"")"),"['Disappointed', 'Application', 'Telkomsel', 'already', 'Points',' intention ',' Collecting ',' Points', 'exchanged', 'Kouta', 'data', 'internet', ' right ',' on the day ',' the application ',' error ',' already ',' try ',' enter ',' number ',' call ',' n"&amp;"ot ',' install ',' re-app ' , 'no', 'enter', 'please', 'repaired', 'reset', 'the application']")</f>
        <v>['Disappointed', 'Application', 'Telkomsel', 'already', 'Points',' intention ',' Collecting ',' Points', 'exchanged', 'Kouta', 'data', 'internet', ' right ',' on the day ',' the application ',' error ',' already ',' try ',' enter ',' number ',' call ',' not ',' install ',' re-app ' , 'no', 'enter', 'please', 'repaired', 'reset', 'the application']</v>
      </c>
      <c r="D531" s="3">
        <v>1.0</v>
      </c>
    </row>
    <row r="532" ht="15.75" customHeight="1">
      <c r="A532" s="1">
        <v>530.0</v>
      </c>
      <c r="B532" s="3" t="s">
        <v>533</v>
      </c>
      <c r="C532" s="3" t="str">
        <f>IFERROR(__xludf.DUMMYFUNCTION("GOOGLETRANSLATE(B532,""id"",""en"")"),"['Reduce', 'Info', 'Helpful', 'SMS', 'Telkomsel', 'Credit', 'Admits',' Etc. ',' Content ',' Credit ',' Warning ',' Out ',' Grace ']")</f>
        <v>['Reduce', 'Info', 'Helpful', 'SMS', 'Telkomsel', 'Credit', 'Admits',' Etc. ',' Content ',' Credit ',' Warning ',' Out ',' Grace ']</v>
      </c>
      <c r="D532" s="3">
        <v>4.0</v>
      </c>
    </row>
    <row r="533" ht="15.75" customHeight="1">
      <c r="A533" s="1">
        <v>531.0</v>
      </c>
      <c r="B533" s="3" t="s">
        <v>534</v>
      </c>
      <c r="C533" s="3" t="str">
        <f>IFERROR(__xludf.DUMMYFUNCTION("GOOGLETRANSLATE(B533,""id"",""en"")"),"['expensive', 'ajah', 'pulses',' learn ',' online ',' job ',' combo ',' magic ',' access', 'error', 'see', 'application', ' The price ',' expensive ',' buy ',' Nyari ',' vendor ',' number ',' Reward ',' user ']")</f>
        <v>['expensive', 'ajah', 'pulses',' learn ',' online ',' job ',' combo ',' magic ',' access', 'error', 'see', 'application', ' The price ',' expensive ',' buy ',' Nyari ',' vendor ',' number ',' Reward ',' user ']</v>
      </c>
      <c r="D533" s="3">
        <v>1.0</v>
      </c>
    </row>
    <row r="534" ht="15.75" customHeight="1">
      <c r="A534" s="1">
        <v>532.0</v>
      </c>
      <c r="B534" s="3" t="s">
        <v>535</v>
      </c>
      <c r="C534" s="3" t="str">
        <f>IFERROR(__xludf.DUMMYFUNCTION("GOOGLETRANSLATE(B534,""id"",""en"")"),"['Please', 'network', 'Telkomsel', 'that's',' network ',' slow ',' muter ',' expensive ',' package ',' quality ',' destroyed ',' customer ',' Telkomsel ',' many years', 'severe', 'fix', 'signal', 'full', 'muter', 'network', ""]")</f>
        <v>['Please', 'network', 'Telkomsel', 'that's',' network ',' slow ',' muter ',' expensive ',' package ',' quality ',' destroyed ',' customer ',' Telkomsel ',' many years', 'severe', 'fix', 'signal', 'full', 'muter', 'network', "]</v>
      </c>
      <c r="D534" s="3">
        <v>1.0</v>
      </c>
    </row>
    <row r="535" ht="15.75" customHeight="1">
      <c r="A535" s="1">
        <v>533.0</v>
      </c>
      <c r="B535" s="3" t="s">
        <v>536</v>
      </c>
      <c r="C535" s="3" t="str">
        <f>IFERROR(__xludf.DUMMYFUNCTION("GOOGLETRANSLATE(B535,""id"",""en"")"),"['term', 'price', 'quota', 'internet', 'signal', 'stable', 'lost', 'season', 'wind', 'gini', 'resolved', 'improvement', ' quality', '']")</f>
        <v>['term', 'price', 'quota', 'internet', 'signal', 'stable', 'lost', 'season', 'wind', 'gini', 'resolved', 'improvement', ' quality', '']</v>
      </c>
      <c r="D535" s="3">
        <v>2.0</v>
      </c>
    </row>
    <row r="536" ht="15.75" customHeight="1">
      <c r="A536" s="1">
        <v>534.0</v>
      </c>
      <c r="B536" s="3" t="s">
        <v>537</v>
      </c>
      <c r="C536" s="3" t="str">
        <f>IFERROR(__xludf.DUMMYFUNCTION("GOOGLETRANSLATE(B536,""id"",""en"")"),"['ugly', 'oath', 'Lola', 'already', 'rich', 'Wait', 'Login', 'login', 'difficult', 'really', 'already', 'clock', ' minutes', 'login', 'doang', 'failed', 'mulu', 'appss',' defeat ',' please ',' see ',' Telkomsel ',' repair ',' apps', ""]")</f>
        <v>['ugly', 'oath', 'Lola', 'already', 'rich', 'Wait', 'Login', 'login', 'difficult', 'really', 'already', 'clock', ' minutes', 'login', 'doang', 'failed', 'mulu', 'appss',' defeat ',' please ',' see ',' Telkomsel ',' repair ',' apps', "]</v>
      </c>
      <c r="D536" s="3">
        <v>1.0</v>
      </c>
    </row>
    <row r="537" ht="15.75" customHeight="1">
      <c r="A537" s="1">
        <v>535.0</v>
      </c>
      <c r="B537" s="3" t="s">
        <v>538</v>
      </c>
      <c r="C537" s="3" t="str">
        <f>IFERROR(__xludf.DUMMYFUNCTION("GOOGLETRANSLATE(B537,""id"",""en"")"),"['stable', 'internet', 'package', 'data', 'in', 'category', 'expensive', 'appeal', 'provider', 'stable', 'pulses',' safe ',' Kaga ']")</f>
        <v>['stable', 'internet', 'package', 'data', 'in', 'category', 'expensive', 'appeal', 'provider', 'stable', 'pulses',' safe ',' Kaga ']</v>
      </c>
      <c r="D537" s="3">
        <v>3.0</v>
      </c>
    </row>
    <row r="538" ht="15.75" customHeight="1">
      <c r="A538" s="1">
        <v>536.0</v>
      </c>
      <c r="B538" s="3" t="s">
        <v>539</v>
      </c>
      <c r="C538" s="3" t="str">
        <f>IFERROR(__xludf.DUMMYFUNCTION("GOOGLETRANSLATE(B538,""id"",""en"")"),"['Telkomsel', 'Steal', 'Credit', 'Customer', 'Pulse', 'thousand', 'Telkomsel', 'Steal', 'Credit', 'Out', 'Latest', 'Credit', ' thousand ',' lost ',' wear it ',' sms', 'call']")</f>
        <v>['Telkomsel', 'Steal', 'Credit', 'Customer', 'Pulse', 'thousand', 'Telkomsel', 'Steal', 'Credit', 'Out', 'Latest', 'Credit', ' thousand ',' lost ',' wear it ',' sms', 'call']</v>
      </c>
      <c r="D538" s="3">
        <v>1.0</v>
      </c>
    </row>
    <row r="539" ht="15.75" customHeight="1">
      <c r="A539" s="1">
        <v>537.0</v>
      </c>
      <c r="B539" s="3" t="s">
        <v>540</v>
      </c>
      <c r="C539" s="3" t="str">
        <f>IFERROR(__xludf.DUMMYFUNCTION("GOOGLETRANSLATE(B539,""id"",""en"")"),"['My APK', 'Gada', 'TPI', 'Network', 'Troubled', 'Mulu', 'Open', 'Hard', 'Forgiveness',' Nntn ',' YouTube ',' Resolution ',' Keputa ',' play ',' game ',' lag ',' mulu ',' kayak ',' provider ',' next door ',' network ',' good ']")</f>
        <v>['My APK', 'Gada', 'TPI', 'Network', 'Troubled', 'Mulu', 'Open', 'Hard', 'Forgiveness',' Nntn ',' YouTube ',' Resolution ',' Keputa ',' play ',' game ',' lag ',' mulu ',' kayak ',' provider ',' next door ',' network ',' good ']</v>
      </c>
      <c r="D539" s="3">
        <v>2.0</v>
      </c>
    </row>
    <row r="540" ht="15.75" customHeight="1">
      <c r="A540" s="1">
        <v>538.0</v>
      </c>
      <c r="B540" s="3" t="s">
        <v>541</v>
      </c>
      <c r="C540" s="3" t="str">
        <f>IFERROR(__xludf.DUMMYFUNCTION("GOOGLETRANSLATE(B540,""id"",""en"")"),"['buy', 'package', 'directly', 'Abis',' yaa ',' package ',' unlimited ',' youtube ',' quota ',' main ',' reduced ',' what ',' ']")</f>
        <v>['buy', 'package', 'directly', 'Abis',' yaa ',' package ',' unlimited ',' youtube ',' quota ',' main ',' reduced ',' what ',' ']</v>
      </c>
      <c r="D540" s="3">
        <v>1.0</v>
      </c>
    </row>
    <row r="541" ht="15.75" customHeight="1">
      <c r="A541" s="1">
        <v>539.0</v>
      </c>
      <c r="B541" s="3" t="s">
        <v>542</v>
      </c>
      <c r="C541" s="3" t="str">
        <f>IFERROR(__xludf.DUMMYFUNCTION("GOOGLETRANSLATE(B541,""id"",""en"")"),"['Application', 'Good', 'Addin', 'Quota', 'Cheap', 'Different', 'Different', 'Card', 'Different', 'Package', 'Internet']")</f>
        <v>['Application', 'Good', 'Addin', 'Quota', 'Cheap', 'Different', 'Different', 'Card', 'Different', 'Package', 'Internet']</v>
      </c>
      <c r="D541" s="3">
        <v>4.0</v>
      </c>
    </row>
    <row r="542" ht="15.75" customHeight="1">
      <c r="A542" s="1">
        <v>540.0</v>
      </c>
      <c r="B542" s="3" t="s">
        <v>543</v>
      </c>
      <c r="C542" s="3" t="str">
        <f>IFERROR(__xludf.DUMMYFUNCTION("GOOGLETRANSLATE(B542,""id"",""en"")"),"['pulse', 'protection', 'quota', 'cut', 'pulse', 'asw', 'pulse', 'run out', 'internet', 'quota', ""]")</f>
        <v>['pulse', 'protection', 'quota', 'cut', 'pulse', 'asw', 'pulse', 'run out', 'internet', 'quota', "]</v>
      </c>
      <c r="D542" s="3">
        <v>1.0</v>
      </c>
    </row>
    <row r="543" ht="15.75" customHeight="1">
      <c r="A543" s="1">
        <v>541.0</v>
      </c>
      <c r="B543" s="3" t="s">
        <v>544</v>
      </c>
      <c r="C543" s="3" t="str">
        <f>IFERROR(__xludf.DUMMYFUNCTION("GOOGLETRANSLATE(B543,""id"",""en"")"),"['Telkomsel', 'artisan', 'cut', 'pulse', 'person', 'promo', 'internet', 'regret', 'Telkomsel', 'already', 'telephone', 'emotion', ' Bad ',' Telkomsel ',' Tired ',' Card ',' Tri ',' Expensive ',' MOTH ',' Credit ',' Customer ',' Theft ',' Pulse ',' Smooth "&amp;"', ""]")</f>
        <v>['Telkomsel', 'artisan', 'cut', 'pulse', 'person', 'promo', 'internet', 'regret', 'Telkomsel', 'already', 'telephone', 'emotion', ' Bad ',' Telkomsel ',' Tired ',' Card ',' Tri ',' Expensive ',' MOTH ',' Credit ',' Customer ',' Theft ',' Pulse ',' Smooth ', "]</v>
      </c>
      <c r="D543" s="3">
        <v>1.0</v>
      </c>
    </row>
    <row r="544" ht="15.75" customHeight="1">
      <c r="A544" s="1">
        <v>542.0</v>
      </c>
      <c r="B544" s="3" t="s">
        <v>545</v>
      </c>
      <c r="C544" s="3" t="str">
        <f>IFERROR(__xludf.DUMMYFUNCTION("GOOGLETRANSLATE(B544,""id"",""en"")"),"['updated', 'application', 'difficult', 'open', 'loading', 'finished', 'finished', 'already', 'change', 'connection', 'wifi', 'open', ' YouTube ',' application ',' smooth ',' smooth ',' application ',' MyTelkomsel ',' slow ',' really ',' ']")</f>
        <v>['updated', 'application', 'difficult', 'open', 'loading', 'finished', 'finished', 'already', 'change', 'connection', 'wifi', 'open', ' YouTube ',' application ',' smooth ',' smooth ',' application ',' MyTelkomsel ',' slow ',' really ',' ']</v>
      </c>
      <c r="D544" s="3">
        <v>2.0</v>
      </c>
    </row>
    <row r="545" ht="15.75" customHeight="1">
      <c r="A545" s="1">
        <v>543.0</v>
      </c>
      <c r="B545" s="3" t="s">
        <v>546</v>
      </c>
      <c r="C545" s="3" t="str">
        <f>IFERROR(__xludf.DUMMYFUNCTION("GOOGLETRANSLATE(B545,""id"",""en"")"),"['Telkomsel', 'Dear', 'Customer', 'Telkomsel', 'Comfortable', 'Constraints',' Play ',' Game ',' Please ',' Telkomsel ',' Bends', 'Comfortable', ' Usage ',' ']")</f>
        <v>['Telkomsel', 'Dear', 'Customer', 'Telkomsel', 'Comfortable', 'Constraints',' Play ',' Game ',' Please ',' Telkomsel ',' Bends', 'Comfortable', ' Usage ',' ']</v>
      </c>
      <c r="D545" s="3">
        <v>1.0</v>
      </c>
    </row>
    <row r="546" ht="15.75" customHeight="1">
      <c r="A546" s="1">
        <v>544.0</v>
      </c>
      <c r="B546" s="3" t="s">
        <v>547</v>
      </c>
      <c r="C546" s="3" t="str">
        <f>IFERROR(__xludf.DUMMYFUNCTION("GOOGLETRANSLATE(B546,""id"",""en"")"),"['already', 'bought', 'expensive', 'network', 'oath', 'slow', 'really', 'Telkomsel', 'disappoint his services',' ngapa ',' in ',' forced ',' Move ',' Operator ',' ']")</f>
        <v>['already', 'bought', 'expensive', 'network', 'oath', 'slow', 'really', 'Telkomsel', 'disappoint his services',' ngapa ',' in ',' forced ',' Move ',' Operator ',' ']</v>
      </c>
      <c r="D546" s="3">
        <v>1.0</v>
      </c>
    </row>
    <row r="547" ht="15.75" customHeight="1">
      <c r="A547" s="1">
        <v>545.0</v>
      </c>
      <c r="B547" s="3" t="s">
        <v>548</v>
      </c>
      <c r="C547" s="3" t="str">
        <f>IFERROR(__xludf.DUMMYFUNCTION("GOOGLETRANSLATE(B547,""id"",""en"")"),"['customer', 'loyal', 'Telkomsel', 'number', 'promo', 'combo', 'magic', 'price', 'yaang', 'cheap', 'friend', 'use', ' Remieved ',' promo ',' price ',' expensive ',' disappointed ',' user ',' loyal ',' number ',' replaced ',' replace ',' admin ',' Telkomse"&amp;"l ',' comment ' , 'Sorry', 'njir', 'promo', '']")</f>
        <v>['customer', 'loyal', 'Telkomsel', 'number', 'promo', 'combo', 'magic', 'price', 'yaang', 'cheap', 'friend', 'use', ' Remieved ',' promo ',' price ',' expensive ',' disappointed ',' user ',' loyal ',' number ',' replaced ',' replace ',' admin ',' Telkomsel ',' comment ' , 'Sorry', 'njir', 'promo', '']</v>
      </c>
      <c r="D547" s="3">
        <v>1.0</v>
      </c>
    </row>
    <row r="548" ht="15.75" customHeight="1">
      <c r="A548" s="1">
        <v>546.0</v>
      </c>
      <c r="B548" s="3" t="s">
        <v>549</v>
      </c>
      <c r="C548" s="3" t="str">
        <f>IFERROR(__xludf.DUMMYFUNCTION("GOOGLETRANSLATE(B548,""id"",""en"")"),"['Network', 'Telkomsel', 'Halmahera', 'North', 'Veda', 'Hamlet', 'Lelilef', 'Stable', 'yaa', 'Total', 'streaming', 'watch', ' Video ',' difficult ',' play ',' game ',' slow ',' please ',' check ',' area ',' ']")</f>
        <v>['Network', 'Telkomsel', 'Halmahera', 'North', 'Veda', 'Hamlet', 'Lelilef', 'Stable', 'yaa', 'Total', 'streaming', 'watch', ' Video ',' difficult ',' play ',' game ',' slow ',' please ',' check ',' area ',' ']</v>
      </c>
      <c r="D548" s="3">
        <v>2.0</v>
      </c>
    </row>
    <row r="549" ht="15.75" customHeight="1">
      <c r="A549" s="1">
        <v>547.0</v>
      </c>
      <c r="B549" s="3" t="s">
        <v>550</v>
      </c>
      <c r="C549" s="3" t="str">
        <f>IFERROR(__xludf.DUMMYFUNCTION("GOOGLETRANSLATE(B549,""id"",""en"")"),"['The application', 'difficult', 'enter', 'need', 'oldaa', 'application', 'easy', 'ribeeeeeettt']")</f>
        <v>['The application', 'difficult', 'enter', 'need', 'oldaa', 'application', 'easy', 'ribeeeeeettt']</v>
      </c>
      <c r="D549" s="3">
        <v>1.0</v>
      </c>
    </row>
    <row r="550" ht="15.75" customHeight="1">
      <c r="A550" s="1">
        <v>548.0</v>
      </c>
      <c r="B550" s="3" t="s">
        <v>551</v>
      </c>
      <c r="C550" s="3" t="str">
        <f>IFERROR(__xludf.DUMMYFUNCTION("GOOGLETRANSLATE(B550,""id"",""en"")"),"['Need', 'Heart', 'Wait', 'Telkomsel', 'Signal', 'Week', 'Signal', 'Good', 'Sampe', 'Gini', 'Good', 'Udh', ' run out ',' tens', 'buy', 'play', 'difficult', 'signal', 'Wait', 'Sunday', 'no', 'good', 'cool', 'Telkomsel', 'cheap' , 'card', 'loss', 'quality',"&amp;" 'difficult']")</f>
        <v>['Need', 'Heart', 'Wait', 'Telkomsel', 'Signal', 'Week', 'Signal', 'Good', 'Sampe', 'Gini', 'Good', 'Udh', ' run out ',' tens', 'buy', 'play', 'difficult', 'signal', 'Wait', 'Sunday', 'no', 'good', 'cool', 'Telkomsel', 'cheap' , 'card', 'loss', 'quality', 'difficult']</v>
      </c>
      <c r="D550" s="3">
        <v>1.0</v>
      </c>
    </row>
    <row r="551" ht="15.75" customHeight="1">
      <c r="A551" s="1">
        <v>549.0</v>
      </c>
      <c r="B551" s="3" t="s">
        <v>552</v>
      </c>
      <c r="C551" s="3" t="str">
        <f>IFERROR(__xludf.DUMMYFUNCTION("GOOGLETRANSLATE(B551,""id"",""en"")"),"['Telkomsel', 'ugly', 'cave', 'love', 'star', 'run out', 'enter', '']")</f>
        <v>['Telkomsel', 'ugly', 'cave', 'love', 'star', 'run out', 'enter', '']</v>
      </c>
      <c r="D551" s="3">
        <v>1.0</v>
      </c>
    </row>
    <row r="552" ht="15.75" customHeight="1">
      <c r="A552" s="1">
        <v>550.0</v>
      </c>
      <c r="B552" s="3" t="s">
        <v>553</v>
      </c>
      <c r="C552" s="3" t="str">
        <f>IFERROR(__xludf.DUMMYFUNCTION("GOOGLETRANSLATE(B552,""id"",""en"")"),"['Bad', 'Gatau', 'Komplein', 'Where', 'Karna', 'Call', 'Call', 'Center', 'Ad', 'Content', 'Re-quota', ' Via ',' voucher ',' The reason ',' system ',' busy ',' please ',' Telkom ',' note ',' customer ',' promotion ',' dial ',' call ',' center ' , '']")</f>
        <v>['Bad', 'Gatau', 'Komplein', 'Where', 'Karna', 'Call', 'Call', 'Center', 'Ad', 'Content', 'Re-quota', ' Via ',' voucher ',' The reason ',' system ',' busy ',' please ',' Telkom ',' note ',' customer ',' promotion ',' dial ',' call ',' center ' , '']</v>
      </c>
      <c r="D552" s="3">
        <v>1.0</v>
      </c>
    </row>
    <row r="553" ht="15.75" customHeight="1">
      <c r="A553" s="1">
        <v>551.0</v>
      </c>
      <c r="B553" s="3" t="s">
        <v>554</v>
      </c>
      <c r="C553" s="3" t="str">
        <f>IFERROR(__xludf.DUMMYFUNCTION("GOOGLETRANSLATE(B553,""id"",""en"")"),"['Yesterday', 'Good', 'Lho', 'ane', 'Login', 'Method', 'Look', 'Application', 'People', 'Veronika', 'TRUS', 'TANUT', ' How ',' Try ',' Many ',' Install ',' Uninstall ',' ']")</f>
        <v>['Yesterday', 'Good', 'Lho', 'ane', 'Login', 'Method', 'Look', 'Application', 'People', 'Veronika', 'TRUS', 'TANUT', ' How ',' Try ',' Many ',' Install ',' Uninstall ',' ']</v>
      </c>
      <c r="D553" s="3">
        <v>1.0</v>
      </c>
    </row>
    <row r="554" ht="15.75" customHeight="1">
      <c r="A554" s="1">
        <v>552.0</v>
      </c>
      <c r="B554" s="3" t="s">
        <v>555</v>
      </c>
      <c r="C554" s="3" t="str">
        <f>IFERROR(__xludf.DUMMYFUNCTION("GOOGLETRANSLATE(B554,""id"",""en"")"),"['Telkomsel', 'buy', 'unlimited', 'poured', 'Sometimes',' slow ',' really ',' signal ',' full ',' network ',' active ',' please ',' Repaired ',' Learning ',' Online ',' Kayak ',' Gini ',' Mending ',' Change ',' Provider ']")</f>
        <v>['Telkomsel', 'buy', 'unlimited', 'poured', 'Sometimes',' slow ',' really ',' signal ',' full ',' network ',' active ',' please ',' Repaired ',' Learning ',' Online ',' Kayak ',' Gini ',' Mending ',' Change ',' Provider ']</v>
      </c>
      <c r="D554" s="3">
        <v>1.0</v>
      </c>
    </row>
    <row r="555" ht="15.75" customHeight="1">
      <c r="A555" s="1">
        <v>553.0</v>
      </c>
      <c r="B555" s="3" t="s">
        <v>556</v>
      </c>
      <c r="C555" s="3" t="str">
        <f>IFERROR(__xludf.DUMMYFUNCTION("GOOGLETRANSLATE(B555,""id"",""en"")"),"['Bru', 'buy', 'kerugu', 'prime', 'knp', 'bsa', 'regis',' telkomsel ',' appears', 'error', 'already', 'restart', ' JGA ',' TTP ',' Gabisa ',' GMN ',' ']")</f>
        <v>['Bru', 'buy', 'kerugu', 'prime', 'knp', 'bsa', 'regis',' telkomsel ',' appears', 'error', 'already', 'restart', ' JGA ',' TTP ',' Gabisa ',' GMN ',' ']</v>
      </c>
      <c r="D555" s="3">
        <v>1.0</v>
      </c>
    </row>
    <row r="556" ht="15.75" customHeight="1">
      <c r="A556" s="1">
        <v>554.0</v>
      </c>
      <c r="B556" s="3" t="s">
        <v>557</v>
      </c>
      <c r="C556" s="3" t="str">
        <f>IFERROR(__xludf.DUMMYFUNCTION("GOOGLETRANSLATE(B556,""id"",""en"")"),"['apk', 'Telkomsel', 'open', 'update', 'update', 'tetep', 'open']")</f>
        <v>['apk', 'Telkomsel', 'open', 'update', 'update', 'tetep', 'open']</v>
      </c>
      <c r="D556" s="3">
        <v>1.0</v>
      </c>
    </row>
    <row r="557" ht="15.75" customHeight="1">
      <c r="A557" s="1">
        <v>555.0</v>
      </c>
      <c r="B557" s="3" t="s">
        <v>558</v>
      </c>
      <c r="C557" s="3" t="str">
        <f>IFERROR(__xludf.DUMMYFUNCTION("GOOGLETRANSLATE(B557,""id"",""en"")"),"['Knp', 'run out', 'contents',' package ',' leftover ',' pulse ',' lost ',' bgtu ',' pulse ',' padah ',' contents', 'package', ' active ',' MSA ',' apply ',' package ',' leftover ',' pulse ',' RbU ',' Rbu ',' lost ',' bgtu ', ""]")</f>
        <v>['Knp', 'run out', 'contents',' package ',' leftover ',' pulse ',' lost ',' bgtu ',' pulse ',' padah ',' contents', 'package', ' active ',' MSA ',' apply ',' package ',' leftover ',' pulse ',' RbU ',' Rbu ',' lost ',' bgtu ', "]</v>
      </c>
      <c r="D557" s="3">
        <v>3.0</v>
      </c>
    </row>
    <row r="558" ht="15.75" customHeight="1">
      <c r="A558" s="1">
        <v>556.0</v>
      </c>
      <c r="B558" s="3" t="s">
        <v>559</v>
      </c>
      <c r="C558" s="3" t="str">
        <f>IFERROR(__xludf.DUMMYFUNCTION("GOOGLETRANSLATE(B558,""id"",""en"")"),"['Signal', 'Telkom', 'slow', 'say', 'open', 'photo', 'loding', 'opened', 'telkom', 'please', 'repair', 'the network', ' Change ',' Operator ',' ']")</f>
        <v>['Signal', 'Telkom', 'slow', 'say', 'open', 'photo', 'loding', 'opened', 'telkom', 'please', 'repair', 'the network', ' Change ',' Operator ',' ']</v>
      </c>
      <c r="D558" s="3">
        <v>1.0</v>
      </c>
    </row>
    <row r="559" ht="15.75" customHeight="1">
      <c r="A559" s="1">
        <v>557.0</v>
      </c>
      <c r="B559" s="3" t="s">
        <v>560</v>
      </c>
      <c r="C559" s="3" t="str">
        <f>IFERROR(__xludf.DUMMYFUNCTION("GOOGLETRANSLATE(B559,""id"",""en"")"),"['', 'User', 'Telly', 'Dri', 'Active', 'my cellphone', 'smpai', 'skrg', 'skrg', 'morning', 'ugly', 'network', 'lazy ',' Buy ',' quota ',' internetx ',' ']")</f>
        <v>['', 'User', 'Telly', 'Dri', 'Active', 'my cellphone', 'smpai', 'skrg', 'skrg', 'morning', 'ugly', 'network', 'lazy ',' Buy ',' quota ',' internetx ',' ']</v>
      </c>
      <c r="D559" s="3">
        <v>1.0</v>
      </c>
    </row>
    <row r="560" ht="15.75" customHeight="1">
      <c r="A560" s="1">
        <v>558.0</v>
      </c>
      <c r="B560" s="3" t="s">
        <v>561</v>
      </c>
      <c r="C560" s="3" t="str">
        <f>IFERROR(__xludf.DUMMYFUNCTION("GOOGLETRANSLATE(B560,""id"",""en"")"),"['Disappointed', 'Very', 'Telkomsel', 'Fill', 'Credit', 'Credit', 'Cut', 'Contents',' Karna ',' Buy ',' Package ',' Internet ',' need ',' network ',' internet ',' slow ',' plus', 'quota', 'fast', 'run out', 'open', 'apk', 'drain', 'quota', 'plus' , 'Credi"&amp;"t', 'used', 'dluan', 'internet', 'pasahal', 'already', 'buy', 'package', 'internet', 'please', 'fix', '']")</f>
        <v>['Disappointed', 'Very', 'Telkomsel', 'Fill', 'Credit', 'Credit', 'Cut', 'Contents',' Karna ',' Buy ',' Package ',' Internet ',' need ',' network ',' internet ',' slow ',' plus', 'quota', 'fast', 'run out', 'open', 'apk', 'drain', 'quota', 'plus' , 'Credit', 'used', 'dluan', 'internet', 'pasahal', 'already', 'buy', 'package', 'internet', 'please', 'fix', '']</v>
      </c>
      <c r="D560" s="3">
        <v>1.0</v>
      </c>
    </row>
    <row r="561" ht="15.75" customHeight="1">
      <c r="A561" s="1">
        <v>559.0</v>
      </c>
      <c r="B561" s="3" t="s">
        <v>562</v>
      </c>
      <c r="C561" s="3" t="str">
        <f>IFERROR(__xludf.DUMMYFUNCTION("GOOGLETRANSLATE(B561,""id"",""en"")"),"['Direct', 'right', 'login', 'difficult', 'forgiveness',' send ',' link ',' verification ',' sms', 'right', 'click', 'try', ' account', '']")</f>
        <v>['Direct', 'right', 'login', 'difficult', 'forgiveness',' send ',' link ',' verification ',' sms', 'right', 'click', 'try', ' account', '']</v>
      </c>
      <c r="D561" s="3">
        <v>2.0</v>
      </c>
    </row>
    <row r="562" ht="15.75" customHeight="1">
      <c r="A562" s="1">
        <v>560.0</v>
      </c>
      <c r="B562" s="3" t="s">
        <v>563</v>
      </c>
      <c r="C562" s="3" t="str">
        <f>IFERROR(__xludf.DUMMYFUNCTION("GOOGLETRANSLATE(B562,""id"",""en"")"),"['application', 'slow', 'severe', 'price', 'quota', 'expensive', 'quota', 'internet', 'felt', 'watch', 'etc.', 'cheap' Come on ',' crowded ',' crowded ',' moved ',' card ',' quota ',' cheap ',' right ',' pandemic ',' Telkomsel ',' understand ',' condition"&amp;" ',' consumer ' , '']")</f>
        <v>['application', 'slow', 'severe', 'price', 'quota', 'expensive', 'quota', 'internet', 'felt', 'watch', 'etc.', 'cheap' Come on ',' crowded ',' crowded ',' moved ',' card ',' quota ',' cheap ',' right ',' pandemic ',' Telkomsel ',' understand ',' condition ',' consumer ' , '']</v>
      </c>
      <c r="D562" s="3">
        <v>1.0</v>
      </c>
    </row>
    <row r="563" ht="15.75" customHeight="1">
      <c r="A563" s="1">
        <v>561.0</v>
      </c>
      <c r="B563" s="3" t="s">
        <v>564</v>
      </c>
      <c r="C563" s="3" t="str">
        <f>IFERROR(__xludf.DUMMYFUNCTION("GOOGLETRANSLATE(B563,""id"",""en"")"),"['The application', 'login', 'written', 'Oops', 'error', 'buy', 'quota', 'please', 'repair']")</f>
        <v>['The application', 'login', 'written', 'Oops', 'error', 'buy', 'quota', 'please', 'repair']</v>
      </c>
      <c r="D563" s="3">
        <v>1.0</v>
      </c>
    </row>
    <row r="564" ht="15.75" customHeight="1">
      <c r="A564" s="1">
        <v>562.0</v>
      </c>
      <c r="B564" s="3" t="s">
        <v>565</v>
      </c>
      <c r="C564" s="3" t="str">
        <f>IFERROR(__xludf.DUMMYFUNCTION("GOOGLETRANSLATE(B564,""id"",""en"")"),"['Telkomsel', 'Bad', 'Signal', 'Telkom', 'Village', 'Network', 'Telkom', 'Lost', 'Indosat', 'BUMN', 'Contents',' Country ',' Services', 'Quality', 'bad', 'expensive']")</f>
        <v>['Telkomsel', 'Bad', 'Signal', 'Telkom', 'Village', 'Network', 'Telkom', 'Lost', 'Indosat', 'BUMN', 'Contents',' Country ',' Services', 'Quality', 'bad', 'expensive']</v>
      </c>
      <c r="D564" s="3">
        <v>2.0</v>
      </c>
    </row>
    <row r="565" ht="15.75" customHeight="1">
      <c r="A565" s="1">
        <v>563.0</v>
      </c>
      <c r="B565" s="3" t="s">
        <v>566</v>
      </c>
      <c r="C565" s="3" t="str">
        <f>IFERROR(__xludf.DUMMYFUNCTION("GOOGLETRANSLATE(B565,""id"",""en"")"),"['Package', 'data', 'missing', 'application', 'Telkomsel', 'open', 'padahl', 'right', 'yesterday', 'buy', 'package', 'kouta', ' Application ',' Loss', 'Telkomsel']")</f>
        <v>['Package', 'data', 'missing', 'application', 'Telkomsel', 'open', 'padahl', 'right', 'yesterday', 'buy', 'package', 'kouta', ' Application ',' Loss', 'Telkomsel']</v>
      </c>
      <c r="D565" s="3">
        <v>1.0</v>
      </c>
    </row>
    <row r="566" ht="15.75" customHeight="1">
      <c r="A566" s="1">
        <v>564.0</v>
      </c>
      <c r="B566" s="3" t="s">
        <v>567</v>
      </c>
      <c r="C566" s="3" t="str">
        <f>IFERROR(__xludf.DUMMYFUNCTION("GOOGLETRANSLATE(B566,""id"",""en"")"),"['Credit', 'reduced', 'transaction', 'anything', 'activated', 'data', 'internet', 'wound', 'center', 'help', 'information', 'difficult', ' Fix ',' Provider ',' artisan ',' Maling ']")</f>
        <v>['Credit', 'reduced', 'transaction', 'anything', 'activated', 'data', 'internet', 'wound', 'center', 'help', 'information', 'difficult', ' Fix ',' Provider ',' artisan ',' Maling ']</v>
      </c>
      <c r="D566" s="3">
        <v>1.0</v>
      </c>
    </row>
    <row r="567" ht="15.75" customHeight="1">
      <c r="A567" s="1">
        <v>565.0</v>
      </c>
      <c r="B567" s="3" t="s">
        <v>568</v>
      </c>
      <c r="C567" s="3" t="str">
        <f>IFERROR(__xludf.DUMMYFUNCTION("GOOGLETRANSLATE(B567,""id"",""en"")"),"['Difficult', 'use', 'prime', 'sympathy', 'big', 'use', 'sympathy', 'number', 'kouta', 'skrg', 'divided', 'internet', ' Local ',' Internet ',' Padal ',' Difficult ',' BGS ',' Package ',' Interner ',' Used ',' Dimna ',' Position ',' Kuta ',' Package ',' Lo"&amp;"cal ' , 'GDK', 'sympathy', 'pelaya', 'sympathy', ""]")</f>
        <v>['Difficult', 'use', 'prime', 'sympathy', 'big', 'use', 'sympathy', 'number', 'kouta', 'skrg', 'divided', 'internet', ' Local ',' Internet ',' Padal ',' Difficult ',' BGS ',' Package ',' Interner ',' Used ',' Dimna ',' Position ',' Kuta ',' Package ',' Local ' , 'GDK', 'sympathy', 'pelaya', 'sympathy', "]</v>
      </c>
      <c r="D567" s="3">
        <v>1.0</v>
      </c>
    </row>
    <row r="568" ht="15.75" customHeight="1">
      <c r="A568" s="1">
        <v>566.0</v>
      </c>
      <c r="B568" s="3" t="s">
        <v>569</v>
      </c>
      <c r="C568" s="3" t="str">
        <f>IFERROR(__xludf.DUMMYFUNCTION("GOOGLETRANSLATE(B568,""id"",""en"")"),"['Download', 'Guys',' Loss', 'Ngeselin', 'Anyway', 'User', 'Error', 'Star', 'SKR', 'Give', 'Star', 'Forced', ' removed ',' star ',' Claim ',' bonus', 'failed', 'then', 'like', 'sincere', 'telkomsel', 'cape', 'cape', 'collect', 'point' , '']")</f>
        <v>['Download', 'Guys',' Loss', 'Ngeselin', 'Anyway', 'User', 'Error', 'Star', 'SKR', 'Give', 'Star', 'Forced', ' removed ',' star ',' Claim ',' bonus', 'failed', 'then', 'like', 'sincere', 'telkomsel', 'cape', 'cape', 'collect', 'point' , '']</v>
      </c>
      <c r="D568" s="3">
        <v>1.0</v>
      </c>
    </row>
    <row r="569" ht="15.75" customHeight="1">
      <c r="A569" s="1">
        <v>567.0</v>
      </c>
      <c r="B569" s="3" t="s">
        <v>570</v>
      </c>
      <c r="C569" s="3" t="str">
        <f>IFERROR(__xludf.DUMMYFUNCTION("GOOGLETRANSLATE(B569,""id"",""en"")"),"['pulse', 'send', 'pulse', 'getting', 'fees',' right ',' send ',' writing ',' pulse ',' sufficient ',' pulse ',' need ',' Really ',' how ',' solution ',' troubles', 'already', 'limit', 'money', 'Gara', 'Gara', 'Corona']")</f>
        <v>['pulse', 'send', 'pulse', 'getting', 'fees',' right ',' send ',' writing ',' pulse ',' sufficient ',' pulse ',' need ',' Really ',' how ',' solution ',' troubles', 'already', 'limit', 'money', 'Gara', 'Gara', 'Corona']</v>
      </c>
      <c r="D569" s="3">
        <v>1.0</v>
      </c>
    </row>
    <row r="570" ht="15.75" customHeight="1">
      <c r="A570" s="1">
        <v>568.0</v>
      </c>
      <c r="B570" s="3" t="s">
        <v>571</v>
      </c>
      <c r="C570" s="3" t="str">
        <f>IFERROR(__xludf.DUMMYFUNCTION("GOOGLETRANSLATE(B570,""id"",""en"")"),"['Telkomsel', 'network', 'connects', 'internet', 'connects', 'internet', 'already', 'display', 'doang', 'breaking', 'connection', ""]")</f>
        <v>['Telkomsel', 'network', 'connects', 'internet', 'connects', 'internet', 'already', 'display', 'doang', 'breaking', 'connection', "]</v>
      </c>
      <c r="D570" s="3">
        <v>1.0</v>
      </c>
    </row>
    <row r="571" ht="15.75" customHeight="1">
      <c r="A571" s="1">
        <v>569.0</v>
      </c>
      <c r="B571" s="3" t="s">
        <v>572</v>
      </c>
      <c r="C571" s="3" t="str">
        <f>IFERROR(__xludf.DUMMYFUNCTION("GOOGLETRANSLATE(B571,""id"",""en"")"),"['Price', 'Package', 'Mahaaaaal', 'Telkomsel', 'Mari', 'Move', 'Provider', 'Humane', ""]")</f>
        <v>['Price', 'Package', 'Mahaaaaal', 'Telkomsel', 'Mari', 'Move', 'Provider', 'Humane', "]</v>
      </c>
      <c r="D571" s="3">
        <v>1.0</v>
      </c>
    </row>
    <row r="572" ht="15.75" customHeight="1">
      <c r="A572" s="1">
        <v>570.0</v>
      </c>
      <c r="B572" s="3" t="s">
        <v>573</v>
      </c>
      <c r="C572" s="3" t="str">
        <f>IFERROR(__xludf.DUMMYFUNCTION("GOOGLETRANSLATE(B572,""id"",""en"")"),"['quota', 'package', 'is fair', 'expensive', 'number', 'violated', 'loyal', 'price', 'package', 'expensive', ""]")</f>
        <v>['quota', 'package', 'is fair', 'expensive', 'number', 'violated', 'loyal', 'price', 'package', 'expensive', "]</v>
      </c>
      <c r="D572" s="3">
        <v>2.0</v>
      </c>
    </row>
    <row r="573" ht="15.75" customHeight="1">
      <c r="A573" s="1">
        <v>571.0</v>
      </c>
      <c r="B573" s="3" t="s">
        <v>574</v>
      </c>
      <c r="C573" s="3" t="str">
        <f>IFERROR(__xludf.DUMMYFUNCTION("GOOGLETRANSLATE(B573,""id"",""en"")"),"['buy', 'Package', 'Credit', 'Package', 'Cut', 'Cut', 'Sampe', 'RB', 'Open', 'Application', 'Buy', 'Quota', ' crazyaaaaaaa ',' buy ',' no ',' service ', ""]")</f>
        <v>['buy', 'Package', 'Credit', 'Package', 'Cut', 'Cut', 'Sampe', 'RB', 'Open', 'Application', 'Buy', 'Quota', ' crazyaaaaaaa ',' buy ',' no ',' service ', "]</v>
      </c>
      <c r="D573" s="3">
        <v>1.0</v>
      </c>
    </row>
    <row r="574" ht="15.75" customHeight="1">
      <c r="A574" s="1">
        <v>572.0</v>
      </c>
      <c r="B574" s="3" t="s">
        <v>575</v>
      </c>
      <c r="C574" s="3" t="str">
        <f>IFERROR(__xludf.DUMMYFUNCTION("GOOGLETRANSLATE(B574,""id"",""en"")"),"['Sorry', 'Mimin', 'ask', 'voucher', 'Telkomsel', 'filled', 'then', 'situ', 'printed', 'sorry', 'system', 'busy', ' Wait ',' Udh ',' Wait ',' For ',' Clock ',' Night ',' Filled ',' Buy ',' Udh ',' Expensive ',' Contents', 'Please', 'Telkomsel' , 'repair',"&amp;" '']")</f>
        <v>['Sorry', 'Mimin', 'ask', 'voucher', 'Telkomsel', 'filled', 'then', 'situ', 'printed', 'sorry', 'system', 'busy', ' Wait ',' Udh ',' Wait ',' For ',' Clock ',' Night ',' Filled ',' Buy ',' Udh ',' Expensive ',' Contents', 'Please', 'Telkomsel' , 'repair', '']</v>
      </c>
      <c r="D574" s="3">
        <v>2.0</v>
      </c>
    </row>
    <row r="575" ht="15.75" customHeight="1">
      <c r="A575" s="1">
        <v>573.0</v>
      </c>
      <c r="B575" s="3" t="s">
        <v>576</v>
      </c>
      <c r="C575" s="3" t="str">
        <f>IFERROR(__xludf.DUMMYFUNCTION("GOOGLETRANSLATE(B575,""id"",""en"")"),"['Telkom', 'expensive', 'network', 'ugly', 'expensive', 'network', 'good', 'min', 'then', 'pulse', 'like', 'sumps',' internet ',' msh ',' open ',' internet ',' sumps', 'pulses',' how ',' nihhh ',' loss', ""]")</f>
        <v>['Telkom', 'expensive', 'network', 'ugly', 'expensive', 'network', 'good', 'min', 'then', 'pulse', 'like', 'sumps',' internet ',' msh ',' open ',' internet ',' sumps', 'pulses',' how ',' nihhh ',' loss', "]</v>
      </c>
      <c r="D575" s="3">
        <v>1.0</v>
      </c>
    </row>
    <row r="576" ht="15.75" customHeight="1">
      <c r="A576" s="1">
        <v>574.0</v>
      </c>
      <c r="B576" s="3" t="s">
        <v>577</v>
      </c>
      <c r="C576" s="3" t="str">
        <f>IFERROR(__xludf.DUMMYFUNCTION("GOOGLETRANSLATE(B576,""id"",""en"")"),"['signal', 'smakin', 'reset', 'improvement', 'customer', 'slow', 'error', 'koclok', 'dizzy', 'signal', 'TEL', 'application', ' Sableng ',' Ribet ',' Enter ',' Unplug ',' Use ',' Pay ',' Monthly ',' Helo ', ""]")</f>
        <v>['signal', 'smakin', 'reset', 'improvement', 'customer', 'slow', 'error', 'koclok', 'dizzy', 'signal', 'TEL', 'application', ' Sableng ',' Ribet ',' Enter ',' Unplug ',' Use ',' Pay ',' Monthly ',' Helo ', "]</v>
      </c>
      <c r="D576" s="3">
        <v>1.0</v>
      </c>
    </row>
    <row r="577" ht="15.75" customHeight="1">
      <c r="A577" s="1">
        <v>575.0</v>
      </c>
      <c r="B577" s="3" t="s">
        <v>578</v>
      </c>
      <c r="C577" s="3" t="str">
        <f>IFERROR(__xludf.DUMMYFUNCTION("GOOGLETRANSLATE(B577,""id"",""en"")"),"['Application', 'Kaga', 'JLS', 'Buy', 'Kouta', 'A Week', 'Ampe', 'A Week', 'TPI', 'Masi', 'Remnant', 'Sampe', ' Eee ',' buy ',' quota ',' a month ',' usage ',' week ',' uda ',' abis', 'mang', 'great', 'card', 'great', 'spent' , 'Money', 'Customer', '']")</f>
        <v>['Application', 'Kaga', 'JLS', 'Buy', 'Kouta', 'A Week', 'Ampe', 'A Week', 'TPI', 'Masi', 'Remnant', 'Sampe', ' Eee ',' buy ',' quota ',' a month ',' usage ',' week ',' uda ',' abis', 'mang', 'great', 'card', 'great', 'spent' , 'Money', 'Customer', '']</v>
      </c>
      <c r="D577" s="3">
        <v>1.0</v>
      </c>
    </row>
    <row r="578" ht="15.75" customHeight="1">
      <c r="A578" s="1">
        <v>576.0</v>
      </c>
      <c r="B578" s="3" t="s">
        <v>579</v>
      </c>
      <c r="C578" s="3" t="str">
        <f>IFERROR(__xludf.DUMMYFUNCTION("GOOGLETRANSLATE(B578,""id"",""en"")"),"['application', 'stop', 'Kouta', 'network', 'good', 'use', 'wifi', 'application', 'stop', 'settings',' sip ',' stop ',' ']")</f>
        <v>['application', 'stop', 'Kouta', 'network', 'good', 'use', 'wifi', 'application', 'stop', 'settings',' sip ',' stop ',' ']</v>
      </c>
      <c r="D578" s="3">
        <v>2.0</v>
      </c>
    </row>
    <row r="579" ht="15.75" customHeight="1">
      <c r="A579" s="1">
        <v>577.0</v>
      </c>
      <c r="B579" s="3" t="s">
        <v>580</v>
      </c>
      <c r="C579" s="3" t="str">
        <f>IFERROR(__xludf.DUMMYFUNCTION("GOOGLETRANSLATE(B579,""id"",""en"")"),"['already', 'pudate', 'package', 'extra', 'unlimeted', 'ilang', 'that's',' update ',' please ',' already ',' package ',' good ',' home, 'ilangin']")</f>
        <v>['already', 'pudate', 'package', 'extra', 'unlimeted', 'ilang', 'that's',' update ',' please ',' already ',' package ',' good ',' home, 'ilangin']</v>
      </c>
      <c r="D579" s="3">
        <v>1.0</v>
      </c>
    </row>
    <row r="580" ht="15.75" customHeight="1">
      <c r="A580" s="1">
        <v>578.0</v>
      </c>
      <c r="B580" s="3" t="s">
        <v>581</v>
      </c>
      <c r="C580" s="3" t="str">
        <f>IFERROR(__xludf.DUMMYFUNCTION("GOOGLETRANSLATE(B580,""id"",""en"")"),"['Yesterday', 'Open', 'Application', 'UDH', 'Given', 'Link', 'Enter', 'Link', 'Tetep', 'Muter', 'Muter', 'Signal', ' Good ',' PKE ',' Data ',' Telkomsel ',' poor ']")</f>
        <v>['Yesterday', 'Open', 'Application', 'UDH', 'Given', 'Link', 'Enter', 'Link', 'Tetep', 'Muter', 'Muter', 'Signal', ' Good ',' PKE ',' Data ',' Telkomsel ',' poor ']</v>
      </c>
      <c r="D580" s="3">
        <v>3.0</v>
      </c>
    </row>
    <row r="581" ht="15.75" customHeight="1">
      <c r="A581" s="1">
        <v>579.0</v>
      </c>
      <c r="B581" s="3" t="s">
        <v>582</v>
      </c>
      <c r="C581" s="3" t="str">
        <f>IFERROR(__xludf.DUMMYFUNCTION("GOOGLETRANSLATE(B581,""id"",""en"")"),"['check', 'failed', 'check', 'login', 'already', 'loading', 'error', 'mulu', 'cleaned', 'chace', 'dimatiin', 'already', ' The application ',' dislodged ',' pairs', 'reset', 'error', 'error', 'appears',' package ',' data ',' use ',' provider ',' Telkomsel "&amp;"',' Telkomsel ' , 'Current', 'bad', 'really', 'the application', '']")</f>
        <v>['check', 'failed', 'check', 'login', 'already', 'loading', 'error', 'mulu', 'cleaned', 'chace', 'dimatiin', 'already', ' The application ',' dislodged ',' pairs', 'reset', 'error', 'error', 'appears',' package ',' data ',' use ',' provider ',' Telkomsel ',' Telkomsel ' , 'Current', 'bad', 'really', 'the application', '']</v>
      </c>
      <c r="D581" s="3">
        <v>1.0</v>
      </c>
    </row>
    <row r="582" ht="15.75" customHeight="1">
      <c r="A582" s="1">
        <v>580.0</v>
      </c>
      <c r="B582" s="3" t="s">
        <v>583</v>
      </c>
      <c r="C582" s="3" t="str">
        <f>IFERROR(__xludf.DUMMYFUNCTION("GOOGLETRANSLATE(B582,""id"",""en"")"),"['entry', 'application', 'need', 'struggle', 'a year', 'activated', 'package', 'data', 'Telkomsel', 'package', 'expensive', 'choice', ' strange', '']")</f>
        <v>['entry', 'application', 'need', 'struggle', 'a year', 'activated', 'package', 'data', 'Telkomsel', 'package', 'expensive', 'choice', ' strange', '']</v>
      </c>
      <c r="D582" s="3">
        <v>2.0</v>
      </c>
    </row>
    <row r="583" ht="15.75" customHeight="1">
      <c r="A583" s="1">
        <v>581.0</v>
      </c>
      <c r="B583" s="3" t="s">
        <v>584</v>
      </c>
      <c r="C583" s="3" t="str">
        <f>IFERROR(__xludf.DUMMYFUNCTION("GOOGLETRANSLATE(B583,""id"",""en"")"),"['The meaning', 'Telkomsel', 'update', 'application', 'update', 'loggin', 'shy', 'Indonesia', 'Manage', 'application', 'Becus', ""]")</f>
        <v>['The meaning', 'Telkomsel', 'update', 'application', 'update', 'loggin', 'shy', 'Indonesia', 'Manage', 'application', 'Becus', "]</v>
      </c>
      <c r="D583" s="3">
        <v>1.0</v>
      </c>
    </row>
    <row r="584" ht="15.75" customHeight="1">
      <c r="A584" s="1">
        <v>582.0</v>
      </c>
      <c r="B584" s="3" t="s">
        <v>585</v>
      </c>
      <c r="C584" s="3" t="str">
        <f>IFERROR(__xludf.DUMMYFUNCTION("GOOGLETRANSLATE(B584,""id"",""en"")"),"['application', 'ugly', 'open', 'application', 'wifi', 'hnya', 'open', 'data', 'cellullar', 'price', 'application', 'price', ' Different ',' expensive ',' application ',' next door ',' open ',' wifi ',' jdi ',' forced ',' buy ',' pallet ',' data ',' appli"&amp;"cation ',' cheap ' , 'Open', 'application', 'wifi', 'sya', 'disappointed']")</f>
        <v>['application', 'ugly', 'open', 'application', 'wifi', 'hnya', 'open', 'data', 'cellullar', 'price', 'application', 'price', ' Different ',' expensive ',' application ',' next door ',' open ',' wifi ',' jdi ',' forced ',' buy ',' pallet ',' data ',' application ',' cheap ' , 'Open', 'application', 'wifi', 'sya', 'disappointed']</v>
      </c>
      <c r="D584" s="3">
        <v>1.0</v>
      </c>
    </row>
    <row r="585" ht="15.75" customHeight="1">
      <c r="A585" s="1">
        <v>583.0</v>
      </c>
      <c r="B585" s="3" t="s">
        <v>586</v>
      </c>
      <c r="C585" s="3" t="str">
        <f>IFERROR(__xludf.DUMMYFUNCTION("GOOGLETRANSLATE(B585,""id"",""en"")"),"['Tsel', 'ride', 'price', 'package', 'internet', 'network', 'ngak', 'speed', 'think', 'ride', 'price', 'package', ' Ride in ',' Speed ​​',' Network ',' Minimize ']")</f>
        <v>['Tsel', 'ride', 'price', 'package', 'internet', 'network', 'ngak', 'speed', 'think', 'ride', 'price', 'package', ' Ride in ',' Speed ​​',' Network ',' Minimize ']</v>
      </c>
      <c r="D585" s="3">
        <v>1.0</v>
      </c>
    </row>
    <row r="586" ht="15.75" customHeight="1">
      <c r="A586" s="1">
        <v>584.0</v>
      </c>
      <c r="B586" s="3" t="s">
        <v>587</v>
      </c>
      <c r="C586" s="3" t="str">
        <f>IFERROR(__xludf.DUMMYFUNCTION("GOOGLETRANSLATE(B586,""id"",""en"")"),"['bad', 'application', 'login', 'finished', 'data', 'road', 'open', 'application', 'pdhl', 'ngeta', 'fix', 'pke', ' WiFi ',' rich ',' bgin ',' ']")</f>
        <v>['bad', 'application', 'login', 'finished', 'data', 'road', 'open', 'application', 'pdhl', 'ngeta', 'fix', 'pke', ' WiFi ',' rich ',' bgin ',' ']</v>
      </c>
      <c r="D586" s="3">
        <v>1.0</v>
      </c>
    </row>
    <row r="587" ht="15.75" customHeight="1">
      <c r="A587" s="1">
        <v>585.0</v>
      </c>
      <c r="B587" s="3" t="s">
        <v>588</v>
      </c>
      <c r="C587" s="3" t="str">
        <f>IFERROR(__xludf.DUMMYFUNCTION("GOOGLETRANSLATE(B587,""id"",""en"")"),"['buy', 'quota', 'Wait', 'pulse', 'buy', 'drained', 'reason', 'user', 'Telkomsel', 'disappointed', 'application']")</f>
        <v>['buy', 'quota', 'Wait', 'pulse', 'buy', 'drained', 'reason', 'user', 'Telkomsel', 'disappointed', 'application']</v>
      </c>
      <c r="D587" s="3">
        <v>1.0</v>
      </c>
    </row>
    <row r="588" ht="15.75" customHeight="1">
      <c r="A588" s="1">
        <v>586.0</v>
      </c>
      <c r="B588" s="3" t="s">
        <v>589</v>
      </c>
      <c r="C588" s="3" t="str">
        <f>IFERROR(__xludf.DUMMYFUNCTION("GOOGLETRANSLATE(B588,""id"",""en"")"),"['difficult', 'access', 'login', 'data', 'cellular', 'Telkomsel', 'provider', 'strange', 'make it difficult']")</f>
        <v>['difficult', 'access', 'login', 'data', 'cellular', 'Telkomsel', 'provider', 'strange', 'make it difficult']</v>
      </c>
      <c r="D588" s="3">
        <v>1.0</v>
      </c>
    </row>
    <row r="589" ht="15.75" customHeight="1">
      <c r="A589" s="1">
        <v>587.0</v>
      </c>
      <c r="B589" s="3" t="s">
        <v>590</v>
      </c>
      <c r="C589" s="3" t="str">
        <f>IFERROR(__xludf.DUMMYFUNCTION("GOOGLETRANSLATE(B589,""id"",""en"")"),"['Please', 'Increase', 'Active', 'Number', 'A Live', 'Life', 'Verication', 'WhatsApp', 'World', 'Business',' Service ',' Phone ',' SMS ',' Internet ',' Etc. ',' Service ',' Internet ',' Fiber ',' Subscriptions', 'Company', 'Please', 'Feature', 'Active', '"&amp;"AGAT' , 'life', '']")</f>
        <v>['Please', 'Increase', 'Active', 'Number', 'A Live', 'Life', 'Verication', 'WhatsApp', 'World', 'Business',' Service ',' Phone ',' SMS ',' Internet ',' Etc. ',' Service ',' Internet ',' Fiber ',' Subscriptions', 'Company', 'Please', 'Feature', 'Active', 'AGAT' , 'life', '']</v>
      </c>
      <c r="D589" s="3">
        <v>2.0</v>
      </c>
    </row>
    <row r="590" ht="15.75" customHeight="1">
      <c r="A590" s="1">
        <v>588.0</v>
      </c>
      <c r="B590" s="3" t="s">
        <v>591</v>
      </c>
      <c r="C590" s="3" t="str">
        <f>IFERROR(__xludf.DUMMYFUNCTION("GOOGLETRANSLATE(B590,""id"",""en"")"),"['buy', 'package', 'data', 'cheerful', 'process',' high school ',' package ',' data ',' direct ',' processed ',' try ',' Promo ',' buy ',' process', 'skali']")</f>
        <v>['buy', 'package', 'data', 'cheerful', 'process',' high school ',' package ',' data ',' direct ',' processed ',' try ',' Promo ',' buy ',' process', 'skali']</v>
      </c>
      <c r="D590" s="3">
        <v>1.0</v>
      </c>
    </row>
    <row r="591" ht="15.75" customHeight="1">
      <c r="A591" s="1">
        <v>589.0</v>
      </c>
      <c r="B591" s="3" t="s">
        <v>592</v>
      </c>
      <c r="C591" s="3" t="str">
        <f>IFERROR(__xludf.DUMMYFUNCTION("GOOGLETRANSLATE(B591,""id"",""en"")"),"['operator', 'Telkomsel', 'idiot', 'responsible', 'sorry', 'operator', 'Telkomsel', 'idiot', 'brain', 'udh', 'package', 'internet', ' expensive ',' network ',' slow ',' Goblog ', ""]")</f>
        <v>['operator', 'Telkomsel', 'idiot', 'responsible', 'sorry', 'operator', 'Telkomsel', 'idiot', 'brain', 'udh', 'package', 'internet', ' expensive ',' network ',' slow ',' Goblog ', "]</v>
      </c>
      <c r="D591" s="3">
        <v>1.0</v>
      </c>
    </row>
    <row r="592" ht="15.75" customHeight="1">
      <c r="A592" s="1">
        <v>590.0</v>
      </c>
      <c r="B592" s="3" t="s">
        <v>593</v>
      </c>
      <c r="C592" s="3" t="str">
        <f>IFERROR(__xludf.DUMMYFUNCTION("GOOGLETRANSLATE(B592,""id"",""en"")"),"['Price', 'Quota', 'Increased', 'Following', 'Policy', 'Telkomsel', 'Need', 'waahh', 'Customer', 'Support', 'Refuses',' Disappointed ',' suggest ',' users', 'Telkomsel', 'in the future', 'suggest', '']")</f>
        <v>['Price', 'Quota', 'Increased', 'Following', 'Policy', 'Telkomsel', 'Need', 'waahh', 'Customer', 'Support', 'Refuses',' Disappointed ',' suggest ',' users', 'Telkomsel', 'in the future', 'suggest', '']</v>
      </c>
      <c r="D592" s="3">
        <v>1.0</v>
      </c>
    </row>
    <row r="593" ht="15.75" customHeight="1">
      <c r="A593" s="1">
        <v>591.0</v>
      </c>
      <c r="B593" s="3" t="s">
        <v>594</v>
      </c>
      <c r="C593" s="3" t="str">
        <f>IFERROR(__xludf.DUMMYFUNCTION("GOOGLETRANSLATE(B593,""id"",""en"")"),"['Please', 'buy', 'pulse', 'Payments',' ATM ',' Jngn ',' Dana ',' Krna ',' Application ',' Fund ',' Wallet ',' Seizex ',' Please ',' Fix ',' ']")</f>
        <v>['Please', 'buy', 'pulse', 'Payments',' ATM ',' Jngn ',' Dana ',' Krna ',' Application ',' Fund ',' Wallet ',' Seizex ',' Please ',' Fix ',' ']</v>
      </c>
      <c r="D593" s="3">
        <v>3.0</v>
      </c>
    </row>
    <row r="594" ht="15.75" customHeight="1">
      <c r="A594" s="1">
        <v>592.0</v>
      </c>
      <c r="B594" s="3" t="s">
        <v>595</v>
      </c>
      <c r="C594" s="3" t="str">
        <f>IFERROR(__xludf.DUMMYFUNCTION("GOOGLETRANSLATE(B594,""id"",""en"")"),"['Network', 'Telkomsel', 'Putuk', 'Negri', 'Good', 'Network', 'Already', 'Lost', 'Card', 'Lai', 'Network', 'Tree', ' Indosat ',' TREE ',' TREE ',' Telkomsel ',' The network ',' Disappointed ',' Telkomsel ',' Please ',' Restore ',' Telkomsel ',' Rindu ',' "&amp;"Network ',' Telkomsel ' , 'burning', 'office', 'center', 'pekanbaru', '']")</f>
        <v>['Network', 'Telkomsel', 'Putuk', 'Negri', 'Good', 'Network', 'Already', 'Lost', 'Card', 'Lai', 'Network', 'Tree', ' Indosat ',' TREE ',' TREE ',' Telkomsel ',' The network ',' Disappointed ',' Telkomsel ',' Please ',' Restore ',' Telkomsel ',' Rindu ',' Network ',' Telkomsel ' , 'burning', 'office', 'center', 'pekanbaru', '']</v>
      </c>
      <c r="D594" s="3">
        <v>1.0</v>
      </c>
    </row>
    <row r="595" ht="15.75" customHeight="1">
      <c r="A595" s="1">
        <v>593.0</v>
      </c>
      <c r="B595" s="3" t="s">
        <v>596</v>
      </c>
      <c r="C595" s="3" t="str">
        <f>IFERROR(__xludf.DUMMYFUNCTION("GOOGLETRANSLATE(B595,""id"",""en"")"),"['Disappointed', 'disappointed', 'buy', 'package', 'GB', 'a week', 'situ', 'printed', 'promo', 'Show', 'open', 'apk', ' Use ',' Network ',' Telkomsel ',' Package ',' Out ',' Open ',' Bentar ',' Uda ',' Cutting ',' Credit ',' Bukak ']")</f>
        <v>['Disappointed', 'disappointed', 'buy', 'package', 'GB', 'a week', 'situ', 'printed', 'promo', 'Show', 'open', 'apk', ' Use ',' Network ',' Telkomsel ',' Package ',' Out ',' Open ',' Bentar ',' Uda ',' Cutting ',' Credit ',' Bukak ']</v>
      </c>
      <c r="D595" s="3">
        <v>1.0</v>
      </c>
    </row>
    <row r="596" ht="15.75" customHeight="1">
      <c r="A596" s="1">
        <v>594.0</v>
      </c>
      <c r="B596" s="3" t="s">
        <v>597</v>
      </c>
      <c r="C596" s="3" t="str">
        <f>IFERROR(__xludf.DUMMYFUNCTION("GOOGLETRANSLATE(B596,""id"",""en"")"),"['system', 'service', 'bad', 'TRF', 'pulse', 'funds',' truncated ',' pulses', 'sent', 'complain', 'lwt', 'chat', ' Tel ',' solution ',' return ',' uda ',' complain ',' truncated ',' pulse ',' told ',' email ',' tip ',' solution ',' nominal ',' system ' , "&amp;"'service', 'bad', 'tsk', 'solution', 'disappointed']")</f>
        <v>['system', 'service', 'bad', 'TRF', 'pulse', 'funds',' truncated ',' pulses', 'sent', 'complain', 'lwt', 'chat', ' Tel ',' solution ',' return ',' uda ',' complain ',' truncated ',' pulse ',' told ',' email ',' tip ',' solution ',' nominal ',' system ' , 'service', 'bad', 'tsk', 'solution', 'disappointed']</v>
      </c>
      <c r="D596" s="3">
        <v>1.0</v>
      </c>
    </row>
    <row r="597" ht="15.75" customHeight="1">
      <c r="A597" s="1">
        <v>595.0</v>
      </c>
      <c r="B597" s="3" t="s">
        <v>598</v>
      </c>
      <c r="C597" s="3" t="str">
        <f>IFERROR(__xludf.DUMMYFUNCTION("GOOGLETRANSLATE(B597,""id"",""en"")"),"['', 'Pandemic', 'users',' Telkomsel ',' Addition ',' Pasility ',' Internet ',' Lemot ',' Application ',' Login ',' Error ',' Please ',' Fix ',' ']")</f>
        <v>['', 'Pandemic', 'users',' Telkomsel ',' Addition ',' Pasility ',' Internet ',' Lemot ',' Application ',' Login ',' Error ',' Please ',' Fix ',' ']</v>
      </c>
      <c r="D597" s="3">
        <v>3.0</v>
      </c>
    </row>
    <row r="598" ht="15.75" customHeight="1">
      <c r="A598" s="1">
        <v>596.0</v>
      </c>
      <c r="B598" s="3" t="s">
        <v>599</v>
      </c>
      <c r="C598" s="3" t="str">
        <f>IFERROR(__xludf.DUMMYFUNCTION("GOOGLETRANSLATE(B598,""id"",""en"")"),"['The network', 'lag', 'right', 'network', 'already', 'Follow', 'Program', 'Daily', 'Chak', 'Check', 'Until', 'Get', ' Koutaa ',' MB ',' Message ',' already ',' enter ',' right ',' try ',' please ',' developer ', ""]")</f>
        <v>['The network', 'lag', 'right', 'network', 'already', 'Follow', 'Program', 'Daily', 'Chak', 'Check', 'Until', 'Get', ' Koutaa ',' MB ',' Message ',' already ',' enter ',' right ',' try ',' please ',' developer ', "]</v>
      </c>
      <c r="D598" s="3">
        <v>2.0</v>
      </c>
    </row>
    <row r="599" ht="15.75" customHeight="1">
      <c r="A599" s="1">
        <v>597.0</v>
      </c>
      <c r="B599" s="3" t="s">
        <v>600</v>
      </c>
      <c r="C599" s="3" t="str">
        <f>IFERROR(__xludf.DUMMYFUNCTION("GOOGLETRANSLATE(B599,""id"",""en"")"),"['', 'redemption', 'Reedem', 'Points', 'Failed', 'Mulu', 'Package', 'Telco', 'System', 'Busy', 'Kog', 'times', 'times' ',' Exchange ',' ']")</f>
        <v>['', 'redemption', 'Reedem', 'Points', 'Failed', 'Mulu', 'Package', 'Telco', 'System', 'Busy', 'Kog', 'times', 'times' ',' Exchange ',' ']</v>
      </c>
      <c r="D599" s="3">
        <v>2.0</v>
      </c>
    </row>
    <row r="600" ht="15.75" customHeight="1">
      <c r="A600" s="1">
        <v>598.0</v>
      </c>
      <c r="B600" s="3" t="s">
        <v>601</v>
      </c>
      <c r="C600" s="3" t="str">
        <f>IFERROR(__xludf.DUMMYFUNCTION("GOOGLETRANSLATE(B600,""id"",""en"")"),"['pulse', 'main', 'Rupiah', 'essence', 'name', 'pulse', 'disappear', 'Telkomsel']")</f>
        <v>['pulse', 'main', 'Rupiah', 'essence', 'name', 'pulse', 'disappear', 'Telkomsel']</v>
      </c>
      <c r="D600" s="3">
        <v>1.0</v>
      </c>
    </row>
    <row r="601" ht="15.75" customHeight="1">
      <c r="A601" s="1">
        <v>599.0</v>
      </c>
      <c r="B601" s="3" t="s">
        <v>602</v>
      </c>
      <c r="C601" s="3" t="str">
        <f>IFERROR(__xludf.DUMMYFUNCTION("GOOGLETRANSLATE(B601,""id"",""en"")"),"['application', 'idiot', 'user', 'login', 'sent', 'address',' link ',' idiot ',' clicked ',' ttp ',' login ',' application ',' Used ',' belongs', 'personal', 'owned', 'kelurahan', 'learn', 'application', 'operator', 'user', 'comfortable', 'login', 'applic"&amp;"ation', 'Telkomsel' , 'Reupture', 'Mending', 'Discard', 'Deh', 'Playstore', 'Programmer', 'Learning', 'Application', 'Comfortable', 'Use', ""]")</f>
        <v>['application', 'idiot', 'user', 'login', 'sent', 'address',' link ',' idiot ',' clicked ',' ttp ',' login ',' application ',' Used ',' belongs', 'personal', 'owned', 'kelurahan', 'learn', 'application', 'operator', 'user', 'comfortable', 'login', 'application', 'Telkomsel' , 'Reupture', 'Mending', 'Discard', 'Deh', 'Playstore', 'Programmer', 'Learning', 'Application', 'Comfortable', 'Use', "]</v>
      </c>
      <c r="D601" s="3">
        <v>1.0</v>
      </c>
    </row>
    <row r="602" ht="15.75" customHeight="1">
      <c r="A602" s="1">
        <v>600.0</v>
      </c>
      <c r="B602" s="3" t="s">
        <v>603</v>
      </c>
      <c r="C602" s="3" t="str">
        <f>IFERROR(__xludf.DUMMYFUNCTION("GOOGLETRANSLATE(B602,""id"",""en"")"),"['subscribe', 'Telkomsel', 'safe', 'practical', 'network', 'internet', 'easy', 'fast', 'satisfaction', 'use', 'Telkomsel', 'subscribe', ' Telkomsel ',' buy ',' package ',' easy ',' expensive ',' pandemic ',' student ',' need ',' package ',' internet ',' a"&amp;"ccess', 'Learning', 'Learning' , 'college', 'need', 'internet', 'cheap', 'smooth', 'use', '']")</f>
        <v>['subscribe', 'Telkomsel', 'safe', 'practical', 'network', 'internet', 'easy', 'fast', 'satisfaction', 'use', 'Telkomsel', 'subscribe', ' Telkomsel ',' buy ',' package ',' easy ',' expensive ',' pandemic ',' student ',' need ',' package ',' internet ',' access', 'Learning', 'Learning' , 'college', 'need', 'internet', 'cheap', 'smooth', 'use', '']</v>
      </c>
      <c r="D602" s="3">
        <v>5.0</v>
      </c>
    </row>
    <row r="603" ht="15.75" customHeight="1">
      <c r="A603" s="1">
        <v>601.0</v>
      </c>
      <c r="B603" s="3" t="s">
        <v>604</v>
      </c>
      <c r="C603" s="3" t="str">
        <f>IFERROR(__xludf.DUMMYFUNCTION("GOOGLETRANSLATE(B603,""id"",""en"")"),"['users',' Telkomsel ',' here ',' network ',' difficult ',' yaa ',' then ',' package ',' expensive ',' until ',' card ',' Telkomsel ',' people ',' rich ',' thank you ']")</f>
        <v>['users',' Telkomsel ',' here ',' network ',' difficult ',' yaa ',' then ',' package ',' expensive ',' until ',' card ',' Telkomsel ',' people ',' rich ',' thank you ']</v>
      </c>
      <c r="D603" s="3">
        <v>3.0</v>
      </c>
    </row>
    <row r="604" ht="15.75" customHeight="1">
      <c r="A604" s="1">
        <v>602.0</v>
      </c>
      <c r="B604" s="3" t="s">
        <v>605</v>
      </c>
      <c r="C604" s="3" t="str">
        <f>IFERROR(__xludf.DUMMYFUNCTION("GOOGLETRANSLATE(B604,""id"",""en"")"),"['Telkomsel', 'Hack', 'Login', 'The application', 'Web', 'Update', 'The result', 'Please', 'Fix', 'era', 'already', 'modern', ' slow ',' replace ',' person ',' responsible ',' work ',' Becus', 'hehehe']")</f>
        <v>['Telkomsel', 'Hack', 'Login', 'The application', 'Web', 'Update', 'The result', 'Please', 'Fix', 'era', 'already', 'modern', ' slow ',' replace ',' person ',' responsible ',' work ',' Becus', 'hehehe']</v>
      </c>
      <c r="D604" s="3">
        <v>5.0</v>
      </c>
    </row>
    <row r="605" ht="15.75" customHeight="1">
      <c r="A605" s="1">
        <v>603.0</v>
      </c>
      <c r="B605" s="3" t="s">
        <v>606</v>
      </c>
      <c r="C605" s="3" t="str">
        <f>IFERROR(__xludf.DUMMYFUNCTION("GOOGLETRANSLATE(B605,""id"",""en"")"),"['Credit', 'Reduced', 'Information', 'Application', 'lag', 'HRS', 'Many', 'Verification', 'Enter', 'Login', 'PDAH', 'Come', ' Performance ',' Telkomsel ',' Customer ',' ']")</f>
        <v>['Credit', 'Reduced', 'Information', 'Application', 'lag', 'HRS', 'Many', 'Verification', 'Enter', 'Login', 'PDAH', 'Come', ' Performance ',' Telkomsel ',' Customer ',' ']</v>
      </c>
      <c r="D605" s="3">
        <v>1.0</v>
      </c>
    </row>
    <row r="606" ht="15.75" customHeight="1">
      <c r="A606" s="1">
        <v>604.0</v>
      </c>
      <c r="B606" s="3" t="s">
        <v>607</v>
      </c>
      <c r="C606" s="3" t="str">
        <f>IFERROR(__xludf.DUMMYFUNCTION("GOOGLETRANSLATE(B606,""id"",""en"")"),"['Please', 'Fix', 'System', 'Turn on', 'Data', 'Credit', 'Kumpot', 'Kouta', 'internet', 'Low', 'Quality', ""]")</f>
        <v>['Please', 'Fix', 'System', 'Turn on', 'Data', 'Credit', 'Kumpot', 'Kouta', 'internet', 'Low', 'Quality', "]</v>
      </c>
      <c r="D606" s="3">
        <v>1.0</v>
      </c>
    </row>
    <row r="607" ht="15.75" customHeight="1">
      <c r="A607" s="1">
        <v>605.0</v>
      </c>
      <c r="B607" s="3" t="s">
        <v>608</v>
      </c>
      <c r="C607" s="3" t="str">
        <f>IFERROR(__xludf.DUMMYFUNCTION("GOOGLETRANSLATE(B607,""id"",""en"")"),"['Login', 'UDH', 'Try', 'Many', 'Times',' Click ',' Link ',' Verification ',' Process', 'Troooss',' Failed ',' Validation ',' Code ',' fast ',' application ',' slow ',' ']")</f>
        <v>['Login', 'UDH', 'Try', 'Many', 'Times',' Click ',' Link ',' Verification ',' Process', 'Troooss',' Failed ',' Validation ',' Code ',' fast ',' application ',' slow ',' ']</v>
      </c>
      <c r="D607" s="3">
        <v>1.0</v>
      </c>
    </row>
    <row r="608" ht="15.75" customHeight="1">
      <c r="A608" s="1">
        <v>606.0</v>
      </c>
      <c r="B608" s="3" t="s">
        <v>609</v>
      </c>
      <c r="C608" s="3" t="str">
        <f>IFERROR(__xludf.DUMMYFUNCTION("GOOGLETRANSLATE(B608,""id"",""en"")"),"['chaotic', 'Telkomsel', 'charging', 'reset', 'pulse', 'no', 'week', 'grace', 'extension', 'active', 'charging', 'reset', ' Enchant ',' Telkomsel ',' ']")</f>
        <v>['chaotic', 'Telkomsel', 'charging', 'reset', 'pulse', 'no', 'week', 'grace', 'extension', 'active', 'charging', 'reset', ' Enchant ',' Telkomsel ',' ']</v>
      </c>
      <c r="D608" s="3">
        <v>1.0</v>
      </c>
    </row>
    <row r="609" ht="15.75" customHeight="1">
      <c r="A609" s="1">
        <v>607.0</v>
      </c>
      <c r="B609" s="3" t="s">
        <v>610</v>
      </c>
      <c r="C609" s="3" t="str">
        <f>IFERROR(__xludf.DUMMYFUNCTION("GOOGLETRANSLATE(B609,""id"",""en"")"),"['Network', 'bad', 'morning', 'noon', 'night', 'bad', 'try', 'contact', 'via', 'application', 'mytelkomsel', 'change', ' slow ',' response ',' slow ',' severe ',' network ',' complaint ',' ']")</f>
        <v>['Network', 'bad', 'morning', 'noon', 'night', 'bad', 'try', 'contact', 'via', 'application', 'mytelkomsel', 'change', ' slow ',' response ',' slow ',' severe ',' network ',' complaint ',' ']</v>
      </c>
      <c r="D609" s="3">
        <v>1.0</v>
      </c>
    </row>
    <row r="610" ht="15.75" customHeight="1">
      <c r="A610" s="1">
        <v>608.0</v>
      </c>
      <c r="B610" s="3" t="s">
        <v>611</v>
      </c>
      <c r="C610" s="3" t="str">
        <f>IFERROR(__xludf.DUMMYFUNCTION("GOOGLETRANSLATE(B610,""id"",""en"")"),"['Telkomsel', 'Dear', 'Please', 'Network', 'repair', 'Network', 'Telkomsel', 'Capital', 'ugly', 'really', 'good', 'network', ' Price ',' Package ',' Data ',' Telkomsel ',' Not bad ',' Drain ',' Pouch ',' Region ',' Greenbay ',' Jakut ',' Please ',' Networ"&amp;"k ',' fix ' ]")</f>
        <v>['Telkomsel', 'Dear', 'Please', 'Network', 'repair', 'Network', 'Telkomsel', 'Capital', 'ugly', 'really', 'good', 'network', ' Price ',' Package ',' Data ',' Telkomsel ',' Not bad ',' Drain ',' Pouch ',' Region ',' Greenbay ',' Jakut ',' Please ',' Network ',' fix ' ]</v>
      </c>
      <c r="D610" s="3">
        <v>1.0</v>
      </c>
    </row>
    <row r="611" ht="15.75" customHeight="1">
      <c r="A611" s="1">
        <v>609.0</v>
      </c>
      <c r="B611" s="3" t="s">
        <v>612</v>
      </c>
      <c r="C611" s="3" t="str">
        <f>IFERROR(__xludf.DUMMYFUNCTION("GOOGLETRANSLATE(B611,""id"",""en"")"),"['use', 'Telkomsel', 'package', 'internet', 'cheap', 'please', 'mytelkomsel', 'sya', 'want', 'package', 'cheap', 'user', ' network ',' good ',' package ',' run out ',' lost ',' because ',' falter ',' finished ',' package ',' first ',' list ',' used ',' fi"&amp;"rst ' , 'used', 'first', 'run out', 'package', 'validated', 'list', 'package', 'run out', 'bkn', 'because', 'use', ' validity ',' run out ',' Kasian ']")</f>
        <v>['use', 'Telkomsel', 'package', 'internet', 'cheap', 'please', 'mytelkomsel', 'sya', 'want', 'package', 'cheap', 'user', ' network ',' good ',' package ',' run out ',' lost ',' because ',' falter ',' finished ',' package ',' first ',' list ',' used ',' first ' , 'used', 'first', 'run out', 'package', 'validated', 'list', 'package', 'run out', 'bkn', 'because', 'use', ' validity ',' run out ',' Kasian ']</v>
      </c>
      <c r="D611" s="3">
        <v>2.0</v>
      </c>
    </row>
    <row r="612" ht="15.75" customHeight="1">
      <c r="A612" s="1">
        <v>610.0</v>
      </c>
      <c r="B612" s="3" t="s">
        <v>613</v>
      </c>
      <c r="C612" s="3" t="str">
        <f>IFERROR(__xludf.DUMMYFUNCTION("GOOGLETRANSLATE(B612,""id"",""en"")"),"['Pakat', 'Call', 'Satisfied', 'a month', 'Price', 'thousand', 'Please', 'Strengthen', 'Network', 'Internet', 'Region', 'Plus',' TRIMS ',' Telkomsel ']")</f>
        <v>['Pakat', 'Call', 'Satisfied', 'a month', 'Price', 'thousand', 'Please', 'Strengthen', 'Network', 'Internet', 'Region', 'Plus',' TRIMS ',' Telkomsel ']</v>
      </c>
      <c r="D612" s="3">
        <v>5.0</v>
      </c>
    </row>
    <row r="613" ht="15.75" customHeight="1">
      <c r="A613" s="1">
        <v>611.0</v>
      </c>
      <c r="B613" s="3" t="s">
        <v>614</v>
      </c>
      <c r="C613" s="3" t="str">
        <f>IFERROR(__xludf.DUMMYFUNCTION("GOOGLETRANSLATE(B613,""id"",""en"")"),"['Telkomsel', 'promo', 'package', 'difficult', 'activated', 'yesterday', 'activated', 'package', 'responded', '']")</f>
        <v>['Telkomsel', 'promo', 'package', 'difficult', 'activated', 'yesterday', 'activated', 'package', 'responded', '']</v>
      </c>
      <c r="D613" s="3">
        <v>1.0</v>
      </c>
    </row>
    <row r="614" ht="15.75" customHeight="1">
      <c r="A614" s="1">
        <v>612.0</v>
      </c>
      <c r="B614" s="3" t="s">
        <v>615</v>
      </c>
      <c r="C614" s="3" t="str">
        <f>IFERROR(__xludf.DUMMYFUNCTION("GOOGLETRANSLATE(B614,""id"",""en"")"),"['Disappointed', 'Network', 'Telkomsel', 'Quota', 'Signal', 'Full', 'Slow', 'Forgiveness',' Open ',' Instagram ',' Facebook ',' Leet ',' YouTube ',' Game ',' Current ']")</f>
        <v>['Disappointed', 'Network', 'Telkomsel', 'Quota', 'Signal', 'Full', 'Slow', 'Forgiveness',' Open ',' Instagram ',' Facebook ',' Leet ',' YouTube ',' Game ',' Current ']</v>
      </c>
      <c r="D614" s="3">
        <v>1.0</v>
      </c>
    </row>
    <row r="615" ht="15.75" customHeight="1">
      <c r="A615" s="1">
        <v>613.0</v>
      </c>
      <c r="B615" s="3" t="s">
        <v>616</v>
      </c>
      <c r="C615" s="3" t="str">
        <f>IFERROR(__xludf.DUMMYFUNCTION("GOOGLETRANSLATE(B615,""id"",""en"")"),"['Woyy', 'pigiii', 'cave', 'buy', 'quota', 'expensive', 'masi', 'lagg', 'signal', 'gabisa', 'penguka', 'really', ' kek ',' active ',' quota ',' cave ',' abis', 'benerin', 'napaaa', 'ppkm', 'again', 'emang', 'search', 'money', 'easy' , 'Ngertiin', 'ngeta',"&amp;" 'siiiiii', 'aspeted', 'lined', 'anjjjjjjjjjjjjjjj', 'quota', 'cave', 'abisss', 'kebaliiiiii', '']")</f>
        <v>['Woyy', 'pigiii', 'cave', 'buy', 'quota', 'expensive', 'masi', 'lagg', 'signal', 'gabisa', 'penguka', 'really', ' kek ',' active ',' quota ',' cave ',' abis', 'benerin', 'napaaa', 'ppkm', 'again', 'emang', 'search', 'money', 'easy' , 'Ngertiin', 'ngeta', 'siiiiii', 'aspeted', 'lined', 'anjjjjjjjjjjjjjjj', 'quota', 'cave', 'abisss', 'kebaliiiiii', '']</v>
      </c>
      <c r="D615" s="3">
        <v>1.0</v>
      </c>
    </row>
    <row r="616" ht="15.75" customHeight="1">
      <c r="A616" s="1">
        <v>614.0</v>
      </c>
      <c r="B616" s="3" t="s">
        <v>617</v>
      </c>
      <c r="C616" s="3" t="str">
        <f>IFERROR(__xludf.DUMMYFUNCTION("GOOGLETRANSLATE(B616,""id"",""en"")"),"['Network', 'Telkomsel', 'in front', 'steady', 'Increases',' Hopefully ',' Success', 'Handful', 'Banten', 'Network', 'Mantap', 'User', ' Telkomsel ',' please ',' given ',' bonus', 'quota', 'application', 'Telkomsel', 'card', 'bonus',' quota ']")</f>
        <v>['Network', 'Telkomsel', 'in front', 'steady', 'Increases',' Hopefully ',' Success', 'Handful', 'Banten', 'Network', 'Mantap', 'User', ' Telkomsel ',' please ',' given ',' bonus', 'quota', 'application', 'Telkomsel', 'card', 'bonus',' quota ']</v>
      </c>
      <c r="D616" s="3">
        <v>5.0</v>
      </c>
    </row>
    <row r="617" ht="15.75" customHeight="1">
      <c r="A617" s="1">
        <v>615.0</v>
      </c>
      <c r="B617" s="3" t="s">
        <v>618</v>
      </c>
      <c r="C617" s="3" t="str">
        <f>IFERROR(__xludf.DUMMYFUNCTION("GOOGLETRANSLATE(B617,""id"",""en"")"),"['Disappointed', 'Very', 'Cut', 'Credit', 'Confirm', 'Package', 'Out', 'Minutes',' Use ',' Internet ',' Already ',' Credit ',' finished', '']")</f>
        <v>['Disappointed', 'Very', 'Cut', 'Credit', 'Confirm', 'Package', 'Out', 'Minutes',' Use ',' Internet ',' Already ',' Credit ',' finished', '']</v>
      </c>
      <c r="D617" s="3">
        <v>1.0</v>
      </c>
    </row>
    <row r="618" ht="15.75" customHeight="1">
      <c r="A618" s="1">
        <v>616.0</v>
      </c>
      <c r="B618" s="3" t="s">
        <v>619</v>
      </c>
      <c r="C618" s="3" t="str">
        <f>IFERROR(__xludf.DUMMYFUNCTION("GOOGLETRANSLATE(B618,""id"",""en"")"),"['Good', 'setabilia', 'slow', 'net', 'love', 'star', 'star', 'love', 'star', ""]")</f>
        <v>['Good', 'setabilia', 'slow', 'net', 'love', 'star', 'star', 'love', 'star', "]</v>
      </c>
      <c r="D618" s="3">
        <v>1.0</v>
      </c>
    </row>
    <row r="619" ht="15.75" customHeight="1">
      <c r="A619" s="1">
        <v>617.0</v>
      </c>
      <c r="B619" s="3" t="s">
        <v>620</v>
      </c>
      <c r="C619" s="3" t="str">
        <f>IFERROR(__xludf.DUMMYFUNCTION("GOOGLETRANSLATE(B619,""id"",""en"")"),"['great', 'week', 'already', 'buy', 'quota', 'application', 'Bill', 'payment', 'increase', 'quota', 'entry', 'contact', ' Call ',' Center ',' Improvement ',' System ',' System ',' Damaged ',' Customer ',' Loss', 'That's',' Solution ',' Loss', 'Addition', "&amp;"'Bill' , 'quota', 'enter', 'week', 'repairs',' system ',' many ',' times', 'how', 'maintance', 'rich', 'scoted', 'his name', ' ']")</f>
        <v>['great', 'week', 'already', 'buy', 'quota', 'application', 'Bill', 'payment', 'increase', 'quota', 'entry', 'contact', ' Call ',' Center ',' Improvement ',' System ',' System ',' Damaged ',' Customer ',' Loss', 'That's',' Solution ',' Loss', 'Addition', 'Bill' , 'quota', 'enter', 'week', 'repairs',' system ',' many ',' times', 'how', 'maintance', 'rich', 'scoted', 'his name', ' ']</v>
      </c>
      <c r="D619" s="3">
        <v>1.0</v>
      </c>
    </row>
    <row r="620" ht="15.75" customHeight="1">
      <c r="A620" s="1">
        <v>618.0</v>
      </c>
      <c r="B620" s="3" t="s">
        <v>621</v>
      </c>
      <c r="C620" s="3" t="str">
        <f>IFERROR(__xludf.DUMMYFUNCTION("GOOGLETRANSLATE(B620,""id"",""en"")"),"['Bloon', 'Network', 'Gitu' Gitu ',' Disturbed ',' It's ',' That's ',' Point ',' Tukerin ',' Package ',' Buy ',' Credit ',' his name ',' point ',' free ',' buy ',' package ',' point ',' money ',' real ',' disturbed ',' oath ',' network ',' ilang ',' cave "&amp;"' , 'life', 'city']")</f>
        <v>['Bloon', 'Network', 'Gitu' Gitu ',' Disturbed ',' It's ',' That's ',' Point ',' Tukerin ',' Package ',' Buy ',' Credit ',' his name ',' point ',' free ',' buy ',' package ',' point ',' money ',' real ',' disturbed ',' oath ',' network ',' ilang ',' cave ' , 'life', 'city']</v>
      </c>
      <c r="D620" s="3">
        <v>2.0</v>
      </c>
    </row>
    <row r="621" ht="15.75" customHeight="1">
      <c r="A621" s="1">
        <v>619.0</v>
      </c>
      <c r="B621" s="3" t="s">
        <v>622</v>
      </c>
      <c r="C621" s="3" t="str">
        <f>IFERROR(__xludf.DUMMYFUNCTION("GOOGLETRANSLATE(B621,""id"",""en"")"),"['Severe', 'malem', 'signal', 'stable', 'really', 'until', 'missing', 'network', 'region', 'solid', 'resident', 'trouble', ' network ',' missing ']")</f>
        <v>['Severe', 'malem', 'signal', 'stable', 'really', 'until', 'missing', 'network', 'region', 'solid', 'resident', 'trouble', ' network ',' missing ']</v>
      </c>
      <c r="D621" s="3">
        <v>1.0</v>
      </c>
    </row>
    <row r="622" ht="15.75" customHeight="1">
      <c r="A622" s="1">
        <v>620.0</v>
      </c>
      <c r="B622" s="3" t="s">
        <v>623</v>
      </c>
      <c r="C622" s="3" t="str">
        <f>IFERROR(__xludf.DUMMYFUNCTION("GOOGLETRANSLATE(B622,""id"",""en"")"),"['garbage', 'tariff', 'price', 'here', 'quality', 'network', 'improvement', 'application', 'mytelkomsel', 'error', 'access', 'daily']")</f>
        <v>['garbage', 'tariff', 'price', 'here', 'quality', 'network', 'improvement', 'application', 'mytelkomsel', 'error', 'access', 'daily']</v>
      </c>
      <c r="D622" s="3">
        <v>1.0</v>
      </c>
    </row>
    <row r="623" ht="15.75" customHeight="1">
      <c r="A623" s="1">
        <v>621.0</v>
      </c>
      <c r="B623" s="3" t="s">
        <v>624</v>
      </c>
      <c r="C623" s="3" t="str">
        <f>IFERROR(__xludf.DUMMYFUNCTION("GOOGLETRANSLATE(B623,""id"",""en"")"),"['number', 'originated', 'flexi', 'koq', 'menu', 'package', 'data', 'NMR', 'package', 'internet', 'magic', 'GB', ' Danak ',' cheap ',' GB ',' Why ',' ']")</f>
        <v>['number', 'originated', 'flexi', 'koq', 'menu', 'package', 'data', 'NMR', 'package', 'internet', 'magic', 'GB', ' Danak ',' cheap ',' GB ',' Why ',' ']</v>
      </c>
      <c r="D623" s="3">
        <v>1.0</v>
      </c>
    </row>
    <row r="624" ht="15.75" customHeight="1">
      <c r="A624" s="1">
        <v>622.0</v>
      </c>
      <c r="B624" s="3" t="s">
        <v>625</v>
      </c>
      <c r="C624" s="3" t="str">
        <f>IFERROR(__xludf.DUMMYFUNCTION("GOOGLETRANSLATE(B624,""id"",""en"")"),"['Price', 'package', 'Ride', 'PPKM', 'Telkomsel', 'Search', 'Look', 'See', 'Situation', 'Community', 'Telkomsel', 'expensive', ' ']")</f>
        <v>['Price', 'package', 'Ride', 'PPKM', 'Telkomsel', 'Search', 'Look', 'See', 'Situation', 'Community', 'Telkomsel', 'expensive', ' ']</v>
      </c>
      <c r="D624" s="3">
        <v>1.0</v>
      </c>
    </row>
    <row r="625" ht="15.75" customHeight="1">
      <c r="A625" s="1">
        <v>623.0</v>
      </c>
      <c r="B625" s="3" t="s">
        <v>626</v>
      </c>
      <c r="C625" s="3" t="str">
        <f>IFERROR(__xludf.DUMMYFUNCTION("GOOGLETRANSLATE(B625,""id"",""en"")"),"['Telkomsel', 'Lampung', 'city', 'Bandar', 'Lampung', 'in the city', 'signal', 'bad', 'connection', 'stable', 'price', 'expensive', ' Switch ',' Wear ',' Telkomsel ',' Lampung ',' Lampung ',' Disappointed ',' Since ',' Damage ',' The Center ',' Connection"&amp;" ',' Internet ',' Fast ',' Bad ' , 'Greetings', 'Lampung', 'City', 'Bandar', 'Lampung', 'Disappointed', ""]")</f>
        <v>['Telkomsel', 'Lampung', 'city', 'Bandar', 'Lampung', 'in the city', 'signal', 'bad', 'connection', 'stable', 'price', 'expensive', ' Switch ',' Wear ',' Telkomsel ',' Lampung ',' Lampung ',' Disappointed ',' Since ',' Damage ',' The Center ',' Connection ',' Internet ',' Fast ',' Bad ' , 'Greetings', 'Lampung', 'City', 'Bandar', 'Lampung', 'Disappointed', "]</v>
      </c>
      <c r="D625" s="3">
        <v>1.0</v>
      </c>
    </row>
    <row r="626" ht="15.75" customHeight="1">
      <c r="A626" s="1">
        <v>624.0</v>
      </c>
      <c r="B626" s="3" t="s">
        <v>627</v>
      </c>
      <c r="C626" s="3" t="str">
        <f>IFERROR(__xludf.DUMMYFUNCTION("GOOGLETRANSLATE(B626,""id"",""en"")"),"['please', 'provider', 'service', 'maximum', 'pandemic', 'person', 'need', 'network', 'stable', 'buy', 'expensive', 'expensive', ' Package ',' little ',' little ',' network ',' ilang ',' ']")</f>
        <v>['please', 'provider', 'service', 'maximum', 'pandemic', 'person', 'need', 'network', 'stable', 'buy', 'expensive', 'expensive', ' Package ',' little ',' little ',' network ',' ilang ',' ']</v>
      </c>
      <c r="D626" s="3">
        <v>1.0</v>
      </c>
    </row>
    <row r="627" ht="15.75" customHeight="1">
      <c r="A627" s="1">
        <v>625.0</v>
      </c>
      <c r="B627" s="3" t="s">
        <v>628</v>
      </c>
      <c r="C627" s="3" t="str">
        <f>IFERROR(__xludf.DUMMYFUNCTION("GOOGLETRANSLATE(B627,""id"",""en"")"),"['Telkomsel', 'Skrng', 'Telkomsel', 'DLU', 'Network', 'Severe', 'Trops',' Coc ',' Down ',' Lost ',' Connect ',' The Network ',' Stable ',' PDAH ',' HAPE ',' LIVING ',' Region ',' Depok ']")</f>
        <v>['Telkomsel', 'Skrng', 'Telkomsel', 'DLU', 'Network', 'Severe', 'Trops',' Coc ',' Down ',' Lost ',' Connect ',' The Network ',' Stable ',' PDAH ',' HAPE ',' LIVING ',' Region ',' Depok ']</v>
      </c>
      <c r="D627" s="3">
        <v>1.0</v>
      </c>
    </row>
    <row r="628" ht="15.75" customHeight="1">
      <c r="A628" s="1">
        <v>626.0</v>
      </c>
      <c r="B628" s="3" t="s">
        <v>629</v>
      </c>
      <c r="C628" s="3" t="str">
        <f>IFERROR(__xludf.DUMMYFUNCTION("GOOGLETRANSLATE(B628,""id"",""en"")"),"['application', 'cheats',' user ',' loyal ',' Telkomsel ',' promo ',' cheats', 'example', 'maxstream', 'pulse', 'replaced', 'package', ' MaxStream ',' Buffering ',' Buffering ',' Morning ',' noon ',' night ',' disgust ',' really ',' Look ',' Telkomsel ','"&amp;" Semenasi ',' promote ',' promo ' , 'promo', 'disgusting', 'name', 'steal', 'money', 'customer', 'disgust', 'hope', 'eat', 'money', 'customer', 'cheat', ' Reply ',' Lord ', ""]")</f>
        <v>['application', 'cheats',' user ',' loyal ',' Telkomsel ',' promo ',' cheats', 'example', 'maxstream', 'pulse', 'replaced', 'package', ' MaxStream ',' Buffering ',' Buffering ',' Morning ',' noon ',' night ',' disgust ',' really ',' Look ',' Telkomsel ',' Semenasi ',' promote ',' promo ' , 'promo', 'disgusting', 'name', 'steal', 'money', 'customer', 'disgust', 'hope', 'eat', 'money', 'customer', 'cheat', ' Reply ',' Lord ', "]</v>
      </c>
      <c r="D628" s="3">
        <v>1.0</v>
      </c>
    </row>
    <row r="629" ht="15.75" customHeight="1">
      <c r="A629" s="1">
        <v>627.0</v>
      </c>
      <c r="B629" s="3" t="s">
        <v>630</v>
      </c>
      <c r="C629" s="3" t="str">
        <f>IFERROR(__xludf.DUMMYFUNCTION("GOOGLETRANSLATE(B629,""id"",""en"")"),"['Please', 'respect', 'please', 'System', 'Management', 'Telkomsel', 'repaired', 'evaluated', 'maximum', 'pity', 'person', 'old' Fill ',' Credit ',' Out ',' Sumpot ',' Dri ',' Extension ',' Package ',' Internet ',' Credit ',' Emergency ',' People ',' Old "&amp;"',' Borrow ' , 'minjam', 'pulse', 'buy', 'package', 'internet', 'person', 'old', 'sms',' telephone ',' pulse ',' sumps', 'extension', ' Package ',' internet ',' pulse ',' emergency ',' haduhhh ']")</f>
        <v>['Please', 'respect', 'please', 'System', 'Management', 'Telkomsel', 'repaired', 'evaluated', 'maximum', 'pity', 'person', 'old' Fill ',' Credit ',' Out ',' Sumpot ',' Dri ',' Extension ',' Package ',' Internet ',' Credit ',' Emergency ',' People ',' Old ',' Borrow ' , 'minjam', 'pulse', 'buy', 'package', 'internet', 'person', 'old', 'sms',' telephone ',' pulse ',' sumps', 'extension', ' Package ',' internet ',' pulse ',' emergency ',' haduhhh ']</v>
      </c>
      <c r="D629" s="3">
        <v>1.0</v>
      </c>
    </row>
    <row r="630" ht="15.75" customHeight="1">
      <c r="A630" s="1">
        <v>628.0</v>
      </c>
      <c r="B630" s="3" t="s">
        <v>631</v>
      </c>
      <c r="C630" s="3" t="str">
        <f>IFERROR(__xludf.DUMMYFUNCTION("GOOGLETRANSLATE(B630,""id"",""en"")"),"['Please', 'Fix', 'Speed', 'Network', 'Open', 'Application', 'MyTelkomsel', 'Need', 'Belli', 'Quota', 'MyTelkomsel', 'Loading', ' Forgiveness', 'Please', 'Fix', '']")</f>
        <v>['Please', 'Fix', 'Speed', 'Network', 'Open', 'Application', 'MyTelkomsel', 'Need', 'Belli', 'Quota', 'MyTelkomsel', 'Loading', ' Forgiveness', 'Please', 'Fix', '']</v>
      </c>
      <c r="D630" s="3">
        <v>1.0</v>
      </c>
    </row>
    <row r="631" ht="15.75" customHeight="1">
      <c r="A631" s="1">
        <v>629.0</v>
      </c>
      <c r="B631" s="3" t="s">
        <v>632</v>
      </c>
      <c r="C631" s="3" t="str">
        <f>IFERROR(__xludf.DUMMYFUNCTION("GOOGLETRANSLATE(B631,""id"",""en"")"),"['Please', 'Telkomsel', 'Fix', 'Network', 'sincere', 'gave', 'quota', 'discounted', 'Mending', 'quota', 'discount', 'cheap', ' slow ',' forgiveness', 'data', 'dead', 'hope', 'Telkomsel', 'help', ""]")</f>
        <v>['Please', 'Telkomsel', 'Fix', 'Network', 'sincere', 'gave', 'quota', 'discounted', 'Mending', 'quota', 'discount', 'cheap', ' slow ',' forgiveness', 'data', 'dead', 'hope', 'Telkomsel', 'help', "]</v>
      </c>
      <c r="D631" s="3">
        <v>1.0</v>
      </c>
    </row>
    <row r="632" ht="15.75" customHeight="1">
      <c r="A632" s="1">
        <v>630.0</v>
      </c>
      <c r="B632" s="3" t="s">
        <v>633</v>
      </c>
      <c r="C632" s="3" t="str">
        <f>IFERROR(__xludf.DUMMYFUNCTION("GOOGLETRANSLATE(B632,""id"",""en"")"),"['I've saved', 'use', 'application', 'the application', 'opened', 'use', 'app', 'reinstall', 'opened', 'after', 'opened', 'please', ' His instructions']")</f>
        <v>['I've saved', 'use', 'application', 'the application', 'opened', 'use', 'app', 'reinstall', 'opened', 'after', 'opened', 'please', ' His instructions']</v>
      </c>
      <c r="D632" s="3">
        <v>3.0</v>
      </c>
    </row>
    <row r="633" ht="15.75" customHeight="1">
      <c r="A633" s="1">
        <v>631.0</v>
      </c>
      <c r="B633" s="3" t="s">
        <v>634</v>
      </c>
      <c r="C633" s="3" t="str">
        <f>IFERROR(__xludf.DUMMYFUNCTION("GOOGLETRANSLATE(B633,""id"",""en"")"),"['update', 'already', 'skrg', 'mnta', 'update', 'update', 'what', 'display', 'screen', 'white', 'anything', 'confused', ' ']")</f>
        <v>['update', 'already', 'skrg', 'mnta', 'update', 'update', 'what', 'display', 'screen', 'white', 'anything', 'confused', ' ']</v>
      </c>
      <c r="D633" s="3">
        <v>3.0</v>
      </c>
    </row>
    <row r="634" ht="15.75" customHeight="1">
      <c r="A634" s="1">
        <v>632.0</v>
      </c>
      <c r="B634" s="3" t="s">
        <v>635</v>
      </c>
      <c r="C634" s="3" t="str">
        <f>IFERROR(__xludf.DUMMYFUNCTION("GOOGLETRANSLATE(B634,""id"",""en"")"),"['expensive', 'doang', 'network', 'rotten', 'stay', 'Bogor', 'city', 'Jabodetabek', 'rotten', 'network', 'network', 'indo', ' ']")</f>
        <v>['expensive', 'doang', 'network', 'rotten', 'stay', 'Bogor', 'city', 'Jabodetabek', 'rotten', 'network', 'network', 'indo', ' ']</v>
      </c>
      <c r="D634" s="3">
        <v>1.0</v>
      </c>
    </row>
    <row r="635" ht="15.75" customHeight="1">
      <c r="A635" s="1">
        <v>633.0</v>
      </c>
      <c r="B635" s="3" t="s">
        <v>636</v>
      </c>
      <c r="C635" s="3" t="str">
        <f>IFERROR(__xludf.DUMMYFUNCTION("GOOGLETRANSLATE(B635,""id"",""en"")"),"['price', 'package', 'doang', 'expensive', 'sinyall', 'ugly', 'disappointed', 'really', 'network', 'really', 'ugly', 'maen', ' games', 'package', 'buy', 'buy', 'package', 'signal', 'delicious', ""]")</f>
        <v>['price', 'package', 'doang', 'expensive', 'sinyall', 'ugly', 'disappointed', 'really', 'network', 'really', 'ugly', 'maen', ' games', 'package', 'buy', 'buy', 'package', 'signal', 'delicious', "]</v>
      </c>
      <c r="D635" s="3">
        <v>1.0</v>
      </c>
    </row>
    <row r="636" ht="15.75" customHeight="1">
      <c r="A636" s="1">
        <v>634.0</v>
      </c>
      <c r="B636" s="3" t="s">
        <v>637</v>
      </c>
      <c r="C636" s="3" t="str">
        <f>IFERROR(__xludf.DUMMYFUNCTION("GOOGLETRANSLATE(B636,""id"",""en"")"),"['operator', 'expensive', 'tidk', 'satisfying', 'kecipn', 'netting', 'kbps',' commercial ',' fikirkn ',' satisfaction ',' plumn ',' priority ',' KRTU ',' Class', 'Gold', 'Paltinum', 'Krna', 'PMSIS', 'PULSA', 'MNCPAI', 'Sekrng', 'Sorry', 'Opertor', 'AGP', "&amp;"'Trash' , 'chat', 'nntn', 'ytb', 'quality', 'vidio', 'open', 'sttus',' game ',' mode ',' signal ',' full ',' access', ' slow ',' try ',' mode ',' AGK ',' Lumyan ',' a little ',' battery ',' fast ',' abis', 'essence', 'cell', 'skrg', 'bad' , 'all', 'OPERTO"&amp;"R']")</f>
        <v>['operator', 'expensive', 'tidk', 'satisfying', 'kecipn', 'netting', 'kbps',' commercial ',' fikirkn ',' satisfaction ',' plumn ',' priority ',' KRTU ',' Class', 'Gold', 'Paltinum', 'Krna', 'PMSIS', 'PULSA', 'MNCPAI', 'Sekrng', 'Sorry', 'Opertor', 'AGP', 'Trash' , 'chat', 'nntn', 'ytb', 'quality', 'vidio', 'open', 'sttus',' game ',' mode ',' signal ',' full ',' access', ' slow ',' try ',' mode ',' AGK ',' Lumyan ',' a little ',' battery ',' fast ',' abis', 'essence', 'cell', 'skrg', 'bad' , 'all', 'OPERTOR']</v>
      </c>
      <c r="D636" s="3">
        <v>1.0</v>
      </c>
    </row>
    <row r="637" ht="15.75" customHeight="1">
      <c r="A637" s="1">
        <v>635.0</v>
      </c>
      <c r="B637" s="3" t="s">
        <v>638</v>
      </c>
      <c r="C637" s="3" t="str">
        <f>IFERROR(__xludf.DUMMYFUNCTION("GOOGLETRANSLATE(B637,""id"",""en"")"),"['use', 'Telkomsel', 'money', 'person', 'sorry', 'experienced', 'buy', 'pulse', 'rb', 'sumps',' data ',' die ',' debt ',' sumps', 'pulses',' buy ',' rb ']")</f>
        <v>['use', 'Telkomsel', 'money', 'person', 'sorry', 'experienced', 'buy', 'pulse', 'rb', 'sumps',' data ',' die ',' debt ',' sumps', 'pulses',' buy ',' rb ']</v>
      </c>
      <c r="D637" s="3">
        <v>1.0</v>
      </c>
    </row>
    <row r="638" ht="15.75" customHeight="1">
      <c r="A638" s="1">
        <v>636.0</v>
      </c>
      <c r="B638" s="3" t="s">
        <v>639</v>
      </c>
      <c r="C638" s="3" t="str">
        <f>IFERROR(__xludf.DUMMYFUNCTION("GOOGLETRANSLATE(B638,""id"",""en"")"),"['Quota', 'Out', 'HBIS', 'Cutting', 'Credit', 'Main', 'Comfortable', 'Except', 'On', 'Quota', 'Abis',' Blum ',' Abis', 'cut', 'pulse', 'main', 'honest', 'disappointed']")</f>
        <v>['Quota', 'Out', 'HBIS', 'Cutting', 'Credit', 'Main', 'Comfortable', 'Except', 'On', 'Quota', 'Abis',' Blum ',' Abis', 'cut', 'pulse', 'main', 'honest', 'disappointed']</v>
      </c>
      <c r="D638" s="3">
        <v>1.0</v>
      </c>
    </row>
    <row r="639" ht="15.75" customHeight="1">
      <c r="A639" s="1">
        <v>637.0</v>
      </c>
      <c r="B639" s="3" t="s">
        <v>640</v>
      </c>
      <c r="C639" s="3" t="str">
        <f>IFERROR(__xludf.DUMMYFUNCTION("GOOGLETRANSLATE(B639,""id"",""en"")"),"['please', 'quota', 'divided', 'quota', 'multimedia', 'so slow', 'slow', 'sampe', 'empty', 'buy', 'package', 'coakes',' yaaa ',' quota ',' internet ',' yaa ',' multimedia ',' cheek ',' dahlah ',' weve ',' satisfaction ',' to ',' customer ',' please ',' pa"&amp;"y attention ' , 'Review', 'Critical', 'Gini', 'Mending', 'Combo', 'Sakti', 'Distribution', 'Quota', 'Ngugugin', 'Customer', ""]")</f>
        <v>['please', 'quota', 'divided', 'quota', 'multimedia', 'so slow', 'slow', 'sampe', 'empty', 'buy', 'package', 'coakes',' yaaa ',' quota ',' internet ',' yaa ',' multimedia ',' cheek ',' dahlah ',' weve ',' satisfaction ',' to ',' customer ',' please ',' pay attention ' , 'Review', 'Critical', 'Gini', 'Mending', 'Combo', 'Sakti', 'Distribution', 'Quota', 'Ngugugin', 'Customer', "]</v>
      </c>
      <c r="D639" s="3">
        <v>1.0</v>
      </c>
    </row>
    <row r="640" ht="15.75" customHeight="1">
      <c r="A640" s="1">
        <v>638.0</v>
      </c>
      <c r="B640" s="3" t="s">
        <v>641</v>
      </c>
      <c r="C640" s="3" t="str">
        <f>IFERROR(__xludf.DUMMYFUNCTION("GOOGLETRANSLATE(B640,""id"",""en"")"),"['Please', 'Sorry', 'Mao', 'Network', 'Telkomsel', 'like', 'Ngeloading', 'Open', 'YouTube', 'quota', 'Sya', 'buy', ' package ',' price ',' thousand ',' darling ',' bnget ',' network ',' gini ', ""]")</f>
        <v>['Please', 'Sorry', 'Mao', 'Network', 'Telkomsel', 'like', 'Ngeloading', 'Open', 'YouTube', 'quota', 'Sya', 'buy', ' package ',' price ',' thousand ',' darling ',' bnget ',' network ',' gini ', "]</v>
      </c>
      <c r="D640" s="3">
        <v>1.0</v>
      </c>
    </row>
    <row r="641" ht="15.75" customHeight="1">
      <c r="A641" s="1">
        <v>639.0</v>
      </c>
      <c r="B641" s="3" t="s">
        <v>642</v>
      </c>
      <c r="C641" s="3" t="str">
        <f>IFERROR(__xludf.DUMMYFUNCTION("GOOGLETRANSLATE(B641,""id"",""en"")"),"['pls',' abisss', 'trs',' package ',' trs', 'strange', 'telkom', 'package', 'trs',' pls', 'brp', 'punnn', ' TERVEL ',' Fill ',' abisss', 'Telkom', 'crazy', 'times',' yaa ',' kmn ',' pls', 'intention', 'heart', 'backup', 'klw' , 'Package', 'Abis', '']")</f>
        <v>['pls',' abisss', 'trs',' package ',' trs', 'strange', 'telkom', 'package', 'trs',' pls', 'brp', 'punnn', ' TERVEL ',' Fill ',' abisss', 'Telkom', 'crazy', 'times',' yaa ',' kmn ',' pls', 'intention', 'heart', 'backup', 'klw' , 'Package', 'Abis', '']</v>
      </c>
      <c r="D641" s="3">
        <v>1.0</v>
      </c>
    </row>
    <row r="642" ht="15.75" customHeight="1">
      <c r="A642" s="1">
        <v>640.0</v>
      </c>
      <c r="B642" s="3" t="s">
        <v>643</v>
      </c>
      <c r="C642" s="3" t="str">
        <f>IFERROR(__xludf.DUMMYFUNCTION("GOOGLETRANSLATE(B642,""id"",""en"")"),"['Telkomsel', 'Klau', 'BSA', 'DNGERIN', 'complaints',' Customer ',' Mending ',' TTUP ',' dizziness', 'Klau', 'Urgent', 'Searching', ' Like ',' Nge ',' Lag ',' Lost ',' Sinyal ',' PDAVY ',' HOUSE ',' Forest ',' Outback ',' City ',' Sginu ',' City ',' Apalg"&amp;"i ' , 'Movers', 'SNA', ""]")</f>
        <v>['Telkomsel', 'Klau', 'BSA', 'DNGERIN', 'complaints',' Customer ',' Mending ',' TTUP ',' dizziness', 'Klau', 'Urgent', 'Searching', ' Like ',' Nge ',' Lag ',' Lost ',' Sinyal ',' PDAVY ',' HOUSE ',' Forest ',' Outback ',' City ',' Sginu ',' City ',' Apalgi ' , 'Movers', 'SNA', "]</v>
      </c>
      <c r="D642" s="3">
        <v>1.0</v>
      </c>
    </row>
    <row r="643" ht="15.75" customHeight="1">
      <c r="A643" s="1">
        <v>641.0</v>
      </c>
      <c r="B643" s="3" t="s">
        <v>644</v>
      </c>
      <c r="C643" s="3" t="str">
        <f>IFERROR(__xludf.DUMMYFUNCTION("GOOGLETRANSLATE(B643,""id"",""en"")"),"['tidk', 'satisfied', 'performance', 'second', 'sms',' enter ',' signal ',' slow ',' rain ',' package ',' all-round ',' expensive ',' info ',' orders', 'according to', 'message', 'have', 'pulse', 'safe', 'kalok', 'package', 'run out', 'direct', 'eat', 'pu"&amp;"lses' , 'info', 'package', 'run out', 'pulse', 'run out', 'appears', 'kalok', 'gini', 'move', 'direct', 'trmakasih', ""]")</f>
        <v>['tidk', 'satisfied', 'performance', 'second', 'sms',' enter ',' signal ',' slow ',' rain ',' package ',' all-round ',' expensive ',' info ',' orders', 'according to', 'message', 'have', 'pulse', 'safe', 'kalok', 'package', 'run out', 'direct', 'eat', 'pulses' , 'info', 'package', 'run out', 'pulse', 'run out', 'appears', 'kalok', 'gini', 'move', 'direct', 'trmakasih', "]</v>
      </c>
      <c r="D643" s="3">
        <v>1.0</v>
      </c>
    </row>
    <row r="644" ht="15.75" customHeight="1">
      <c r="A644" s="1">
        <v>642.0</v>
      </c>
      <c r="B644" s="3" t="s">
        <v>645</v>
      </c>
      <c r="C644" s="3" t="str">
        <f>IFERROR(__xludf.DUMMYFUNCTION("GOOGLETRANSLATE(B644,""id"",""en"")"),"['Good', 'lie', 'makain', 'slow', 'already', 'like', 'lose', 'neighbor', 'next door', '']")</f>
        <v>['Good', 'lie', 'makain', 'slow', 'already', 'like', 'lose', 'neighbor', 'next door', '']</v>
      </c>
      <c r="D644" s="3">
        <v>3.0</v>
      </c>
    </row>
    <row r="645" ht="15.75" customHeight="1">
      <c r="A645" s="1">
        <v>643.0</v>
      </c>
      <c r="B645" s="3" t="s">
        <v>646</v>
      </c>
      <c r="C645" s="3" t="str">
        <f>IFERROR(__xludf.DUMMYFUNCTION("GOOGLETRANSLATE(B645,""id"",""en"")"),"['Region', 'Pekanbaru', 'Telkomsel', 'Severe', 'The Network', 'Disconnect', 'Complaint', 'Repair', 'Sell', 'Private', 'Concerned', 'Service', ' customers', 'bright', 'good', 'use', 'network', 'waste', 'dlu', 'card', 'complaint', 'response', 'hub', 'mimin'"&amp;", 'System' , 'Check', 'Area', 'Trouble', 'date', 'July', 'Bener', 'Severe', '']")</f>
        <v>['Region', 'Pekanbaru', 'Telkomsel', 'Severe', 'The Network', 'Disconnect', 'Complaint', 'Repair', 'Sell', 'Private', 'Concerned', 'Service', ' customers', 'bright', 'good', 'use', 'network', 'waste', 'dlu', 'card', 'complaint', 'response', 'hub', 'mimin', 'System' , 'Check', 'Area', 'Trouble', 'date', 'July', 'Bener', 'Severe', '']</v>
      </c>
      <c r="D645" s="3">
        <v>1.0</v>
      </c>
    </row>
    <row r="646" ht="15.75" customHeight="1">
      <c r="A646" s="1">
        <v>644.0</v>
      </c>
      <c r="B646" s="3" t="s">
        <v>647</v>
      </c>
      <c r="C646" s="3" t="str">
        <f>IFERROR(__xludf.DUMMYFUNCTION("GOOGLETRANSLATE(B646,""id"",""en"")"),"['Min', 'please', 'sinya', 'fix', 'internet', 'tan', 'tiktok', 'sosmed', 'game', 'online', 'playful', 'login', ' Doang ',' Doang ',' see ',' emang ',' really ']")</f>
        <v>['Min', 'please', 'sinya', 'fix', 'internet', 'tan', 'tiktok', 'sosmed', 'game', 'online', 'playful', 'login', ' Doang ',' Doang ',' see ',' emang ',' really ']</v>
      </c>
      <c r="D646" s="3">
        <v>1.0</v>
      </c>
    </row>
    <row r="647" ht="15.75" customHeight="1">
      <c r="A647" s="1">
        <v>645.0</v>
      </c>
      <c r="B647" s="3" t="s">
        <v>648</v>
      </c>
      <c r="C647" s="3" t="str">
        <f>IFERROR(__xludf.DUMMYFUNCTION("GOOGLETRANSLATE(B647,""id"",""en"")"),"['Exchange', 'Points',' Dnnn ',' Quota ',' Telko ',' Mending ',' Taru ',' Exchange ',' Points', 'Dnn', 'Quota', 'Expensive', ' Skitr ',' Points', 'Dngn', 'Credit', 'Rb', 'Can', 'Quota', 'GB', 'Days',' Untung ',' Buy ',' Voucher ',' Need ' , 'Skitr', 'RB',"&amp;" 'GB', 'GB', 'Days',' PKE ',' Points', 'Please', 'Understand', 'Dnn', 'Org', 'Adjusted', ' right ',' poor ',' see ',' Points', 'Apain', 'hope', 'understand', 'CMA', 'Read', 'Thanks', ""]")</f>
        <v>['Exchange', 'Points',' Dnnn ',' Quota ',' Telko ',' Mending ',' Taru ',' Exchange ',' Points', 'Dnn', 'Quota', 'Expensive', ' Skitr ',' Points', 'Dngn', 'Credit', 'Rb', 'Can', 'Quota', 'GB', 'Days',' Untung ',' Buy ',' Voucher ',' Need ' , 'Skitr', 'RB', 'GB', 'GB', 'Days',' PKE ',' Points', 'Please', 'Understand', 'Dnn', 'Org', 'Adjusted', ' right ',' poor ',' see ',' Points', 'Apain', 'hope', 'understand', 'CMA', 'Read', 'Thanks', "]</v>
      </c>
      <c r="D647" s="3">
        <v>1.0</v>
      </c>
    </row>
    <row r="648" ht="15.75" customHeight="1">
      <c r="A648" s="1">
        <v>646.0</v>
      </c>
      <c r="B648" s="3" t="s">
        <v>649</v>
      </c>
      <c r="C648" s="3" t="str">
        <f>IFERROR(__xludf.DUMMYFUNCTION("GOOGLETRANSLATE(B648,""id"",""en"")"),"['Please', 'Assisted', 'Network', 'Region', 'Kecamatan', 'Kuripan', 'Regency', 'Barito', 'Kuala', 'Province', 'Kalimantan', 'South', ' network ',' internet ',' slow ',' thank ',' love ',' ']")</f>
        <v>['Please', 'Assisted', 'Network', 'Region', 'Kecamatan', 'Kuripan', 'Regency', 'Barito', 'Kuala', 'Province', 'Kalimantan', 'South', ' network ',' internet ',' slow ',' thank ',' love ',' ']</v>
      </c>
      <c r="D648" s="3">
        <v>3.0</v>
      </c>
    </row>
    <row r="649" ht="15.75" customHeight="1">
      <c r="A649" s="1">
        <v>647.0</v>
      </c>
      <c r="B649" s="3" t="s">
        <v>650</v>
      </c>
      <c r="C649" s="3" t="str">
        <f>IFERROR(__xludf.DUMMYFUNCTION("GOOGLETRANSLATE(B649,""id"",""en"")"),"['Please', 'min', 'bad', 'Telkomsel', 'junior high school', 'pakek', 'telkomsel', 'already', 'seven', 'the network', 'slow', 'like', ' Nastya ',' Please ',' Fix ',' Tetep ',' Kayak ',' Gini ',' Forced ',' Change ',' Card ']")</f>
        <v>['Please', 'min', 'bad', 'Telkomsel', 'junior high school', 'pakek', 'telkomsel', 'already', 'seven', 'the network', 'slow', 'like', ' Nastya ',' Please ',' Fix ',' Tetep ',' Kayak ',' Gini ',' Forced ',' Change ',' Card ']</v>
      </c>
      <c r="D649" s="3">
        <v>1.0</v>
      </c>
    </row>
    <row r="650" ht="15.75" customHeight="1">
      <c r="A650" s="1">
        <v>648.0</v>
      </c>
      <c r="B650" s="3" t="s">
        <v>651</v>
      </c>
      <c r="C650" s="3" t="str">
        <f>IFERROR(__xludf.DUMMYFUNCTION("GOOGLETRANSLATE(B650,""id"",""en"")"),"['Package', 'Pay', 'On', 'status',' subscribe ',' application ',' MyTelkomsel ',' activate ',' Package ',' Pay ',' subscribe ',' Package ',' MaxStream ',' status', 'subscribe', 'applied', 'MyTelkomsel', 'SMS', 'Notification', 'Telkomsel', 'Package', 'MaxS"&amp;"tream', 'Out', 'Activates',' Package ' , 'MaxStream', 'subscribe', 'Woiiii', 'Telkomsel', 'purpose', 'What', '']")</f>
        <v>['Package', 'Pay', 'On', 'status',' subscribe ',' application ',' MyTelkomsel ',' activate ',' Package ',' Pay ',' subscribe ',' Package ',' MaxStream ',' status', 'subscribe', 'applied', 'MyTelkomsel', 'SMS', 'Notification', 'Telkomsel', 'Package', 'MaxStream', 'Out', 'Activates',' Package ' , 'MaxStream', 'subscribe', 'Woiiii', 'Telkomsel', 'purpose', 'What', '']</v>
      </c>
      <c r="D650" s="3">
        <v>1.0</v>
      </c>
    </row>
    <row r="651" ht="15.75" customHeight="1">
      <c r="A651" s="1">
        <v>649.0</v>
      </c>
      <c r="B651" s="3" t="s">
        <v>652</v>
      </c>
      <c r="C651" s="3" t="str">
        <f>IFERROR(__xludf.DUMMYFUNCTION("GOOGLETRANSLATE(B651,""id"",""en"")"),"['Help', 'Star', 'Help', 'Telkomsel', 'Provide', 'Features',' Widget ',' Display ',' Remnant ',' Package ',' Use ',' Data ',' info ',' screen ',' main ',' gaperlu ',' open ',' apps', 'thank you', 'you']")</f>
        <v>['Help', 'Star', 'Help', 'Telkomsel', 'Provide', 'Features',' Widget ',' Display ',' Remnant ',' Package ',' Use ',' Data ',' info ',' screen ',' main ',' gaperlu ',' open ',' apps', 'thank you', 'you']</v>
      </c>
      <c r="D651" s="3">
        <v>4.0</v>
      </c>
    </row>
    <row r="652" ht="15.75" customHeight="1">
      <c r="A652" s="1">
        <v>650.0</v>
      </c>
      <c r="B652" s="3" t="s">
        <v>653</v>
      </c>
      <c r="C652" s="3" t="str">
        <f>IFERROR(__xludf.DUMMYFUNCTION("GOOGLETRANSLATE(B652,""id"",""en"")"),"['Application', 'BISQ', 'opened', 'Direct', 'Link', 'Paketan', 'Yesterday', 'GB', 'Credit', 'Out', 'Data', 'Turned', ' good ',' felt ',' ']")</f>
        <v>['Application', 'BISQ', 'opened', 'Direct', 'Link', 'Paketan', 'Yesterday', 'GB', 'Credit', 'Out', 'Data', 'Turned', ' good ',' felt ',' ']</v>
      </c>
      <c r="D652" s="3">
        <v>2.0</v>
      </c>
    </row>
    <row r="653" ht="15.75" customHeight="1">
      <c r="A653" s="1">
        <v>651.0</v>
      </c>
      <c r="B653" s="3" t="s">
        <v>654</v>
      </c>
      <c r="C653" s="3" t="str">
        <f>IFERROR(__xludf.DUMMYFUNCTION("GOOGLETRANSLATE(B653,""id"",""en"")"),"['times',' open ',' app ',' buy ',' quota ',' disorder ',' brewil ',' buy ',' network ',' slow ',' forgiveness', 'uda', ' expensive ',' slow ',' ']")</f>
        <v>['times',' open ',' app ',' buy ',' quota ',' disorder ',' brewil ',' buy ',' network ',' slow ',' forgiveness', 'uda', ' expensive ',' slow ',' ']</v>
      </c>
      <c r="D653" s="3">
        <v>1.0</v>
      </c>
    </row>
    <row r="654" ht="15.75" customHeight="1">
      <c r="A654" s="1">
        <v>652.0</v>
      </c>
      <c r="B654" s="3" t="s">
        <v>655</v>
      </c>
      <c r="C654" s="3" t="str">
        <f>IFERROR(__xludf.DUMMYFUNCTION("GOOGLETRANSLATE(B654,""id"",""en"")"),"['Aduuh', 'Kenpa', 'package', 'internet', 'expensive', 'promo', 'missing', 'good', 'good', 'application', 'pules',' chick ',' Peket ',' internet ',' ']")</f>
        <v>['Aduuh', 'Kenpa', 'package', 'internet', 'expensive', 'promo', 'missing', 'good', 'good', 'application', 'pules',' chick ',' Peket ',' internet ',' ']</v>
      </c>
      <c r="D654" s="3">
        <v>1.0</v>
      </c>
    </row>
    <row r="655" ht="15.75" customHeight="1">
      <c r="A655" s="1">
        <v>653.0</v>
      </c>
      <c r="B655" s="3" t="s">
        <v>656</v>
      </c>
      <c r="C655" s="3" t="str">
        <f>IFERROR(__xludf.DUMMYFUNCTION("GOOGLETRANSLATE(B655,""id"",""en"")"),"['Horrified', 'buy', 'GB', 'thousand', 'morning', 'clock', 'night', 'run out', 'reply', 'chatt', 'send', 'report', ' Group ',' pulse ',' inedible ',' thousand ',' hahhaa ',' Move ', ""]")</f>
        <v>['Horrified', 'buy', 'GB', 'thousand', 'morning', 'clock', 'night', 'run out', 'reply', 'chatt', 'send', 'report', ' Group ',' pulse ',' inedible ',' thousand ',' hahhaa ',' Move ', "]</v>
      </c>
      <c r="D655" s="3">
        <v>1.0</v>
      </c>
    </row>
    <row r="656" ht="15.75" customHeight="1">
      <c r="A656" s="1">
        <v>654.0</v>
      </c>
      <c r="B656" s="3" t="s">
        <v>657</v>
      </c>
      <c r="C656" s="3" t="str">
        <f>IFERROR(__xludf.DUMMYFUNCTION("GOOGLETRANSLATE(B656,""id"",""en"")"),"['Merugi', 'really', 'contents',' pulse ',' thousand ',' activated ',' package ',' daily ',' use ',' contents', 'pulse', 'search', ' Having ',' Ngojeg ',' Nambah ',' Persulit ',' Keada ',' Nela ',' Belain ',' Buy ',' Credit ',' Child ',' Gagung ',' Jajan "&amp;"', ""]")</f>
        <v>['Merugi', 'really', 'contents',' pulse ',' thousand ',' activated ',' package ',' daily ',' use ',' contents', 'pulse', 'search', ' Having ',' Ngojeg ',' Nambah ',' Persulit ',' Keada ',' Nela ',' Belain ',' Buy ',' Credit ',' Child ',' Gagung ',' Jajan ', "]</v>
      </c>
      <c r="D656" s="3">
        <v>1.0</v>
      </c>
    </row>
    <row r="657" ht="15.75" customHeight="1">
      <c r="A657" s="1">
        <v>655.0</v>
      </c>
      <c r="B657" s="3" t="s">
        <v>658</v>
      </c>
      <c r="C657" s="3" t="str">
        <f>IFERROR(__xludf.DUMMYFUNCTION("GOOGLETRANSLATE(B657,""id"",""en"")"),"['Program', 'Telkomsel', 'Honest', 'Package', 'Special', 'Learning', 'Application', 'Zoom', 'Meeting', 'Package', 'Flash', 'Collect', ' Ktika ',' Learning ',' Online ',' Professional ',' Proportional ',' Company ',' Name ',' ']")</f>
        <v>['Program', 'Telkomsel', 'Honest', 'Package', 'Special', 'Learning', 'Application', 'Zoom', 'Meeting', 'Package', 'Flash', 'Collect', ' Ktika ',' Learning ',' Online ',' Professional ',' Proportional ',' Company ',' Name ',' ']</v>
      </c>
      <c r="D657" s="3">
        <v>1.0</v>
      </c>
    </row>
    <row r="658" ht="15.75" customHeight="1">
      <c r="A658" s="1">
        <v>656.0</v>
      </c>
      <c r="B658" s="3" t="s">
        <v>659</v>
      </c>
      <c r="C658" s="3" t="str">
        <f>IFERROR(__xludf.DUMMYFUNCTION("GOOGLETRANSLATE(B658,""id"",""en"")"),"['What', 'Min', 'Belik', 'The Package', 'Credit', 'Trus',' Belik ',' Sign ',' Check ',' Blom ',' Enter ',' Udh ',' That's', 'Message', 'Giver', 'Tahuan', 'Morning', 'Tikak', 'Telkomsel', 'Damaged', 'Kah', 'Please', 'Help', 'Min', ""]")</f>
        <v>['What', 'Min', 'Belik', 'The Package', 'Credit', 'Trus',' Belik ',' Sign ',' Check ',' Blom ',' Enter ',' Udh ',' That's', 'Message', 'Giver', 'Tahuan', 'Morning', 'Tikak', 'Telkomsel', 'Damaged', 'Kah', 'Please', 'Help', 'Min', "]</v>
      </c>
      <c r="D658" s="3">
        <v>2.0</v>
      </c>
    </row>
    <row r="659" ht="15.75" customHeight="1">
      <c r="A659" s="1">
        <v>657.0</v>
      </c>
      <c r="B659" s="3" t="s">
        <v>660</v>
      </c>
      <c r="C659" s="3" t="str">
        <f>IFERROR(__xludf.DUMMYFUNCTION("GOOGLETRANSLATE(B659,""id"",""en"")"),"['Telkomsel', 'skrg', 'bad', 'signal', 'slow', 'city', 'likes',' slow ',' area ',' remote ',' saturated ',' use ',' Telkomsel ',' Different ',' Proveder ',' Cheap ',' Quality ',' UDH ',' Expensive ',' Quality ',' LGI ', ""]")</f>
        <v>['Telkomsel', 'skrg', 'bad', 'signal', 'slow', 'city', 'likes',' slow ',' area ',' remote ',' saturated ',' use ',' Telkomsel ',' Different ',' Proveder ',' Cheap ',' Quality ',' UDH ',' Expensive ',' Quality ',' LGI ', "]</v>
      </c>
      <c r="D659" s="3">
        <v>1.0</v>
      </c>
    </row>
    <row r="660" ht="15.75" customHeight="1">
      <c r="A660" s="1">
        <v>658.0</v>
      </c>
      <c r="B660" s="3" t="s">
        <v>661</v>
      </c>
      <c r="C660" s="3" t="str">
        <f>IFERROR(__xludf.DUMMYFUNCTION("GOOGLETRANSLATE(B660,""id"",""en"")"),"['Nge', 'bug', 'cave', 'customer', 'loyal', 'telkomsel', 'until', 'skrng', 'disappointed', 'beu', 'network', 'Telkomsel', ' ']")</f>
        <v>['Nge', 'bug', 'cave', 'customer', 'loyal', 'telkomsel', 'until', 'skrng', 'disappointed', 'beu', 'network', 'Telkomsel', ' ']</v>
      </c>
      <c r="D660" s="3">
        <v>3.0</v>
      </c>
    </row>
    <row r="661" ht="15.75" customHeight="1">
      <c r="A661" s="1">
        <v>659.0</v>
      </c>
      <c r="B661" s="3" t="s">
        <v>662</v>
      </c>
      <c r="C661" s="3" t="str">
        <f>IFERROR(__xludf.DUMMYFUNCTION("GOOGLETRANSLATE(B661,""id"",""en"")"),"['policy', 'detrimental', 'consumers',' mentang ',' mentang ',' sucked ',' pulse ',' sack ',' dashe ',' dhewe ',' data ',' tetep ',' Suck ',' pulses', 'AAAMMMPPUUUNNNNNN', 'DECH']")</f>
        <v>['policy', 'detrimental', 'consumers',' mentang ',' mentang ',' sucked ',' pulse ',' sack ',' dashe ',' dhewe ',' data ',' tetep ',' Suck ',' pulses', 'AAAMMMPPUUUNNNNNN', 'DECH']</v>
      </c>
      <c r="D661" s="3">
        <v>1.0</v>
      </c>
    </row>
    <row r="662" ht="15.75" customHeight="1">
      <c r="A662" s="1">
        <v>660.0</v>
      </c>
      <c r="B662" s="3" t="s">
        <v>663</v>
      </c>
      <c r="C662" s="3" t="str">
        <f>IFERROR(__xludf.DUMMYFUNCTION("GOOGLETRANSLATE(B662,""id"",""en"")"),"['Update', 'Update', 'right', 'press', 'Update', 'Playstore', 'Update', 'Press', 'Open', 'App', 'Tlkom', 'then' Update ',' idiot ',' oath ',' hate ',' cave ',' Telkomsel ',' smpai ',' skrang ',' dftar ',' kouta ',' asuw ']")</f>
        <v>['Update', 'Update', 'right', 'press', 'Update', 'Playstore', 'Update', 'Press', 'Open', 'App', 'Tlkom', 'then' Update ',' idiot ',' oath ',' hate ',' cave ',' Telkomsel ',' smpai ',' skrang ',' dftar ',' kouta ',' asuw ']</v>
      </c>
      <c r="D662" s="3">
        <v>1.0</v>
      </c>
    </row>
    <row r="663" ht="15.75" customHeight="1">
      <c r="A663" s="1">
        <v>661.0</v>
      </c>
      <c r="B663" s="3" t="s">
        <v>664</v>
      </c>
      <c r="C663" s="3" t="str">
        <f>IFERROR(__xludf.DUMMYFUNCTION("GOOGLETRANSLATE(B663,""id"",""en"")"),"['Help', 'Application', 'Cool', 'Full', 'Convenience', 'Urgent', 'Quota', 'Internet', 'Credit', 'Tel', 'Click', 'Select', ' Service ',' Lemot ',' Responsip ',' Check ',' Fix ']")</f>
        <v>['Help', 'Application', 'Cool', 'Full', 'Convenience', 'Urgent', 'Quota', 'Internet', 'Credit', 'Tel', 'Click', 'Select', ' Service ',' Lemot ',' Responsip ',' Check ',' Fix ']</v>
      </c>
      <c r="D663" s="3">
        <v>5.0</v>
      </c>
    </row>
    <row r="664" ht="15.75" customHeight="1">
      <c r="A664" s="1">
        <v>662.0</v>
      </c>
      <c r="B664" s="3" t="s">
        <v>665</v>
      </c>
      <c r="C664" s="3" t="str">
        <f>IFERROR(__xludf.DUMMYFUNCTION("GOOGLETRANSLATE(B664,""id"",""en"")"),"['like', 'application', 'MyTelkomsel', 'shopping', 'online', 'application', 'MyTelkomsel', 'easy', 'Young', 'reached', 'friend', 'friend', ' Application ',' MyTelkomsel ',' Ayooo ',' Hurry ',' Download ',' Application ',' Figure ',' Feature ',' Unlimited "&amp;"',' Guaranteed ',' Raying ',' Message ',' SMS ' , 'Direct', 'curious', 'MyTelkomsel', 'Direct', 'Download', 'Application', 'features', 'satisfying', ""]")</f>
        <v>['like', 'application', 'MyTelkomsel', 'shopping', 'online', 'application', 'MyTelkomsel', 'easy', 'Young', 'reached', 'friend', 'friend', ' Application ',' MyTelkomsel ',' Ayooo ',' Hurry ',' Download ',' Application ',' Figure ',' Feature ',' Unlimited ',' Guaranteed ',' Raying ',' Message ',' SMS ' , 'Direct', 'curious', 'MyTelkomsel', 'Direct', 'Download', 'Application', 'features', 'satisfying', "]</v>
      </c>
      <c r="D664" s="3">
        <v>5.0</v>
      </c>
    </row>
    <row r="665" ht="15.75" customHeight="1">
      <c r="A665" s="1">
        <v>663.0</v>
      </c>
      <c r="B665" s="3" t="s">
        <v>666</v>
      </c>
      <c r="C665" s="3" t="str">
        <f>IFERROR(__xludf.DUMMYFUNCTION("GOOGLETRANSLATE(B665,""id"",""en"")"),"['edit', 'logo', 'kece', 'interface', 'fresh', 'fast', 'criticism', 'please', 'in the future', 'maintenance', 'infokan', 'sms',' application ',' anticipation ',' emergency ',' min ',' signal ',' maximum ',' DIY ',' mrsi ',' tirtonirmolo ',' kab ',' bantul"&amp;" ',' thank ',' love ' , '']")</f>
        <v>['edit', 'logo', 'kece', 'interface', 'fresh', 'fast', 'criticism', 'please', 'in the future', 'maintenance', 'infokan', 'sms',' application ',' anticipation ',' emergency ',' min ',' signal ',' maximum ',' DIY ',' mrsi ',' tirtonirmolo ',' kab ',' bantul ',' thank ',' love ' , '']</v>
      </c>
      <c r="D665" s="3">
        <v>4.0</v>
      </c>
    </row>
    <row r="666" ht="15.75" customHeight="1">
      <c r="A666" s="1">
        <v>664.0</v>
      </c>
      <c r="B666" s="3" t="s">
        <v>667</v>
      </c>
      <c r="C666" s="3" t="str">
        <f>IFERROR(__xludf.DUMMYFUNCTION("GOOGLETRANSLATE(B666,""id"",""en"")"),"['Open', 'Livin', 'Message', 'Not bad', 'Fast', 'Sent', 'Receive', 'Message', 'Enter', 'Defend', 'Lots',' Promo ',' Quota ',' cheap ',' ']")</f>
        <v>['Open', 'Livin', 'Message', 'Not bad', 'Fast', 'Sent', 'Receive', 'Message', 'Enter', 'Defend', 'Lots',' Promo ',' Quota ',' cheap ',' ']</v>
      </c>
      <c r="D666" s="3">
        <v>5.0</v>
      </c>
    </row>
    <row r="667" ht="15.75" customHeight="1">
      <c r="A667" s="1">
        <v>665.0</v>
      </c>
      <c r="B667" s="3" t="s">
        <v>668</v>
      </c>
      <c r="C667" s="3" t="str">
        <f>IFERROR(__xludf.DUMMYFUNCTION("GOOGLETRANSLATE(B667,""id"",""en"")"),"['steady', 'suggestion', 'please', 'make', 'package', 'data', 'unlimited', 'max', 'thousand', 'help', 'season', 'pandemic', ' thanks']")</f>
        <v>['steady', 'suggestion', 'please', 'make', 'package', 'data', 'unlimited', 'max', 'thousand', 'help', 'season', 'pandemic', ' thanks']</v>
      </c>
      <c r="D667" s="3">
        <v>5.0</v>
      </c>
    </row>
    <row r="668" ht="15.75" customHeight="1">
      <c r="A668" s="1">
        <v>666.0</v>
      </c>
      <c r="B668" s="3" t="s">
        <v>669</v>
      </c>
      <c r="C668" s="3" t="str">
        <f>IFERROR(__xludf.DUMMYFUNCTION("GOOGLETRANSLATE(B668,""id"",""en"")"),"['loyal', 'Telkomsel', 'darling', 'skrng', 'signal', 'cellular', 'difficult', '']")</f>
        <v>['loyal', 'Telkomsel', 'darling', 'skrng', 'signal', 'cellular', 'difficult', '']</v>
      </c>
      <c r="D668" s="3">
        <v>5.0</v>
      </c>
    </row>
    <row r="669" ht="15.75" customHeight="1">
      <c r="A669" s="1">
        <v>667.0</v>
      </c>
      <c r="B669" s="3" t="s">
        <v>670</v>
      </c>
      <c r="C669" s="3" t="str">
        <f>IFERROR(__xludf.DUMMYFUNCTION("GOOGLETRANSLATE(B669,""id"",""en"")"),"['Internet', 'slow', 'relative', 'expensive', 'quality', 'bad', 'area', 'Banyumas',' Telkomsel ',' poor ',' forced ',' ane ',' Telkomsel ',' number ',' ane ',' already ',' Males', 'Change', 'star', 'zero', 'zero', ""]")</f>
        <v>['Internet', 'slow', 'relative', 'expensive', 'quality', 'bad', 'area', 'Banyumas',' Telkomsel ',' poor ',' forced ',' ane ',' Telkomsel ',' number ',' ane ',' already ',' Males', 'Change', 'star', 'zero', 'zero', "]</v>
      </c>
      <c r="D669" s="3">
        <v>1.0</v>
      </c>
    </row>
    <row r="670" ht="15.75" customHeight="1">
      <c r="A670" s="1">
        <v>668.0</v>
      </c>
      <c r="B670" s="3" t="s">
        <v>671</v>
      </c>
      <c r="C670" s="3" t="str">
        <f>IFERROR(__xludf.DUMMYFUNCTION("GOOGLETRANSLATE(B670,""id"",""en"")"),"['crazy', 'Telkomsel', 'expensive', 'choice', 'package', 'blood', 'divided', 'maxtream', 'musiclah', 'need', 'return', 'package', ' Internet ',' standard ',' share ',' quota ',' sosmedlah ',' quota ',' games', 'quota', 'maxtream', 'need']")</f>
        <v>['crazy', 'Telkomsel', 'expensive', 'choice', 'package', 'blood', 'divided', 'maxtream', 'musiclah', 'need', 'return', 'package', ' Internet ',' standard ',' share ',' quota ',' sosmedlah ',' quota ',' games', 'quota', 'maxtream', 'need']</v>
      </c>
      <c r="D670" s="3">
        <v>1.0</v>
      </c>
    </row>
    <row r="671" ht="15.75" customHeight="1">
      <c r="A671" s="1">
        <v>669.0</v>
      </c>
      <c r="B671" s="3" t="s">
        <v>672</v>
      </c>
      <c r="C671" s="3" t="str">
        <f>IFERROR(__xludf.DUMMYFUNCTION("GOOGLETRANSLATE(B671,""id"",""en"")"),"['Exact', 'want', 'try', 'quota', 'unlimited', 'unlimited', 'kek', 'please', 'users',' Telkomsel ',' buy ',' quota ',' Embed ',' ulimited ',' used ',' writing ',' usage ',' Naturally ',' laa ',' cave ',' a day ',' mb ',' already ']")</f>
        <v>['Exact', 'want', 'try', 'quota', 'unlimited', 'unlimited', 'kek', 'please', 'users',' Telkomsel ',' buy ',' quota ',' Embed ',' ulimited ',' used ',' writing ',' usage ',' Naturally ',' laa ',' cave ',' a day ',' mb ',' already ']</v>
      </c>
      <c r="D671" s="3">
        <v>1.0</v>
      </c>
    </row>
    <row r="672" ht="15.75" customHeight="1">
      <c r="A672" s="1">
        <v>670.0</v>
      </c>
      <c r="B672" s="3" t="s">
        <v>673</v>
      </c>
      <c r="C672" s="3" t="str">
        <f>IFERROR(__xludf.DUMMYFUNCTION("GOOGLETRANSLATE(B672,""id"",""en"")"),"['Signal', 'Internet', 'Telkomsel', 'Life', 'Region', 'Malang', 'Faithful', 'Telkomsel', 'Satisfied', 'Combo', 'Sakti', 'Bln', ' The internet ',' decreases', 'application', 'Telkomsel', 'Aduuhh', 'forgiveness',' updated ',' open ',' Application ',' Ayok '"&amp;",' Restore ',' star ',' Telkomsel ' , 'thank you', '']")</f>
        <v>['Signal', 'Internet', 'Telkomsel', 'Life', 'Region', 'Malang', 'Faithful', 'Telkomsel', 'Satisfied', 'Combo', 'Sakti', 'Bln', ' The internet ',' decreases', 'application', 'Telkomsel', 'Aduuhh', 'forgiveness',' updated ',' open ',' Application ',' Ayok ',' Restore ',' star ',' Telkomsel ' , 'thank you', '']</v>
      </c>
      <c r="D672" s="3">
        <v>2.0</v>
      </c>
    </row>
    <row r="673" ht="15.75" customHeight="1">
      <c r="A673" s="1">
        <v>671.0</v>
      </c>
      <c r="B673" s="3" t="s">
        <v>674</v>
      </c>
      <c r="C673" s="3" t="str">
        <f>IFERROR(__xludf.DUMMYFUNCTION("GOOGLETRANSLATE(B673,""id"",""en"")"),"['network', 'lalot', 'Kuta', 'Game', 'access',' game ',' frefire ',' loss', 'buy', 'package', 'please', 'fix', ' Addh ',' already ',' try ',' tell ',' Cat ',' Veronika ',' emang ',' yahh ',' Telkomsel ']")</f>
        <v>['network', 'lalot', 'Kuta', 'Game', 'access',' game ',' frefire ',' loss', 'buy', 'package', 'please', 'fix', ' Addh ',' already ',' try ',' tell ',' Cat ',' Veronika ',' emang ',' yahh ',' Telkomsel ']</v>
      </c>
      <c r="D673" s="3">
        <v>2.0</v>
      </c>
    </row>
    <row r="674" ht="15.75" customHeight="1">
      <c r="A674" s="1">
        <v>672.0</v>
      </c>
      <c r="B674" s="3" t="s">
        <v>675</v>
      </c>
      <c r="C674" s="3" t="str">
        <f>IFERROR(__xludf.DUMMYFUNCTION("GOOGLETRANSLATE(B674,""id"",""en"")"),"['disappointed', 'customer', 'menu', 'package', 'internet', 'bought', 'displayed', 'menu', 'eat', 'list', 'menu', 'promo', ' Buy ',' Package ',' Display ',' Application ',' Pulse ',' Enter ',' Useful ',' Package ',' Expensive ',' Divert ',' Credit ',' Pro"&amp;"vider ',' Help ' , '']")</f>
        <v>['disappointed', 'customer', 'menu', 'package', 'internet', 'bought', 'displayed', 'menu', 'eat', 'list', 'menu', 'promo', ' Buy ',' Package ',' Display ',' Application ',' Pulse ',' Enter ',' Useful ',' Package ',' Expensive ',' Divert ',' Credit ',' Provider ',' Help ' , '']</v>
      </c>
      <c r="D674" s="3">
        <v>2.0</v>
      </c>
    </row>
    <row r="675" ht="15.75" customHeight="1">
      <c r="A675" s="1">
        <v>673.0</v>
      </c>
      <c r="B675" s="3" t="s">
        <v>676</v>
      </c>
      <c r="C675" s="3" t="str">
        <f>IFERROR(__xludf.DUMMYFUNCTION("GOOGLETRANSLATE(B675,""id"",""en"")"),"['', 'network', 'Telkomsel', 'slow', 'ngegame', 'please', 'fix', 'signal', 'sya', 'moved', 'operator', 'sya', 'annoyed ',' Skli ',' signal ',' slow ',' please ',' operator ',' telekomsel ',' please ',' signal ',' faster ',' lgi ',' play ',' game ', 'Gamer"&amp;"', 'Disappointed', 'Telkomsel', 'please', 'repay']")</f>
        <v>['', 'network', 'Telkomsel', 'slow', 'ngegame', 'please', 'fix', 'signal', 'sya', 'moved', 'operator', 'sya', 'annoyed ',' Skli ',' signal ',' slow ',' please ',' operator ',' telekomsel ',' please ',' signal ',' faster ',' lgi ',' play ',' game ', 'Gamer', 'Disappointed', 'Telkomsel', 'please', 'repay']</v>
      </c>
      <c r="D675" s="3">
        <v>1.0</v>
      </c>
    </row>
    <row r="676" ht="15.75" customHeight="1">
      <c r="A676" s="1">
        <v>674.0</v>
      </c>
      <c r="B676" s="3" t="s">
        <v>677</v>
      </c>
      <c r="C676" s="3" t="str">
        <f>IFERROR(__xludf.DUMMYFUNCTION("GOOGLETRANSLATE(B676,""id"",""en"")"),"['TGGL', 'July', 'Package', 'Call', 'a month', 'package', 'missing', 'pulseku', 'pull', 'chat', 'veronica', 'send', ' Via ',' Masseger ',' TPI ',' Trhubung ',' com ',' choice ',' complaints', 'HNY', 'choice', 'menu', 'contents',' pulses', 'Yesterday' , 'P"&amp;"oints', 'cut', 'package', 'please', 'return', 'package', 'my phone', 'send', 'proof', 'please', 'complaint']")</f>
        <v>['TGGL', 'July', 'Package', 'Call', 'a month', 'package', 'missing', 'pulseku', 'pull', 'chat', 'veronica', 'send', ' Via ',' Masseger ',' TPI ',' Trhubung ',' com ',' choice ',' complaints', 'HNY', 'choice', 'menu', 'contents',' pulses', 'Yesterday' , 'Points', 'cut', 'package', 'please', 'return', 'package', 'my phone', 'send', 'proof', 'please', 'complaint']</v>
      </c>
      <c r="D676" s="3">
        <v>2.0</v>
      </c>
    </row>
    <row r="677" ht="15.75" customHeight="1">
      <c r="A677" s="1">
        <v>675.0</v>
      </c>
      <c r="B677" s="3" t="s">
        <v>678</v>
      </c>
      <c r="C677" s="3" t="str">
        <f>IFERROR(__xludf.DUMMYFUNCTION("GOOGLETRANSLATE(B677,""id"",""en"")"),"['bad', 'application', 'Sekaran', 'bmsasat', 'obstacle', 'enter', 'purchase', 'package', 'obstacle', 'ggoogle', 'respond', 'System', ' Responding to ',' Please ',' Increase ',' Improvement ',' Sytem ',' Hopes', '']")</f>
        <v>['bad', 'application', 'Sekaran', 'bmsasat', 'obstacle', 'enter', 'purchase', 'package', 'obstacle', 'ggoogle', 'respond', 'System', ' Responding to ',' Please ',' Increase ',' Improvement ',' Sytem ',' Hopes', '']</v>
      </c>
      <c r="D677" s="3">
        <v>1.0</v>
      </c>
    </row>
    <row r="678" ht="15.75" customHeight="1">
      <c r="A678" s="1">
        <v>676.0</v>
      </c>
      <c r="B678" s="3" t="s">
        <v>679</v>
      </c>
      <c r="C678" s="3" t="str">
        <f>IFERROR(__xludf.DUMMYFUNCTION("GOOGLETRANSLATE(B678,""id"",""en"")"),"['Telkomsel', 'Nda', 'nda', 'check', 'pulse', 'nda', 'call', 'nda', 'grace', 'masaharus',' change ',' card ',' ']")</f>
        <v>['Telkomsel', 'Nda', 'nda', 'check', 'pulse', 'nda', 'call', 'nda', 'grace', 'masaharus',' change ',' card ',' ']</v>
      </c>
      <c r="D678" s="3">
        <v>1.0</v>
      </c>
    </row>
    <row r="679" ht="15.75" customHeight="1">
      <c r="A679" s="1">
        <v>677.0</v>
      </c>
      <c r="B679" s="3" t="s">
        <v>680</v>
      </c>
      <c r="C679" s="3" t="str">
        <f>IFERROR(__xludf.DUMMYFUNCTION("GOOGLETRANSLATE(B679,""id"",""en"")"),"['check', 'pulse', 'directly', 'click', 'Logi', 'Telkom', 'directly', 'open', 'kuni', 'ane', 'like', 'work', ' Rich ',' Search ',' Easy ',' No ',' Please ']")</f>
        <v>['check', 'pulse', 'directly', 'click', 'Logi', 'Telkom', 'directly', 'open', 'kuni', 'ane', 'like', 'work', ' Rich ',' Search ',' Easy ',' No ',' Please ']</v>
      </c>
      <c r="D679" s="3">
        <v>1.0</v>
      </c>
    </row>
    <row r="680" ht="15.75" customHeight="1">
      <c r="A680" s="1">
        <v>678.0</v>
      </c>
      <c r="B680" s="3" t="s">
        <v>681</v>
      </c>
      <c r="C680" s="3" t="str">
        <f>IFERROR(__xludf.DUMMYFUNCTION("GOOGLETRANSLATE(B680,""id"",""en"")"),"['expensive', 'Telkomsel', 'pandemic', 'promo', 'ilang', 'bought', 'pandemic', 'ppkm', 'love', 'promo', 'nomer', 'forced', ' Stars', 'collapsed', 'because', 'expensive', 'see', 'condition', '']")</f>
        <v>['expensive', 'Telkomsel', 'pandemic', 'promo', 'ilang', 'bought', 'pandemic', 'ppkm', 'love', 'promo', 'nomer', 'forced', ' Stars', 'collapsed', 'because', 'expensive', 'see', 'condition', '']</v>
      </c>
      <c r="D680" s="3">
        <v>3.0</v>
      </c>
    </row>
    <row r="681" ht="15.75" customHeight="1">
      <c r="A681" s="1">
        <v>679.0</v>
      </c>
      <c r="B681" s="3" t="s">
        <v>682</v>
      </c>
      <c r="C681" s="3" t="str">
        <f>IFERROR(__xludf.DUMMYFUNCTION("GOOGLETRANSLATE(B681,""id"",""en"")"),"['Please', 'repaired', 'Sis',' quota ',' unlimax ',' active ',' because ',' remaining ',' quota ',' multimedia ',' unlimited ',' signal ',' Slow ',' Pay ',' expensive ',' expensive ',' signal ',' according to ',' price ',' Please ',' responded ',' ']")</f>
        <v>['Please', 'repaired', 'Sis',' quota ',' unlimax ',' active ',' because ',' remaining ',' quota ',' multimedia ',' unlimited ',' signal ',' Slow ',' Pay ',' expensive ',' expensive ',' signal ',' according to ',' price ',' Please ',' responded ',' ']</v>
      </c>
      <c r="D681" s="3">
        <v>1.0</v>
      </c>
    </row>
    <row r="682" ht="15.75" customHeight="1">
      <c r="A682" s="1">
        <v>680.0</v>
      </c>
      <c r="B682" s="3" t="s">
        <v>683</v>
      </c>
      <c r="C682" s="3" t="str">
        <f>IFERROR(__xludf.DUMMYFUNCTION("GOOGLETRANSLATE(B682,""id"",""en"")"),"['Credit', 'Ngeta', 'Cut', 'Doang', 'Many', 'Credit', 'Rb', 'ilang', 'Rb', 'Rb', 'ilang', 'child', ' Officials', 'That's',' Money ',' Ngalir ',' Ngerugin ',' People ',' Very ',' Credit ',' Buy ',' Kouta ',' Shopping ',' How ',' Try ' , 'study', '']")</f>
        <v>['Credit', 'Ngeta', 'Cut', 'Doang', 'Many', 'Credit', 'Rb', 'ilang', 'Rb', 'Rb', 'ilang', 'child', ' Officials', 'That's',' Money ',' Ngalir ',' Ngerugin ',' People ',' Very ',' Credit ',' Buy ',' Kouta ',' Shopping ',' How ',' Try ' , 'study', '']</v>
      </c>
      <c r="D682" s="3">
        <v>1.0</v>
      </c>
    </row>
    <row r="683" ht="15.75" customHeight="1">
      <c r="A683" s="1">
        <v>681.0</v>
      </c>
      <c r="B683" s="3" t="s">
        <v>684</v>
      </c>
      <c r="C683" s="3" t="str">
        <f>IFERROR(__xludf.DUMMYFUNCTION("GOOGLETRANSLATE(B683,""id"",""en"")"),"['Hello', 'admin', 'package', 'unlimited', 'Telkomsel', 'skrg', 'missing', 'users',' Telkomsel ',' disappointed ',' because ',' times', ' Hopefully ',' fast ',' returned ',' package ',' unlimited ',' card ']")</f>
        <v>['Hello', 'admin', 'package', 'unlimited', 'Telkomsel', 'skrg', 'missing', 'users',' Telkomsel ',' disappointed ',' because ',' times', ' Hopefully ',' fast ',' returned ',' package ',' unlimited ',' card ']</v>
      </c>
      <c r="D683" s="3">
        <v>1.0</v>
      </c>
    </row>
    <row r="684" ht="15.75" customHeight="1">
      <c r="A684" s="1">
        <v>682.0</v>
      </c>
      <c r="B684" s="3" t="s">
        <v>685</v>
      </c>
      <c r="C684" s="3" t="str">
        <f>IFERROR(__xludf.DUMMYFUNCTION("GOOGLETRANSLATE(B684,""id"",""en"")"),"['', 'use', 'Telkomsel', 'Darling', 'number', 'Hopefully', 'In the future', 'confused', 'Makai', 'application', 'understand', 'How' do it, 'use ', 'language']")</f>
        <v>['', 'use', 'Telkomsel', 'Darling', 'number', 'Hopefully', 'In the future', 'confused', 'Makai', 'application', 'understand', 'How' do it, 'use ', 'language']</v>
      </c>
      <c r="D684" s="3">
        <v>2.0</v>
      </c>
    </row>
    <row r="685" ht="15.75" customHeight="1">
      <c r="A685" s="1">
        <v>683.0</v>
      </c>
      <c r="B685" s="3" t="s">
        <v>686</v>
      </c>
      <c r="C685" s="3" t="str">
        <f>IFERROR(__xludf.DUMMYFUNCTION("GOOGLETRANSLATE(B685,""id"",""en"")"),"['Duhh', 'signal', 'kagak', 'strong', 'deh', 'dilapidated', 'mentok', 'number', 'kb', 'sad', 'really', 'era', ' Alip ',' already ',' use ',' Sympathii ',' ']")</f>
        <v>['Duhh', 'signal', 'kagak', 'strong', 'deh', 'dilapidated', 'mentok', 'number', 'kb', 'sad', 'really', 'era', ' Alip ',' already ',' use ',' Sympathii ',' ']</v>
      </c>
      <c r="D685" s="3">
        <v>1.0</v>
      </c>
    </row>
    <row r="686" ht="15.75" customHeight="1">
      <c r="A686" s="1">
        <v>684.0</v>
      </c>
      <c r="B686" s="3" t="s">
        <v>687</v>
      </c>
      <c r="C686" s="3" t="str">
        <f>IFERROR(__xludf.DUMMYFUNCTION("GOOGLETRANSLATE(B686,""id"",""en"")"),"['play', 'Cut', 'pulse', 'that's',' ajaa ',' loss', 'package', 'unlimited', 'Mahall', 'mahall', 'pakek', 'Telkomsel', ' Layaa ',' Permahal ',' Ginii ',' ']")</f>
        <v>['play', 'Cut', 'pulse', 'that's',' ajaa ',' loss', 'package', 'unlimited', 'Mahall', 'mahall', 'pakek', 'Telkomsel', ' Layaa ',' Permahal ',' Ginii ',' ']</v>
      </c>
      <c r="D686" s="3">
        <v>1.0</v>
      </c>
    </row>
    <row r="687" ht="15.75" customHeight="1">
      <c r="A687" s="1">
        <v>685.0</v>
      </c>
      <c r="B687" s="3" t="s">
        <v>688</v>
      </c>
      <c r="C687" s="3" t="str">
        <f>IFERROR(__xludf.DUMMYFUNCTION("GOOGLETRANSLATE(B687,""id"",""en"")"),"['min', 'please', 'donk', 'klw', 'mmnk', 'promo', 'application', 'uda', 'dipake', 'mending', 'promo', 'delete', ' Krna ',' uda ',' activation ',' brpa ',' times', 'heller', 'PUZA', 'Make', 'application', 'lei', 'believe', 'please', 'segerah' , 'Tinsak', '"&amp;"Naises', 'Thank', 'Kasih']")</f>
        <v>['min', 'please', 'donk', 'klw', 'mmnk', 'promo', 'application', 'uda', 'dipake', 'mending', 'promo', 'delete', ' Krna ',' uda ',' activation ',' brpa ',' times', 'heller', 'PUZA', 'Make', 'application', 'lei', 'believe', 'please', 'segerah' , 'Tinsak', 'Naises', 'Thank', 'Kasih']</v>
      </c>
      <c r="D687" s="3">
        <v>1.0</v>
      </c>
    </row>
    <row r="688" ht="15.75" customHeight="1">
      <c r="A688" s="1">
        <v>686.0</v>
      </c>
      <c r="B688" s="3" t="s">
        <v>689</v>
      </c>
      <c r="C688" s="3" t="str">
        <f>IFERROR(__xludf.DUMMYFUNCTION("GOOGLETRANSLATE(B688,""id"",""en"")"),"['Get', 'Package', 'HRI', 'GB', 'PROMO', 'Date', 'August', 'Date', 'July', 'Yesterday', 'Buy', 'check', ' Program ',' bangseaddd ',' nipu ',' rough ',' lahhh ']")</f>
        <v>['Get', 'Package', 'HRI', 'GB', 'PROMO', 'Date', 'August', 'Date', 'July', 'Yesterday', 'Buy', 'check', ' Program ',' bangseaddd ',' nipu ',' rough ',' lahhh ']</v>
      </c>
      <c r="D688" s="3">
        <v>1.0</v>
      </c>
    </row>
    <row r="689" ht="15.75" customHeight="1">
      <c r="A689" s="1">
        <v>687.0</v>
      </c>
      <c r="B689" s="3" t="s">
        <v>690</v>
      </c>
      <c r="C689" s="3" t="str">
        <f>IFERROR(__xludf.DUMMYFUNCTION("GOOGLETRANSLATE(B689,""id"",""en"")"),"['update', 'tan', 'apk', 'good', 'look', 'already', 'good', 'disconnnect', 'error', 'right', 'transaction', 'please', ' Repaired ',' Min ',' ']")</f>
        <v>['update', 'tan', 'apk', 'good', 'look', 'already', 'good', 'disconnnect', 'error', 'right', 'transaction', 'please', ' Repaired ',' Min ',' ']</v>
      </c>
      <c r="D689" s="3">
        <v>2.0</v>
      </c>
    </row>
    <row r="690" ht="15.75" customHeight="1">
      <c r="A690" s="1">
        <v>688.0</v>
      </c>
      <c r="B690" s="3" t="s">
        <v>691</v>
      </c>
      <c r="C690" s="3" t="str">
        <f>IFERROR(__xludf.DUMMYFUNCTION("GOOGLETRANSLATE(B690,""id"",""en"")"),"['Opening', 'Telkomsel', 'Update', 'Restart', 'Telkomsel', 'Android', 'Forced', 'Buy', 'Package', 'Tlg', 'Hape', ' The Android ',' version ',' updated ',' Lho ',' ']")</f>
        <v>['Opening', 'Telkomsel', 'Update', 'Restart', 'Telkomsel', 'Android', 'Forced', 'Buy', 'Package', 'Tlg', 'Hape', ' The Android ',' version ',' updated ',' Lho ',' ']</v>
      </c>
      <c r="D690" s="3">
        <v>1.0</v>
      </c>
    </row>
    <row r="691" ht="15.75" customHeight="1">
      <c r="A691" s="1">
        <v>689.0</v>
      </c>
      <c r="B691" s="3" t="s">
        <v>692</v>
      </c>
      <c r="C691" s="3" t="str">
        <f>IFERROR(__xludf.DUMMYFUNCTION("GOOGLETRANSLATE(B691,""id"",""en"")"),"['Please', 'Telkomsel', 'Fill', 'Credit', 'Tomorrow', 'Gunain', 'Gini', 'Love', 'Star', ""]")</f>
        <v>['Please', 'Telkomsel', 'Fill', 'Credit', 'Tomorrow', 'Gunain', 'Gini', 'Love', 'Star', "]</v>
      </c>
      <c r="D691" s="3">
        <v>3.0</v>
      </c>
    </row>
    <row r="692" ht="15.75" customHeight="1">
      <c r="A692" s="1">
        <v>690.0</v>
      </c>
      <c r="B692" s="3" t="s">
        <v>693</v>
      </c>
      <c r="C692" s="3" t="str">
        <f>IFERROR(__xludf.DUMMYFUNCTION("GOOGLETRANSLATE(B692,""id"",""en"")"),"['payment', 'wallet', 'wallet', 'funds',' etc. ',' sometimes', 'appears',' menu ',' choice ',' method ',' payment ',' credit ',' Credit ',' Please ',' Application ',' Fix ',' Karna ',' Update ',' Application ',' Latest ',' Current ',' Update ',' Troubled "&amp;"', ""]")</f>
        <v>['payment', 'wallet', 'wallet', 'funds',' etc. ',' sometimes', 'appears',' menu ',' choice ',' method ',' payment ',' credit ',' Credit ',' Please ',' Application ',' Fix ',' Karna ',' Update ',' Application ',' Latest ',' Current ',' Update ',' Troubled ', "]</v>
      </c>
      <c r="D692" s="3">
        <v>2.0</v>
      </c>
    </row>
    <row r="693" ht="15.75" customHeight="1">
      <c r="A693" s="1">
        <v>691.0</v>
      </c>
      <c r="B693" s="3" t="s">
        <v>694</v>
      </c>
      <c r="C693" s="3" t="str">
        <f>IFERROR(__xludf.DUMMYFUNCTION("GOOGLETRANSLATE(B693,""id"",""en"")"),"['Display', 'Interface', 'as good', 'Please', 'repaired', 'returned', 'impressed', 'complicated', 'user', 'friendly', ""]")</f>
        <v>['Display', 'Interface', 'as good', 'Please', 'repaired', 'returned', 'impressed', 'complicated', 'user', 'friendly', "]</v>
      </c>
      <c r="D693" s="3">
        <v>2.0</v>
      </c>
    </row>
    <row r="694" ht="15.75" customHeight="1">
      <c r="A694" s="1">
        <v>692.0</v>
      </c>
      <c r="B694" s="3" t="s">
        <v>695</v>
      </c>
      <c r="C694" s="3" t="str">
        <f>IFERROR(__xludf.DUMMYFUNCTION("GOOGLETRANSLATE(B694,""id"",""en"")"),"['classmate', 'Telkomsel', 'skrg', 'slow', 'rich', 'next door', 'Telkomsel', 'top', 'price', 'service', 'skrg', 'noo', ' "", 'solution', 'waste', 'card', 'Telkomsel', 'Dihp', 'Dongkol',""]")</f>
        <v>['classmate', 'Telkomsel', 'skrg', 'slow', 'rich', 'next door', 'Telkomsel', 'top', 'price', 'service', 'skrg', 'noo', ' ", 'solution', 'waste', 'card', 'Telkomsel', 'Dihp', 'Dongkol',"]</v>
      </c>
      <c r="D694" s="3">
        <v>1.0</v>
      </c>
    </row>
    <row r="695" ht="15.75" customHeight="1">
      <c r="A695" s="1">
        <v>693.0</v>
      </c>
      <c r="B695" s="3" t="s">
        <v>696</v>
      </c>
      <c r="C695" s="3" t="str">
        <f>IFERROR(__xludf.DUMMYFUNCTION("GOOGLETRANSLATE(B695,""id"",""en"")"),"['use', 'pulse', 'payment', 'purchase', 'package', 'complicated', 'buy', 'pulse', 'buy', 'package', 'buy', 'pulse', ' Entar ',' Nandon ',' pulse ',' that's', 'yaa']")</f>
        <v>['use', 'pulse', 'payment', 'purchase', 'package', 'complicated', 'buy', 'pulse', 'buy', 'package', 'buy', 'pulse', ' Entar ',' Nandon ',' pulse ',' that's', 'yaa']</v>
      </c>
      <c r="D695" s="3">
        <v>1.0</v>
      </c>
    </row>
    <row r="696" ht="15.75" customHeight="1">
      <c r="A696" s="1">
        <v>694.0</v>
      </c>
      <c r="B696" s="3" t="s">
        <v>697</v>
      </c>
      <c r="C696" s="3" t="str">
        <f>IFERROR(__xludf.DUMMYFUNCTION("GOOGLETRANSLATE(B696,""id"",""en"")"),"['Disappointed', 'really', 'update', 'apk', 'get', 'package', 'internet', 'cheap', 'package', 'buy', 'already', 'appears',' replace ',' fold ',' expensive ',' disappointed ',' really ',' basically ',' signal ',' slow ',' quota ',' stay ',' little ',' sorr"&amp;"y ',' disappointing ' , 'Customers', 'like', 'gini', 'story', '']")</f>
        <v>['Disappointed', 'really', 'update', 'apk', 'get', 'package', 'internet', 'cheap', 'package', 'buy', 'already', 'appears',' replace ',' fold ',' expensive ',' disappointed ',' really ',' basically ',' signal ',' slow ',' quota ',' stay ',' little ',' sorry ',' disappointing ' , 'Customers', 'like', 'gini', 'story', '']</v>
      </c>
      <c r="D696" s="3">
        <v>1.0</v>
      </c>
    </row>
    <row r="697" ht="15.75" customHeight="1">
      <c r="A697" s="1">
        <v>695.0</v>
      </c>
      <c r="B697" s="3" t="s">
        <v>698</v>
      </c>
      <c r="C697" s="3" t="str">
        <f>IFERROR(__xludf.DUMMYFUNCTION("GOOGLETRANSLATE(B697,""id"",""en"")"),"['Telkomsel', 'Telkomsel', 'Disappointing', 'Region', 'Kalimantan', 'County', 'Mount', 'Mas',' Kec ',' Tewah ',' Kahayan ',' Hulu ',' North ',' A Year ',' Severe ',' Open ',' Facebook ',' Lite ',' Loading ',' Difficult ',' Browsing ',' The Network ',' Wri"&amp;"tten ',' Quality ' , 'please', 'Government', 'Kominfo', 'Thinking', 'Network', 'Fix', 'Society', 'Hold', 'Attitude', 'Manchester', 'Telkomsel', ' ']")</f>
        <v>['Telkomsel', 'Telkomsel', 'Disappointing', 'Region', 'Kalimantan', 'County', 'Mount', 'Mas',' Kec ',' Tewah ',' Kahayan ',' Hulu ',' North ',' A Year ',' Severe ',' Open ',' Facebook ',' Lite ',' Loading ',' Difficult ',' Browsing ',' The Network ',' Written ',' Quality ' , 'please', 'Government', 'Kominfo', 'Thinking', 'Network', 'Fix', 'Society', 'Hold', 'Attitude', 'Manchester', 'Telkomsel', ' ']</v>
      </c>
      <c r="D697" s="3">
        <v>1.0</v>
      </c>
    </row>
    <row r="698" ht="15.75" customHeight="1">
      <c r="A698" s="1">
        <v>696.0</v>
      </c>
      <c r="B698" s="3" t="s">
        <v>699</v>
      </c>
      <c r="C698" s="3" t="str">
        <f>IFERROR(__xludf.DUMMYFUNCTION("GOOGLETRANSLATE(B698,""id"",""en"")"),"['Please', 'Features',' Dismant ',' Credit ',' Used ',' Quota ',' Out ',' Koutaa ',' Down ',' Credit ',' Used ',' Provider ',' Features', 'Thank you']")</f>
        <v>['Please', 'Features',' Dismant ',' Credit ',' Used ',' Quota ',' Out ',' Koutaa ',' Down ',' Credit ',' Used ',' Provider ',' Features', 'Thank you']</v>
      </c>
      <c r="D698" s="3">
        <v>4.0</v>
      </c>
    </row>
    <row r="699" ht="15.75" customHeight="1">
      <c r="A699" s="1">
        <v>697.0</v>
      </c>
      <c r="B699" s="3" t="s">
        <v>700</v>
      </c>
      <c r="C699" s="3" t="str">
        <f>IFERROR(__xludf.DUMMYFUNCTION("GOOGLETRANSLATE(B699,""id"",""en"")"),"['What', 'Telkomsel', 'please', 'fix', 'quota', 'gold', 'GB', 'exchange', 'his pants',' already ',' Points', ' already ',' difficult ',' gathered ',' Boongin ',' moved ',' card ',' ']")</f>
        <v>['What', 'Telkomsel', 'please', 'fix', 'quota', 'gold', 'GB', 'exchange', 'his pants',' already ',' Points', ' already ',' difficult ',' gathered ',' Boongin ',' moved ',' card ',' ']</v>
      </c>
      <c r="D699" s="3">
        <v>1.0</v>
      </c>
    </row>
    <row r="700" ht="15.75" customHeight="1">
      <c r="A700" s="1">
        <v>698.0</v>
      </c>
      <c r="B700" s="3" t="s">
        <v>701</v>
      </c>
      <c r="C700" s="3" t="str">
        <f>IFERROR(__xludf.DUMMYFUNCTION("GOOGLETRANSLATE(B700,""id"",""en"")"),"['Telkomsel', 'Makinn', 'here', 'dinomer', 'kagak', 'paketan', 'inlet', 'contents',' just ',' night ',' package ',' watch ',' Intention ',' Sell ',' Kagak ', ""]")</f>
        <v>['Telkomsel', 'Makinn', 'here', 'dinomer', 'kagak', 'paketan', 'inlet', 'contents',' just ',' night ',' package ',' watch ',' Intention ',' Sell ',' Kagak ', "]</v>
      </c>
      <c r="D700" s="3">
        <v>1.0</v>
      </c>
    </row>
    <row r="701" ht="15.75" customHeight="1">
      <c r="A701" s="1">
        <v>699.0</v>
      </c>
      <c r="B701" s="3" t="s">
        <v>702</v>
      </c>
      <c r="C701" s="3" t="str">
        <f>IFERROR(__xludf.DUMMYFUNCTION("GOOGLETRANSLATE(B701,""id"",""en"")"),"['strange', 'buy', 'data', 'completed', 'told', 'system', 'payment', 'gatanya', 'buy', 'pulse', 'then', 'buy', ' Data ',' KNP ',' Direct ',' Use ',' Direct ',' Buy ',' Data ',' Cook ',' Telkomsel ',' Direct ']")</f>
        <v>['strange', 'buy', 'data', 'completed', 'told', 'system', 'payment', 'gatanya', 'buy', 'pulse', 'then', 'buy', ' Data ',' KNP ',' Direct ',' Use ',' Direct ',' Buy ',' Data ',' Cook ',' Telkomsel ',' Direct ']</v>
      </c>
      <c r="D701" s="3">
        <v>1.0</v>
      </c>
    </row>
    <row r="702" ht="15.75" customHeight="1">
      <c r="A702" s="1">
        <v>700.0</v>
      </c>
      <c r="B702" s="3" t="s">
        <v>703</v>
      </c>
      <c r="C702" s="3" t="str">
        <f>IFERROR(__xludf.DUMMYFUNCTION("GOOGLETRANSLATE(B702,""id"",""en"")"),"['experience', 'wear', 'subscribe', 'card', 'Hello', 'usage', 'smooth', 'bill', 'burdensome', 'expenditure', 'monthly', 'hope', ' card ',' Hello ',' choice ',' ']")</f>
        <v>['experience', 'wear', 'subscribe', 'card', 'Hello', 'usage', 'smooth', 'bill', 'burdensome', 'expenditure', 'monthly', 'hope', ' card ',' Hello ',' choice ',' ']</v>
      </c>
      <c r="D702" s="3">
        <v>5.0</v>
      </c>
    </row>
    <row r="703" ht="15.75" customHeight="1">
      <c r="A703" s="1">
        <v>701.0</v>
      </c>
      <c r="B703" s="3" t="s">
        <v>704</v>
      </c>
      <c r="C703" s="3" t="str">
        <f>IFERROR(__xludf.DUMMYFUNCTION("GOOGLETRANSLATE(B703,""id"",""en"")"),"['Please', 'Package', 'Internet', 'Unlimited', 'Cheap', 'Society', 'Wear', 'Telkomsel', 'Competition', 'Tight', 'Search', 'Money', ' Hard ',' Bossku ',' ']")</f>
        <v>['Please', 'Package', 'Internet', 'Unlimited', 'Cheap', 'Society', 'Wear', 'Telkomsel', 'Competition', 'Tight', 'Search', 'Money', ' Hard ',' Bossku ',' ']</v>
      </c>
      <c r="D703" s="3">
        <v>3.0</v>
      </c>
    </row>
    <row r="704" ht="15.75" customHeight="1">
      <c r="A704" s="1">
        <v>702.0</v>
      </c>
      <c r="B704" s="3" t="s">
        <v>705</v>
      </c>
      <c r="C704" s="3" t="str">
        <f>IFERROR(__xludf.DUMMYFUNCTION("GOOGLETRANSLATE(B704,""id"",""en"")"),"['love', 'Review', 'bad', 'gubris',' exactly ',' really ',' power ',' Telkomsel ',' network ',' strong ',' stable ',' play ',' Game ',' Ngelaq ',' Severe ',' walk ']")</f>
        <v>['love', 'Review', 'bad', 'gubris',' exactly ',' really ',' power ',' Telkomsel ',' network ',' strong ',' stable ',' play ',' Game ',' Ngelaq ',' Severe ',' walk ']</v>
      </c>
      <c r="D704" s="3">
        <v>1.0</v>
      </c>
    </row>
    <row r="705" ht="15.75" customHeight="1">
      <c r="A705" s="1">
        <v>703.0</v>
      </c>
      <c r="B705" s="3" t="s">
        <v>706</v>
      </c>
      <c r="C705" s="3" t="str">
        <f>IFERROR(__xludf.DUMMYFUNCTION("GOOGLETRANSLATE(B705,""id"",""en"")"),"['quota', 'pulse', 'sucked', 'first', 'pulses',' how ',' Maen ',' game ',' quota ',' game ',' sucked ',' pulses', ' first ',' told ',' onlen ',' service ',' provider ',' network ',' ngakal ',' in ',' user ',' mulu ', ""]")</f>
        <v>['quota', 'pulse', 'sucked', 'first', 'pulses',' how ',' Maen ',' game ',' quota ',' game ',' sucked ',' pulses', ' first ',' told ',' onlen ',' service ',' provider ',' network ',' ngakal ',' in ',' user ',' mulu ', "]</v>
      </c>
      <c r="D705" s="3">
        <v>1.0</v>
      </c>
    </row>
    <row r="706" ht="15.75" customHeight="1">
      <c r="A706" s="1">
        <v>704.0</v>
      </c>
      <c r="B706" s="3" t="s">
        <v>707</v>
      </c>
      <c r="C706" s="3" t="str">
        <f>IFERROR(__xludf.DUMMYFUNCTION("GOOGLETRANSLATE(B706,""id"",""en"")"),"['Please', 'repaired', 'Network', 'Internet', 'Region', 'Pasanggrahan', 'Solear', 'County', 'Tangerang', 'Banten', 'Customer', 'Telkomsel', ' Use ',' Please ',' as soon as possible ',' repaired ']")</f>
        <v>['Please', 'repaired', 'Network', 'Internet', 'Region', 'Pasanggrahan', 'Solear', 'County', 'Tangerang', 'Banten', 'Customer', 'Telkomsel', ' Use ',' Please ',' as soon as possible ',' repaired ']</v>
      </c>
      <c r="D706" s="3">
        <v>2.0</v>
      </c>
    </row>
    <row r="707" ht="15.75" customHeight="1">
      <c r="A707" s="1">
        <v>705.0</v>
      </c>
      <c r="B707" s="3" t="s">
        <v>708</v>
      </c>
      <c r="C707" s="3" t="str">
        <f>IFERROR(__xludf.DUMMYFUNCTION("GOOGLETRANSLATE(B707,""id"",""en"")"),"['Telkomsel', 'intention', 'gave', 'promo', 'buy', 'package', 'promo', 'turn', 'package', 'limit', 'promo', 'date', ' August ',' fix ',' love ',' star ',' love ',' star ',' Veronika ',' rich ',' people ',' stupid ',' mending ',' people ',' crazy ' , 'Conn"&amp;"ect', 'please', 'fix', 'gini', 'move', 'next door', '']")</f>
        <v>['Telkomsel', 'intention', 'gave', 'promo', 'buy', 'package', 'promo', 'turn', 'package', 'limit', 'promo', 'date', ' August ',' fix ',' love ',' star ',' love ',' star ',' Veronika ',' rich ',' people ',' stupid ',' mending ',' people ',' crazy ' , 'Connect', 'please', 'fix', 'gini', 'move', 'next door', '']</v>
      </c>
      <c r="D707" s="3">
        <v>1.0</v>
      </c>
    </row>
    <row r="708" ht="15.75" customHeight="1">
      <c r="A708" s="1">
        <v>706.0</v>
      </c>
      <c r="B708" s="3" t="s">
        <v>709</v>
      </c>
      <c r="C708" s="3" t="str">
        <f>IFERROR(__xludf.DUMMYFUNCTION("GOOGLETRANSLATE(B708,""id"",""en"")"),"['troppy', 'quality', 'sura', 'telkomsel', 'ugly', 'clear', 'voice', 'telephone', 'via', 'because', 'good', ' His voice ',' Constraints', 'Telkomsel', '']")</f>
        <v>['troppy', 'quality', 'sura', 'telkomsel', 'ugly', 'clear', 'voice', 'telephone', 'via', 'because', 'good', ' His voice ',' Constraints', 'Telkomsel', '']</v>
      </c>
      <c r="D708" s="3">
        <v>2.0</v>
      </c>
    </row>
    <row r="709" ht="15.75" customHeight="1">
      <c r="A709" s="1">
        <v>707.0</v>
      </c>
      <c r="B709" s="3" t="s">
        <v>710</v>
      </c>
      <c r="C709" s="3" t="str">
        <f>IFERROR(__xludf.DUMMYFUNCTION("GOOGLETRANSLATE(B709,""id"",""en"")"),"['Card', 'Telkomsel', 'subscribe', 'Package', 'Combo', 'Sakti', 'Unlimited', 'night', 'Purchase', 'Package', 'what' if 'if' love ',' star ',' love ',' star ',' disappointed ',' here ',' card ',' operator ',' Telkomsel ',' bad ',' user ',' developed ',' qu"&amp;"ality ' , 'plump', 'thank you']")</f>
        <v>['Card', 'Telkomsel', 'subscribe', 'Package', 'Combo', 'Sakti', 'Unlimited', 'night', 'Purchase', 'Package', 'what' if 'if' love ',' star ',' love ',' star ',' disappointed ',' here ',' card ',' operator ',' Telkomsel ',' bad ',' user ',' developed ',' quality ' , 'plump', 'thank you']</v>
      </c>
      <c r="D709" s="3">
        <v>1.0</v>
      </c>
    </row>
    <row r="710" ht="15.75" customHeight="1">
      <c r="A710" s="1">
        <v>708.0</v>
      </c>
      <c r="B710" s="3" t="s">
        <v>711</v>
      </c>
      <c r="C710" s="3" t="str">
        <f>IFERROR(__xludf.DUMMYFUNCTION("GOOGLETRANSLATE(B710,""id"",""en"")"),"['Good', 'good', 'friend', 'slow', 'really', 'signal', 'amazed', 'play', 'game', 'smooth', 'iyalah', 'Telkomsel', ' Adin ',' Exchange ',' Points', 'Diamond', 'Mobile', 'Legend', 'Diligently', 'Fill', 'Pulses', ""]")</f>
        <v>['Good', 'good', 'friend', 'slow', 'really', 'signal', 'amazed', 'play', 'game', 'smooth', 'iyalah', 'Telkomsel', ' Adin ',' Exchange ',' Points', 'Diamond', 'Mobile', 'Legend', 'Diligently', 'Fill', 'Pulses', "]</v>
      </c>
      <c r="D710" s="3">
        <v>5.0</v>
      </c>
    </row>
    <row r="711" ht="15.75" customHeight="1">
      <c r="A711" s="1">
        <v>709.0</v>
      </c>
      <c r="B711" s="3" t="s">
        <v>712</v>
      </c>
      <c r="C711" s="3" t="str">
        <f>IFERROR(__xludf.DUMMYFUNCTION("GOOGLETRANSLATE(B711,""id"",""en"")"),"['already', 'report', 'connection', 'slow', 'already', 'telephone', 'officer', 'network', 'person', 'TPI', 'yield', 'nihil', ' Change ',' Fix ',' Officer ',' Call ',' Officer ',' Qualty ',' Network ']")</f>
        <v>['already', 'report', 'connection', 'slow', 'already', 'telephone', 'officer', 'network', 'person', 'TPI', 'yield', 'nihil', ' Change ',' Fix ',' Officer ',' Call ',' Officer ',' Qualty ',' Network ']</v>
      </c>
      <c r="D711" s="3">
        <v>1.0</v>
      </c>
    </row>
    <row r="712" ht="15.75" customHeight="1">
      <c r="A712" s="1">
        <v>710.0</v>
      </c>
      <c r="B712" s="3" t="s">
        <v>713</v>
      </c>
      <c r="C712" s="3" t="str">
        <f>IFERROR(__xludf.DUMMYFUNCTION("GOOGLETRANSLATE(B712,""id"",""en"")"),"['Telkomsel', 'people', 'switch', 'operator', 'Telkomsel', 'already', 'expensive', 'almost', 'like', 'disorder', 'Telkomsel', 'number', ' cellular ',' internet ']")</f>
        <v>['Telkomsel', 'people', 'switch', 'operator', 'Telkomsel', 'already', 'expensive', 'almost', 'like', 'disorder', 'Telkomsel', 'number', ' cellular ',' internet ']</v>
      </c>
      <c r="D712" s="3">
        <v>1.0</v>
      </c>
    </row>
    <row r="713" ht="15.75" customHeight="1">
      <c r="A713" s="1">
        <v>711.0</v>
      </c>
      <c r="B713" s="3" t="s">
        <v>714</v>
      </c>
      <c r="C713" s="3" t="str">
        <f>IFERROR(__xludf.DUMMYFUNCTION("GOOGLETRANSLATE(B713,""id"",""en"")"),"['signal', 'slow', 'sek', 'snail', 'pdhl', 'tasty', 'even though', 'signal', 'game', 'endak', 'handling', 'replace', ' Laen ',' quota ',' expensive ',' quality ',' garbage ',' kek ',' buy ',' eat ',' expensive ',' kasi ',' food ',' stale ',' rating ' , 's"&amp;"ervice', 'satisfying', 'money', 'user', 'user', 'disappointed', 'can', 'money', ""]")</f>
        <v>['signal', 'slow', 'sek', 'snail', 'pdhl', 'tasty', 'even though', 'signal', 'game', 'endak', 'handling', 'replace', ' Laen ',' quota ',' expensive ',' quality ',' garbage ',' kek ',' buy ',' eat ',' expensive ',' kasi ',' food ',' stale ',' rating ' , 'service', 'satisfying', 'money', 'user', 'user', 'disappointed', 'can', 'money', "]</v>
      </c>
      <c r="D713" s="3">
        <v>1.0</v>
      </c>
    </row>
    <row r="714" ht="15.75" customHeight="1">
      <c r="A714" s="1">
        <v>712.0</v>
      </c>
      <c r="B714" s="3" t="s">
        <v>715</v>
      </c>
      <c r="C714" s="3" t="str">
        <f>IFERROR(__xludf.DUMMYFUNCTION("GOOGLETRANSLATE(B714,""id"",""en"")"),"['Telkomsel', 'Please', 'Review', 'Responded', 'Action', 'Customer', 'System', 'Spam', 'Automatic', 'Call', 'Call', 'Reject', ' Operators', 'annoying', 'troubling', 'please', 'eliminated', 'avail', 'sucks',' button ',' reject ',' created ',' refused ',' c"&amp;"all ',' called ' , 'Affairs', '']")</f>
        <v>['Telkomsel', 'Please', 'Review', 'Responded', 'Action', 'Customer', 'System', 'Spam', 'Automatic', 'Call', 'Call', 'Reject', ' Operators', 'annoying', 'troubling', 'please', 'eliminated', 'avail', 'sucks',' button ',' reject ',' created ',' refused ',' call ',' called ' , 'Affairs', '']</v>
      </c>
      <c r="D714" s="3">
        <v>1.0</v>
      </c>
    </row>
    <row r="715" ht="15.75" customHeight="1">
      <c r="A715" s="1">
        <v>713.0</v>
      </c>
      <c r="B715" s="3" t="s">
        <v>716</v>
      </c>
      <c r="C715" s="3" t="str">
        <f>IFERROR(__xludf.DUMMYFUNCTION("GOOGLETRANSLATE(B715,""id"",""en"")"),"['', 'disappointed', 'network', 'disappointing', 'play', 'game', 'online', 'signal', 'good', 'play', 'stagnant', 'goat', 'annoying ',' Blm ',' repaired ',' Telkomsel ',' ']")</f>
        <v>['', 'disappointed', 'network', 'disappointing', 'play', 'game', 'online', 'signal', 'good', 'play', 'stagnant', 'goat', 'annoying ',' Blm ',' repaired ',' Telkomsel ',' ']</v>
      </c>
      <c r="D715" s="3">
        <v>1.0</v>
      </c>
    </row>
    <row r="716" ht="15.75" customHeight="1">
      <c r="A716" s="1">
        <v>714.0</v>
      </c>
      <c r="B716" s="3" t="s">
        <v>717</v>
      </c>
      <c r="C716" s="3" t="str">
        <f>IFERROR(__xludf.DUMMYFUNCTION("GOOGLETRANSLATE(B716,""id"",""en"")"),"['skrg', 'understand', 'package', 'bognian', 'mending', 'buy', 'package', 'cheap', 'package', 'expensive', 'coakes',' darling ',' GBS ',' accumulated ',' active ',' redundant ',' quota ',' frequency ',' quota ',' scorched ',' bgtu ', ""]")</f>
        <v>['skrg', 'understand', 'package', 'bognian', 'mending', 'buy', 'package', 'cheap', 'package', 'expensive', 'coakes',' darling ',' GBS ',' accumulated ',' active ',' redundant ',' quota ',' frequency ',' quota ',' scorched ',' bgtu ', "]</v>
      </c>
      <c r="D716" s="3">
        <v>3.0</v>
      </c>
    </row>
    <row r="717" ht="15.75" customHeight="1">
      <c r="A717" s="1">
        <v>715.0</v>
      </c>
      <c r="B717" s="3" t="s">
        <v>718</v>
      </c>
      <c r="C717" s="3" t="str">
        <f>IFERROR(__xludf.DUMMYFUNCTION("GOOGLETRANSLATE(B717,""id"",""en"")"),"['Severe', 'Telkomsel', 'here', 'Package', 'Combo', 'Sakti', 'Buy', 'Choice', 'Package', 'Eliminate', 'Today', 'Hard', ' Gini ',' expensive ',' wey ',' quota ',' quota ',' expensive ',' people ',' package ',' monthly ',' combo ',' Sakti ',' price ',' righ"&amp;"t ' , 'play', 'expensive', 'expensive', 'package', 'choice', 'regret', 'Telkomsel', 'times',' disappointed ',' moved ',' operator ',' nihah ',' Indosat ',' ']")</f>
        <v>['Severe', 'Telkomsel', 'here', 'Package', 'Combo', 'Sakti', 'Buy', 'Choice', 'Package', 'Eliminate', 'Today', 'Hard', ' Gini ',' expensive ',' wey ',' quota ',' quota ',' expensive ',' people ',' package ',' monthly ',' combo ',' Sakti ',' price ',' right ' , 'play', 'expensive', 'expensive', 'package', 'choice', 'regret', 'Telkomsel', 'times',' disappointed ',' moved ',' operator ',' nihah ',' Indosat ',' ']</v>
      </c>
      <c r="D717" s="3">
        <v>1.0</v>
      </c>
    </row>
    <row r="718" ht="15.75" customHeight="1">
      <c r="A718" s="1">
        <v>716.0</v>
      </c>
      <c r="B718" s="3" t="s">
        <v>719</v>
      </c>
      <c r="C718" s="3" t="str">
        <f>IFERROR(__xludf.DUMMYFUNCTION("GOOGLETRANSLATE(B718,""id"",""en"")"),"['Card', 'Telkomsel', 'Sad', 'Telkomsel', 'package', 'internet', 'expensive', 'expensive', 'network', 'good', 'package', 'expensive', ' The network is', 'decreases',' hopefully ',' Telkomsel ',' fix ',' price ',' expensive ',' network ',' ugly ', ""]")</f>
        <v>['Card', 'Telkomsel', 'Sad', 'Telkomsel', 'package', 'internet', 'expensive', 'expensive', 'network', 'good', 'package', 'expensive', ' The network is', 'decreases',' hopefully ',' Telkomsel ',' fix ',' price ',' expensive ',' network ',' ugly ', "]</v>
      </c>
      <c r="D718" s="3">
        <v>1.0</v>
      </c>
    </row>
    <row r="719" ht="15.75" customHeight="1">
      <c r="A719" s="1">
        <v>717.0</v>
      </c>
      <c r="B719" s="3" t="s">
        <v>720</v>
      </c>
      <c r="C719" s="3" t="str">
        <f>IFERROR(__xludf.DUMMYFUNCTION("GOOGLETRANSLATE(B719,""id"",""en"")"),"['package', 'expensive', 'comparable', 'service', 'network', 'bad', 'telkomsel', 'money', 'satisfaction', 'customer', 'prah', 'note', ' customers', 'direct', 'love', 'star', 'star', 'down', 'rating', 'person', 'Telkomsel', 'work', 'tuk', 'satisfaction', '"&amp;"customer' , 'sit', 'sweet', 'wait', 'salary']")</f>
        <v>['package', 'expensive', 'comparable', 'service', 'network', 'bad', 'telkomsel', 'money', 'satisfaction', 'customer', 'prah', 'note', ' customers', 'direct', 'love', 'star', 'star', 'down', 'rating', 'person', 'Telkomsel', 'work', 'tuk', 'satisfaction', 'customer' , 'sit', 'sweet', 'wait', 'salary']</v>
      </c>
      <c r="D719" s="3">
        <v>1.0</v>
      </c>
    </row>
    <row r="720" ht="15.75" customHeight="1">
      <c r="A720" s="1">
        <v>718.0</v>
      </c>
      <c r="B720" s="3" t="s">
        <v>721</v>
      </c>
      <c r="C720" s="3" t="str">
        <f>IFERROR(__xludf.DUMMYFUNCTION("GOOGLETRANSLATE(B720,""id"",""en"")"),"['Males',' contents', 'credit', 'Telkomsel', 'quota', 'pulse', 'chair', 'reason', 'quota', 'non', 'package', 'quota', ' Non ',' Package ',' ']")</f>
        <v>['Males',' contents', 'credit', 'Telkomsel', 'quota', 'pulse', 'chair', 'reason', 'quota', 'non', 'package', 'quota', ' Non ',' Package ',' ']</v>
      </c>
      <c r="D720" s="3">
        <v>5.0</v>
      </c>
    </row>
    <row r="721" ht="15.75" customHeight="1">
      <c r="A721" s="1">
        <v>719.0</v>
      </c>
      <c r="B721" s="3" t="s">
        <v>722</v>
      </c>
      <c r="C721" s="3" t="str">
        <f>IFERROR(__xludf.DUMMYFUNCTION("GOOGLETRANSLATE(B721,""id"",""en"")"),"['package', 'internet', 'expensive', 'expensive', 'MOTHER', 'price', 'promo', 'it's easy', 'community', 'Indonesia', 'use', 'Telkomsel', ' prices', 'affordable', 'circumcised', 'pandemic', 'enforcement', 'restrictions',' activities', 'community', 'ppkm', "&amp;"'hope', 'useful', 'nation', 'people' , 'Indonesia', '']")</f>
        <v>['package', 'internet', 'expensive', 'expensive', 'MOTHER', 'price', 'promo', 'it's easy', 'community', 'Indonesia', 'use', 'Telkomsel', ' prices', 'affordable', 'circumcised', 'pandemic', 'enforcement', 'restrictions',' activities', 'community', 'ppkm', 'hope', 'useful', 'nation', 'people' , 'Indonesia', '']</v>
      </c>
      <c r="D721" s="3">
        <v>5.0</v>
      </c>
    </row>
    <row r="722" ht="15.75" customHeight="1">
      <c r="A722" s="1">
        <v>720.0</v>
      </c>
      <c r="B722" s="3" t="s">
        <v>723</v>
      </c>
      <c r="C722" s="3" t="str">
        <f>IFERROR(__xludf.DUMMYFUNCTION("GOOGLETRANSLATE(B722,""id"",""en"")"),"['Since', 'Upgrade', 'Purchase', 'Data', 'HRS', 'BYR', 'Credit', 'Choice', 'Pembyrn', 'PDHL', 'BNYK', 'Option', ' Choice ',' payment ',' buy ',' package ',' data ',' regret ',' update ',' as much as', 'perudis',' payments', 'buy', 'package', 'smpe' , 'HRS"&amp;"', 'bullak', 'rich', 'contents', 'pulse', 'then', 'buy', 'package', 'HADEH', 'Ribet', 'times', ""]")</f>
        <v>['Since', 'Upgrade', 'Purchase', 'Data', 'HRS', 'BYR', 'Credit', 'Choice', 'Pembyrn', 'PDHL', 'BNYK', 'Option', ' Choice ',' payment ',' buy ',' package ',' data ',' regret ',' update ',' as much as', 'perudis',' payments', 'buy', 'package', 'smpe' , 'HRS', 'bullak', 'rich', 'contents', 'pulse', 'then', 'buy', 'package', 'HADEH', 'Ribet', 'times', "]</v>
      </c>
      <c r="D722" s="3">
        <v>2.0</v>
      </c>
    </row>
    <row r="723" ht="15.75" customHeight="1">
      <c r="A723" s="1">
        <v>721.0</v>
      </c>
      <c r="B723" s="3" t="s">
        <v>724</v>
      </c>
      <c r="C723" s="3" t="str">
        <f>IFERROR(__xludf.DUMMYFUNCTION("GOOGLETRANSLATE(B723,""id"",""en"")"),"['already', 'consistent', 'Telkomsel', 'times',' Bener ',' Bener ',' Kapok ',' Sinyal ',' Karik ',' ugly ',' there ',' ugly ',' yes', 'Dinaikin', 'good', 'signal', 'sorry', 'switch', 'blue', '']")</f>
        <v>['already', 'consistent', 'Telkomsel', 'times',' Bener ',' Bener ',' Kapok ',' Sinyal ',' Karik ',' ugly ',' there ',' ugly ',' yes', 'Dinaikin', 'good', 'signal', 'sorry', 'switch', 'blue', '']</v>
      </c>
      <c r="D723" s="3">
        <v>1.0</v>
      </c>
    </row>
    <row r="724" ht="15.75" customHeight="1">
      <c r="A724" s="1">
        <v>722.0</v>
      </c>
      <c r="B724" s="3" t="s">
        <v>725</v>
      </c>
      <c r="C724" s="3" t="str">
        <f>IFERROR(__xludf.DUMMYFUNCTION("GOOGLETRANSLATE(B724,""id"",""en"")"),"['network', 'internet', 'Telkomsel', 'bad', 'improvement', 'change', 'kasi', 'star', 'network', 'internet', 'ugly', ""]")</f>
        <v>['network', 'internet', 'Telkomsel', 'bad', 'improvement', 'change', 'kasi', 'star', 'network', 'internet', 'ugly', "]</v>
      </c>
      <c r="D724" s="3">
        <v>1.0</v>
      </c>
    </row>
    <row r="725" ht="15.75" customHeight="1">
      <c r="A725" s="1">
        <v>723.0</v>
      </c>
      <c r="B725" s="3" t="s">
        <v>726</v>
      </c>
      <c r="C725" s="3" t="str">
        <f>IFERROR(__xludf.DUMMYFUNCTION("GOOGLETRANSLATE(B725,""id"",""en"")"),"['Disappointed', 'Paketan', 'Combo', 'Sakti', 'GB', 'Buy', 'Menu', 'Package', 'Combo', 'Sakti', 'Combo', 'Sakti', ' Unlimited ',' GB ',' Handled ',' At Begins', 'Really', 'Disappointed', 'Telkomsel', 'Used', 'Internet']")</f>
        <v>['Disappointed', 'Paketan', 'Combo', 'Sakti', 'GB', 'Buy', 'Menu', 'Package', 'Combo', 'Sakti', 'Combo', 'Sakti', ' Unlimited ',' GB ',' Handled ',' At Begins', 'Really', 'Disappointed', 'Telkomsel', 'Used', 'Internet']</v>
      </c>
      <c r="D725" s="3">
        <v>1.0</v>
      </c>
    </row>
    <row r="726" ht="15.75" customHeight="1">
      <c r="A726" s="1">
        <v>724.0</v>
      </c>
      <c r="B726" s="3" t="s">
        <v>727</v>
      </c>
      <c r="C726" s="3" t="str">
        <f>IFERROR(__xludf.DUMMYFUNCTION("GOOGLETRANSLATE(B726,""id"",""en"")"),"['operator', 'aing', 'pulse', 'lost', 'because', 'network', 'down', 'pulse', 'target', 'steal', 'directly', 'run out', ' Credit ',' package ',' internet ',' expensive ',' broken ',' pouch ',' network ',' rich ',' conch ',' poison ',' aing ',' dizzy ',' se"&amp;"rver ' , 'Like', '']")</f>
        <v>['operator', 'aing', 'pulse', 'lost', 'because', 'network', 'down', 'pulse', 'target', 'steal', 'directly', 'run out', ' Credit ',' package ',' internet ',' expensive ',' broken ',' pouch ',' network ',' rich ',' conch ',' poison ',' aing ',' dizzy ',' server ' , 'Like', '']</v>
      </c>
      <c r="D726" s="3">
        <v>1.0</v>
      </c>
    </row>
    <row r="727" ht="15.75" customHeight="1">
      <c r="A727" s="1">
        <v>725.0</v>
      </c>
      <c r="B727" s="3" t="s">
        <v>728</v>
      </c>
      <c r="C727" s="3" t="str">
        <f>IFERROR(__xludf.DUMMYFUNCTION("GOOGLETRANSLATE(B727,""id"",""en"")"),"['Customer', 'Telkomsel', 'Disappointed', 'really', 'oath', 'signal', 'slow', 'package', 'expensive', 'check', 'Curug', 'Mount', ' Sindur ',' Bogor ',' ']")</f>
        <v>['Customer', 'Telkomsel', 'Disappointed', 'really', 'oath', 'signal', 'slow', 'package', 'expensive', 'check', 'Curug', 'Mount', ' Sindur ',' Bogor ',' ']</v>
      </c>
      <c r="D727" s="3">
        <v>3.0</v>
      </c>
    </row>
    <row r="728" ht="15.75" customHeight="1">
      <c r="A728" s="1">
        <v>726.0</v>
      </c>
      <c r="B728" s="3" t="s">
        <v>729</v>
      </c>
      <c r="C728" s="3" t="str">
        <f>IFERROR(__xludf.DUMMYFUNCTION("GOOGLETRANSLATE(B728,""id"",""en"")"),"['bad', 'signal', 'internet', 'angry', 'mrah', 'high school', 'please', 'Telkomsel', 'fix', 'network', 'kalbar', 'special', ' district ',' Sekadau ',' kalu ',' signal ',' already ',' bagu ',' sya ',' kasi ',' bntang ',' skup ',' ckup ',' bntang ']")</f>
        <v>['bad', 'signal', 'internet', 'angry', 'mrah', 'high school', 'please', 'Telkomsel', 'fix', 'network', 'kalbar', 'special', ' district ',' Sekadau ',' kalu ',' signal ',' already ',' bagu ',' sya ',' kasi ',' bntang ',' skup ',' ckup ',' bntang ']</v>
      </c>
      <c r="D728" s="3">
        <v>1.0</v>
      </c>
    </row>
    <row r="729" ht="15.75" customHeight="1">
      <c r="A729" s="1">
        <v>727.0</v>
      </c>
      <c r="B729" s="3" t="s">
        <v>730</v>
      </c>
      <c r="C729" s="3" t="str">
        <f>IFERROR(__xludf.DUMMYFUNCTION("GOOGLETRANSLATE(B729,""id"",""en"")"),"['price', 'expensive', 'package', 'speed', 'slow', 'rich', 'snail', 'according to', 'price', 'package', 'cheap', 'in the past', ' Afraid ',' loss', 'already', 'loss',' where ',' it hurts', 'divided', ""]")</f>
        <v>['price', 'expensive', 'package', 'speed', 'slow', 'rich', 'snail', 'according to', 'price', 'package', 'cheap', 'in the past', ' Afraid ',' loss', 'already', 'loss',' where ',' it hurts', 'divided', "]</v>
      </c>
      <c r="D729" s="3">
        <v>1.0</v>
      </c>
    </row>
    <row r="730" ht="15.75" customHeight="1">
      <c r="A730" s="1">
        <v>728.0</v>
      </c>
      <c r="B730" s="3" t="s">
        <v>731</v>
      </c>
      <c r="C730" s="3" t="str">
        <f>IFERROR(__xludf.DUMMYFUNCTION("GOOGLETRANSLATE(B730,""id"",""en"")"),"['Disappointed', 'really', 'Telkomsel', 'Bela', 'buy', 'quota', 'expensive', 'signal', 'good', 'signal', 'kek', 'taik', ' right ',' play ',' game ',' online ',' signal ',' taik ',' disappointed ',' really ']")</f>
        <v>['Disappointed', 'really', 'Telkomsel', 'Bela', 'buy', 'quota', 'expensive', 'signal', 'good', 'signal', 'kek', 'taik', ' right ',' play ',' game ',' online ',' signal ',' taik ',' disappointed ',' really ']</v>
      </c>
      <c r="D730" s="3">
        <v>1.0</v>
      </c>
    </row>
    <row r="731" ht="15.75" customHeight="1">
      <c r="A731" s="1">
        <v>729.0</v>
      </c>
      <c r="B731" s="3" t="s">
        <v>732</v>
      </c>
      <c r="C731" s="3" t="str">
        <f>IFERROR(__xludf.DUMMYFUNCTION("GOOGLETRANSLATE(B731,""id"",""en"")"),"['Come on', 'Telkomsel', 'signal', 'internet', 'no', 'signal', 'smooth', 'SIM', 'Telkomsel', 'SIM', 'card', 'SIM', ' Priority ',' not ',' appears', 'signal', 'internet', 'please', 'bales',' text ',' copy ',' paste ', ""]")</f>
        <v>['Come on', 'Telkomsel', 'signal', 'internet', 'no', 'signal', 'smooth', 'SIM', 'Telkomsel', 'SIM', 'card', 'SIM', ' Priority ',' not ',' appears', 'signal', 'internet', 'please', 'bales',' text ',' copy ',' paste ', "]</v>
      </c>
      <c r="D731" s="3">
        <v>1.0</v>
      </c>
    </row>
    <row r="732" ht="15.75" customHeight="1">
      <c r="A732" s="1">
        <v>730.0</v>
      </c>
      <c r="B732" s="3" t="s">
        <v>733</v>
      </c>
      <c r="C732" s="3" t="str">
        <f>IFERROR(__xludf.DUMMYFUNCTION("GOOGLETRANSLATE(B732,""id"",""en"")"),"['Life', 'fought', 'Maaa', 'peaceful', 'error', 'Tetep', 'Keep', 'Health', 'Embossed', 'Immune', 'Leave', 'Government', ' Trying to ',' Live ',' Tetep ',' Use ',' Telkomsel ',' Skunnya ',' Good ',' Informed ',' Covid ',' Current ',' Learning ',' Telkomsel"&amp;" ',' Hopefully ' , 'Pandemic', 'Safe', 'Comfortable', 'Healthy', 'Keep', 'Prokes',' Wash ',' Hand ',' Use ',' Mask ',' Keep ',' Distance ',' easy ',' hopefully ',' Indonesia ',' congratulations', 'threat', 'covid', 'hope', 'aammiin']")</f>
        <v>['Life', 'fought', 'Maaa', 'peaceful', 'error', 'Tetep', 'Keep', 'Health', 'Embossed', 'Immune', 'Leave', 'Government', ' Trying to ',' Live ',' Tetep ',' Use ',' Telkomsel ',' Skunnya ',' Good ',' Informed ',' Covid ',' Current ',' Learning ',' Telkomsel ',' Hopefully ' , 'Pandemic', 'Safe', 'Comfortable', 'Healthy', 'Keep', 'Prokes',' Wash ',' Hand ',' Use ',' Mask ',' Keep ',' Distance ',' easy ',' hopefully ',' Indonesia ',' congratulations', 'threat', 'covid', 'hope', 'aammiin']</v>
      </c>
      <c r="D732" s="3">
        <v>5.0</v>
      </c>
    </row>
    <row r="733" ht="15.75" customHeight="1">
      <c r="A733" s="1">
        <v>731.0</v>
      </c>
      <c r="B733" s="3" t="s">
        <v>734</v>
      </c>
      <c r="C733" s="3" t="str">
        <f>IFERROR(__xludf.DUMMYFUNCTION("GOOGLETRANSLATE(B733,""id"",""en"")"),"['Paketan', 'expensive', 'signal', 'bad', 'Not bad', 'use', 'Telkomsel', 'quality', 'network', 'bad', 'disappointed']")</f>
        <v>['Paketan', 'expensive', 'signal', 'bad', 'Not bad', 'use', 'Telkomsel', 'quality', 'network', 'bad', 'disappointed']</v>
      </c>
      <c r="D733" s="3">
        <v>1.0</v>
      </c>
    </row>
    <row r="734" ht="15.75" customHeight="1">
      <c r="A734" s="1">
        <v>732.0</v>
      </c>
      <c r="B734" s="3" t="s">
        <v>735</v>
      </c>
      <c r="C734" s="3" t="str">
        <f>IFERROR(__xludf.DUMMYFUNCTION("GOOGLETRANSLATE(B734,""id"",""en"")"),"['already', 'night', 'network', 'Telkomsel', 'problematic', 'Bukak', 'danct', 'gmna', ""]")</f>
        <v>['already', 'night', 'network', 'Telkomsel', 'problematic', 'Bukak', 'danct', 'gmna', "]</v>
      </c>
      <c r="D734" s="3">
        <v>1.0</v>
      </c>
    </row>
    <row r="735" ht="15.75" customHeight="1">
      <c r="A735" s="1">
        <v>733.0</v>
      </c>
      <c r="B735" s="3" t="s">
        <v>736</v>
      </c>
      <c r="C735" s="3" t="str">
        <f>IFERROR(__xludf.DUMMYFUNCTION("GOOGLETRANSLATE(B735,""id"",""en"")"),"['The application', 'good', 'makes it easy', 'customers',' Telkomsel ',' Login ',' slow ',' enter ',' situation ',' network ',' smooth ',' smooth ',' Hopefully ',' fast ',' repaired ',' ']")</f>
        <v>['The application', 'good', 'makes it easy', 'customers',' Telkomsel ',' Login ',' slow ',' enter ',' situation ',' network ',' smooth ',' smooth ',' Hopefully ',' fast ',' repaired ',' ']</v>
      </c>
      <c r="D735" s="3">
        <v>3.0</v>
      </c>
    </row>
    <row r="736" ht="15.75" customHeight="1">
      <c r="A736" s="1">
        <v>734.0</v>
      </c>
      <c r="B736" s="3" t="s">
        <v>737</v>
      </c>
      <c r="C736" s="3" t="str">
        <f>IFERROR(__xludf.DUMMYFUNCTION("GOOGLETRANSLATE(B736,""id"",""en"")"),"['Please', 'Fix', 'Application', 'Update', 'Error', 'Star', 'Reduce', 'A Day', 'Box', 'Katik', 'Email', 'Number', ' Input ',' Error ',' Lost ',' Operatol ', ""]")</f>
        <v>['Please', 'Fix', 'Application', 'Update', 'Error', 'Star', 'Reduce', 'A Day', 'Box', 'Katik', 'Email', 'Number', ' Input ',' Error ',' Lost ',' Operatol ', "]</v>
      </c>
      <c r="D736" s="3">
        <v>3.0</v>
      </c>
    </row>
    <row r="737" ht="15.75" customHeight="1">
      <c r="A737" s="1">
        <v>735.0</v>
      </c>
      <c r="B737" s="3" t="s">
        <v>738</v>
      </c>
      <c r="C737" s="3" t="str">
        <f>IFERROR(__xludf.DUMMYFUNCTION("GOOGLETRANSLATE(B737,""id"",""en"")"),"['Good', 'convenience', 'info', 'promo', 'accessed', 'difficult', 'check', 'package', 'pulse', 'have', 'untyk', 'update', ' Not bad ',' Help ',' Rare ',' Stuck ',' Loading ']")</f>
        <v>['Good', 'convenience', 'info', 'promo', 'accessed', 'difficult', 'check', 'package', 'pulse', 'have', 'untyk', 'update', ' Not bad ',' Help ',' Rare ',' Stuck ',' Loading ']</v>
      </c>
      <c r="D737" s="3">
        <v>5.0</v>
      </c>
    </row>
    <row r="738" ht="15.75" customHeight="1">
      <c r="A738" s="1">
        <v>736.0</v>
      </c>
      <c r="B738" s="3" t="s">
        <v>739</v>
      </c>
      <c r="C738" s="3" t="str">
        <f>IFERROR(__xludf.DUMMYFUNCTION("GOOGLETRANSLATE(B738,""id"",""en"")"),"['Suggestion', 'Features', 'Points', 'Options', 'Exchange', 'Points', 'Facilitates', 'Switch', 'Points', 'Exchange', ""]")</f>
        <v>['Suggestion', 'Features', 'Points', 'Options', 'Exchange', 'Points', 'Facilitates', 'Switch', 'Points', 'Exchange', "]</v>
      </c>
      <c r="D738" s="3">
        <v>4.0</v>
      </c>
    </row>
    <row r="739" ht="15.75" customHeight="1">
      <c r="A739" s="1">
        <v>737.0</v>
      </c>
      <c r="B739" s="3" t="s">
        <v>740</v>
      </c>
      <c r="C739" s="3" t="str">
        <f>IFERROR(__xludf.DUMMYFUNCTION("GOOGLETRANSLATE(B739,""id"",""en"")"),"['tolg', 'buy', 'pulse', 'data', 'application', 'check', '']")</f>
        <v>['tolg', 'buy', 'pulse', 'data', 'application', 'check', '']</v>
      </c>
      <c r="D739" s="3">
        <v>3.0</v>
      </c>
    </row>
    <row r="740" ht="15.75" customHeight="1">
      <c r="A740" s="1">
        <v>738.0</v>
      </c>
      <c r="B740" s="3" t="s">
        <v>741</v>
      </c>
      <c r="C740" s="3" t="str">
        <f>IFERROR(__xludf.DUMMYFUNCTION("GOOGLETRANSLATE(B740,""id"",""en"")"),"['Telkomsel', 'famous',' expensive ',' already ',' lazy ',' use ',' Telkomsel ',' Jambi ',' missing ',' arising ',' signal ',' Lemott ',' Parrahhh ',' Mending ',' Provider ',' Price ',' Cheap ',' Krna ',' Results', 'Network', 'Lemot', 'Price', 'Expensive'"&amp;", 'Quality', 'ugly' , 'Maen', 'rubbish', '']")</f>
        <v>['Telkomsel', 'famous',' expensive ',' already ',' lazy ',' use ',' Telkomsel ',' Jambi ',' missing ',' arising ',' signal ',' Lemott ',' Parrahhh ',' Mending ',' Provider ',' Price ',' Cheap ',' Krna ',' Results', 'Network', 'Lemot', 'Price', 'Expensive', 'Quality', 'ugly' , 'Maen', 'rubbish', '']</v>
      </c>
      <c r="D740" s="3">
        <v>1.0</v>
      </c>
    </row>
    <row r="741" ht="15.75" customHeight="1">
      <c r="A741" s="1">
        <v>739.0</v>
      </c>
      <c r="B741" s="3" t="s">
        <v>742</v>
      </c>
      <c r="C741" s="3" t="str">
        <f>IFERROR(__xludf.DUMMYFUNCTION("GOOGLETRANSLATE(B741,""id"",""en"")"),"['Telkomsel', 'Choice', 'Card', 'Data', 'Family', 'Defutes',' Thirty ',' Advantage ',' Signal ',' Strong ',' Wikah ',' Movers', ' Easy ',' apply ',' network ',' broad ',' hopefully ',' Telkomsel ',' Jaya ',' ']")</f>
        <v>['Telkomsel', 'Choice', 'Card', 'Data', 'Family', 'Defutes',' Thirty ',' Advantage ',' Signal ',' Strong ',' Wikah ',' Movers', ' Easy ',' apply ',' network ',' broad ',' hopefully ',' Telkomsel ',' Jaya ',' ']</v>
      </c>
      <c r="D741" s="3">
        <v>5.0</v>
      </c>
    </row>
    <row r="742" ht="15.75" customHeight="1">
      <c r="A742" s="1">
        <v>740.0</v>
      </c>
      <c r="B742" s="3" t="s">
        <v>743</v>
      </c>
      <c r="C742" s="3" t="str">
        <f>IFERROR(__xludf.DUMMYFUNCTION("GOOGLETRANSLATE(B742,""id"",""en"")"),"['difficult', 'login', 'Verify', 'via', 'anywhere', 'since' refurbished ',' change ',' difficult ',' stay ',' enter ',' number ',' ',' direct ',' unninstall ',' darling ',' ']")</f>
        <v>['difficult', 'login', 'Verify', 'via', 'anywhere', 'since' refurbished ',' change ',' difficult ',' stay ',' enter ',' number ',' ',' direct ',' unninstall ',' darling ',' ']</v>
      </c>
      <c r="D742" s="3">
        <v>4.0</v>
      </c>
    </row>
    <row r="743" ht="15.75" customHeight="1">
      <c r="A743" s="1">
        <v>741.0</v>
      </c>
      <c r="B743" s="3" t="s">
        <v>744</v>
      </c>
      <c r="C743" s="3" t="str">
        <f>IFERROR(__xludf.DUMMYFUNCTION("GOOGLETRANSLATE(B743,""id"",""en"")"),"['update', 'at the time', 'quota', 'limit', 'buy', 'package', 'update', 'suck', 'pulse', 'update', 'pulse', 'buy', ' package ',' abis', 'update', 'suggestion', 'update', '']")</f>
        <v>['update', 'at the time', 'quota', 'limit', 'buy', 'package', 'update', 'suck', 'pulse', 'update', 'pulse', 'buy', ' package ',' abis', 'update', 'suggestion', 'update', '']</v>
      </c>
      <c r="D743" s="3">
        <v>3.0</v>
      </c>
    </row>
    <row r="744" ht="15.75" customHeight="1">
      <c r="A744" s="1">
        <v>742.0</v>
      </c>
      <c r="B744" s="3" t="s">
        <v>745</v>
      </c>
      <c r="C744" s="3" t="str">
        <f>IFERROR(__xludf.DUMMYFUNCTION("GOOGLETRANSLATE(B744,""id"",""en"")"),"['Please', 'Fix', 'Tower', 'Dead', 'Tangerang', 'Camatan', 'Kresek', 'Sand', 'Ampo', 'Gangsa', 'Disappointed', 'Package', ' Ngange ']")</f>
        <v>['Please', 'Fix', 'Tower', 'Dead', 'Tangerang', 'Camatan', 'Kresek', 'Sand', 'Ampo', 'Gangsa', 'Disappointed', 'Package', ' Ngange ']</v>
      </c>
      <c r="D744" s="3">
        <v>2.0</v>
      </c>
    </row>
    <row r="745" ht="15.75" customHeight="1">
      <c r="A745" s="1">
        <v>743.0</v>
      </c>
      <c r="B745" s="3" t="s">
        <v>746</v>
      </c>
      <c r="C745" s="3" t="str">
        <f>IFERROR(__xludf.DUMMYFUNCTION("GOOGLETRANSLATE(B745,""id"",""en"")"),"['Cool', 'Bang', 'Ngeleg', 'Internet', 'Happy', 'Play', 'Mobile', 'Legend', 'Friends',' Ku ',' Wear ',' Quota ',' gamesmax ',' internet ',' special ',' application ',' discord ',' mint ',' nobar ',' friend ',' ku ',' thank ',' love ', ""]")</f>
        <v>['Cool', 'Bang', 'Ngeleg', 'Internet', 'Happy', 'Play', 'Mobile', 'Legend', 'Friends',' Ku ',' Wear ',' Quota ',' gamesmax ',' internet ',' special ',' application ',' discord ',' mint ',' nobar ',' friend ',' ku ',' thank ',' love ', "]</v>
      </c>
      <c r="D745" s="3">
        <v>5.0</v>
      </c>
    </row>
    <row r="746" ht="15.75" customHeight="1">
      <c r="A746" s="1">
        <v>744.0</v>
      </c>
      <c r="B746" s="3" t="s">
        <v>747</v>
      </c>
      <c r="C746" s="3" t="str">
        <f>IFERROR(__xludf.DUMMYFUNCTION("GOOGLETRANSLATE(B746,""id"",""en"")"),"['BUMN', 'Quality', 'Real', 'Sad', 'Leave', 'Telkomsel', 'Karna', 'Decrease', 'Quality', 'Network', 'Disappointing', 'Rates',' expensive ',' quality ',' abal ',' thank ',' love ']")</f>
        <v>['BUMN', 'Quality', 'Real', 'Sad', 'Leave', 'Telkomsel', 'Karna', 'Decrease', 'Quality', 'Network', 'Disappointing', 'Rates',' expensive ',' quality ',' abal ',' thank ',' love ']</v>
      </c>
      <c r="D746" s="3">
        <v>1.0</v>
      </c>
    </row>
    <row r="747" ht="15.75" customHeight="1">
      <c r="A747" s="1">
        <v>745.0</v>
      </c>
      <c r="B747" s="3" t="s">
        <v>748</v>
      </c>
      <c r="C747" s="3" t="str">
        <f>IFERROR(__xludf.DUMMYFUNCTION("GOOGLETRANSLATE(B747,""id"",""en"")"),"['TLG', 'Increases',' qualities', 'Network', 'Region', 'Jayaloka', 'Kab', 'Musi', 'Rawas',' Plaque ',' Kab ',' Muba ',' South Sumatra', '']")</f>
        <v>['TLG', 'Increases',' qualities', 'Network', 'Region', 'Jayaloka', 'Kab', 'Musi', 'Rawas',' Plaque ',' Kab ',' Muba ',' South Sumatra', '']</v>
      </c>
      <c r="D747" s="3">
        <v>5.0</v>
      </c>
    </row>
    <row r="748" ht="15.75" customHeight="1">
      <c r="A748" s="1">
        <v>746.0</v>
      </c>
      <c r="B748" s="3" t="s">
        <v>749</v>
      </c>
      <c r="C748" s="3" t="str">
        <f>IFERROR(__xludf.DUMMYFUNCTION("GOOGLETRANSLATE(B748,""id"",""en"")"),"['already', 'good', 'package', 'cheap', 'replace', 'Telkomsel', 'subscribe', 'lohh', 'annoying', 'please', 'return', 'package', ' Cheap ',' donk ',' Telkomsel ',' package ',' expensive ',' really ',' sihhh ',' ']")</f>
        <v>['already', 'good', 'package', 'cheap', 'replace', 'Telkomsel', 'subscribe', 'lohh', 'annoying', 'please', 'return', 'package', ' Cheap ',' donk ',' Telkomsel ',' package ',' expensive ',' really ',' sihhh ',' ']</v>
      </c>
      <c r="D748" s="3">
        <v>1.0</v>
      </c>
    </row>
    <row r="749" ht="15.75" customHeight="1">
      <c r="A749" s="1">
        <v>747.0</v>
      </c>
      <c r="B749" s="3" t="s">
        <v>750</v>
      </c>
      <c r="C749" s="3" t="str">
        <f>IFERROR(__xludf.DUMMYFUNCTION("GOOGLETRANSLATE(B749,""id"",""en"")"),"['please', 'package', 'love', 'package', 'dst', 'delicious',' user ',' wifi ',' at home ',' home ',' package ',' data ',' Paketan ',' waste ',' quota ',' user ',' wifi ',' package ',' data ',' note ']")</f>
        <v>['please', 'package', 'love', 'package', 'dst', 'delicious',' user ',' wifi ',' at home ',' home ',' package ',' data ',' Paketan ',' waste ',' quota ',' user ',' wifi ',' package ',' data ',' note ']</v>
      </c>
      <c r="D749" s="3">
        <v>3.0</v>
      </c>
    </row>
    <row r="750" ht="15.75" customHeight="1">
      <c r="A750" s="1">
        <v>748.0</v>
      </c>
      <c r="B750" s="3" t="s">
        <v>751</v>
      </c>
      <c r="C750" s="3" t="str">
        <f>IFERROR(__xludf.DUMMYFUNCTION("GOOGLETRANSLATE(B750,""id"",""en"")"),"['Credit', 'Cut', 'Dipake', 'Internet', 'Quota', 'Credit', 'Dioptong', 'Gini', 'Change', 'Loss',' No ',' Turning ',' Credit ',' already ',' network ',' slow ',' ']")</f>
        <v>['Credit', 'Cut', 'Dipake', 'Internet', 'Quota', 'Credit', 'Dioptong', 'Gini', 'Change', 'Loss',' No ',' Turning ',' Credit ',' already ',' network ',' slow ',' ']</v>
      </c>
      <c r="D750" s="3">
        <v>1.0</v>
      </c>
    </row>
    <row r="751" ht="15.75" customHeight="1">
      <c r="A751" s="1">
        <v>749.0</v>
      </c>
      <c r="B751" s="3" t="s">
        <v>752</v>
      </c>
      <c r="C751" s="3" t="str">
        <f>IFERROR(__xludf.DUMMYFUNCTION("GOOGLETRANSLATE(B751,""id"",""en"")"),"['The application', 'good', 'service', 'network', 'disappointing', 'price', 'support', 'quality', 'network', 'lost', 'annoying', 'download', ' file ',' size ',' GB ',' LGI ',' finished ',' network ',' lost ',' because 'signal', 'stable']")</f>
        <v>['The application', 'good', 'service', 'network', 'disappointing', 'price', 'support', 'quality', 'network', 'lost', 'annoying', 'download', ' file ',' size ',' GB ',' LGI ',' finished ',' network ',' lost ',' because 'signal', 'stable']</v>
      </c>
      <c r="D751" s="3">
        <v>2.0</v>
      </c>
    </row>
    <row r="752" ht="15.75" customHeight="1">
      <c r="A752" s="1">
        <v>750.0</v>
      </c>
      <c r="B752" s="3" t="s">
        <v>753</v>
      </c>
      <c r="C752" s="3" t="str">
        <f>IFERROR(__xludf.DUMMYFUNCTION("GOOGLETRANSLATE(B752,""id"",""en"")"),"['has',' obstacles', 'card', 'see', 'Telkomsel', 'Do it', 'peaches',' disappointed ',' service ',' Telkomsel ',' wrong ',' BUMN ',' said ',' bad ',' provider ',' suggestion ',' use ',' provider ',' Telkomsel ',' suggest ',' choose ',' Telkomsel ',' compla"&amp;"int ',' action ',' continued ' , 'users', 'etc.']")</f>
        <v>['has',' obstacles', 'card', 'see', 'Telkomsel', 'Do it', 'peaches',' disappointed ',' service ',' Telkomsel ',' wrong ',' BUMN ',' said ',' bad ',' provider ',' suggestion ',' use ',' provider ',' Telkomsel ',' suggest ',' choose ',' Telkomsel ',' complaint ',' action ',' continued ' , 'users', 'etc.']</v>
      </c>
      <c r="D752" s="3">
        <v>1.0</v>
      </c>
    </row>
    <row r="753" ht="15.75" customHeight="1">
      <c r="A753" s="1">
        <v>751.0</v>
      </c>
      <c r="B753" s="3" t="s">
        <v>754</v>
      </c>
      <c r="C753" s="3" t="str">
        <f>IFERROR(__xludf.DUMMYFUNCTION("GOOGLETRANSLATE(B753,""id"",""en"")"),"['Telkomsel', 'Difficult', 'Network', 'Direct', 'Play', 'Package', 'Expensive', 'Dating', 'Suit', 'Mending', 'Package', 'Tri', ' Cheap ',' network ',' smooth ',' Telkomsel ',' weak ',' satisfying ', ""]")</f>
        <v>['Telkomsel', 'Difficult', 'Network', 'Direct', 'Play', 'Package', 'Expensive', 'Dating', 'Suit', 'Mending', 'Package', 'Tri', ' Cheap ',' network ',' smooth ',' Telkomsel ',' weak ',' satisfying ', "]</v>
      </c>
      <c r="D753" s="3">
        <v>1.0</v>
      </c>
    </row>
    <row r="754" ht="15.75" customHeight="1">
      <c r="A754" s="1">
        <v>752.0</v>
      </c>
      <c r="B754" s="3" t="s">
        <v>755</v>
      </c>
      <c r="C754" s="3" t="str">
        <f>IFERROR(__xludf.DUMMYFUNCTION("GOOGLETRANSLATE(B754,""id"",""en"")"),"['MyTel', 'problematic', 'expanded', 'payment', 'purchase', 'package', 'system', 'disorder', 'daritadi', 'please', 'repair', ""]")</f>
        <v>['MyTel', 'problematic', 'expanded', 'payment', 'purchase', 'package', 'system', 'disorder', 'daritadi', 'please', 'repair', "]</v>
      </c>
      <c r="D754" s="3">
        <v>1.0</v>
      </c>
    </row>
    <row r="755" ht="15.75" customHeight="1">
      <c r="A755" s="1">
        <v>753.0</v>
      </c>
      <c r="B755" s="3" t="s">
        <v>756</v>
      </c>
      <c r="C755" s="3" t="str">
        <f>IFERROR(__xludf.DUMMYFUNCTION("GOOGLETRANSLATE(B755,""id"",""en"")"),"['use', 'quota', 'please', 'wait', 'confirm', 'check', 'number', 'sub-district', 'sub-district', '']")</f>
        <v>['use', 'quota', 'please', 'wait', 'confirm', 'check', 'number', 'sub-district', 'sub-district', '']</v>
      </c>
      <c r="D755" s="3">
        <v>3.0</v>
      </c>
    </row>
    <row r="756" ht="15.75" customHeight="1">
      <c r="A756" s="1">
        <v>754.0</v>
      </c>
      <c r="B756" s="3" t="s">
        <v>757</v>
      </c>
      <c r="C756" s="3" t="str">
        <f>IFERROR(__xludf.DUMMYFUNCTION("GOOGLETRANSLATE(B756,""id"",""en"")"),"['Telkomsel', 'skrg', 'painful', 'quota', 'intrnet', 'telephone', 'use', 'telkomsel', 'use', 'operator', 'skrg', 'ktika', ' Kouta ',' Abis', 'BLI', 'price', 'raised', 'Package', 'subscription', 'Trededia', 'Maaaf', 'Switch', 'Operator', ""]")</f>
        <v>['Telkomsel', 'skrg', 'painful', 'quota', 'intrnet', 'telephone', 'use', 'telkomsel', 'use', 'operator', 'skrg', 'ktika', ' Kouta ',' Abis', 'BLI', 'price', 'raised', 'Package', 'subscription', 'Trededia', 'Maaaf', 'Switch', 'Operator', "]</v>
      </c>
      <c r="D756" s="3">
        <v>1.0</v>
      </c>
    </row>
    <row r="757" ht="15.75" customHeight="1">
      <c r="A757" s="1">
        <v>755.0</v>
      </c>
      <c r="B757" s="3" t="s">
        <v>758</v>
      </c>
      <c r="C757" s="3" t="str">
        <f>IFERROR(__xludf.DUMMYFUNCTION("GOOGLETRANSLATE(B757,""id"",""en"")"),"['Signal', 'battered', 'provider', 'owned', 'BUMN', 'Kayak', 'Private', 'Private', 'Kenceng', 'Sousal', 'number', 'Tens',' Get ', ""]")</f>
        <v>['Signal', 'battered', 'provider', 'owned', 'BUMN', 'Kayak', 'Private', 'Private', 'Kenceng', 'Sousal', 'number', 'Tens',' Get ', "]</v>
      </c>
      <c r="D757" s="3">
        <v>2.0</v>
      </c>
    </row>
    <row r="758" ht="15.75" customHeight="1">
      <c r="A758" s="1">
        <v>756.0</v>
      </c>
      <c r="B758" s="3" t="s">
        <v>759</v>
      </c>
      <c r="C758" s="3" t="str">
        <f>IFERROR(__xludf.DUMMYFUNCTION("GOOGLETRANSLATE(B758,""id"",""en"")"),"['Cheerful', 'buy', 'pulse', 'price', 'network', 'good', 'buy', 'write', 'error', 'system', 'told', 'wait', ' minutes', 'already', 'wait', 'clock', 'beg', 'fix', 'love', 'star', '']")</f>
        <v>['Cheerful', 'buy', 'pulse', 'price', 'network', 'good', 'buy', 'write', 'error', 'system', 'told', 'wait', ' minutes', 'already', 'wait', 'clock', 'beg', 'fix', 'love', 'star', '']</v>
      </c>
      <c r="D758" s="3">
        <v>1.0</v>
      </c>
    </row>
    <row r="759" ht="15.75" customHeight="1">
      <c r="A759" s="1">
        <v>757.0</v>
      </c>
      <c r="B759" s="3" t="s">
        <v>760</v>
      </c>
      <c r="C759" s="3" t="str">
        <f>IFERROR(__xludf.DUMMYFUNCTION("GOOGLETRANSLATE(B759,""id"",""en"")"),"['Severe', 'run out', 'contents',' reset ',' pulse ',' sumps', 'list', 'package', 'data', 'quota', 'package', 'week', ' Shargo ', ""]")</f>
        <v>['Severe', 'run out', 'contents',' reset ',' pulse ',' sumps', 'list', 'package', 'data', 'quota', 'package', 'week', ' Shargo ', "]</v>
      </c>
      <c r="D759" s="3">
        <v>1.0</v>
      </c>
    </row>
    <row r="760" ht="15.75" customHeight="1">
      <c r="A760" s="1">
        <v>758.0</v>
      </c>
      <c r="B760" s="3" t="s">
        <v>761</v>
      </c>
      <c r="C760" s="3" t="str">
        <f>IFERROR(__xludf.DUMMYFUNCTION("GOOGLETRANSLATE(B760,""id"",""en"")"),"['Please', 'Send', 'SMS', 'Day', 'SMS', 'Enter', 'Disturbing', 'Trash', 'Memory', 'Dihp', 'Right', 'Privacy', ' Users', ""]")</f>
        <v>['Please', 'Send', 'SMS', 'Day', 'SMS', 'Enter', 'Disturbing', 'Trash', 'Memory', 'Dihp', 'Right', 'Privacy', ' Users', "]</v>
      </c>
      <c r="D760" s="3">
        <v>1.0</v>
      </c>
    </row>
    <row r="761" ht="15.75" customHeight="1">
      <c r="A761" s="1">
        <v>759.0</v>
      </c>
      <c r="B761" s="3" t="s">
        <v>762</v>
      </c>
      <c r="C761" s="3" t="str">
        <f>IFERROR(__xludf.DUMMYFUNCTION("GOOGLETRANSLATE(B761,""id"",""en"")"),"['Please', 'sorry', 'mah', 'update', 'version', 'latest', 'easy', 'payment', 'bother', 'connection', 'platfrom', 'please', ' Genahi ']")</f>
        <v>['Please', 'sorry', 'mah', 'update', 'version', 'latest', 'easy', 'payment', 'bother', 'connection', 'platfrom', 'please', ' Genahi ']</v>
      </c>
      <c r="D761" s="3">
        <v>1.0</v>
      </c>
    </row>
    <row r="762" ht="15.75" customHeight="1">
      <c r="A762" s="1">
        <v>760.0</v>
      </c>
      <c r="B762" s="3" t="s">
        <v>763</v>
      </c>
      <c r="C762" s="3" t="str">
        <f>IFERROR(__xludf.DUMMYFUNCTION("GOOGLETRANSLATE(B762,""id"",""en"")"),"['Since', 'Telkomsel', 'reset', 'Yesterday', 'Network', 'Lemot', 'Region', 'Sukabumi', 'City', 'Javanese', 'West', 'reset', ' Telkomsel ',' signal ',' strong ',' weak ',' disappointment ',' operator ',' Telkomsel ',' replace ',' operator ']")</f>
        <v>['Since', 'Telkomsel', 'reset', 'Yesterday', 'Network', 'Lemot', 'Region', 'Sukabumi', 'City', 'Javanese', 'West', 'reset', ' Telkomsel ',' signal ',' strong ',' weak ',' disappointment ',' operator ',' Telkomsel ',' replace ',' operator ']</v>
      </c>
      <c r="D762" s="3">
        <v>2.0</v>
      </c>
    </row>
    <row r="763" ht="15.75" customHeight="1">
      <c r="A763" s="1">
        <v>761.0</v>
      </c>
      <c r="B763" s="3" t="s">
        <v>764</v>
      </c>
      <c r="C763" s="3" t="str">
        <f>IFERROR(__xludf.DUMMYFUNCTION("GOOGLETRANSLATE(B763,""id"",""en"")"),"['disease', 'disease', 'log', 'out', 'already', 'upgrade', 'latest', 'yes',' times', 'checked', 'login', 'reset', ' Fix ',' Gini ',' gini ',' continue ']")</f>
        <v>['disease', 'disease', 'log', 'out', 'already', 'upgrade', 'latest', 'yes',' times', 'checked', 'login', 'reset', ' Fix ',' Gini ',' gini ',' continue ']</v>
      </c>
      <c r="D763" s="3">
        <v>1.0</v>
      </c>
    </row>
    <row r="764" ht="15.75" customHeight="1">
      <c r="A764" s="1">
        <v>762.0</v>
      </c>
      <c r="B764" s="3" t="s">
        <v>765</v>
      </c>
      <c r="C764" s="3" t="str">
        <f>IFERROR(__xludf.DUMMYFUNCTION("GOOGLETRANSLATE(B764,""id"",""en"")"),"['signal', 'tekomsel', 'game', 'unclean', 'really', 'network', 'down', 'rich', 'severe', 'veronica', 'bot', 'please', ' Fix ',' Change ',' Provider ']")</f>
        <v>['signal', 'tekomsel', 'game', 'unclean', 'really', 'network', 'down', 'rich', 'severe', 'veronica', 'bot', 'please', ' Fix ',' Change ',' Provider ']</v>
      </c>
      <c r="D764" s="3">
        <v>1.0</v>
      </c>
    </row>
    <row r="765" ht="15.75" customHeight="1">
      <c r="A765" s="1">
        <v>763.0</v>
      </c>
      <c r="B765" s="3" t="s">
        <v>766</v>
      </c>
      <c r="C765" s="3" t="str">
        <f>IFERROR(__xludf.DUMMYFUNCTION("GOOGLETRANSLATE(B765,""id"",""en"")"),"['shopping', 'buy', 'pulse', 'a month', 'run out', 'JT', 'Package', 'Tetep', 'Rb', 'GB', 'friend', 'Rb', ' GB ',' a month ',' a million ',' given ',' reward ',' poor ',' fair ']")</f>
        <v>['shopping', 'buy', 'pulse', 'a month', 'run out', 'JT', 'Package', 'Tetep', 'Rb', 'GB', 'friend', 'Rb', ' GB ',' a month ',' a million ',' given ',' reward ',' poor ',' fair ']</v>
      </c>
      <c r="D765" s="3">
        <v>1.0</v>
      </c>
    </row>
    <row r="766" ht="15.75" customHeight="1">
      <c r="A766" s="1">
        <v>764.0</v>
      </c>
      <c r="B766" s="3" t="s">
        <v>767</v>
      </c>
      <c r="C766" s="3" t="str">
        <f>IFERROR(__xludf.DUMMYFUNCTION("GOOGLETRANSLATE(B766,""id"",""en"")"),"['Admin', 'Region', 'Bandung', 'South', 'Banjaran', 'Network', 'Bad', 'Min', 'Repaired', 'User', 'Tsel', 'Disappointed', ' Min ',' ']")</f>
        <v>['Admin', 'Region', 'Bandung', 'South', 'Banjaran', 'Network', 'Bad', 'Min', 'Repaired', 'User', 'Tsel', 'Disappointed', ' Min ',' ']</v>
      </c>
      <c r="D766" s="3">
        <v>1.0</v>
      </c>
    </row>
    <row r="767" ht="15.75" customHeight="1">
      <c r="A767" s="1">
        <v>765.0</v>
      </c>
      <c r="B767" s="3" t="s">
        <v>768</v>
      </c>
      <c r="C767" s="3" t="str">
        <f>IFERROR(__xludf.DUMMYFUNCTION("GOOGLETRANSLATE(B767,""id"",""en"")"),"['Disappointed', 'buy', 'package', 'gamesmax', 'quota', 'internet', 'run out', 'quota', 'game', 'quota', 'game', 'login', ' Play ',' Diamond ',' ']")</f>
        <v>['Disappointed', 'buy', 'package', 'gamesmax', 'quota', 'internet', 'run out', 'quota', 'game', 'quota', 'game', 'login', ' Play ',' Diamond ',' ']</v>
      </c>
      <c r="D767" s="3">
        <v>1.0</v>
      </c>
    </row>
    <row r="768" ht="15.75" customHeight="1">
      <c r="A768" s="1">
        <v>766.0</v>
      </c>
      <c r="B768" s="3" t="s">
        <v>769</v>
      </c>
      <c r="C768" s="3" t="str">
        <f>IFERROR(__xludf.DUMMYFUNCTION("GOOGLETRANSLATE(B768,""id"",""en"")"),"['Speed', 'Internet', 'Increases', 'Download', 'Open', 'Application', 'MyTelkomsel', 'PDHAL', 'Download', 'Open', 'Kayak', 'That's']")</f>
        <v>['Speed', 'Internet', 'Increases', 'Download', 'Open', 'Application', 'MyTelkomsel', 'PDHAL', 'Download', 'Open', 'Kayak', 'That's']</v>
      </c>
      <c r="D768" s="3">
        <v>1.0</v>
      </c>
    </row>
    <row r="769" ht="15.75" customHeight="1">
      <c r="A769" s="1">
        <v>767.0</v>
      </c>
      <c r="B769" s="3" t="s">
        <v>770</v>
      </c>
      <c r="C769" s="3" t="str">
        <f>IFERROR(__xludf.DUMMYFUNCTION("GOOGLETRANSLATE(B769,""id"",""en"")"),"['APK', 'Leech', 'land', 'buy', 'package', 'rb', 'cost', 'sucked', 'sampe', 'rb', 'lesson', 'buy', ' package ',' pulse ',' restaurant ',' rb ',' purchase ',' produck ',' karna ',' open ',' apk ',' pulse ',' truncated ',' rb ',' click ' , '']")</f>
        <v>['APK', 'Leech', 'land', 'buy', 'package', 'rb', 'cost', 'sucked', 'sampe', 'rb', 'lesson', 'buy', ' package ',' pulse ',' restaurant ',' rb ',' purchase ',' produck ',' karna ',' open ',' apk ',' pulse ',' truncated ',' rb ',' click ' , '']</v>
      </c>
      <c r="D769" s="3">
        <v>1.0</v>
      </c>
    </row>
    <row r="770" ht="15.75" customHeight="1">
      <c r="A770" s="1">
        <v>768.0</v>
      </c>
      <c r="B770" s="3" t="s">
        <v>771</v>
      </c>
      <c r="C770" s="3" t="str">
        <f>IFERROR(__xludf.DUMMYFUNCTION("GOOGLETRANSLATE(B770,""id"",""en"")"),"['Kasi', 'star', 'get', 'car', 'already', 'tensing', 'pakek', 'Telkomsel', 'get', 'gift', 'lottery', 'times',' Sustenance ',' Lottery ',' Telkomsel ',' ']")</f>
        <v>['Kasi', 'star', 'get', 'car', 'already', 'tensing', 'pakek', 'Telkomsel', 'get', 'gift', 'lottery', 'times',' Sustenance ',' Lottery ',' Telkomsel ',' ']</v>
      </c>
      <c r="D770" s="3">
        <v>5.0</v>
      </c>
    </row>
    <row r="771" ht="15.75" customHeight="1">
      <c r="A771" s="1">
        <v>769.0</v>
      </c>
      <c r="B771" s="3" t="s">
        <v>772</v>
      </c>
      <c r="C771" s="3" t="str">
        <f>IFERROR(__xludf.DUMMYFUNCTION("GOOGLETRANSLATE(B771,""id"",""en"")"),"['Package', 'Telkomsel', 'expensive', 'disappointed', 'Telkomsel', 'expensive', 'choice', 'package', 'use', 'package', 'combo', 'love', ' star ',' forced ',' love ',' star ',' post ']")</f>
        <v>['Package', 'Telkomsel', 'expensive', 'disappointed', 'Telkomsel', 'expensive', 'choice', 'package', 'use', 'package', 'combo', 'love', ' star ',' forced ',' love ',' star ',' post ']</v>
      </c>
      <c r="D771" s="3">
        <v>1.0</v>
      </c>
    </row>
    <row r="772" ht="15.75" customHeight="1">
      <c r="A772" s="1">
        <v>770.0</v>
      </c>
      <c r="B772" s="3" t="s">
        <v>773</v>
      </c>
      <c r="C772" s="3" t="str">
        <f>IFERROR(__xludf.DUMMYFUNCTION("GOOGLETRANSLATE(B772,""id"",""en"")"),"['min', 'system', 'quota', 'how', 'quota', 'pulse', 'kepake', 'internet', 'non', 'package', '']")</f>
        <v>['min', 'system', 'quota', 'how', 'quota', 'pulse', 'kepake', 'internet', 'non', 'package', '']</v>
      </c>
      <c r="D772" s="3">
        <v>1.0</v>
      </c>
    </row>
    <row r="773" ht="15.75" customHeight="1">
      <c r="A773" s="1">
        <v>771.0</v>
      </c>
      <c r="B773" s="3" t="s">
        <v>774</v>
      </c>
      <c r="C773" s="3" t="str">
        <f>IFERROR(__xludf.DUMMYFUNCTION("GOOGLETRANSLATE(B773,""id"",""en"")"),"['satisfying', 'service', 'signal', 'setabilia', 'sometimes', 'missing', 'signal', 'roling', 'sebeb', 'love', 'star', ""]")</f>
        <v>['satisfying', 'service', 'signal', 'setabilia', 'sometimes', 'missing', 'signal', 'roling', 'sebeb', 'love', 'star', "]</v>
      </c>
      <c r="D773" s="3">
        <v>4.0</v>
      </c>
    </row>
    <row r="774" ht="15.75" customHeight="1">
      <c r="A774" s="1">
        <v>772.0</v>
      </c>
      <c r="B774" s="3" t="s">
        <v>775</v>
      </c>
      <c r="C774" s="3" t="str">
        <f>IFERROR(__xludf.DUMMYFUNCTION("GOOGLETRANSLATE(B774,""id"",""en"")"),"['Application', 'company', 'class',' Telkomsel ',' hadeuh ',' open ',' mulu ',' judgment ',' star ',' because ',' gave ',' Really ',' Application ',' Latest ',' Logi ',' MENTRI ',' Guitarist ',' ']")</f>
        <v>['Application', 'company', 'class',' Telkomsel ',' hadeuh ',' open ',' mulu ',' judgment ',' star ',' because ',' gave ',' Really ',' Application ',' Latest ',' Logi ',' MENTRI ',' Guitarist ',' ']</v>
      </c>
      <c r="D774" s="3">
        <v>1.0</v>
      </c>
    </row>
    <row r="775" ht="15.75" customHeight="1">
      <c r="A775" s="1">
        <v>773.0</v>
      </c>
      <c r="B775" s="3" t="s">
        <v>776</v>
      </c>
      <c r="C775" s="3" t="str">
        <f>IFERROR(__xludf.DUMMYFUNCTION("GOOGLETRANSLATE(B775,""id"",""en"")"),"['Disappointed', 'Combo', 'Sakti', 'expensive', 'LGI', 'LGI', 'Condition', 'Covid', 'Price', 'Dinaikin', 'Please', 'Understand', ' position', '']")</f>
        <v>['Disappointed', 'Combo', 'Sakti', 'expensive', 'LGI', 'LGI', 'Condition', 'Covid', 'Price', 'Dinaikin', 'Please', 'Understand', ' position', '']</v>
      </c>
      <c r="D775" s="3">
        <v>1.0</v>
      </c>
    </row>
    <row r="776" ht="15.75" customHeight="1">
      <c r="A776" s="1">
        <v>774.0</v>
      </c>
      <c r="B776" s="3" t="s">
        <v>777</v>
      </c>
      <c r="C776" s="3" t="str">
        <f>IFERROR(__xludf.DUMMYFUNCTION("GOOGLETRANSLATE(B776,""id"",""en"")"),"['Sya', 'loyal', 'SMA', 'Tsel', 'Times',' Nokia ',' card ',' UDH ',' Tsel ',' msh ',' Msh ',' PKE ',' antenna ',' bamboo ',' PDA ',' skrg ',' sometimes', 'difficult', 'signal', 'Genting', 'kdang', 'error', ""]")</f>
        <v>['Sya', 'loyal', 'SMA', 'Tsel', 'Times',' Nokia ',' card ',' UDH ',' Tsel ',' msh ',' Msh ',' PKE ',' antenna ',' bamboo ',' PDA ',' skrg ',' sometimes', 'difficult', 'signal', 'Genting', 'kdang', 'error', "]</v>
      </c>
      <c r="D776" s="3">
        <v>3.0</v>
      </c>
    </row>
    <row r="777" ht="15.75" customHeight="1">
      <c r="A777" s="1">
        <v>775.0</v>
      </c>
      <c r="B777" s="3" t="s">
        <v>778</v>
      </c>
      <c r="C777" s="3" t="str">
        <f>IFERROR(__xludf.DUMMYFUNCTION("GOOGLETRANSLATE(B777,""id"",""en"")"),"['geblek', 'signal', 'aing', 'geus',' ilang ',' kabeh ',' geblek ',' telkom ',' provider ',' goblog ',' network ',' fast ',' fast ',' Naon ',' fast ',' taikotok ',' taibebek ',' geblek ',' change ',' card ',' bafuk ',' gaguna ',' customer ',' loyal ',' mo"&amp;"ved ' , '']")</f>
        <v>['geblek', 'signal', 'aing', 'geus',' ilang ',' kabeh ',' geblek ',' telkom ',' provider ',' goblog ',' network ',' fast ',' fast ',' Naon ',' fast ',' taikotok ',' taibebek ',' geblek ',' change ',' card ',' bafuk ',' gaguna ',' customer ',' loyal ',' moved ' , '']</v>
      </c>
      <c r="D777" s="3">
        <v>1.0</v>
      </c>
    </row>
    <row r="778" ht="15.75" customHeight="1">
      <c r="A778" s="1">
        <v>776.0</v>
      </c>
      <c r="B778" s="3" t="s">
        <v>779</v>
      </c>
      <c r="C778" s="3" t="str">
        <f>IFERROR(__xludf.DUMMYFUNCTION("GOOGLETRANSLATE(B778,""id"",""en"")"),"['signal', 'bad', 'play', 'game', 'most', 'lag', 'how', 'number', 'play', 'game', 'most', 'lag', ' Paketan ',' Doank ',' price ',' expensive ',' signal ',' random ',' stable ', ""]")</f>
        <v>['signal', 'bad', 'play', 'game', 'most', 'lag', 'how', 'number', 'play', 'game', 'most', 'lag', ' Paketan ',' Doank ',' price ',' expensive ',' signal ',' random ',' stable ', "]</v>
      </c>
      <c r="D778" s="3">
        <v>1.0</v>
      </c>
    </row>
    <row r="779" ht="15.75" customHeight="1">
      <c r="A779" s="1">
        <v>777.0</v>
      </c>
      <c r="B779" s="3" t="s">
        <v>780</v>
      </c>
      <c r="C779" s="3" t="str">
        <f>IFERROR(__xludf.DUMMYFUNCTION("GOOGLETRANSLATE(B779,""id"",""en"")"),"['combo', 'saktinya', 'ilangin', 'hahh', 'base', 'network', 'battered', 'move', 'here', 'battered', 'pisan']")</f>
        <v>['combo', 'saktinya', 'ilangin', 'hahh', 'base', 'network', 'battered', 'move', 'here', 'battered', 'pisan']</v>
      </c>
      <c r="D779" s="3">
        <v>1.0</v>
      </c>
    </row>
    <row r="780" ht="15.75" customHeight="1">
      <c r="A780" s="1">
        <v>778.0</v>
      </c>
      <c r="B780" s="3" t="s">
        <v>781</v>
      </c>
      <c r="C780" s="3" t="str">
        <f>IFERROR(__xludf.DUMMYFUNCTION("GOOGLETRANSLATE(B780,""id"",""en"")"),"['Update', 'Method', 'Payment', 'Telkomsel', 'Shopeepay', 'Confused', 'Sis', 'Nongol', 'Please', 'explained', ""]")</f>
        <v>['Update', 'Method', 'Payment', 'Telkomsel', 'Shopeepay', 'Confused', 'Sis', 'Nongol', 'Please', 'explained', "]</v>
      </c>
      <c r="D780" s="3">
        <v>1.0</v>
      </c>
    </row>
    <row r="781" ht="15.75" customHeight="1">
      <c r="A781" s="1">
        <v>779.0</v>
      </c>
      <c r="B781" s="3" t="s">
        <v>782</v>
      </c>
      <c r="C781" s="3" t="str">
        <f>IFERROR(__xludf.DUMMYFUNCTION("GOOGLETRANSLATE(B781,""id"",""en"")"),"['Ask', 'package', 'Veronikya', 'Connect', 'finish', 'JD', 'then', 'Package', 'Combo', 'Sakti', 'pdhl', 'condition', ' hope ',' can ',' hrg ',' package ',' internet ',' cheap ',' please ',' package ',' internet ',' individual ',' different ',' UDH ',' Tel"&amp;"komsel ' , 'Already', '']")</f>
        <v>['Ask', 'package', 'Veronikya', 'Connect', 'finish', 'JD', 'then', 'Package', 'Combo', 'Sakti', 'pdhl', 'condition', ' hope ',' can ',' hrg ',' package ',' internet ',' cheap ',' please ',' package ',' internet ',' individual ',' different ',' UDH ',' Telkomsel ' , 'Already', '']</v>
      </c>
      <c r="D781" s="3">
        <v>1.0</v>
      </c>
    </row>
    <row r="782" ht="15.75" customHeight="1">
      <c r="A782" s="1">
        <v>780.0</v>
      </c>
      <c r="B782" s="3" t="s">
        <v>783</v>
      </c>
      <c r="C782" s="3" t="str">
        <f>IFERROR(__xludf.DUMMYFUNCTION("GOOGLETRANSLATE(B782,""id"",""en"")"),"['update', 'package', 'combo', 'saktinya', 'yesterday', 'missing', 'appears',' expensive ',' hope ',' update ',' bad ',' switch ',' ']")</f>
        <v>['update', 'package', 'combo', 'saktinya', 'yesterday', 'missing', 'appears',' expensive ',' hope ',' update ',' bad ',' switch ',' ']</v>
      </c>
      <c r="D782" s="3">
        <v>1.0</v>
      </c>
    </row>
    <row r="783" ht="15.75" customHeight="1">
      <c r="A783" s="1">
        <v>781.0</v>
      </c>
      <c r="B783" s="3" t="s">
        <v>784</v>
      </c>
      <c r="C783" s="3" t="str">
        <f>IFERROR(__xludf.DUMMYFUNCTION("GOOGLETRANSLATE(B783,""id"",""en"")"),"['poor', 'Telkomsel', 'Win', 'expensive', 'Doank', 'prodak', 'famous',' Where ',' lose ',' provider ',' play ',' game ',' Ajah ',' Jakarta ',' UDH ',' Rich ',' Kampung ',' Win ',' Expensive ',' Doank ',' Signal ',' Heague ',' Bagusan ',' SmartFrend ',' Wh"&amp;"ere ' , 'Plosok', 'Main', 'Game']")</f>
        <v>['poor', 'Telkomsel', 'Win', 'expensive', 'Doank', 'prodak', 'famous',' Where ',' lose ',' provider ',' play ',' game ',' Ajah ',' Jakarta ',' UDH ',' Rich ',' Kampung ',' Win ',' Expensive ',' Doank ',' Signal ',' Heague ',' Bagusan ',' SmartFrend ',' Where ' , 'Plosok', 'Main', 'Game']</v>
      </c>
      <c r="D783" s="3">
        <v>1.0</v>
      </c>
    </row>
    <row r="784" ht="15.75" customHeight="1">
      <c r="A784" s="1">
        <v>782.0</v>
      </c>
      <c r="B784" s="3" t="s">
        <v>785</v>
      </c>
      <c r="C784" s="3" t="str">
        <f>IFERROR(__xludf.DUMMYFUNCTION("GOOGLETRANSLATE(B784,""id"",""en"")"),"['Disappointed', 'Allah', 'SWT', 'Parahh', 'Sunday', 'Yesterday', 'Buy', 'Paketan', 'YouTube', 'Unlimited', 'Application', 'Move', ' Providers', 'Indosat', 'active', 'users',' loyal ',' Telkomsel ',' telephone ',' pretentious', 'smart', 'help', 'help', 'h"&amp;"elp', 'action' , 'Pecuma', 'Paketannya', 'YouTube', 'here', 'tsel', 'really', 'uda', 'expensive', 'package', 'bought', 'used']")</f>
        <v>['Disappointed', 'Allah', 'SWT', 'Parahh', 'Sunday', 'Yesterday', 'Buy', 'Paketan', 'YouTube', 'Unlimited', 'Application', 'Move', ' Providers', 'Indosat', 'active', 'users',' loyal ',' Telkomsel ',' telephone ',' pretentious', 'smart', 'help', 'help', 'help', 'action' , 'Pecuma', 'Paketannya', 'YouTube', 'here', 'tsel', 'really', 'uda', 'expensive', 'package', 'bought', 'used']</v>
      </c>
      <c r="D784" s="3">
        <v>1.0</v>
      </c>
    </row>
    <row r="785" ht="15.75" customHeight="1">
      <c r="A785" s="1">
        <v>783.0</v>
      </c>
      <c r="B785" s="3" t="s">
        <v>786</v>
      </c>
      <c r="C785" s="3" t="str">
        <f>IFERROR(__xludf.DUMMYFUNCTION("GOOGLETRANSLATE(B785,""id"",""en"")"),"['gatau', 'pingin', 'followed', 'rating', 'star', 'experienced', 'complaints', 'already', '']")</f>
        <v>['gatau', 'pingin', 'followed', 'rating', 'star', 'experienced', 'complaints', 'already', '']</v>
      </c>
      <c r="D785" s="3">
        <v>1.0</v>
      </c>
    </row>
    <row r="786" ht="15.75" customHeight="1">
      <c r="A786" s="1">
        <v>784.0</v>
      </c>
      <c r="B786" s="3" t="s">
        <v>787</v>
      </c>
      <c r="C786" s="3" t="str">
        <f>IFERROR(__xludf.DUMMYFUNCTION("GOOGLETRANSLATE(B786,""id"",""en"")"),"['Dear', 'Telkomsel', 'Please', 'Return', 'Package', 'Quota', 'Combo', 'Sakti', 'Change', 'Operator', 'Cheap', 'Deh', ' in the future, 'pandemic', 'covid', 'difficult', 'search', 'money', 'education', 'work', 'quota', 'uda', 'complain', 'love', 'star' , '"&amp;"Please', 'repaired', 'Telkomsel', 'Syg', 'Uda', 'Network', 'Leet', 'plus', 'purchase', 'quota', 'expensive', ""]")</f>
        <v>['Dear', 'Telkomsel', 'Please', 'Return', 'Package', 'Quota', 'Combo', 'Sakti', 'Change', 'Operator', 'Cheap', 'Deh', ' in the future, 'pandemic', 'covid', 'difficult', 'search', 'money', 'education', 'work', 'quota', 'uda', 'complain', 'love', 'star' , 'Please', 'repaired', 'Telkomsel', 'Syg', 'Uda', 'Network', 'Leet', 'plus', 'purchase', 'quota', 'expensive', "]</v>
      </c>
      <c r="D786" s="3">
        <v>1.0</v>
      </c>
    </row>
    <row r="787" ht="15.75" customHeight="1">
      <c r="A787" s="1">
        <v>785.0</v>
      </c>
      <c r="B787" s="3" t="s">
        <v>788</v>
      </c>
      <c r="C787" s="3" t="str">
        <f>IFERROR(__xludf.DUMMYFUNCTION("GOOGLETRANSLATE(B787,""id"",""en"")"),"['Telkomsel', 'Sukanya', 'send', 'spam', 'send', 'sms',' promo ',' fortunately ',' customer ',' bother ',' admin ',' taik ',' Hang out ',' read ',' SMS ',' Reduce ',' Bintang ',' Bintang ',' ']")</f>
        <v>['Telkomsel', 'Sukanya', 'send', 'spam', 'send', 'sms',' promo ',' fortunately ',' customer ',' bother ',' admin ',' taik ',' Hang out ',' read ',' SMS ',' Reduce ',' Bintang ',' Bintang ',' ']</v>
      </c>
      <c r="D787" s="3">
        <v>2.0</v>
      </c>
    </row>
    <row r="788" ht="15.75" customHeight="1">
      <c r="A788" s="1">
        <v>786.0</v>
      </c>
      <c r="B788" s="3" t="s">
        <v>789</v>
      </c>
      <c r="C788" s="3" t="str">
        <f>IFERROR(__xludf.DUMMYFUNCTION("GOOGLETRANSLATE(B788,""id"",""en"")"),"['Sueee', 'see', 'package', 'buy', 'price', 'normal', 'turn', 'buy', 'pulse', 'see', 'already', 'price', ' disappointing ',' internet ',' good ',' see ',' vidio ',' most ',' cessel ']")</f>
        <v>['Sueee', 'see', 'package', 'buy', 'price', 'normal', 'turn', 'buy', 'pulse', 'see', 'already', 'price', ' disappointing ',' internet ',' good ',' see ',' vidio ',' most ',' cessel ']</v>
      </c>
      <c r="D788" s="3">
        <v>1.0</v>
      </c>
    </row>
    <row r="789" ht="15.75" customHeight="1">
      <c r="A789" s="1">
        <v>787.0</v>
      </c>
      <c r="B789" s="3" t="s">
        <v>790</v>
      </c>
      <c r="C789" s="3" t="str">
        <f>IFERROR(__xludf.DUMMYFUNCTION("GOOGLETRANSLATE(B789,""id"",""en"")"),"['disappointed', 'package', 'unlimited', 'bought', 'change', 'package', 'expensive', 'quota', 'signal', 'next door', 'cheap', 'gede', ' Disappointed ',' disappointed ',' slow ',' slow ',' network ',' ']")</f>
        <v>['disappointed', 'package', 'unlimited', 'bought', 'change', 'package', 'expensive', 'quota', 'signal', 'next door', 'cheap', 'gede', ' Disappointed ',' disappointed ',' slow ',' slow ',' network ',' ']</v>
      </c>
      <c r="D789" s="3">
        <v>1.0</v>
      </c>
    </row>
    <row r="790" ht="15.75" customHeight="1">
      <c r="A790" s="1">
        <v>788.0</v>
      </c>
      <c r="B790" s="3" t="s">
        <v>791</v>
      </c>
      <c r="C790" s="3" t="str">
        <f>IFERROR(__xludf.DUMMYFUNCTION("GOOGLETRANSLATE(B790,""id"",""en"")"),"['price', 'package', 'combo', 'unlimited', 'expensive', 'expensive', 'really', 'pandemic', 'telkomsel', 'gini', 'cool', 'already', ' Users', 'Telkomsel', 'rules',' in the past ',' difficult ',' kek ',' gini ',' populat ',' bnyak ',' package ',' cheap ',' "&amp;"help ',' troubled ' , 'NOT', 'price', 'soar', 'crazy']")</f>
        <v>['price', 'package', 'combo', 'unlimited', 'expensive', 'expensive', 'really', 'pandemic', 'telkomsel', 'gini', 'cool', 'already', ' Users', 'Telkomsel', 'rules',' in the past ',' difficult ',' kek ',' gini ',' populat ',' bnyak ',' package ',' cheap ',' help ',' troubled ' , 'NOT', 'price', 'soar', 'crazy']</v>
      </c>
      <c r="D790" s="3">
        <v>1.0</v>
      </c>
    </row>
    <row r="791" ht="15.75" customHeight="1">
      <c r="A791" s="1">
        <v>789.0</v>
      </c>
      <c r="B791" s="3" t="s">
        <v>792</v>
      </c>
      <c r="C791" s="3" t="str">
        <f>IFERROR(__xludf.DUMMYFUNCTION("GOOGLETRANSLATE(B791,""id"",""en"")"),"['update', 'Kouta', 'Combo', 'Sakti', 'just', 'limit', 'use', 'Kouta', 'GB', 'Doang', ""]")</f>
        <v>['update', 'Kouta', 'Combo', 'Sakti', 'just', 'limit', 'use', 'Kouta', 'GB', 'Doang', "]</v>
      </c>
      <c r="D791" s="3">
        <v>1.0</v>
      </c>
    </row>
    <row r="792" ht="15.75" customHeight="1">
      <c r="A792" s="1">
        <v>790.0</v>
      </c>
      <c r="B792" s="3" t="s">
        <v>793</v>
      </c>
      <c r="C792" s="3" t="str">
        <f>IFERROR(__xludf.DUMMYFUNCTION("GOOGLETRANSLATE(B792,""id"",""en"")"),"['pandemic', 'restrictions',' social ',' prolonged ',' Telkomsel ',' multiply ',' promo ',' products', 'expensive', 'compare', 'provider', 'promo', ' Crazy ',' Geraan ',' Different ',' Telkomsel ',' Crazy ',' Geraan ',' Expensive ',' Package ',' ']")</f>
        <v>['pandemic', 'restrictions',' social ',' prolonged ',' Telkomsel ',' multiply ',' promo ',' products', 'expensive', 'compare', 'provider', 'promo', ' Crazy ',' Geraan ',' Different ',' Telkomsel ',' Crazy ',' Geraan ',' Expensive ',' Package ',' ']</v>
      </c>
      <c r="D792" s="3">
        <v>1.0</v>
      </c>
    </row>
    <row r="793" ht="15.75" customHeight="1">
      <c r="A793" s="1">
        <v>791.0</v>
      </c>
      <c r="B793" s="3" t="s">
        <v>794</v>
      </c>
      <c r="C793" s="3" t="str">
        <f>IFERROR(__xludf.DUMMYFUNCTION("GOOGLETRANSLATE(B793,""id"",""en"")"),"['update', 'makes it easy', 'user', 'buy', 'package', 'pulse', 'bias',' pay ',' pkek ',' ovo ',' link ',' fund ',' etc. ',' skrg ',' mah ',' hrs', 'pulse', 'buy', 'package', 'monopoly', 'pay', 'pakek', 'ovo', 'etc.', 'kyk' , 'counter', 'behavior', 'gmn', "&amp;"'era', 'kyk', 'gini', 'pandemic', 'tag', 'told', 'rmh', 'turn', 'buy', ' Credit ',' Package ',' told ',' Ngwayap ',' counter ',' Sejaman ',' Batu ', ""]")</f>
        <v>['update', 'makes it easy', 'user', 'buy', 'package', 'pulse', 'bias',' pay ',' pkek ',' ovo ',' link ',' fund ',' etc. ',' skrg ',' mah ',' hrs', 'pulse', 'buy', 'package', 'monopoly', 'pay', 'pakek', 'ovo', 'etc.', 'kyk' , 'counter', 'behavior', 'gmn', 'era', 'kyk', 'gini', 'pandemic', 'tag', 'told', 'rmh', 'turn', 'buy', ' Credit ',' Package ',' told ',' Ngwayap ',' counter ',' Sejaman ',' Batu ', "]</v>
      </c>
      <c r="D793" s="3">
        <v>1.0</v>
      </c>
    </row>
    <row r="794" ht="15.75" customHeight="1">
      <c r="A794" s="1">
        <v>792.0</v>
      </c>
      <c r="B794" s="3" t="s">
        <v>795</v>
      </c>
      <c r="C794" s="3" t="str">
        <f>IFERROR(__xludf.DUMMYFUNCTION("GOOGLETRANSLATE(B794,""id"",""en"")"),"['price', 'package', 'expensive', 'network', 'rottenkkk', 'love', 'solution', 'via', 'twiter', 'line', 'mesenger', 'contents',' Delete ',' Delete ',' Delete ',' Password ',' Solution ',' Results', 'zero', 'rotten', 'Network', 'Location', 'Bandar', 'Lampun"&amp;"g']")</f>
        <v>['price', 'package', 'expensive', 'network', 'rottenkkk', 'love', 'solution', 'via', 'twiter', 'line', 'mesenger', 'contents',' Delete ',' Delete ',' Delete ',' Password ',' Solution ',' Results', 'zero', 'rotten', 'Network', 'Location', 'Bandar', 'Lampung']</v>
      </c>
      <c r="D794" s="3">
        <v>1.0</v>
      </c>
    </row>
    <row r="795" ht="15.75" customHeight="1">
      <c r="A795" s="1">
        <v>793.0</v>
      </c>
      <c r="B795" s="3" t="s">
        <v>796</v>
      </c>
      <c r="C795" s="3" t="str">
        <f>IFERROR(__xludf.DUMMYFUNCTION("GOOGLETRANSLATE(B795,""id"",""en"")"),"['Network', 'deteriorating', 'June', 'rare', 'cut off', 'June', 'here', 'severe', 'broken', 'package', 'data', 'internet', ' Changed ',' bad ']")</f>
        <v>['Network', 'deteriorating', 'June', 'rare', 'cut off', 'June', 'here', 'severe', 'broken', 'package', 'data', 'internet', ' Changed ',' bad ']</v>
      </c>
      <c r="D795" s="3">
        <v>1.0</v>
      </c>
    </row>
    <row r="796" ht="15.75" customHeight="1">
      <c r="A796" s="1">
        <v>794.0</v>
      </c>
      <c r="B796" s="3" t="s">
        <v>797</v>
      </c>
      <c r="C796" s="3" t="str">
        <f>IFERROR(__xludf.DUMMYFUNCTION("GOOGLETRANSLATE(B796,""id"",""en"")"),"['oath', 'Allah', 'Telkomsel', 'Worth', 'already', 'tens',' Taun ',' Paki ',' Telkomsel ',' skarang ',' rich ',' Gini ',' Woyyyyyyy ',' fill ',' Package ',' Bener ',' Main ',' Ngaco ',' Times', '']")</f>
        <v>['oath', 'Allah', 'Telkomsel', 'Worth', 'already', 'tens',' Taun ',' Paki ',' Telkomsel ',' skarang ',' rich ',' Gini ',' Woyyyyyyy ',' fill ',' Package ',' Bener ',' Main ',' Ngaco ',' Times', '']</v>
      </c>
      <c r="D796" s="3">
        <v>1.0</v>
      </c>
    </row>
    <row r="797" ht="15.75" customHeight="1">
      <c r="A797" s="1">
        <v>795.0</v>
      </c>
      <c r="B797" s="3" t="s">
        <v>798</v>
      </c>
      <c r="C797" s="3" t="str">
        <f>IFERROR(__xludf.DUMMYFUNCTION("GOOGLETRANSLATE(B797,""id"",""en"")"),"['immirry', 'operator', 'Telkomsel', 'Telkomsel', 'The network', 'Mushusnnnnnnnnnnnnnnnnnnnnnnneeeeeeeeeeekkkkk', 'ALIIIIIIIIIIIII', 'FACTAAAAAAAAAAAA', '']")</f>
        <v>['immirry', 'operator', 'Telkomsel', 'Telkomsel', 'The network', 'Mushusnnnnnnnnnnnnnnnnnnnnnnneeeeeeeeeeekkkkk', 'ALIIIIIIIIIIIII', 'FACTAAAAAAAAAAAA', '']</v>
      </c>
      <c r="D797" s="3">
        <v>1.0</v>
      </c>
    </row>
    <row r="798" ht="15.75" customHeight="1">
      <c r="A798" s="1">
        <v>796.0</v>
      </c>
      <c r="B798" s="3" t="s">
        <v>799</v>
      </c>
      <c r="C798" s="3" t="str">
        <f>IFERROR(__xludf.DUMMYFUNCTION("GOOGLETRANSLATE(B798,""id"",""en"")"),"['Telkomsel', 'here', 'signal', 'slow', 'surprised', 'smooth', 'smooth', 'slow', 'really', 'signal', 'please', 'fix', ' Signal ',' Kouta ',' expensive ',' Signal ',' okay ',' Kaga ',' Kouta ',' expensive ',' signal ',' ugly ',' detrimental ',' customer ',"&amp;"' loyal ' , 'over', 'over', 'moved', 'Haluan', 'operator', ""]")</f>
        <v>['Telkomsel', 'here', 'signal', 'slow', 'surprised', 'smooth', 'smooth', 'slow', 'really', 'signal', 'please', 'fix', ' Signal ',' Kouta ',' expensive ',' Signal ',' okay ',' Kaga ',' Kouta ',' expensive ',' signal ',' ugly ',' detrimental ',' customer ',' loyal ' , 'over', 'over', 'moved', 'Haluan', 'operator', "]</v>
      </c>
      <c r="D798" s="3">
        <v>1.0</v>
      </c>
    </row>
    <row r="799" ht="15.75" customHeight="1">
      <c r="A799" s="1">
        <v>797.0</v>
      </c>
      <c r="B799" s="3" t="s">
        <v>800</v>
      </c>
      <c r="C799" s="3" t="str">
        <f>IFERROR(__xludf.DUMMYFUNCTION("GOOGLETRANSLATE(B799,""id"",""en"")"),"['Discarded', 'darling', 'maintained', 'hurts',' belongs', 'chaotic', 'package', 'internet', 'the most expensive', 'slow', 'rich', 'keong', ' Please, 'Package', 'Disappointed', 'Heavy', 'Already', 'Difficult', 'Search', 'Money', 'Due', 'Carona', 'Price', "&amp;"'Down', 'Suee' ]")</f>
        <v>['Discarded', 'darling', 'maintained', 'hurts',' belongs', 'chaotic', 'package', 'internet', 'the most expensive', 'slow', 'rich', 'keong', ' Please, 'Package', 'Disappointed', 'Heavy', 'Already', 'Difficult', 'Search', 'Money', 'Due', 'Carona', 'Price', 'Down', 'Suee' ]</v>
      </c>
      <c r="D799" s="3">
        <v>1.0</v>
      </c>
    </row>
    <row r="800" ht="15.75" customHeight="1">
      <c r="A800" s="1">
        <v>798.0</v>
      </c>
      <c r="B800" s="3" t="s">
        <v>801</v>
      </c>
      <c r="C800" s="3" t="str">
        <f>IFERROR(__xludf.DUMMYFUNCTION("GOOGLETRANSLATE(B800,""id"",""en"")"),"['Disappointed', 'The network', 'expect', 'Tower', 'near', 'home', 'then', 'get', 'pulses',' download ',' Telkomsel ',' Hadeeeh ',' network ',' slow ',' road ',' package ',' buy ',' expensive ',' expensive ',' network ',' slow ',' forgiveness', '']")</f>
        <v>['Disappointed', 'The network', 'expect', 'Tower', 'near', 'home', 'then', 'get', 'pulses',' download ',' Telkomsel ',' Hadeeeh ',' network ',' slow ',' road ',' package ',' buy ',' expensive ',' expensive ',' network ',' slow ',' forgiveness', '']</v>
      </c>
      <c r="D800" s="3">
        <v>1.0</v>
      </c>
    </row>
    <row r="801" ht="15.75" customHeight="1">
      <c r="A801" s="1">
        <v>799.0</v>
      </c>
      <c r="B801" s="3" t="s">
        <v>802</v>
      </c>
      <c r="C801" s="3" t="str">
        <f>IFERROR(__xludf.DUMMYFUNCTION("GOOGLETRANSLATE(B801,""id"",""en"")"),"['Telkomsel', 'Help', 'Disight', 'User', 'Oprator', 'Telkomsel', 'Love', 'Explanation', 'Telkomsel', 'Connection', 'Move', 'Oprator']")</f>
        <v>['Telkomsel', 'Help', 'Disight', 'User', 'Oprator', 'Telkomsel', 'Love', 'Explanation', 'Telkomsel', 'Connection', 'Move', 'Oprator']</v>
      </c>
      <c r="D801" s="3">
        <v>1.0</v>
      </c>
    </row>
    <row r="802" ht="15.75" customHeight="1">
      <c r="A802" s="1">
        <v>800.0</v>
      </c>
      <c r="B802" s="3" t="s">
        <v>803</v>
      </c>
      <c r="C802" s="3" t="str">
        <f>IFERROR(__xludf.DUMMYFUNCTION("GOOGLETRANSLATE(B802,""id"",""en"")"),"['Honest', 'Disappointed', 'Telkomsel', 'Version', 'Latest', 'Network', 'Telkomsel', 'Slow', 'Please', 'Restore', 'Network', 'Telkomsel', ' proud of ',' proud ']")</f>
        <v>['Honest', 'Disappointed', 'Telkomsel', 'Version', 'Latest', 'Network', 'Telkomsel', 'Slow', 'Please', 'Restore', 'Network', 'Telkomsel', ' proud of ',' proud ']</v>
      </c>
      <c r="D802" s="3">
        <v>1.0</v>
      </c>
    </row>
    <row r="803" ht="15.75" customHeight="1">
      <c r="A803" s="1">
        <v>801.0</v>
      </c>
      <c r="B803" s="3" t="s">
        <v>804</v>
      </c>
      <c r="C803" s="3" t="str">
        <f>IFERROR(__xludf.DUMMYFUNCTION("GOOGLETRANSLATE(B803,""id"",""en"")"),"['Telkomsel', 'please', 'fix', 'ciknal', 'heya', 'sulawesi', 'southeast', 'iwoi', 'mendoro', 'difficult', 'siknal', 'tower', ' ',' please ',' hand in ',' just ',' kasi ',' star ',' satisfied ',' service ', ""]")</f>
        <v>['Telkomsel', 'please', 'fix', 'ciknal', 'heya', 'sulawesi', 'southeast', 'iwoi', 'mendoro', 'difficult', 'siknal', 'tower', ' ',' please ',' hand in ',' just ',' kasi ',' star ',' satisfied ',' service ', "]</v>
      </c>
      <c r="D803" s="3">
        <v>1.0</v>
      </c>
    </row>
    <row r="804" ht="15.75" customHeight="1">
      <c r="A804" s="1">
        <v>802.0</v>
      </c>
      <c r="B804" s="3" t="s">
        <v>805</v>
      </c>
      <c r="C804" s="3" t="str">
        <f>IFERROR(__xludf.DUMMYFUNCTION("GOOGLETRANSLATE(B804,""id"",""en"")"),"['Telkomsel', 'threat', 'really', 'signal', 'ugly', 'really', 'lose', 'smartfren', 'signal', 'manteng', 'Telkomsel', 'Telkomsel', ' Thread ',' Cur ',' Cur ',' already ',' quota ',' expensive ',' fish ',' shark ',' eat ',' tomato ',' threat ',' really ',' "&amp;"']")</f>
        <v>['Telkomsel', 'threat', 'really', 'signal', 'ugly', 'really', 'lose', 'smartfren', 'signal', 'manteng', 'Telkomsel', 'Telkomsel', ' Thread ',' Cur ',' Cur ',' already ',' quota ',' expensive ',' fish ',' shark ',' eat ',' tomato ',' threat ',' really ',' ']</v>
      </c>
      <c r="D804" s="3">
        <v>1.0</v>
      </c>
    </row>
    <row r="805" ht="15.75" customHeight="1">
      <c r="A805" s="1">
        <v>803.0</v>
      </c>
      <c r="B805" s="3" t="s">
        <v>806</v>
      </c>
      <c r="C805" s="3" t="str">
        <f>IFERROR(__xludf.DUMMYFUNCTION("GOOGLETRANSLATE(B805,""id"",""en"")"),"['signal', 'Tsel', 'KOQ', 'Severe', 'yeah', 'stay', 'in the city', 'signal', 'mot', 'ilang', 'until', 'already', ' Support ',' signal ',' Come ',' Donk ',' Fix ',' Service ',' Discuss', 'Laen', '']")</f>
        <v>['signal', 'Tsel', 'KOQ', 'Severe', 'yeah', 'stay', 'in the city', 'signal', 'mot', 'ilang', 'until', 'already', ' Support ',' signal ',' Come ',' Donk ',' Fix ',' Service ',' Discuss', 'Laen', '']</v>
      </c>
      <c r="D805" s="3">
        <v>1.0</v>
      </c>
    </row>
    <row r="806" ht="15.75" customHeight="1">
      <c r="A806" s="1">
        <v>804.0</v>
      </c>
      <c r="B806" s="3" t="s">
        <v>807</v>
      </c>
      <c r="C806" s="3" t="str">
        <f>IFERROR(__xludf.DUMMYFUNCTION("GOOGLETRANSLATE(B806,""id"",""en"")"),"['paraahhhh', 'condition', 'economy', 'difficult', 'price', 'package', 'inet', 'mahalin', 'pepahh', 'many years',' Telkomsel ',' get ',' Loyalty ',' Located ',' Price ',' Package ',' Expensive ',' Disappointed ',' ']")</f>
        <v>['paraahhhh', 'condition', 'economy', 'difficult', 'price', 'package', 'inet', 'mahalin', 'pepahh', 'many years',' Telkomsel ',' get ',' Loyalty ',' Located ',' Price ',' Package ',' Expensive ',' Disappointed ',' ']</v>
      </c>
      <c r="D806" s="3">
        <v>1.0</v>
      </c>
    </row>
    <row r="807" ht="15.75" customHeight="1">
      <c r="A807" s="1">
        <v>805.0</v>
      </c>
      <c r="B807" s="3" t="s">
        <v>808</v>
      </c>
      <c r="C807" s="3" t="str">
        <f>IFERROR(__xludf.DUMMYFUNCTION("GOOGLETRANSLATE(B807,""id"",""en"")"),"['Telkomsel', 'Next', 'buy', 'pulse', 'goceng', 'extend', 'active', 'package', 'Telkomsel', 'package', 'buy', 'tap', ' Forehead ',' comprehensive ',' repairs', '']")</f>
        <v>['Telkomsel', 'Next', 'buy', 'pulse', 'goceng', 'extend', 'active', 'package', 'Telkomsel', 'package', 'buy', 'tap', ' Forehead ',' comprehensive ',' repairs', '']</v>
      </c>
      <c r="D807" s="3">
        <v>1.0</v>
      </c>
    </row>
    <row r="808" ht="15.75" customHeight="1">
      <c r="A808" s="1">
        <v>806.0</v>
      </c>
      <c r="B808" s="3" t="s">
        <v>809</v>
      </c>
      <c r="C808" s="3" t="str">
        <f>IFERROR(__xludf.DUMMYFUNCTION("GOOGLETRANSLATE(B808,""id"",""en"")"),"['Thank you', 'package', 'combo', 'saktinya', 'thankful', 'servant', 'satisfied', 'card', 'Telkomsel', 'good', 'design', 'package', ' cheap ',' just ',' just ',' access to ',' application ',' MyTelkomsel ',' has', 'quota', 'quota', 'enter', 'MyTelkomsel',"&amp;" 'buy', 'package' , 'Tetring', 'repaired']")</f>
        <v>['Thank you', 'package', 'combo', 'saktinya', 'thankful', 'servant', 'satisfied', 'card', 'Telkomsel', 'good', 'design', 'package', ' cheap ',' just ',' just ',' access to ',' application ',' MyTelkomsel ',' has', 'quota', 'quota', 'enter', 'MyTelkomsel', 'buy', 'package' , 'Tetring', 'repaired']</v>
      </c>
      <c r="D808" s="3">
        <v>5.0</v>
      </c>
    </row>
    <row r="809" ht="15.75" customHeight="1">
      <c r="A809" s="1">
        <v>807.0</v>
      </c>
      <c r="B809" s="3" t="s">
        <v>810</v>
      </c>
      <c r="C809" s="3" t="str">
        <f>IFERROR(__xludf.DUMMYFUNCTION("GOOGLETRANSLATE(B809,""id"",""en"")"),"['active', 'business', 'network', 'member', 'Telkomsel', 'expensive', 'suggest', 'member', 'replace', 'card', 'needs', ""]")</f>
        <v>['active', 'business', 'network', 'member', 'Telkomsel', 'expensive', 'suggest', 'member', 'replace', 'card', 'needs', "]</v>
      </c>
      <c r="D809" s="3">
        <v>1.0</v>
      </c>
    </row>
    <row r="810" ht="15.75" customHeight="1">
      <c r="A810" s="1">
        <v>808.0</v>
      </c>
      <c r="B810" s="3" t="s">
        <v>811</v>
      </c>
      <c r="C810" s="3" t="str">
        <f>IFERROR(__xludf.DUMMYFUNCTION("GOOGLETRANSLATE(B810,""id"",""en"")"),"['buy', 'the card', 'right', 'tried', 'appears',' network ',' already ',' check ',' times', 'operator', 'safe', 'safe', ' Telkomsel ',' What ',' The Network ',' Please ',' Fix ',' Loss', 'Quota', 'Repaired', '']")</f>
        <v>['buy', 'the card', 'right', 'tried', 'appears',' network ',' already ',' check ',' times', 'operator', 'safe', 'safe', ' Telkomsel ',' What ',' The Network ',' Please ',' Fix ',' Loss', 'Quota', 'Repaired', '']</v>
      </c>
      <c r="D810" s="3">
        <v>1.0</v>
      </c>
    </row>
    <row r="811" ht="15.75" customHeight="1">
      <c r="A811" s="1">
        <v>809.0</v>
      </c>
      <c r="B811" s="3" t="s">
        <v>812</v>
      </c>
      <c r="C811" s="3" t="str">
        <f>IFERROR(__xludf.DUMMYFUNCTION("GOOGLETRANSLATE(B811,""id"",""en"")"),"['admin', 'please', 'package', 'buy', 'omitted', 'promo', 'packagein', 'price', 'above', 'rb', 'sound', 'cheap', ' parents', 'expensive', 'Please', 'returned', 'Ntah', 'vegetable', 'love', 'star', 'min']")</f>
        <v>['admin', 'please', 'package', 'buy', 'omitted', 'promo', 'packagein', 'price', 'above', 'rb', 'sound', 'cheap', ' parents', 'expensive', 'Please', 'returned', 'Ntah', 'vegetable', 'love', 'star', 'min']</v>
      </c>
      <c r="D811" s="3">
        <v>2.0</v>
      </c>
    </row>
    <row r="812" ht="15.75" customHeight="1">
      <c r="A812" s="1">
        <v>810.0</v>
      </c>
      <c r="B812" s="3" t="s">
        <v>813</v>
      </c>
      <c r="C812" s="3" t="str">
        <f>IFERROR(__xludf.DUMMYFUNCTION("GOOGLETRANSLATE(B812,""id"",""en"")"),"['Fly', 'Package', 'Telkomsel', 'his writing', 'game', 'in fact', 'open', 'game', 'according to', 'description', 'good', 'many years',' Telkomsel ',' package ',' ']")</f>
        <v>['Fly', 'Package', 'Telkomsel', 'his writing', 'game', 'in fact', 'open', 'game', 'according to', 'description', 'good', 'many years',' Telkomsel ',' package ',' ']</v>
      </c>
      <c r="D812" s="3">
        <v>1.0</v>
      </c>
    </row>
    <row r="813" ht="15.75" customHeight="1">
      <c r="A813" s="1">
        <v>811.0</v>
      </c>
      <c r="B813" s="3" t="s">
        <v>814</v>
      </c>
      <c r="C813" s="3" t="str">
        <f>IFERROR(__xludf.DUMMYFUNCTION("GOOGLETRANSLATE(B813,""id"",""en"")"),"['buy', 'Credit', 'Cut', 'Mulu', 'yaa', 'data', 'rare', 'activated', 'activated', 'buy', 'package', 'internet', ' Cut ',' Silver ',' Abis', 'Credit']")</f>
        <v>['buy', 'Credit', 'Cut', 'Mulu', 'yaa', 'data', 'rare', 'activated', 'activated', 'buy', 'package', 'internet', ' Cut ',' Silver ',' Abis', 'Credit']</v>
      </c>
      <c r="D813" s="3">
        <v>2.0</v>
      </c>
    </row>
    <row r="814" ht="15.75" customHeight="1">
      <c r="A814" s="1">
        <v>812.0</v>
      </c>
      <c r="B814" s="3" t="s">
        <v>815</v>
      </c>
      <c r="C814" s="3" t="str">
        <f>IFERROR(__xludf.DUMMYFUNCTION("GOOGLETRANSLATE(B814,""id"",""en"")"),"['Satisfied', 'really', 'Telkomsel', 'emang', 'right', 'price', 'quality', 'tapiii', 'network', 'stable', 'buy', 'extra', ' quota ',' via ',' application ',' difficult ',' maintained ',' quality ',' donk ',' telkomsel ',' declined ',' kyk ',' gini ',' dib"&amp;"ales', 'told' , 'report', 'Twitter', 'etc.', 'directly', 'said', 'MBA', 'friend', 'handling', 'complaints',' then ',' fix ',' service ',' Hopefully ',' repairs', 'trimakasih']")</f>
        <v>['Satisfied', 'really', 'Telkomsel', 'emang', 'right', 'price', 'quality', 'tapiii', 'network', 'stable', 'buy', 'extra', ' quota ',' via ',' application ',' difficult ',' maintained ',' quality ',' donk ',' telkomsel ',' declined ',' kyk ',' gini ',' dibales', 'told' , 'report', 'Twitter', 'etc.', 'directly', 'said', 'MBA', 'friend', 'handling', 'complaints',' then ',' fix ',' service ',' Hopefully ',' repairs', 'trimakasih']</v>
      </c>
      <c r="D814" s="3">
        <v>3.0</v>
      </c>
    </row>
    <row r="815" ht="15.75" customHeight="1">
      <c r="A815" s="1">
        <v>813.0</v>
      </c>
      <c r="B815" s="3" t="s">
        <v>816</v>
      </c>
      <c r="C815" s="3" t="str">
        <f>IFERROR(__xludf.DUMMYFUNCTION("GOOGLETRANSLATE(B815,""id"",""en"")"),"['Hadeeuh', 'MOTEIN', 'Credit', 'Mulu', 'Package', 'Special', 'Doang', 'Worn', 'Rates',' Normal ',' Alias', 'MOTH', ' Credit ',' Ngatur ',' Network ',' Customer ',' sacrificed ',' doang ',' chick ',' thousand ',' already ',' pulse ',' cave ',' cut ',' mul"&amp;"u ' , 'Forgiveness', 'Ahh', 'Thinking', 'Move', 'Rich', 'Gini', 'Hard', ""]")</f>
        <v>['Hadeeuh', 'MOTEIN', 'Credit', 'Mulu', 'Package', 'Special', 'Doang', 'Worn', 'Rates',' Normal ',' Alias', 'MOTH', ' Credit ',' Ngatur ',' Network ',' Customer ',' sacrificed ',' doang ',' chick ',' thousand ',' already ',' pulse ',' cave ',' cut ',' mulu ' , 'Forgiveness', 'Ahh', 'Thinking', 'Move', 'Rich', 'Gini', 'Hard', "]</v>
      </c>
      <c r="D815" s="3">
        <v>1.0</v>
      </c>
    </row>
    <row r="816" ht="15.75" customHeight="1">
      <c r="A816" s="1">
        <v>814.0</v>
      </c>
      <c r="B816" s="3" t="s">
        <v>817</v>
      </c>
      <c r="C816" s="3" t="str">
        <f>IFERROR(__xludf.DUMMYFUNCTION("GOOGLETRANSLATE(B816,""id"",""en"")"),"['Open', 'the application', 'difficult', 'really', 'was sentupry', 'rich', 'so', 'dooong', 'love', 'convenience', 'kek']")</f>
        <v>['Open', 'the application', 'difficult', 'really', 'was sentupry', 'rich', 'so', 'dooong', 'love', 'convenience', 'kek']</v>
      </c>
      <c r="D816" s="3">
        <v>1.0</v>
      </c>
    </row>
    <row r="817" ht="15.75" customHeight="1">
      <c r="A817" s="1">
        <v>815.0</v>
      </c>
      <c r="B817" s="3" t="s">
        <v>818</v>
      </c>
      <c r="C817" s="3" t="str">
        <f>IFERROR(__xludf.DUMMYFUNCTION("GOOGLETRANSLATE(B817,""id"",""en"")"),"['Disappointed', 'really', 'price', 'network', 'Lola', 'please', 'Tsel', 'number', 'love', 'cheap', 'price', 'paketan', ' Lots of ',' Useful ',' Example ',' Paketan ',' GB ',' GB ',' Maxstrem ',' GB ',' National ',' Please ',' Fix ',' Customer ',' Run ' ,"&amp;" 'Provider', 'another']")</f>
        <v>['Disappointed', 'really', 'price', 'network', 'Lola', 'please', 'Tsel', 'number', 'love', 'cheap', 'price', 'paketan', ' Lots of ',' Useful ',' Example ',' Paketan ',' GB ',' GB ',' Maxstrem ',' GB ',' National ',' Please ',' Fix ',' Customer ',' Run ' , 'Provider', 'another']</v>
      </c>
      <c r="D817" s="3">
        <v>1.0</v>
      </c>
    </row>
    <row r="818" ht="15.75" customHeight="1">
      <c r="A818" s="1">
        <v>816.0</v>
      </c>
      <c r="B818" s="3" t="s">
        <v>819</v>
      </c>
      <c r="C818" s="3" t="str">
        <f>IFERROR(__xludf.DUMMYFUNCTION("GOOGLETRANSLATE(B818,""id"",""en"")"),"['Buy', 'Package', 'APK', 'Telkomsel', 'Ribet', 'Get', 'Free', 'Quota', 'Ampe', 'GB', 'Price', 'Cheap', ' Skrng ',' expensive ',' expensive ',' really ',' gangbang ',' card ',' Telkomsel ']")</f>
        <v>['Buy', 'Package', 'APK', 'Telkomsel', 'Ribet', 'Get', 'Free', 'Quota', 'Ampe', 'GB', 'Price', 'Cheap', ' Skrng ',' expensive ',' expensive ',' really ',' gangbang ',' card ',' Telkomsel ']</v>
      </c>
      <c r="D818" s="3">
        <v>1.0</v>
      </c>
    </row>
    <row r="819" ht="15.75" customHeight="1">
      <c r="A819" s="1">
        <v>817.0</v>
      </c>
      <c r="B819" s="3" t="s">
        <v>820</v>
      </c>
      <c r="C819" s="3" t="str">
        <f>IFERROR(__xludf.DUMMYFUNCTION("GOOGLETRANSLATE(B819,""id"",""en"")"),"['Paketan', 'subscription', 'missing', 'please', 'cheap', 'Telkomsel', 'network', 'widest', 'lose', 'operator', 'next door', 'Gini', ' Customers', 'flocked', 'moved', 'operator', 'next door', 'cheap', 'affordable', '']")</f>
        <v>['Paketan', 'subscription', 'missing', 'please', 'cheap', 'Telkomsel', 'network', 'widest', 'lose', 'operator', 'next door', 'Gini', ' Customers', 'flocked', 'moved', 'operator', 'next door', 'cheap', 'affordable', '']</v>
      </c>
      <c r="D819" s="3">
        <v>2.0</v>
      </c>
    </row>
    <row r="820" ht="15.75" customHeight="1">
      <c r="A820" s="1">
        <v>818.0</v>
      </c>
      <c r="B820" s="3" t="s">
        <v>821</v>
      </c>
      <c r="C820" s="3" t="str">
        <f>IFERROR(__xludf.DUMMYFUNCTION("GOOGLETRANSLATE(B820,""id"",""en"")"),"['please', 'price', 'internet', 'cheap', 'sampi', 'mahalin', 'network', 'telkomsel', 'disruption', 'sampi', 'move', 'network', ' Subscribe ',' already ',' Disband ',' Disband ',' PKE ',' Telkomsel ',' People ',' Poor ']")</f>
        <v>['please', 'price', 'internet', 'cheap', 'sampi', 'mahalin', 'network', 'telkomsel', 'disruption', 'sampi', 'move', 'network', ' Subscribe ',' already ',' Disband ',' Disband ',' PKE ',' Telkomsel ',' People ',' Poor ']</v>
      </c>
      <c r="D820" s="3">
        <v>1.0</v>
      </c>
    </row>
    <row r="821" ht="15.75" customHeight="1">
      <c r="A821" s="1">
        <v>819.0</v>
      </c>
      <c r="B821" s="3" t="s">
        <v>822</v>
      </c>
      <c r="C821" s="3" t="str">
        <f>IFERROR(__xludf.DUMMYFUNCTION("GOOGLETRANSLATE(B821,""id"",""en"")"),"['Package', 'buy', 'check', 'quota', 'writing', 'Sorry', 'buy', 'product', 'please', 'Telkomsel', 'as soon as possible,' fix ',' online ',' difficult ',' beljar ',' hrs', 'search', 'please', 'child', 'sekolh', 'buy', 'quota', 'expensive', 'expensive']")</f>
        <v>['Package', 'buy', 'check', 'quota', 'writing', 'Sorry', 'buy', 'product', 'please', 'Telkomsel', 'as soon as possible,' fix ',' online ',' difficult ',' beljar ',' hrs', 'search', 'please', 'child', 'sekolh', 'buy', 'quota', 'expensive', 'expensive']</v>
      </c>
      <c r="D821" s="3">
        <v>1.0</v>
      </c>
    </row>
    <row r="822" ht="15.75" customHeight="1">
      <c r="A822" s="1">
        <v>820.0</v>
      </c>
      <c r="B822" s="3" t="s">
        <v>823</v>
      </c>
      <c r="C822" s="3" t="str">
        <f>IFERROR(__xludf.DUMMYFUNCTION("GOOGLETRANSLATE(B822,""id"",""en"")"),"['admin', 'please', 'fix', 'network', 'Mesuji', 'wiralaga', 'signal', 'down', 'person', 'migration', 'operator']")</f>
        <v>['admin', 'please', 'fix', 'network', 'Mesuji', 'wiralaga', 'signal', 'down', 'person', 'migration', 'operator']</v>
      </c>
      <c r="D822" s="3">
        <v>1.0</v>
      </c>
    </row>
    <row r="823" ht="15.75" customHeight="1">
      <c r="A823" s="1">
        <v>821.0</v>
      </c>
      <c r="B823" s="3" t="s">
        <v>824</v>
      </c>
      <c r="C823" s="3" t="str">
        <f>IFERROR(__xludf.DUMMYFUNCTION("GOOGLETRANSLATE(B823,""id"",""en"")"),"['buy', 'Package', 'Combo', 'Sakti', 'Unlimeted', 'card', 'Tamba', 'expensive', 'buy', 'quota', 'disappointed', 'Telkomsel', ' in the future, 'pandemic', 'given', 'price', 'drapis', '']")</f>
        <v>['buy', 'Package', 'Combo', 'Sakti', 'Unlimeted', 'card', 'Tamba', 'expensive', 'buy', 'quota', 'disappointed', 'Telkomsel', ' in the future, 'pandemic', 'given', 'price', 'drapis', '']</v>
      </c>
      <c r="D823" s="3">
        <v>1.0</v>
      </c>
    </row>
    <row r="824" ht="15.75" customHeight="1">
      <c r="A824" s="1">
        <v>822.0</v>
      </c>
      <c r="B824" s="3" t="s">
        <v>825</v>
      </c>
      <c r="C824" s="3" t="str">
        <f>IFERROR(__xludf.DUMMYFUNCTION("GOOGLETRANSLATE(B824,""id"",""en"")"),"['Cost', 'Transfer', 'Ngeukunjak', 'Customer', 'Thn', 'Compensation', 'Costs',' Transfer ',' Really ',' Disright ',' Entrepreneurs', 'Field', ' Transfer ',' pulse ',' okay ',' already ',' network ',' internet ',' kayak ',' snail ',' worth ',' operator ','"&amp;" ']")</f>
        <v>['Cost', 'Transfer', 'Ngeukunjak', 'Customer', 'Thn', 'Compensation', 'Costs',' Transfer ',' Really ',' Disright ',' Entrepreneurs', 'Field', ' Transfer ',' pulse ',' okay ',' already ',' network ',' internet ',' kayak ',' snail ',' worth ',' operator ',' ']</v>
      </c>
      <c r="D824" s="3">
        <v>1.0</v>
      </c>
    </row>
    <row r="825" ht="15.75" customHeight="1">
      <c r="A825" s="1">
        <v>823.0</v>
      </c>
      <c r="B825" s="3" t="s">
        <v>826</v>
      </c>
      <c r="C825" s="3" t="str">
        <f>IFERROR(__xludf.DUMMYFUNCTION("GOOGLETRANSLATE(B825,""id"",""en"")"),"['Points',' Points', 'NDA', 'Exchange', 'Telkomsel', 'Operated', 'Operators',' Internet ',' Fortunately ',' Play ',' Internet ',' Telkomsel ',' ']")</f>
        <v>['Points',' Points', 'NDA', 'Exchange', 'Telkomsel', 'Operated', 'Operators',' Internet ',' Fortunately ',' Play ',' Internet ',' Telkomsel ',' ']</v>
      </c>
      <c r="D825" s="3">
        <v>1.0</v>
      </c>
    </row>
    <row r="826" ht="15.75" customHeight="1">
      <c r="A826" s="1">
        <v>824.0</v>
      </c>
      <c r="B826" s="3" t="s">
        <v>827</v>
      </c>
      <c r="C826" s="3" t="str">
        <f>IFERROR(__xludf.DUMMYFUNCTION("GOOGLETRANSLATE(B826,""id"",""en"")"),"['Sorry', 'Star', 'Lower', 'Please', 'Pop', 'Review', 'App', 'Published', 'Review', 'Appear', 'Pagenya', 'ACTIVE', ' Open ',' App ',' annoying ']")</f>
        <v>['Sorry', 'Star', 'Lower', 'Please', 'Pop', 'Review', 'App', 'Published', 'Review', 'Appear', 'Pagenya', 'ACTIVE', ' Open ',' App ',' annoying ']</v>
      </c>
      <c r="D826" s="3">
        <v>1.0</v>
      </c>
    </row>
    <row r="827" ht="15.75" customHeight="1">
      <c r="A827" s="1">
        <v>825.0</v>
      </c>
      <c r="B827" s="3" t="s">
        <v>828</v>
      </c>
      <c r="C827" s="3" t="str">
        <f>IFERROR(__xludf.DUMMYFUNCTION("GOOGLETRANSLATE(B827,""id"",""en"")"),"['Makation', 'already', 'makes it easy', 'payment', 'nonya', 'likes',' logout ',' system ',' security ',' security ',' times', 'logout', ' ']")</f>
        <v>['Makation', 'already', 'makes it easy', 'payment', 'nonya', 'likes',' logout ',' system ',' security ',' security ',' times', 'logout', ' ']</v>
      </c>
      <c r="D827" s="3">
        <v>5.0</v>
      </c>
    </row>
    <row r="828" ht="15.75" customHeight="1">
      <c r="A828" s="1">
        <v>826.0</v>
      </c>
      <c r="B828" s="3" t="s">
        <v>829</v>
      </c>
      <c r="C828" s="3" t="str">
        <f>IFERROR(__xludf.DUMMYFUNCTION("GOOGLETRANSLATE(B828,""id"",""en"")"),"['', 'buy', 'package', 'package', 'AKTIP', 'PLSA', 'Cut', 'PLSA', 'Main', 'Corn', 'Turn', 'Call', 'Operator ',' Kayak ',' disepelehin ',' noise ',' price ',' TPI ',' Performance ',' according to ',' use ',' Telkomsel ',' Towning ']")</f>
        <v>['', 'buy', 'package', 'package', 'AKTIP', 'PLSA', 'Cut', 'PLSA', 'Main', 'Corn', 'Turn', 'Call', 'Operator ',' Kayak ',' disepelehin ',' noise ',' price ',' TPI ',' Performance ',' according to ',' use ',' Telkomsel ',' Towning ']</v>
      </c>
      <c r="D828" s="3">
        <v>1.0</v>
      </c>
    </row>
    <row r="829" ht="15.75" customHeight="1">
      <c r="A829" s="1">
        <v>827.0</v>
      </c>
      <c r="B829" s="3" t="s">
        <v>830</v>
      </c>
      <c r="C829" s="3" t="str">
        <f>IFERROR(__xludf.DUMMYFUNCTION("GOOGLETRANSLATE(B829,""id"",""en"")"),"['The network', 'ugly', 'severe', 'that's',' application ',' update ',' complicated ',' customer ',' young ',' complicated ',' package ',' expensive ',' Expensive ',' Network ',' Good ',' ']")</f>
        <v>['The network', 'ugly', 'severe', 'that's',' application ',' update ',' complicated ',' customer ',' young ',' complicated ',' package ',' expensive ',' Expensive ',' Network ',' Good ',' ']</v>
      </c>
      <c r="D829" s="3">
        <v>1.0</v>
      </c>
    </row>
    <row r="830" ht="15.75" customHeight="1">
      <c r="A830" s="1">
        <v>828.0</v>
      </c>
      <c r="B830" s="3" t="s">
        <v>831</v>
      </c>
      <c r="C830" s="3" t="str">
        <f>IFERROR(__xludf.DUMMYFUNCTION("GOOGLETRANSLATE(B830,""id"",""en"")"),"['Paketan', 'Telkomsel', 'Permahal', 'users',' loyal ',' Telkomsel ',' disappointed ',' update ',' quota ',' system ',' expensive ',' quota ',' Make sure ',' Telkomsel ',' Leave ',' user ',' loyal ',' person ',' moved ',' Perdana ',' Live ',' Wait ',' in "&amp;"the future ',' thank ',' love ' ]")</f>
        <v>['Paketan', 'Telkomsel', 'Permahal', 'users',' loyal ',' Telkomsel ',' disappointed ',' update ',' quota ',' system ',' expensive ',' quota ',' Make sure ',' Telkomsel ',' Leave ',' user ',' loyal ',' person ',' moved ',' Perdana ',' Live ',' Wait ',' in the future ',' thank ',' love ' ]</v>
      </c>
      <c r="D830" s="3">
        <v>1.0</v>
      </c>
    </row>
    <row r="831" ht="15.75" customHeight="1">
      <c r="A831" s="1">
        <v>829.0</v>
      </c>
      <c r="B831" s="3" t="s">
        <v>832</v>
      </c>
      <c r="C831" s="3" t="str">
        <f>IFERROR(__xludf.DUMMYFUNCTION("GOOGLETRANSLATE(B831,""id"",""en"")"),"['', 'backward', 'card', 'sympathy', 'call', 'already', 'enter', 'card', 'hello', 'term', 'bln', 'paid', 'telephone ',' how ',' disappointed ',' telephone ', ""]")</f>
        <v>['', 'backward', 'card', 'sympathy', 'call', 'already', 'enter', 'card', 'hello', 'term', 'bln', 'paid', 'telephone ',' how ',' disappointed ',' telephone ', "]</v>
      </c>
      <c r="D831" s="3">
        <v>1.0</v>
      </c>
    </row>
    <row r="832" ht="15.75" customHeight="1">
      <c r="A832" s="1">
        <v>830.0</v>
      </c>
      <c r="B832" s="3" t="s">
        <v>833</v>
      </c>
      <c r="C832" s="3" t="str">
        <f>IFERROR(__xludf.DUMMYFUNCTION("GOOGLETRANSLATE(B832,""id"",""en"")"),"['oath', 'disappointed', 'right', 'package', 'combo', 'cave', 'buy', 'remove', 'love', 'package', 'expensive', 'what', ' already ',' match ',' remove ',' so ',' move ',' Please ',' understanding ']")</f>
        <v>['oath', 'disappointed', 'right', 'package', 'combo', 'cave', 'buy', 'remove', 'love', 'package', 'expensive', 'what', ' already ',' match ',' remove ',' so ',' move ',' Please ',' understanding ']</v>
      </c>
      <c r="D832" s="3">
        <v>1.0</v>
      </c>
    </row>
    <row r="833" ht="15.75" customHeight="1">
      <c r="A833" s="1">
        <v>831.0</v>
      </c>
      <c r="B833" s="3" t="s">
        <v>834</v>
      </c>
      <c r="C833" s="3" t="str">
        <f>IFERROR(__xludf.DUMMYFUNCTION("GOOGLETRANSLATE(B833,""id"",""en"")"),"['disappointing', 'husband', 'combo', 'saktinya', 'disappears', 'husband', 'update', 'use', 'Telkomsel', 'told', 'lite', 'please' given ',' solution ',' husband ',' combo ',' klu ',' solution ',' profitable ',' customer ',' love ',' star ', ""]")</f>
        <v>['disappointing', 'husband', 'combo', 'saktinya', 'disappears', 'husband', 'update', 'use', 'Telkomsel', 'told', 'lite', 'please' given ',' solution ',' husband ',' combo ',' klu ',' solution ',' profitable ',' customer ',' love ',' star ', "]</v>
      </c>
      <c r="D833" s="3">
        <v>1.0</v>
      </c>
    </row>
    <row r="834" ht="15.75" customHeight="1">
      <c r="A834" s="1">
        <v>832.0</v>
      </c>
      <c r="B834" s="3" t="s">
        <v>835</v>
      </c>
      <c r="C834" s="3" t="str">
        <f>IFERROR(__xludf.DUMMYFUNCTION("GOOGLETRANSLATE(B834,""id"",""en"")"),"['said', 'extra', 'unlimited', 'package', 'main', 'run out', 'open', 'application', 'speed', 'max', 'kbps',' mentok ',' Kbps', 'Boro', 'Open', 'Application', 'Send', 'Chat', 'Super', 'Lemot', 'Mending', 'Operator', 'Smartfren', ""]")</f>
        <v>['said', 'extra', 'unlimited', 'package', 'main', 'run out', 'open', 'application', 'speed', 'max', 'kbps',' mentok ',' Kbps', 'Boro', 'Open', 'Application', 'Send', 'Chat', 'Super', 'Lemot', 'Mending', 'Operator', 'Smartfren', "]</v>
      </c>
      <c r="D834" s="3">
        <v>1.0</v>
      </c>
    </row>
    <row r="835" ht="15.75" customHeight="1">
      <c r="A835" s="1">
        <v>833.0</v>
      </c>
      <c r="B835" s="3" t="s">
        <v>836</v>
      </c>
      <c r="C835" s="3" t="str">
        <f>IFERROR(__xludf.DUMMYFUNCTION("GOOGLETRANSLATE(B835,""id"",""en"")"),"['experience', 'cave', 'tekomsel', 'card', 'bad', 'where', 'signal', 'city', 'tetep', 'singal', 'card', 'cave', ' President ',' Tekomsel ',' kick ']")</f>
        <v>['experience', 'cave', 'tekomsel', 'card', 'bad', 'where', 'signal', 'city', 'tetep', 'singal', 'card', 'cave', ' President ',' Tekomsel ',' kick ']</v>
      </c>
      <c r="D835" s="3">
        <v>1.0</v>
      </c>
    </row>
    <row r="836" ht="15.75" customHeight="1">
      <c r="A836" s="1">
        <v>834.0</v>
      </c>
      <c r="B836" s="3" t="s">
        <v>837</v>
      </c>
      <c r="C836" s="3" t="str">
        <f>IFERROR(__xludf.DUMMYFUNCTION("GOOGLETRANSLATE(B836,""id"",""en"")"),"['Fill', 'voucher', 'system', 'busy', 'fill', 'busy', 'use', 'buy', 'use', 'money', 'sain', 'buy', ' Vouchers', 'please', 'repaired', '']")</f>
        <v>['Fill', 'voucher', 'system', 'busy', 'fill', 'busy', 'use', 'buy', 'use', 'money', 'sain', 'buy', ' Vouchers', 'please', 'repaired', '']</v>
      </c>
      <c r="D836" s="3">
        <v>1.0</v>
      </c>
    </row>
    <row r="837" ht="15.75" customHeight="1">
      <c r="A837" s="1">
        <v>835.0</v>
      </c>
      <c r="B837" s="3" t="s">
        <v>838</v>
      </c>
      <c r="C837" s="3" t="str">
        <f>IFERROR(__xludf.DUMMYFUNCTION("GOOGLETRANSLATE(B837,""id"",""en"")"),"['offered', 'customer', 'servicen', 'migration', 'sympathy', 'card', 'hello', 'improved', 'bad', 'connection', 'different', 'customer', ' Service ',' Data ',' Geologists', 'Living', 'City', 'Tangerang', 'Regret', 'Behind', 'Thank you', ""]")</f>
        <v>['offered', 'customer', 'servicen', 'migration', 'sympathy', 'card', 'hello', 'improved', 'bad', 'connection', 'different', 'customer', ' Service ',' Data ',' Geologists', 'Living', 'City', 'Tangerang', 'Regret', 'Behind', 'Thank you', "]</v>
      </c>
      <c r="D837" s="3">
        <v>1.0</v>
      </c>
    </row>
    <row r="838" ht="15.75" customHeight="1">
      <c r="A838" s="1">
        <v>836.0</v>
      </c>
      <c r="B838" s="3" t="s">
        <v>839</v>
      </c>
      <c r="C838" s="3" t="str">
        <f>IFERROR(__xludf.DUMMYFUNCTION("GOOGLETRANSLATE(B838,""id"",""en"")"),"['Please', 'Fix', 'Network', 'Sub-District', 'Island', 'Hanaut', 'Province', 'Kalimantan', 'Kabupaten', 'Kotawaringin', 'East', 'Network', ' home ',' Lost ',' outside ',' Not bad ',' smooth ',' slow ',' thanks', 'note', 'complain', 'Telkomsel', 'inside', "&amp;"'home', 'ilang' , 'Network', 'home', 'smooth', 'rich', 'house', 'perched', 'rich', 'that's', ""]")</f>
        <v>['Please', 'Fix', 'Network', 'Sub-District', 'Island', 'Hanaut', 'Province', 'Kalimantan', 'Kabupaten', 'Kotawaringin', 'East', 'Network', ' home ',' Lost ',' outside ',' Not bad ',' smooth ',' slow ',' thanks', 'note', 'complain', 'Telkomsel', 'inside', 'home', 'ilang' , 'Network', 'home', 'smooth', 'rich', 'house', 'perched', 'rich', 'that's', "]</v>
      </c>
      <c r="D838" s="3">
        <v>1.0</v>
      </c>
    </row>
    <row r="839" ht="15.75" customHeight="1">
      <c r="A839" s="1">
        <v>837.0</v>
      </c>
      <c r="B839" s="3" t="s">
        <v>840</v>
      </c>
      <c r="C839" s="3" t="str">
        <f>IFERROR(__xludf.DUMMYFUNCTION("GOOGLETRANSLATE(B839,""id"",""en"")"),"['Cost', 'Internet', 'expensive', 'yrs',' use ',' card ',' TPI ',' buy ',' expensive ',' network ',' good ',' sekrang ',' Switch ',' Mksih ',' Telkomsel ',' THN ',' Use ',' Telkomsel ']")</f>
        <v>['Cost', 'Internet', 'expensive', 'yrs',' use ',' card ',' TPI ',' buy ',' expensive ',' network ',' good ',' sekrang ',' Switch ',' Mksih ',' Telkomsel ',' THN ',' Use ',' Telkomsel ']</v>
      </c>
      <c r="D839" s="3">
        <v>1.0</v>
      </c>
    </row>
    <row r="840" ht="15.75" customHeight="1">
      <c r="A840" s="1">
        <v>838.0</v>
      </c>
      <c r="B840" s="3" t="s">
        <v>841</v>
      </c>
      <c r="C840" s="3" t="str">
        <f>IFERROR(__xludf.DUMMYFUNCTION("GOOGLETRANSLATE(B840,""id"",""en"")"),"['Since', 'Update', 'Version', 'Card', 'Telkomsel', 'Error', 'Nrima', 'SMS', 'Fill', 'Credit', 'Check', 'Credit', ' Please ',' Solution ',' ']")</f>
        <v>['Since', 'Update', 'Version', 'Card', 'Telkomsel', 'Error', 'Nrima', 'SMS', 'Fill', 'Credit', 'Check', 'Credit', ' Please ',' Solution ',' ']</v>
      </c>
      <c r="D840" s="3">
        <v>3.0</v>
      </c>
    </row>
    <row r="841" ht="15.75" customHeight="1">
      <c r="A841" s="1">
        <v>839.0</v>
      </c>
      <c r="B841" s="3" t="s">
        <v>842</v>
      </c>
      <c r="C841" s="3" t="str">
        <f>IFERROR(__xludf.DUMMYFUNCTION("GOOGLETRANSLATE(B841,""id"",""en"")"),"['buy', 'quota', 'Tiktok', 'try', 'quota', 'function', 'quotation', 'application', 'Telkomsel', 'application', 'harm', 'bad', ' Please, 'Restore', 'Credit']")</f>
        <v>['buy', 'quota', 'Tiktok', 'try', 'quota', 'function', 'quotation', 'application', 'Telkomsel', 'application', 'harm', 'bad', ' Please, 'Restore', 'Credit']</v>
      </c>
      <c r="D841" s="3">
        <v>1.0</v>
      </c>
    </row>
    <row r="842" ht="15.75" customHeight="1">
      <c r="A842" s="1">
        <v>840.0</v>
      </c>
      <c r="B842" s="3" t="s">
        <v>843</v>
      </c>
      <c r="C842" s="3" t="str">
        <f>IFERROR(__xludf.DUMMYFUNCTION("GOOGLETRANSLATE(B842,""id"",""en"")"),"['signal', 'Telkom', 'Different', 'slow', 'bngt', 'gamers', 'network', 'nge', 'lag', ""]")</f>
        <v>['signal', 'Telkom', 'Different', 'slow', 'bngt', 'gamers', 'network', 'nge', 'lag', "]</v>
      </c>
      <c r="D842" s="3">
        <v>2.0</v>
      </c>
    </row>
    <row r="843" ht="15.75" customHeight="1">
      <c r="A843" s="1">
        <v>841.0</v>
      </c>
      <c r="B843" s="3" t="s">
        <v>844</v>
      </c>
      <c r="C843" s="3" t="str">
        <f>IFERROR(__xludf.DUMMYFUNCTION("GOOGLETRANSLATE(B843,""id"",""en"")"),"['Sorry', 'Telkomsel', 'Please', 'Fix', 'Contents',' Data ',' Voucher ',' System ',' Busy ',' Fix ',' As soon as' ']")</f>
        <v>['Sorry', 'Telkomsel', 'Please', 'Fix', 'Contents',' Data ',' Voucher ',' System ',' Busy ',' Fix ',' As soon as' ']</v>
      </c>
      <c r="D843" s="3">
        <v>1.0</v>
      </c>
    </row>
    <row r="844" ht="15.75" customHeight="1">
      <c r="A844" s="1">
        <v>842.0</v>
      </c>
      <c r="B844" s="3" t="s">
        <v>845</v>
      </c>
      <c r="C844" s="3" t="str">
        <f>IFERROR(__xludf.DUMMYFUNCTION("GOOGLETRANSLATE(B844,""id"",""en"")"),"['Information', 'Hot', 'promo', 'piliahan', 'data', 'internet', 'buy', 'directly', 'use', 'pulses', 'point', ""]")</f>
        <v>['Information', 'Hot', 'promo', 'piliahan', 'data', 'internet', 'buy', 'directly', 'use', 'pulses', 'point', "]</v>
      </c>
      <c r="D844" s="3">
        <v>5.0</v>
      </c>
    </row>
    <row r="845" ht="15.75" customHeight="1">
      <c r="A845" s="1">
        <v>843.0</v>
      </c>
      <c r="B845" s="3" t="s">
        <v>846</v>
      </c>
      <c r="C845" s="3" t="str">
        <f>IFERROR(__xludf.DUMMYFUNCTION("GOOGLETRANSLATE(B845,""id"",""en"")"),"['The network', 'weak', 'play', 'game', 'ngellag', 'Mulu', 'hope', 'fix', 'floured', 'network']")</f>
        <v>['The network', 'weak', 'play', 'game', 'ngellag', 'Mulu', 'hope', 'fix', 'floured', 'network']</v>
      </c>
      <c r="D845" s="3">
        <v>1.0</v>
      </c>
    </row>
    <row r="846" ht="15.75" customHeight="1">
      <c r="A846" s="1">
        <v>844.0</v>
      </c>
      <c r="B846" s="3" t="s">
        <v>847</v>
      </c>
      <c r="C846" s="3" t="str">
        <f>IFERROR(__xludf.DUMMYFUNCTION("GOOGLETRANSLATE(B846,""id"",""en"")"),"['Buy', 'Package', 'Kouta', 'Family', 'Report', 'Telkomsel', 'ordered', 'Telkomsel', 'result', 'nil', 'user', 'card', ' Hello ',' where ',' payment ',' late ',' buy ',' quota ',' kouta ',' family ',' disappointed ',' ']")</f>
        <v>['Buy', 'Package', 'Kouta', 'Family', 'Report', 'Telkomsel', 'ordered', 'Telkomsel', 'result', 'nil', 'user', 'card', ' Hello ',' where ',' payment ',' late ',' buy ',' quota ',' kouta ',' family ',' disappointed ',' ']</v>
      </c>
      <c r="D846" s="3">
        <v>1.0</v>
      </c>
    </row>
    <row r="847" ht="15.75" customHeight="1">
      <c r="A847" s="1">
        <v>845.0</v>
      </c>
      <c r="B847" s="3" t="s">
        <v>848</v>
      </c>
      <c r="C847" s="3" t="str">
        <f>IFERROR(__xludf.DUMMYFUNCTION("GOOGLETRANSLATE(B847,""id"",""en"")"),"['Telkomsel', 'network', 'ugly', 'really', 'in the area', 'Kenceng', 'really', 'ugly', 'really', 'severe', 'next door', 'Dipake', ' play ',' games', 'ping it', 'and above', 'package', 'expensive', 'expensive', 'hope', 'network', 'repaired', 'package', 'ex"&amp;"pensive', 'network' , 'Good', 'Tetep', 'Worth', '']")</f>
        <v>['Telkomsel', 'network', 'ugly', 'really', 'in the area', 'Kenceng', 'really', 'ugly', 'really', 'severe', 'next door', 'Dipake', ' play ',' games', 'ping it', 'and above', 'package', 'expensive', 'expensive', 'hope', 'network', 'repaired', 'package', 'expensive', 'network' , 'Good', 'Tetep', 'Worth', '']</v>
      </c>
      <c r="D847" s="3">
        <v>1.0</v>
      </c>
    </row>
    <row r="848" ht="15.75" customHeight="1">
      <c r="A848" s="1">
        <v>846.0</v>
      </c>
      <c r="B848" s="3" t="s">
        <v>849</v>
      </c>
      <c r="C848" s="3" t="str">
        <f>IFERROR(__xludf.DUMMYFUNCTION("GOOGLETRANSLATE(B848,""id"",""en"")"),"['service', 'help', 'baby', 'package', 'expensive', 'sim', 'card', 'sim', 'card', 'friend', 'cheap', '']")</f>
        <v>['service', 'help', 'baby', 'package', 'expensive', 'sim', 'card', 'sim', 'card', 'friend', 'cheap', '']</v>
      </c>
      <c r="D848" s="3">
        <v>4.0</v>
      </c>
    </row>
    <row r="849" ht="15.75" customHeight="1">
      <c r="A849" s="1">
        <v>847.0</v>
      </c>
      <c r="B849" s="3" t="s">
        <v>850</v>
      </c>
      <c r="C849" s="3" t="str">
        <f>IFERROR(__xludf.DUMMYFUNCTION("GOOGLETRANSLATE(B849,""id"",""en"")"),"['card', 'tsel', 'yrs',' nda ',' prnh ',' replace ',' card ',' the network ',' mmng ',' sllu ',' good ',' my area ',' Dead ',' Lights', 'Network', 'Dead', 'Please', 'Fix', 'Setia', 'Tsel']")</f>
        <v>['card', 'tsel', 'yrs',' nda ',' prnh ',' replace ',' card ',' the network ',' mmng ',' sllu ',' good ',' my area ',' Dead ',' Lights', 'Network', 'Dead', 'Please', 'Fix', 'Setia', 'Tsel']</v>
      </c>
      <c r="D849" s="3">
        <v>5.0</v>
      </c>
    </row>
    <row r="850" ht="15.75" customHeight="1">
      <c r="A850" s="1">
        <v>848.0</v>
      </c>
      <c r="B850" s="3" t="s">
        <v>851</v>
      </c>
      <c r="C850" s="3" t="str">
        <f>IFERROR(__xludf.DUMMYFUNCTION("GOOGLETRANSLATE(B850,""id"",""en"")"),"['network', 'Telkomsel', 'slow', 'Lola', 'plus',' Package ',' Combo ',' Sakti ',' Activation ',' Package ',' Out ',' Entrance ',' package ',' package ',' provided ',' expensive ',' drain ',' bag ',' in the past ',' pandemic ',' hopefully ',' Telkomsel ','"&amp;" fix ',' dri ',' criticism ' ]")</f>
        <v>['network', 'Telkomsel', 'slow', 'Lola', 'plus',' Package ',' Combo ',' Sakti ',' Activation ',' Package ',' Out ',' Entrance ',' package ',' package ',' provided ',' expensive ',' drain ',' bag ',' in the past ',' pandemic ',' hopefully ',' Telkomsel ',' fix ',' dri ',' criticism ' ]</v>
      </c>
      <c r="D850" s="3">
        <v>1.0</v>
      </c>
    </row>
    <row r="851" ht="15.75" customHeight="1">
      <c r="A851" s="1">
        <v>849.0</v>
      </c>
      <c r="B851" s="3" t="s">
        <v>852</v>
      </c>
      <c r="C851" s="3" t="str">
        <f>IFERROR(__xludf.DUMMYFUNCTION("GOOGLETRANSLATE(B851,""id"",""en"")"),"['Telkomsel', 'Thank God', 'Thank "",' Love ',' Since ',' Honey ',' Credit ',' Internet ',' Affordable ',' Accept ',' Love ',' Telkomsel ',' proceed', '']")</f>
        <v>['Telkomsel', 'Thank God', 'Thank ",' Love ',' Since ',' Honey ',' Credit ',' Internet ',' Affordable ',' Accept ',' Love ',' Telkomsel ',' proceed', '']</v>
      </c>
      <c r="D851" s="3">
        <v>5.0</v>
      </c>
    </row>
    <row r="852" ht="15.75" customHeight="1">
      <c r="A852" s="1">
        <v>850.0</v>
      </c>
      <c r="B852" s="3" t="s">
        <v>853</v>
      </c>
      <c r="C852" s="3" t="str">
        <f>IFERROR(__xludf.DUMMYFUNCTION("GOOGLETRANSLATE(B852,""id"",""en"")"),"['service', 'customer', 'service', 'disappointing', 'judge', 'number', 'total', 'value', 'thank', 'love', 'school', ' service']")</f>
        <v>['service', 'customer', 'service', 'disappointing', 'judge', 'number', 'total', 'value', 'thank', 'love', 'school', ' service']</v>
      </c>
      <c r="D852" s="3">
        <v>1.0</v>
      </c>
    </row>
    <row r="853" ht="15.75" customHeight="1">
      <c r="A853" s="1">
        <v>851.0</v>
      </c>
      <c r="B853" s="3" t="s">
        <v>854</v>
      </c>
      <c r="C853" s="3" t="str">
        <f>IFERROR(__xludf.DUMMYFUNCTION("GOOGLETRANSLATE(B853,""id"",""en"")"),"['like', 'MyTelkomsel', 'easy', 'checks',' pulse ',' package ',' data ',' grace ',' pulse ',' package ',' data ',' active ',' card ',' SIM ',' card ',' my cellphone ',' darling ',' klu ',' contents', 'reset', 'package', 'data', 'sometimes',' package ',' d"&amp;"ata ' , 'Hangus',' KLU ',' Fill ',' Package ',' Data ',' Internet ',' Wait ',' Out ',' Package ',' Data ',' Internet ',' Credit ',' klu ',' buy ',' increase ',' pulse ',' vastness', 'increase', '']")</f>
        <v>['like', 'MyTelkomsel', 'easy', 'checks',' pulse ',' package ',' data ',' grace ',' pulse ',' package ',' data ',' active ',' card ',' SIM ',' card ',' my cellphone ',' darling ',' klu ',' contents', 'reset', 'package', 'data', 'sometimes',' package ',' data ' , 'Hangus',' KLU ',' Fill ',' Package ',' Data ',' Internet ',' Wait ',' Out ',' Package ',' Data ',' Internet ',' Credit ',' klu ',' buy ',' increase ',' pulse ',' vastness', 'increase', '']</v>
      </c>
      <c r="D853" s="3">
        <v>4.0</v>
      </c>
    </row>
    <row r="854" ht="15.75" customHeight="1">
      <c r="A854" s="1">
        <v>852.0</v>
      </c>
      <c r="B854" s="3" t="s">
        <v>855</v>
      </c>
      <c r="C854" s="3" t="str">
        <f>IFERROR(__xludf.DUMMYFUNCTION("GOOGLETRANSLATE(B854,""id"",""en"")"),"['umpteenth', 'time', 'Bener', 'sick', 'heart', 'error', 'blas',' Kekebun ',' play ',' game ',' TPI ',' surfing ',' Thank you ',' Real ',' Tension ',' Blood ',' Down ',' Young ',' Age ',' Say ',' Bye ',' Ajalah ',' Hopefully ',' Read ',' Decide ' , 'After"&amp;"' ""]")</f>
        <v>['umpteenth', 'time', 'Bener', 'sick', 'heart', 'error', 'blas',' Kekebun ',' play ',' game ',' TPI ',' surfing ',' Thank you ',' Real ',' Tension ',' Blood ',' Down ',' Young ',' Age ',' Say ',' Bye ',' Ajalah ',' Hopefully ',' Read ',' Decide ' , 'After' "]</v>
      </c>
      <c r="D854" s="3">
        <v>1.0</v>
      </c>
    </row>
    <row r="855" ht="15.75" customHeight="1">
      <c r="A855" s="1">
        <v>853.0</v>
      </c>
      <c r="B855" s="3" t="s">
        <v>856</v>
      </c>
      <c r="C855" s="3" t="str">
        <f>IFERROR(__xludf.DUMMYFUNCTION("GOOGLETRANSLATE(B855,""id"",""en"")"),"['please', 'admin', 'package', 'GB', 'clock', 'already', 'ilang', 'mulu', 'package', 'buy', 'afternoon', 'hours',' ilang ',' package ',' kaga ',' sympathy ',' mafia ',' really ',' ']")</f>
        <v>['please', 'admin', 'package', 'GB', 'clock', 'already', 'ilang', 'mulu', 'package', 'buy', 'afternoon', 'hours',' ilang ',' package ',' kaga ',' sympathy ',' mafia ',' really ',' ']</v>
      </c>
      <c r="D855" s="3">
        <v>2.0</v>
      </c>
    </row>
    <row r="856" ht="15.75" customHeight="1">
      <c r="A856" s="1">
        <v>854.0</v>
      </c>
      <c r="B856" s="3" t="s">
        <v>857</v>
      </c>
      <c r="C856" s="3" t="str">
        <f>IFERROR(__xludf.DUMMYFUNCTION("GOOGLETRANSLATE(B856,""id"",""en"")"),"['Package', 'Unlimited', 'YouTube', 'Quota', 'Internet', 'Sumpot', 'Until', 'After', 'Then', 'Already', 'Out', ' Package ',' Unlimited ',' YouTube ',' Benerin ',' Loss', 'Buy', 'Unlimited', 'YouTube', ""]")</f>
        <v>['Package', 'Unlimited', 'YouTube', 'Quota', 'Internet', 'Sumpot', 'Until', 'After', 'Then', 'Already', 'Out', ' Package ',' Unlimited ',' YouTube ',' Benerin ',' Loss', 'Buy', 'Unlimited', 'YouTube', "]</v>
      </c>
      <c r="D856" s="3">
        <v>1.0</v>
      </c>
    </row>
    <row r="857" ht="15.75" customHeight="1">
      <c r="A857" s="1">
        <v>855.0</v>
      </c>
      <c r="B857" s="3" t="s">
        <v>858</v>
      </c>
      <c r="C857" s="3" t="str">
        <f>IFERROR(__xludf.DUMMYFUNCTION("GOOGLETRANSLATE(B857,""id"",""en"")"),"['network', 'Telkomsel', 'slow', 'really', 'stay', 'city', 'feeling', 'stay', 'forest', 'severe', 'price', 'package', ' expensive ',' quality ',' low ',' already ',' fools', 'customer', 'loyal', 'Telkomsel', 'seek', ""]")</f>
        <v>['network', 'Telkomsel', 'slow', 'really', 'stay', 'city', 'feeling', 'stay', 'forest', 'severe', 'price', 'package', ' expensive ',' quality ',' low ',' already ',' fools', 'customer', 'loyal', 'Telkomsel', 'seek', "]</v>
      </c>
      <c r="D857" s="3">
        <v>1.0</v>
      </c>
    </row>
    <row r="858" ht="15.75" customHeight="1">
      <c r="A858" s="1">
        <v>856.0</v>
      </c>
      <c r="B858" s="3" t="s">
        <v>859</v>
      </c>
      <c r="C858" s="3" t="str">
        <f>IFERROR(__xludf.DUMMYFUNCTION("GOOGLETRANSLATE(B858,""id"",""en"")"),"['application', 'cost', 'expensive', 'result', 'minimalist', 'letter', 'explanation', 'package', 'data', 'difficult', 'read', 'really', ' minimalist ',' application ',' BUMN ',' should ',' application ',' sprt ',' xlaxiata ',' application ',' letter ',' e"&amp;"xplanation ',' package ',' data ',' easy ' , 'Read', 'Understand', ""]")</f>
        <v>['application', 'cost', 'expensive', 'result', 'minimalist', 'letter', 'explanation', 'package', 'data', 'difficult', 'read', 'really', ' minimalist ',' application ',' BUMN ',' should ',' application ',' sprt ',' xlaxiata ',' application ',' letter ',' explanation ',' package ',' data ',' easy ' , 'Read', 'Understand', "]</v>
      </c>
      <c r="D858" s="3">
        <v>1.0</v>
      </c>
    </row>
    <row r="859" ht="15.75" customHeight="1">
      <c r="A859" s="1">
        <v>857.0</v>
      </c>
      <c r="B859" s="3" t="s">
        <v>860</v>
      </c>
      <c r="C859" s="3" t="str">
        <f>IFERROR(__xludf.DUMMYFUNCTION("GOOGLETRANSLATE(B859,""id"",""en"")"),"['Sorry', 'Lower', 'Star', 'Love', 'Star', 'Improved', 'Bad', 'Busy', 'Update', 'Package', 'Internet', 'Apping', ' Speed ​​',' Mbps', 'Internet', 'Disappointed', 'Price', 'Expensive', 'Quality', 'Zonk', ""]")</f>
        <v>['Sorry', 'Lower', 'Star', 'Love', 'Star', 'Improved', 'Bad', 'Busy', 'Update', 'Package', 'Internet', 'Apping', ' Speed ​​',' Mbps', 'Internet', 'Disappointed', 'Price', 'Expensive', 'Quality', 'Zonk', "]</v>
      </c>
      <c r="D859" s="3">
        <v>1.0</v>
      </c>
    </row>
    <row r="860" ht="15.75" customHeight="1">
      <c r="A860" s="1">
        <v>858.0</v>
      </c>
      <c r="B860" s="3" t="s">
        <v>861</v>
      </c>
      <c r="C860" s="3" t="str">
        <f>IFERROR(__xludf.DUMMYFUNCTION("GOOGLETRANSLATE(B860,""id"",""en"")"),"['times',' I ',' edit ',' star ',' network ',' internet ',' ugly ',' stable ',' card ',' card ',' GSM ',' good ',' the area ',' sajah ',' ugly ',' Telkomsel ',' setabilia ',' network ',' internet ',' please ',' repair ',' already ',' pulse ',' expensive '"&amp;",' packetan ' , 'Internet', 'expensive', 'Different', 'TPI', 'ugly', 'Network', 'Hadeuh', 'Severe', ""]")</f>
        <v>['times',' I ',' edit ',' star ',' network ',' internet ',' ugly ',' stable ',' card ',' card ',' GSM ',' good ',' the area ',' sajah ',' ugly ',' Telkomsel ',' setabilia ',' network ',' internet ',' please ',' repair ',' already ',' pulse ',' expensive ',' packetan ' , 'Internet', 'expensive', 'Different', 'TPI', 'ugly', 'Network', 'Hadeuh', 'Severe', "]</v>
      </c>
      <c r="D860" s="3">
        <v>1.0</v>
      </c>
    </row>
    <row r="861" ht="15.75" customHeight="1">
      <c r="A861" s="1">
        <v>859.0</v>
      </c>
      <c r="B861" s="3" t="s">
        <v>862</v>
      </c>
      <c r="C861" s="3" t="str">
        <f>IFERROR(__xludf.DUMMYFUNCTION("GOOGLETRANSLATE(B861,""id"",""en"")"),"['Telkomsel', 'network', 'like', 'missing', 'please', 'fix', 'complaining', 'Kisah', 'operator', 'Telkomsel', 'best', 'consumer', ' compete ',' card ',' kntle ']")</f>
        <v>['Telkomsel', 'network', 'like', 'missing', 'please', 'fix', 'complaining', 'Kisah', 'operator', 'Telkomsel', 'best', 'consumer', ' compete ',' card ',' kntle ']</v>
      </c>
      <c r="D861" s="3">
        <v>1.0</v>
      </c>
    </row>
    <row r="862" ht="15.75" customHeight="1">
      <c r="A862" s="1">
        <v>860.0</v>
      </c>
      <c r="B862" s="3" t="s">
        <v>863</v>
      </c>
      <c r="C862" s="3" t="str">
        <f>IFERROR(__xludf.DUMMYFUNCTION("GOOGLETRANSLATE(B862,""id"",""en"")"),"['Telkomsel', 'buy', 'package', 'internet', 'GB', 'price', 'rebu', 'system', 'lossiiiii', 'Telkomsel', 'Search', 'luck', ' conditions', 'community', 'sick', 'Jajah', 'tros',' nation ',' yeeh ']")</f>
        <v>['Telkomsel', 'buy', 'package', 'internet', 'GB', 'price', 'rebu', 'system', 'lossiiiii', 'Telkomsel', 'Search', 'luck', ' conditions', 'community', 'sick', 'Jajah', 'tros',' nation ',' yeeh ']</v>
      </c>
      <c r="D862" s="3">
        <v>1.0</v>
      </c>
    </row>
    <row r="863" ht="15.75" customHeight="1">
      <c r="A863" s="1">
        <v>861.0</v>
      </c>
      <c r="B863" s="3" t="s">
        <v>864</v>
      </c>
      <c r="C863" s="3" t="str">
        <f>IFERROR(__xludf.DUMMYFUNCTION("GOOGLETRANSLATE(B863,""id"",""en"")"),"['application', 'kaga', 'njing', 'already', 'network', 'ugly', 'application', 'update', 'kaga', 'change', 'move', 'operator', ' Subscriptions', 'Operators',' Dipelunjak ',' See ',' Operator ',' Next ',' Already ',' Network ',' Good ',' Cheap ',' Kaga ',' "&amp;"Ribet ',' Rich ' , 'Gini', 'disappointed', 'essence', '']")</f>
        <v>['application', 'kaga', 'njing', 'already', 'network', 'ugly', 'application', 'update', 'kaga', 'change', 'move', 'operator', ' Subscriptions', 'Operators',' Dipelunjak ',' See ',' Operator ',' Next ',' Already ',' Network ',' Good ',' Cheap ',' Kaga ',' Ribet ',' Rich ' , 'Gini', 'disappointed', 'essence', '']</v>
      </c>
      <c r="D863" s="3">
        <v>1.0</v>
      </c>
    </row>
    <row r="864" ht="15.75" customHeight="1">
      <c r="A864" s="1">
        <v>862.0</v>
      </c>
      <c r="B864" s="3" t="s">
        <v>865</v>
      </c>
      <c r="C864" s="3" t="str">
        <f>IFERROR(__xludf.DUMMYFUNCTION("GOOGLETRANSLATE(B864,""id"",""en"")"),"['', 'Telkomsel', 'column', 'reviews',' criticism ',' suggestion ',' response ',' complaints', 'sdg', 'face', 'user', 'package', 'expensive ',' quality ',' cheap ',' fix ',' quality ',' mending ',' lower ',' rates', 'package', 'seam', 'provider', 'msih', "&amp;"'closed', 'complete']")</f>
        <v>['', 'Telkomsel', 'column', 'reviews',' criticism ',' suggestion ',' response ',' complaints', 'sdg', 'face', 'user', 'package', 'expensive ',' quality ',' cheap ',' fix ',' quality ',' mending ',' lower ',' rates', 'package', 'seam', 'provider', 'msih', 'closed', 'complete']</v>
      </c>
      <c r="D864" s="3">
        <v>1.0</v>
      </c>
    </row>
    <row r="865" ht="15.75" customHeight="1">
      <c r="A865" s="1">
        <v>863.0</v>
      </c>
      <c r="B865" s="3" t="s">
        <v>866</v>
      </c>
      <c r="C865" s="3" t="str">
        <f>IFERROR(__xludf.DUMMYFUNCTION("GOOGLETRANSLATE(B865,""id"",""en"")"),"['use', 'postpaid', 'Telkomsel', 'good', 'severe', 'really', 'signal', 'understand', 'sma', 'Telkomsel', 'please', 'guard', ' customer satisfaction', '']")</f>
        <v>['use', 'postpaid', 'Telkomsel', 'good', 'severe', 'really', 'signal', 'understand', 'sma', 'Telkomsel', 'please', 'guard', ' customer satisfaction', '']</v>
      </c>
      <c r="D865" s="3">
        <v>1.0</v>
      </c>
    </row>
    <row r="866" ht="15.75" customHeight="1">
      <c r="A866" s="1">
        <v>864.0</v>
      </c>
      <c r="B866" s="3" t="s">
        <v>867</v>
      </c>
      <c r="C866" s="3" t="str">
        <f>IFERROR(__xludf.DUMMYFUNCTION("GOOGLETRANSLATE(B866,""id"",""en"")"),"['quota', 'application', 'limited', 'maximun', 'puzzle', 'open', 'lite', 'slow', 'network', 'stable', 'males',' buy ',' Telkom ',' ']")</f>
        <v>['quota', 'application', 'limited', 'maximun', 'puzzle', 'open', 'lite', 'slow', 'network', 'stable', 'males',' buy ',' Telkom ',' ']</v>
      </c>
      <c r="D866" s="3">
        <v>1.0</v>
      </c>
    </row>
    <row r="867" ht="15.75" customHeight="1">
      <c r="A867" s="1">
        <v>865.0</v>
      </c>
      <c r="B867" s="3" t="s">
        <v>868</v>
      </c>
      <c r="C867" s="3" t="str">
        <f>IFERROR(__xludf.DUMMYFUNCTION("GOOGLETRANSLATE(B867,""id"",""en"")"),"['Place', 'Disruption', 'Place', 'Normal', 'Report', 'Grapari', 'Nearest', 'Response', 'Package', 'Out', 'Data', 'Seboros',' GB ',' Sampe ',' ']")</f>
        <v>['Place', 'Disruption', 'Place', 'Normal', 'Report', 'Grapari', 'Nearest', 'Response', 'Package', 'Out', 'Data', 'Seboros',' GB ',' Sampe ',' ']</v>
      </c>
      <c r="D867" s="3">
        <v>1.0</v>
      </c>
    </row>
    <row r="868" ht="15.75" customHeight="1">
      <c r="A868" s="1">
        <v>866.0</v>
      </c>
      <c r="B868" s="3" t="s">
        <v>869</v>
      </c>
      <c r="C868" s="3" t="str">
        <f>IFERROR(__xludf.DUMMYFUNCTION("GOOGLETRANSLATE(B868,""id"",""en"")"),"['Telkomsel', 'Package', 'MB', 'Minutes',' Out ',' Cave ',' Open ',' Credit ',' Cave ',' Rb ',' Lost ',' Pulp ',' Telkomsel ',' loss', 'cave', 'gblok', 'network', 'slow', 'Telkomsel', 'promo', 'package', 'buy', 'lost']")</f>
        <v>['Telkomsel', 'Package', 'MB', 'Minutes',' Out ',' Cave ',' Open ',' Credit ',' Cave ',' Rb ',' Lost ',' Pulp ',' Telkomsel ',' loss', 'cave', 'gblok', 'network', 'slow', 'Telkomsel', 'promo', 'package', 'buy', 'lost']</v>
      </c>
      <c r="D868" s="3">
        <v>1.0</v>
      </c>
    </row>
    <row r="869" ht="15.75" customHeight="1">
      <c r="A869" s="1">
        <v>867.0</v>
      </c>
      <c r="B869" s="3" t="s">
        <v>870</v>
      </c>
      <c r="C869" s="3" t="str">
        <f>IFERROR(__xludf.DUMMYFUNCTION("GOOGLETRANSLATE(B869,""id"",""en"")"),"['Telkomsel', 'leading', 'proof', 'network', 'stable', 'package', 'price', 'yesterday', 'love', 'star', 'here it seems',' Stay ',' Kepahiang ',' Bengkulu ',' Good ',' Network ',' A Year ',' Network ',' Stable ',' Please ',' Fix ',' Kasian ',' User ',' Tir"&amp;"ed ' , 'tired', 'buy', 'package', 'enjoy it', 'Wassalam', ""]")</f>
        <v>['Telkomsel', 'leading', 'proof', 'network', 'stable', 'package', 'price', 'yesterday', 'love', 'star', 'here it seems',' Stay ',' Kepahiang ',' Bengkulu ',' Good ',' Network ',' A Year ',' Network ',' Stable ',' Please ',' Fix ',' Kasian ',' User ',' Tired ' , 'tired', 'buy', 'package', 'enjoy it', 'Wassalam', "]</v>
      </c>
      <c r="D869" s="3">
        <v>1.0</v>
      </c>
    </row>
    <row r="870" ht="15.75" customHeight="1">
      <c r="A870" s="1">
        <v>868.0</v>
      </c>
      <c r="B870" s="3" t="s">
        <v>871</v>
      </c>
      <c r="C870" s="3" t="str">
        <f>IFERROR(__xludf.DUMMYFUNCTION("GOOGLETRANSLATE(B870,""id"",""en"")"),"['buy', 'package', 'data', 'price', 'affordable', 'rb', 'udh', 'use', 'price', 'jdi', 'rb', 'belm', ' Until ',' sebuln ',' already ',' run out ',' PDHL ',' Telkomsel ',' expensive ',' Plus', 'wasteful', 'Hara him']")</f>
        <v>['buy', 'package', 'data', 'price', 'affordable', 'rb', 'udh', 'use', 'price', 'jdi', 'rb', 'belm', ' Until ',' sebuln ',' already ',' run out ',' PDHL ',' Telkomsel ',' expensive ',' Plus', 'wasteful', 'Hara him']</v>
      </c>
      <c r="D870" s="3">
        <v>1.0</v>
      </c>
    </row>
    <row r="871" ht="15.75" customHeight="1">
      <c r="A871" s="1">
        <v>869.0</v>
      </c>
      <c r="B871" s="3" t="s">
        <v>872</v>
      </c>
      <c r="C871" s="3" t="str">
        <f>IFERROR(__xludf.DUMMYFUNCTION("GOOGLETRANSLATE(B871,""id"",""en"")"),"['Credit', 'sucked', 'a day', 'buy', 'package', 'application', 'because', 'pressure', 'Segal', 'Macem', 'Karna', 'curious',' Dalem ',' application ',' subscribe ',' name ',' Amandacaesa ',' Please ',' solution ',' stop ',' sucked ',' pulse ']")</f>
        <v>['Credit', 'sucked', 'a day', 'buy', 'package', 'application', 'because', 'pressure', 'Segal', 'Macem', 'Karna', 'curious',' Dalem ',' application ',' subscribe ',' name ',' Amandacaesa ',' Please ',' solution ',' stop ',' sucked ',' pulse ']</v>
      </c>
      <c r="D871" s="3">
        <v>1.0</v>
      </c>
    </row>
    <row r="872" ht="15.75" customHeight="1">
      <c r="A872" s="1">
        <v>870.0</v>
      </c>
      <c r="B872" s="3" t="s">
        <v>873</v>
      </c>
      <c r="C872" s="3" t="str">
        <f>IFERROR(__xludf.DUMMYFUNCTION("GOOGLETRANSLATE(B872,""id"",""en"")"),"['Please', 'Sorry', 'Network', 'TSL', 'Full', 'Results',' nil ',' cmn ',' signal ',' already ',' please ',' fix ',' Customers', 'loyal', 'change', 'network']")</f>
        <v>['Please', 'Sorry', 'Network', 'TSL', 'Full', 'Results',' nil ',' cmn ',' signal ',' already ',' please ',' fix ',' Customers', 'loyal', 'change', 'network']</v>
      </c>
      <c r="D872" s="3">
        <v>1.0</v>
      </c>
    </row>
    <row r="873" ht="15.75" customHeight="1">
      <c r="A873" s="1">
        <v>871.0</v>
      </c>
      <c r="B873" s="3" t="s">
        <v>874</v>
      </c>
      <c r="C873" s="3" t="str">
        <f>IFERROR(__xludf.DUMMYFUNCTION("GOOGLETRANSLATE(B873,""id"",""en"")"),"['Kasi', 'star', 'disappointed', 'credit', 'missing', 'thousands',' purchase ',' chat ',' virtual ',' complaints', 'product', 'Perna', ' Response ',' The answer ',' Connect ',' Waiting ',' Bored ',' Sorry ',' Yes', 'Semonga', 'In the future', ""]")</f>
        <v>['Kasi', 'star', 'disappointed', 'credit', 'missing', 'thousands',' purchase ',' chat ',' virtual ',' complaints', 'product', 'Perna', ' Response ',' The answer ',' Connect ',' Waiting ',' Bored ',' Sorry ',' Yes', 'Semonga', 'In the future', "]</v>
      </c>
      <c r="D873" s="3">
        <v>1.0</v>
      </c>
    </row>
    <row r="874" ht="15.75" customHeight="1">
      <c r="A874" s="1">
        <v>872.0</v>
      </c>
      <c r="B874" s="3" t="s">
        <v>875</v>
      </c>
      <c r="C874" s="3" t="str">
        <f>IFERROR(__xludf.DUMMYFUNCTION("GOOGLETRANSLATE(B874,""id"",""en"")"),"['Satisfied', 'Use', 'Telkomsel', 'Follow', 'Lottery', 'Exchange', 'Points',' Easy ',' Hopefully ',' Winner ',' Car ',' Thank you ',' Telkomsel ',' Hopefully ',' Jaya ',' Growing ',' User ',' Prudok ',' Telkomsel ']")</f>
        <v>['Satisfied', 'Use', 'Telkomsel', 'Follow', 'Lottery', 'Exchange', 'Points',' Easy ',' Hopefully ',' Winner ',' Car ',' Thank you ',' Telkomsel ',' Hopefully ',' Jaya ',' Growing ',' User ',' Prudok ',' Telkomsel ']</v>
      </c>
      <c r="D874" s="3">
        <v>5.0</v>
      </c>
    </row>
    <row r="875" ht="15.75" customHeight="1">
      <c r="A875" s="1">
        <v>873.0</v>
      </c>
      <c r="B875" s="3" t="s">
        <v>876</v>
      </c>
      <c r="C875" s="3" t="str">
        <f>IFERROR(__xludf.DUMMYFUNCTION("GOOGLETRANSLATE(B875,""id"",""en"")"),"['Feature', 'according to', 'dear', 'package', 'dikasi', 'get', 'tax', 'please', 'nggk', 'until', 'mending', 'replace', ' check ',' leftover ',' credit ',' leftover ',' package ',' purchase ',' package ',' pulse ',' please ',' offline ',' easy ',' please "&amp;"',' ']")</f>
        <v>['Feature', 'according to', 'dear', 'package', 'dikasi', 'get', 'tax', 'please', 'nggk', 'until', 'mending', 'replace', ' check ',' leftover ',' credit ',' leftover ',' package ',' purchase ',' package ',' pulse ',' please ',' offline ',' easy ',' please ',' ']</v>
      </c>
      <c r="D875" s="3">
        <v>3.0</v>
      </c>
    </row>
    <row r="876" ht="15.75" customHeight="1">
      <c r="A876" s="1">
        <v>874.0</v>
      </c>
      <c r="B876" s="3" t="s">
        <v>877</v>
      </c>
      <c r="C876" s="3" t="str">
        <f>IFERROR(__xludf.DUMMYFUNCTION("GOOGLETRANSLATE(B876,""id"",""en"")"),"['Sorry', 'Telkomsel', 'Bener', 'Disappointed', 'Network', 'Internet', 'Package', 'Call', 'Out', 'Enterprit', 'Package', 'Multimedia', ' Those ',' used ',' slow ',' alternating ',' update ',' application ',' please ',' fix ',' system ', ""]")</f>
        <v>['Sorry', 'Telkomsel', 'Bener', 'Disappointed', 'Network', 'Internet', 'Package', 'Call', 'Out', 'Enterprit', 'Package', 'Multimedia', ' Those ',' used ',' slow ',' alternating ',' update ',' application ',' please ',' fix ',' system ', "]</v>
      </c>
      <c r="D876" s="3">
        <v>2.0</v>
      </c>
    </row>
    <row r="877" ht="15.75" customHeight="1">
      <c r="A877" s="1">
        <v>875.0</v>
      </c>
      <c r="B877" s="3" t="s">
        <v>878</v>
      </c>
      <c r="C877" s="3" t="str">
        <f>IFERROR(__xludf.DUMMYFUNCTION("GOOGLETRANSLATE(B877,""id"",""en"")"),"['Kangen', 'Telkomsel', 'super', 'fast', 'slow', 'really', 'play', 'game', 'like', 'ngelag', 'mending', 'mah' fast ',' play ',' game ',' smooth ',' deh ',' use ',' telkomsel ']")</f>
        <v>['Kangen', 'Telkomsel', 'super', 'fast', 'slow', 'really', 'play', 'game', 'like', 'ngelag', 'mending', 'mah' fast ',' play ',' game ',' smooth ',' deh ',' use ',' telkomsel ']</v>
      </c>
      <c r="D877" s="3">
        <v>1.0</v>
      </c>
    </row>
    <row r="878" ht="15.75" customHeight="1">
      <c r="A878" s="1">
        <v>876.0</v>
      </c>
      <c r="B878" s="3" t="s">
        <v>879</v>
      </c>
      <c r="C878" s="3" t="str">
        <f>IFERROR(__xludf.DUMMYFUNCTION("GOOGLETRANSLATE(B878,""id"",""en"")"),"['Disappointed', 'tens', 'use', 'sympathy', 'replace', 'version', 'missing', 'combo', 'Sakti', 'buy', 'disappointed', 'in the past' difficult ',' switch ',' oprator ',' minggin ',' purchase ',' quota ',' star ',' reference ',' Telkomsel ', ""]")</f>
        <v>['Disappointed', 'tens', 'use', 'sympathy', 'replace', 'version', 'missing', 'combo', 'Sakti', 'buy', 'disappointed', 'in the past' difficult ',' switch ',' oprator ',' minggin ',' purchase ',' quota ',' star ',' reference ',' Telkomsel ', "]</v>
      </c>
      <c r="D878" s="3">
        <v>1.0</v>
      </c>
    </row>
    <row r="879" ht="15.75" customHeight="1">
      <c r="A879" s="1">
        <v>877.0</v>
      </c>
      <c r="B879" s="3" t="s">
        <v>880</v>
      </c>
      <c r="C879" s="3" t="str">
        <f>IFERROR(__xludf.DUMMYFUNCTION("GOOGLETRANSLATE(B879,""id"",""en"")"),"['buy', 'package', 'data', 'Muluk', 'description', 'disorder', 'ilang', 'quota', 'run out', 'gini', 'mending', 'move', ' Provider ',' Next to ',' Gini ',' Maintenance ']")</f>
        <v>['buy', 'package', 'data', 'Muluk', 'description', 'disorder', 'ilang', 'quota', 'run out', 'gini', 'mending', 'move', ' Provider ',' Next to ',' Gini ',' Maintenance ']</v>
      </c>
      <c r="D879" s="3">
        <v>1.0</v>
      </c>
    </row>
    <row r="880" ht="15.75" customHeight="1">
      <c r="A880" s="1">
        <v>878.0</v>
      </c>
      <c r="B880" s="3" t="s">
        <v>881</v>
      </c>
      <c r="C880" s="3" t="str">
        <f>IFERROR(__xludf.DUMMYFUNCTION("GOOGLETRANSLATE(B880,""id"",""en"")"),"['Satisfied', 'Application', 'Disappointed', 'Disappointed', 'Telkomsel', 'Karrna', 'Tide', 'Package', 'Internet', 'Weekly', 'Please', 'Enterprised', ' Telkomsel ']")</f>
        <v>['Satisfied', 'Application', 'Disappointed', 'Disappointed', 'Telkomsel', 'Karrna', 'Tide', 'Package', 'Internet', 'Weekly', 'Please', 'Enterprised', ' Telkomsel ']</v>
      </c>
      <c r="D880" s="3">
        <v>5.0</v>
      </c>
    </row>
    <row r="881" ht="15.75" customHeight="1">
      <c r="A881" s="1">
        <v>879.0</v>
      </c>
      <c r="B881" s="3" t="s">
        <v>882</v>
      </c>
      <c r="C881" s="3" t="str">
        <f>IFERROR(__xludf.DUMMYFUNCTION("GOOGLETRANSLATE(B881,""id"",""en"")"),"['gini', 'network', 'here', 'slow', 'night', 'price', 'quota', 'expensive', 'love', 'price', 'please', ' Quality ',' network ',' network ',' slow ',' hurry ',' snail ',' price ',' quota ',' internet ',' exorbitant ',' please ',' fix ',' network ' ]")</f>
        <v>['gini', 'network', 'here', 'slow', 'night', 'price', 'quota', 'expensive', 'love', 'price', 'please', ' Quality ',' network ',' network ',' slow ',' hurry ',' snail ',' price ',' quota ',' internet ',' exorbitant ',' please ',' fix ',' network ' ]</v>
      </c>
      <c r="D881" s="3">
        <v>2.0</v>
      </c>
    </row>
    <row r="882" ht="15.75" customHeight="1">
      <c r="A882" s="1">
        <v>880.0</v>
      </c>
      <c r="B882" s="3" t="s">
        <v>883</v>
      </c>
      <c r="C882" s="3" t="str">
        <f>IFERROR(__xludf.DUMMYFUNCTION("GOOGLETRANSLATE(B882,""id"",""en"")"),"['Package', 'Telkomsel', 'expensive', 'really', 'Yesterday', 'buy', 'SKR', 'application', 'price', 'Bener', 'said', 'support', ' People ',' SKR ',' Difficult ',' Search ',' Money ']")</f>
        <v>['Package', 'Telkomsel', 'expensive', 'really', 'Yesterday', 'buy', 'SKR', 'application', 'price', 'Bener', 'said', 'support', ' People ',' SKR ',' Difficult ',' Search ',' Money ']</v>
      </c>
      <c r="D882" s="3">
        <v>1.0</v>
      </c>
    </row>
    <row r="883" ht="15.75" customHeight="1">
      <c r="A883" s="1">
        <v>881.0</v>
      </c>
      <c r="B883" s="3" t="s">
        <v>884</v>
      </c>
      <c r="C883" s="3" t="str">
        <f>IFERROR(__xludf.DUMMYFUNCTION("GOOGLETRANSLATE(B883,""id"",""en"")"),"['Tissue', 'Telkomsel', 'Region', 'Bay', 'Kuantan', 'Difficult', 'Complement', 'Since', 'Office', 'Telkomsel', 'Burned', 'Pekanbaru', ' Users', 'Telkomsel', 'complained', 'Speed', 'Network', 'Telkomsel', 'Sorry', 'Frustrated', 'Network', 'Kenceng', 'Jdi',"&amp;" 'Gini', 'Sampe' , 'Neighbors', 'Fear', 'Angry', 'Network', 'Telkomsel', 'Thank you', 'Sis', 'Clock', 'Hitch', ""]")</f>
        <v>['Tissue', 'Telkomsel', 'Region', 'Bay', 'Kuantan', 'Difficult', 'Complement', 'Since', 'Office', 'Telkomsel', 'Burned', 'Pekanbaru', ' Users', 'Telkomsel', 'complained', 'Speed', 'Network', 'Telkomsel', 'Sorry', 'Frustrated', 'Network', 'Kenceng', 'Jdi', 'Gini', 'Sampe' , 'Neighbors', 'Fear', 'Angry', 'Network', 'Telkomsel', 'Thank you', 'Sis', 'Clock', 'Hitch', "]</v>
      </c>
      <c r="D883" s="3">
        <v>1.0</v>
      </c>
    </row>
    <row r="884" ht="15.75" customHeight="1">
      <c r="A884" s="1">
        <v>882.0</v>
      </c>
      <c r="B884" s="3" t="s">
        <v>885</v>
      </c>
      <c r="C884" s="3" t="str">
        <f>IFERROR(__xludf.DUMMYFUNCTION("GOOGLETRANSLATE(B884,""id"",""en"")"),"['strange', 'really', 'buy', 'package', 'unlimited', 'GB', 'uda', 'abis',' quota ',' internet ',' rare ',' sosmed ',' YouTube ',' Where ',' Atuh ',' quota ',' feeling ',' until ',' that way ',' usage ',' knpa ',' run out ', ""]")</f>
        <v>['strange', 'really', 'buy', 'package', 'unlimited', 'GB', 'uda', 'abis',' quota ',' internet ',' rare ',' sosmed ',' YouTube ',' Where ',' Atuh ',' quota ',' feeling ',' until ',' that way ',' usage ',' knpa ',' run out ', "]</v>
      </c>
      <c r="D884" s="3">
        <v>1.0</v>
      </c>
    </row>
    <row r="885" ht="15.75" customHeight="1">
      <c r="A885" s="1">
        <v>883.0</v>
      </c>
      <c r="B885" s="3" t="s">
        <v>886</v>
      </c>
      <c r="C885" s="3" t="str">
        <f>IFERROR(__xludf.DUMMYFUNCTION("GOOGLETRANSLATE(B885,""id"",""en"")"),"['Package', 'Telkom', 'expensive', 'oiii', 'tros', 'ugly', 'his net', 'already', 'many years', 'Telkom', 'card', 'because' Skrg ',' Telkom ',' disappointing ',' moved ',' kart ',' Telkom ',' TLFN ',' Kampung ']")</f>
        <v>['Package', 'Telkom', 'expensive', 'oiii', 'tros', 'ugly', 'his net', 'already', 'many years', 'Telkom', 'card', 'because' Skrg ',' Telkom ',' disappointing ',' moved ',' kart ',' Telkom ',' TLFN ',' Kampung ']</v>
      </c>
      <c r="D885" s="3">
        <v>1.0</v>
      </c>
    </row>
    <row r="886" ht="15.75" customHeight="1">
      <c r="A886" s="1">
        <v>884.0</v>
      </c>
      <c r="B886" s="3" t="s">
        <v>887</v>
      </c>
      <c r="C886" s="3" t="str">
        <f>IFERROR(__xludf.DUMMYFUNCTION("GOOGLETRANSLATE(B886,""id"",""en"")"),"['Please', 'Sorry', 'User', 'Telkomsel', 'Zadi', 'Gini', 'Package', 'GameSmax', 'card', 'already', 'already', 'Annual', ' Please, 'repair', 'Package', 'GameSmax', 'Package', 'Other', 'Cheap', 'Lagih', 'Ride', '']")</f>
        <v>['Please', 'Sorry', 'User', 'Telkomsel', 'Zadi', 'Gini', 'Package', 'GameSmax', 'card', 'already', 'already', 'Annual', ' Please, 'repair', 'Package', 'GameSmax', 'Package', 'Other', 'Cheap', 'Lagih', 'Ride', '']</v>
      </c>
      <c r="D886" s="3">
        <v>1.0</v>
      </c>
    </row>
    <row r="887" ht="15.75" customHeight="1">
      <c r="A887" s="1">
        <v>885.0</v>
      </c>
      <c r="B887" s="3" t="s">
        <v>888</v>
      </c>
      <c r="C887" s="3" t="str">
        <f>IFERROR(__xludf.DUMMYFUNCTION("GOOGLETRANSLATE(B887,""id"",""en"")"),"['The application', 'good', 'ngepain', 'see', 'down', 'already', 'sibilang']")</f>
        <v>['The application', 'good', 'ngepain', 'see', 'down', 'already', 'sibilang']</v>
      </c>
      <c r="D887" s="3">
        <v>5.0</v>
      </c>
    </row>
    <row r="888" ht="15.75" customHeight="1">
      <c r="A888" s="1">
        <v>886.0</v>
      </c>
      <c r="B888" s="3" t="s">
        <v>889</v>
      </c>
      <c r="C888" s="3" t="str">
        <f>IFERROR(__xludf.DUMMYFUNCTION("GOOGLETRANSLATE(B888,""id"",""en"")"),"['version', 'newest', 'drawback', 'disappointed', 'buy', 'package', 'data', 'balance', 'link', 'as a result', 'balance', 'link', ' Application ',' Telkomsel ',' Version ',' Raib ',' ']")</f>
        <v>['version', 'newest', 'drawback', 'disappointed', 'buy', 'package', 'data', 'balance', 'link', 'as a result', 'balance', 'link', ' Application ',' Telkomsel ',' Version ',' Raib ',' ']</v>
      </c>
      <c r="D888" s="3">
        <v>1.0</v>
      </c>
    </row>
    <row r="889" ht="15.75" customHeight="1">
      <c r="A889" s="1">
        <v>887.0</v>
      </c>
      <c r="B889" s="3" t="s">
        <v>890</v>
      </c>
      <c r="C889" s="3" t="str">
        <f>IFERROR(__xludf.DUMMYFUNCTION("GOOGLETRANSLATE(B889,""id"",""en"")"),"['users',' Telkomsel ',' access', 'network', 'area', 'home', 'students',' mind ',' package ',' special ',' kouta ',' tranquility ',' Learning ',' Kouta ',' Term ',' Lecturer ',' Webinar ',' Wear ',' Video ',' Conference ',' Zoom ',' Gmeet ',' Kouta ',' Tr"&amp;"anquility ',' Learning ' , 'Video', 'Conferemve', 'Zoom', 'Gmeet', 'given', 'limit', 'Sis', 'thank you']")</f>
        <v>['users',' Telkomsel ',' access', 'network', 'area', 'home', 'students',' mind ',' package ',' special ',' kouta ',' tranquility ',' Learning ',' Kouta ',' Term ',' Lecturer ',' Webinar ',' Wear ',' Video ',' Conference ',' Zoom ',' Gmeet ',' Kouta ',' Tranquility ',' Learning ' , 'Video', 'Conferemve', 'Zoom', 'Gmeet', 'given', 'limit', 'Sis', 'thank you']</v>
      </c>
      <c r="D889" s="3">
        <v>5.0</v>
      </c>
    </row>
    <row r="890" ht="15.75" customHeight="1">
      <c r="A890" s="1">
        <v>888.0</v>
      </c>
      <c r="B890" s="3" t="s">
        <v>891</v>
      </c>
      <c r="C890" s="3" t="str">
        <f>IFERROR(__xludf.DUMMYFUNCTION("GOOGLETRANSLATE(B890,""id"",""en"")"),"['pulse', 'run out', 'data', 'cellular', 'active', 'notification', 'Telkomsel', 'pulse', 'used', 'package', 'pulse', 'truncated', ' Complaints', 'Telkomsel']")</f>
        <v>['pulse', 'run out', 'data', 'cellular', 'active', 'notification', 'Telkomsel', 'pulse', 'used', 'package', 'pulse', 'truncated', ' Complaints', 'Telkomsel']</v>
      </c>
      <c r="D890" s="3">
        <v>1.0</v>
      </c>
    </row>
    <row r="891" ht="15.75" customHeight="1">
      <c r="A891" s="1">
        <v>889.0</v>
      </c>
      <c r="B891" s="3" t="s">
        <v>892</v>
      </c>
      <c r="C891" s="3" t="str">
        <f>IFERROR(__xludf.DUMMYFUNCTION("GOOGLETRANSLATE(B891,""id"",""en"")"),"['Hopefully', 'gift', 'paying', 'debt', 'debt', 'night', 'haunts',' debt ',' hope ',' Allah ',' fluency ',' paying ',' Debt ',' Debt ',' Aamin ']")</f>
        <v>['Hopefully', 'gift', 'paying', 'debt', 'debt', 'night', 'haunts',' debt ',' hope ',' Allah ',' fluency ',' paying ',' Debt ',' Debt ',' Aamin ']</v>
      </c>
      <c r="D891" s="3">
        <v>5.0</v>
      </c>
    </row>
    <row r="892" ht="15.75" customHeight="1">
      <c r="A892" s="1">
        <v>890.0</v>
      </c>
      <c r="B892" s="3" t="s">
        <v>893</v>
      </c>
      <c r="C892" s="3" t="str">
        <f>IFERROR(__xludf.DUMMYFUNCTION("GOOGLETRANSLATE(B892,""id"",""en"")"),"['Woii', 'Telkomtod', 'Napa', 'Network', 'Leet', 'Bet', 'Pas',' Play ',' Tiktok ',' Current ',' Jaya ',' Have ',' Apply ',' customers', 'experience', 'mslah', 'disorder', 'signal', 'TelkomToddddddd', '']")</f>
        <v>['Woii', 'Telkomtod', 'Napa', 'Network', 'Leet', 'Bet', 'Pas',' Play ',' Tiktok ',' Current ',' Jaya ',' Have ',' Apply ',' customers', 'experience', 'mslah', 'disorder', 'signal', 'TelkomToddddddd', '']</v>
      </c>
      <c r="D892" s="3">
        <v>1.0</v>
      </c>
    </row>
    <row r="893" ht="15.75" customHeight="1">
      <c r="A893" s="1">
        <v>891.0</v>
      </c>
      <c r="B893" s="3" t="s">
        <v>894</v>
      </c>
      <c r="C893" s="3" t="str">
        <f>IFERROR(__xludf.DUMMYFUNCTION("GOOGLETRANSLATE(B893,""id"",""en"")"),"['Disappointed', 'Telkomsel', 'Credit', 'Sumpot', 'Paketan', 'NSP', 'DLL', 'Cut', 'thousand', 'Email', 'Test', 'Try', ' Google ',' Play ',' join ',' subscribe ',' please ',' admin ',' Telkomsel ',' explain ', ""]")</f>
        <v>['Disappointed', 'Telkomsel', 'Credit', 'Sumpot', 'Paketan', 'NSP', 'DLL', 'Cut', 'thousand', 'Email', 'Test', 'Try', ' Google ',' Play ',' join ',' subscribe ',' please ',' admin ',' Telkomsel ',' explain ', "]</v>
      </c>
      <c r="D893" s="3">
        <v>1.0</v>
      </c>
    </row>
    <row r="894" ht="15.75" customHeight="1">
      <c r="A894" s="1">
        <v>892.0</v>
      </c>
      <c r="B894" s="3" t="s">
        <v>895</v>
      </c>
      <c r="C894" s="3" t="str">
        <f>IFERROR(__xludf.DUMMYFUNCTION("GOOGLETRANSLATE(B894,""id"",""en"")"),"['love', 'star', 'disorder', 'network', 'price', 'package', 'decent', 'expensive', 'offer', 'Telkomsel', 'expensive', 'offer', ' Cheap ',' quota ',' combo ',' Sakti ',' thousand ',' expensive ',' min ',' please ',' back ',' combo ',' sakti ',' already ','"&amp;" right ' , 'reversed', 'yasudah', 'moved', 'stalls', 'disappointed', 'already', 'many years', 'use', 'package', 'internet', 'Telkomsel', 'here' The price ',' horrified ', ""]")</f>
        <v>['love', 'star', 'disorder', 'network', 'price', 'package', 'decent', 'expensive', 'offer', 'Telkomsel', 'expensive', 'offer', ' Cheap ',' quota ',' combo ',' Sakti ',' thousand ',' expensive ',' min ',' please ',' back ',' combo ',' sakti ',' already ',' right ' , 'reversed', 'yasudah', 'moved', 'stalls', 'disappointed', 'already', 'many years', 'use', 'package', 'internet', 'Telkomsel', 'here' The price ',' horrified ', "]</v>
      </c>
      <c r="D894" s="3">
        <v>2.0</v>
      </c>
    </row>
    <row r="895" ht="15.75" customHeight="1">
      <c r="A895" s="1">
        <v>893.0</v>
      </c>
      <c r="B895" s="3" t="s">
        <v>896</v>
      </c>
      <c r="C895" s="3" t="str">
        <f>IFERROR(__xludf.DUMMYFUNCTION("GOOGLETRANSLATE(B895,""id"",""en"")"),"['already', 'report', 'grapari', 'hobby', 'take', 'pulse', 'hobby', 'reasons',' gprs', 'pelangan', 'harmed', 'card', ' Friendly ',' DRPD ',' Telkomsel ',' Service ',' Bad ',' Signal ',' Severe ',' ']")</f>
        <v>['already', 'report', 'grapari', 'hobby', 'take', 'pulse', 'hobby', 'reasons',' gprs', 'pelangan', 'harmed', 'card', ' Friendly ',' DRPD ',' Telkomsel ',' Service ',' Bad ',' Signal ',' Severe ',' ']</v>
      </c>
      <c r="D895" s="3">
        <v>1.0</v>
      </c>
    </row>
    <row r="896" ht="15.75" customHeight="1">
      <c r="A896" s="1">
        <v>894.0</v>
      </c>
      <c r="B896" s="3" t="s">
        <v>897</v>
      </c>
      <c r="C896" s="3" t="str">
        <f>IFERROR(__xludf.DUMMYFUNCTION("GOOGLETRANSLATE(B896,""id"",""en"")"),"['Min', 'The name', 'slow', 'Mulu', 'UDH', 'WEEK', 'Open', 'Game', 'YouTube', 'streaming', 'etc.', 'Connect', ' Mulu ',' please ',' fixin ']")</f>
        <v>['Min', 'The name', 'slow', 'Mulu', 'UDH', 'WEEK', 'Open', 'Game', 'YouTube', 'streaming', 'etc.', 'Connect', ' Mulu ',' please ',' fixin ']</v>
      </c>
      <c r="D896" s="3">
        <v>1.0</v>
      </c>
    </row>
    <row r="897" ht="15.75" customHeight="1">
      <c r="A897" s="1">
        <v>895.0</v>
      </c>
      <c r="B897" s="3" t="s">
        <v>898</v>
      </c>
      <c r="C897" s="3" t="str">
        <f>IFERROR(__xludf.DUMMYFUNCTION("GOOGLETRANSLATE(B897,""id"",""en"")"),"['here', 'expensive', 'package', 'already', 'expensive', 'Lemott', 'parahh', 'moved', 'provaider', 'Lahh', 'play', 'game', ' ping ',' red ',' ugly ',' signal ',' full ',' flushing ',' ']")</f>
        <v>['here', 'expensive', 'package', 'already', 'expensive', 'Lemott', 'parahh', 'moved', 'provaider', 'Lahh', 'play', 'game', ' ping ',' red ',' ugly ',' signal ',' full ',' flushing ',' ']</v>
      </c>
      <c r="D897" s="3">
        <v>1.0</v>
      </c>
    </row>
    <row r="898" ht="15.75" customHeight="1">
      <c r="A898" s="1">
        <v>896.0</v>
      </c>
      <c r="B898" s="3" t="s">
        <v>899</v>
      </c>
      <c r="C898" s="3" t="str">
        <f>IFERROR(__xludf.DUMMYFUNCTION("GOOGLETRANSLATE(B898,""id"",""en"")"),"['REG', 'Unreg', 'response', 'via', 'SMS', 'USSD', 'How', 'Litu', 'Enter', 'APP', 'MyTelkomsel', 'waste', ' Data ',' buy ',' package ',' data ',' number ',' Telkomsel ',' quota ',' CPT ',' abisss', ""]")</f>
        <v>['REG', 'Unreg', 'response', 'via', 'SMS', 'USSD', 'How', 'Litu', 'Enter', 'APP', 'MyTelkomsel', 'waste', ' Data ',' buy ',' package ',' data ',' number ',' Telkomsel ',' quota ',' CPT ',' abisss', "]</v>
      </c>
      <c r="D898" s="3">
        <v>1.0</v>
      </c>
    </row>
    <row r="899" ht="15.75" customHeight="1">
      <c r="A899" s="1">
        <v>897.0</v>
      </c>
      <c r="B899" s="3" t="s">
        <v>900</v>
      </c>
      <c r="C899" s="3" t="str">
        <f>IFERROR(__xludf.DUMMYFUNCTION("GOOGLETRANSLATE(B899,""id"",""en"")"),"['Please', 'Sorry', 'It's Him', 'Buy', 'Package', 'Application', 'Credit', 'RB', 'Buy', 'Package', 'Application', 'Balance', ' Credit ',' Rupiah ',' Please ',' Explanation ',' ']")</f>
        <v>['Please', 'Sorry', 'It's Him', 'Buy', 'Package', 'Application', 'Credit', 'RB', 'Buy', 'Package', 'Application', 'Balance', ' Credit ',' Rupiah ',' Please ',' Explanation ',' ']</v>
      </c>
      <c r="D899" s="3">
        <v>1.0</v>
      </c>
    </row>
    <row r="900" ht="15.75" customHeight="1">
      <c r="A900" s="1">
        <v>898.0</v>
      </c>
      <c r="B900" s="3" t="s">
        <v>901</v>
      </c>
      <c r="C900" s="3" t="str">
        <f>IFERROR(__xludf.DUMMYFUNCTION("GOOGLETRANSLATE(B900,""id"",""en"")"),"['Sorry', 'Min', 'Activation', 'Telkomsel', 'Click', 'Link', 'SMS', 'appears',' Posts', 'Device', 'Support', 'Download', ' application ',' smooth ',' ajh ',' gmna ',' min ',' contents', 'package', '']")</f>
        <v>['Sorry', 'Min', 'Activation', 'Telkomsel', 'Click', 'Link', 'SMS', 'appears',' Posts', 'Device', 'Support', 'Download', ' application ',' smooth ',' ajh ',' gmna ',' min ',' contents', 'package', '']</v>
      </c>
      <c r="D900" s="3">
        <v>1.0</v>
      </c>
    </row>
    <row r="901" ht="15.75" customHeight="1">
      <c r="A901" s="1">
        <v>899.0</v>
      </c>
      <c r="B901" s="3" t="s">
        <v>902</v>
      </c>
      <c r="C901" s="3" t="str">
        <f>IFERROR(__xludf.DUMMYFUNCTION("GOOGLETRANSLATE(B901,""id"",""en"")"),"['Love', 'star', 'Telkomsel', 'Features',' pulses', 'safe', 'complaints',' buy ',' package ',' internet ',' pulse ',' truncated ',' Data ',' packages', 'internet', 'bought', 'come on', 'Telkomsel', 'wrong', 'provider', 'biggest', 'please', 'present', 'set"&amp;"ting', 'pulses' , 'Safe', 'pulse', 'truncated', 'cost', 'data', 'quota', 'run out', 'thank', 'love', 'help', 'click', 'friend', ' friend']")</f>
        <v>['Love', 'star', 'Telkomsel', 'Features',' pulses', 'safe', 'complaints',' buy ',' package ',' internet ',' pulse ',' truncated ',' Data ',' packages', 'internet', 'bought', 'come on', 'Telkomsel', 'wrong', 'provider', 'biggest', 'please', 'present', 'setting', 'pulses' , 'Safe', 'pulse', 'truncated', 'cost', 'data', 'quota', 'run out', 'thank', 'love', 'help', 'click', 'friend', ' friend']</v>
      </c>
      <c r="D901" s="3">
        <v>4.0</v>
      </c>
    </row>
    <row r="902" ht="15.75" customHeight="1">
      <c r="A902" s="1">
        <v>900.0</v>
      </c>
      <c r="B902" s="3" t="s">
        <v>903</v>
      </c>
      <c r="C902" s="3" t="str">
        <f>IFERROR(__xludf.DUMMYFUNCTION("GOOGLETRANSLATE(B902,""id"",""en"")"),"['network', 'Telkomsel', 'ugly', 'really', 'severe', 'really', 'telponin', 'subscription', 'package', 'data', 'card', 'card', ' Tetep ',' network ',' ugly ',' auto ',' replace ',' card ',' mah ',' ']")</f>
        <v>['network', 'Telkomsel', 'ugly', 'really', 'severe', 'really', 'telponin', 'subscription', 'package', 'data', 'card', 'card', ' Tetep ',' network ',' ugly ',' auto ',' replace ',' card ',' mah ',' ']</v>
      </c>
      <c r="D902" s="3">
        <v>1.0</v>
      </c>
    </row>
    <row r="903" ht="15.75" customHeight="1">
      <c r="A903" s="1">
        <v>901.0</v>
      </c>
      <c r="B903" s="3" t="s">
        <v>904</v>
      </c>
      <c r="C903" s="3" t="str">
        <f>IFERROR(__xludf.DUMMYFUNCTION("GOOGLETRANSLATE(B903,""id"",""en"")"),"['People', 'MENANG', 'Mending', 'Ter', 'Absenient', 'Karna', 'Money', 'Cut', 'Costs',' Transfer ',' Mbanking ',' Blom ',' Returns', 'PKET', 'Emergency', 'Choice', 'Telkom', 'Pay', 'Package', 'Emergency', 'Yesterday']")</f>
        <v>['People', 'MENANG', 'Mending', 'Ter', 'Absenient', 'Karna', 'Money', 'Cut', 'Costs',' Transfer ',' Mbanking ',' Blom ',' Returns', 'PKET', 'Emergency', 'Choice', 'Telkom', 'Pay', 'Package', 'Emergency', 'Yesterday']</v>
      </c>
      <c r="D903" s="3">
        <v>1.0</v>
      </c>
    </row>
    <row r="904" ht="15.75" customHeight="1">
      <c r="A904" s="1">
        <v>902.0</v>
      </c>
      <c r="B904" s="3" t="s">
        <v>905</v>
      </c>
      <c r="C904" s="3" t="str">
        <f>IFERROR(__xludf.DUMMYFUNCTION("GOOGLETRANSLATE(B904,""id"",""en"")"),"['Please', 'company', 'Telkomsel', 'improve', 'strength', 'network', 'province', 'Kalimantan', 'district', 'katingan', 'special', 'region', ' Subdistrict ',' Katingan ',' Network ',' internet ',' problematic ',' slow ',' loeding ',' please ',' company ','"&amp;" as soon as possible, 'clean up', ""]")</f>
        <v>['Please', 'company', 'Telkomsel', 'improve', 'strength', 'network', 'province', 'Kalimantan', 'district', 'katingan', 'special', 'region', ' Subdistrict ',' Katingan ',' Network ',' internet ',' problematic ',' slow ',' loeding ',' please ',' company ',' as soon as possible, 'clean up', "]</v>
      </c>
      <c r="D904" s="3">
        <v>2.0</v>
      </c>
    </row>
    <row r="905" ht="15.75" customHeight="1">
      <c r="A905" s="1">
        <v>903.0</v>
      </c>
      <c r="B905" s="3" t="s">
        <v>906</v>
      </c>
      <c r="C905" s="3" t="str">
        <f>IFERROR(__xludf.DUMMYFUNCTION("GOOGLETRANSLATE(B905,""id"",""en"")"),"['Please', 'Kasi', 'Network', 'Cave', 'Village', 'Desert', 'Nagari', 'Kapab', 'Kecamatan', 'Koto', 'Tarusan', 'Regency', ' Coastal ',' South ',' Province ',' Sumatra ',' West ',' ugly ',' times', 'Telkom', 'already', 'expensive', 'ugly', 'cave', 'message'"&amp;" , 'Package', 'GB', 'a month', 'right', 'already', 'buy', 'credit', 'check', 'link', 'gada', 'promo', 'promo', ' Masi ',' Date ',' strange ',' Bener ',' oath ']")</f>
        <v>['Please', 'Kasi', 'Network', 'Cave', 'Village', 'Desert', 'Nagari', 'Kapab', 'Kecamatan', 'Koto', 'Tarusan', 'Regency', ' Coastal ',' South ',' Province ',' Sumatra ',' West ',' ugly ',' times', 'Telkom', 'already', 'expensive', 'ugly', 'cave', 'message' , 'Package', 'GB', 'a month', 'right', 'already', 'buy', 'credit', 'check', 'link', 'gada', 'promo', 'promo', ' Masi ',' Date ',' strange ',' Bener ',' oath ']</v>
      </c>
      <c r="D905" s="3">
        <v>1.0</v>
      </c>
    </row>
    <row r="906" ht="15.75" customHeight="1">
      <c r="A906" s="1">
        <v>904.0</v>
      </c>
      <c r="B906" s="3" t="s">
        <v>907</v>
      </c>
      <c r="C906" s="3" t="str">
        <f>IFERROR(__xludf.DUMMYFUNCTION("GOOGLETRANSLATE(B906,""id"",""en"")"),"['buy', 'package', 'internet', 'fit', 'data', 'dimatiin', 'turned on', 'package', 'internet', 'stay', 'dipake', ""]")</f>
        <v>['buy', 'package', 'internet', 'fit', 'data', 'dimatiin', 'turned on', 'package', 'internet', 'stay', 'dipake', "]</v>
      </c>
      <c r="D906" s="3">
        <v>1.0</v>
      </c>
    </row>
    <row r="907" ht="15.75" customHeight="1">
      <c r="A907" s="1">
        <v>905.0</v>
      </c>
      <c r="B907" s="3" t="s">
        <v>908</v>
      </c>
      <c r="C907" s="3" t="str">
        <f>IFERROR(__xludf.DUMMYFUNCTION("GOOGLETRANSLATE(B907,""id"",""en"")"),"['Sorry', 'Telkom', 'Yesterday', 'Entering', 'Code', 'Voucher', 'Telkom', 'Busy', 'Please', 'Access',' Code ',' Voucher ',' Udh ',' buy ',' expensive ',' no ',' use ',' writing ',' sorry ',' system ',' busy ', ""]")</f>
        <v>['Sorry', 'Telkom', 'Yesterday', 'Entering', 'Code', 'Voucher', 'Telkom', 'Busy', 'Please', 'Access',' Code ',' Voucher ',' Udh ',' buy ',' expensive ',' no ',' use ',' writing ',' sorry ',' system ',' busy ', "]</v>
      </c>
      <c r="D907" s="3">
        <v>1.0</v>
      </c>
    </row>
    <row r="908" ht="15.75" customHeight="1">
      <c r="A908" s="1">
        <v>906.0</v>
      </c>
      <c r="B908" s="3" t="s">
        <v>909</v>
      </c>
      <c r="C908" s="3" t="str">
        <f>IFERROR(__xludf.DUMMYFUNCTION("GOOGLETRANSLATE(B908,""id"",""en"")"),"['Severe', 'trouble', 'palikasinya', 'wonder', 'promo', 'prank', 'cash', 'back', 'pay', 'bill', 'ovo', 'nipu', ' Maklumi ',' Model ',' Indonesia ',' really ',' Mimin ',' complaint ',' Wow ',' Cool ',' Abis', 'trap', ""]")</f>
        <v>['Severe', 'trouble', 'palikasinya', 'wonder', 'promo', 'prank', 'cash', 'back', 'pay', 'bill', 'ovo', 'nipu', ' Maklumi ',' Model ',' Indonesia ',' really ',' Mimin ',' complaint ',' Wow ',' Cool ',' Abis', 'trap', "]</v>
      </c>
      <c r="D908" s="3">
        <v>1.0</v>
      </c>
    </row>
    <row r="909" ht="15.75" customHeight="1">
      <c r="A909" s="1">
        <v>907.0</v>
      </c>
      <c r="B909" s="3" t="s">
        <v>910</v>
      </c>
      <c r="C909" s="3" t="str">
        <f>IFERROR(__xludf.DUMMYFUNCTION("GOOGLETRANSLATE(B909,""id"",""en"")"),"['Please', 'network', 'repaired', 'tissue', 'slow', 'really', 'already', 'speed', 'network', 'down', 'drastic', 'please', ' Really ',' repaired ',' ']")</f>
        <v>['Please', 'network', 'repaired', 'tissue', 'slow', 'really', 'already', 'speed', 'network', 'down', 'drastic', 'please', ' Really ',' repaired ',' ']</v>
      </c>
      <c r="D909" s="3">
        <v>2.0</v>
      </c>
    </row>
    <row r="910" ht="15.75" customHeight="1">
      <c r="A910" s="1">
        <v>908.0</v>
      </c>
      <c r="B910" s="3" t="s">
        <v>911</v>
      </c>
      <c r="C910" s="3" t="str">
        <f>IFERROR(__xludf.DUMMYFUNCTION("GOOGLETRANSLATE(B910,""id"",""en"")"),"['skrng', 'Telkomsel', 'the network', 'slow', 'udh', 'that's',' expensive ',' mending ',' expensive ',' TPI ',' good ',' cmn ',' Open ',' Google ',' Doang ',' Load ',' BGTT ',' Please ',' Telkomsel ',' The Network ',' Repaired ']")</f>
        <v>['skrng', 'Telkomsel', 'the network', 'slow', 'udh', 'that's',' expensive ',' mending ',' expensive ',' TPI ',' good ',' cmn ',' Open ',' Google ',' Doang ',' Load ',' BGTT ',' Please ',' Telkomsel ',' The Network ',' Repaired ']</v>
      </c>
      <c r="D910" s="3">
        <v>2.0</v>
      </c>
    </row>
    <row r="911" ht="15.75" customHeight="1">
      <c r="A911" s="1">
        <v>909.0</v>
      </c>
      <c r="B911" s="3" t="s">
        <v>912</v>
      </c>
      <c r="C911" s="3" t="str">
        <f>IFERROR(__xludf.DUMMYFUNCTION("GOOGLETRANSLATE(B911,""id"",""en"")"),"['Login', 'difficult', 'forgiveness',' code ',' sms', 'Wait', 'second', 'repeated', 'Tetep', 'sent', 'code', ' Verifikasi ',' ']")</f>
        <v>['Login', 'difficult', 'forgiveness',' code ',' sms', 'Wait', 'second', 'repeated', 'Tetep', 'sent', 'code', ' Verifikasi ',' ']</v>
      </c>
      <c r="D911" s="3">
        <v>2.0</v>
      </c>
    </row>
    <row r="912" ht="15.75" customHeight="1">
      <c r="A912" s="1">
        <v>910.0</v>
      </c>
      <c r="B912" s="3" t="s">
        <v>913</v>
      </c>
      <c r="C912" s="3" t="str">
        <f>IFERROR(__xludf.DUMMYFUNCTION("GOOGLETRANSLATE(B912,""id"",""en"")"),"['OII', 'Telkomsel', 'application', 'ente', 'slow', 'repeat', 'open', 'apply', 'fix', 'turn', 'bill', 'staple', ' related ',' money ',' fast ',' ente ',' turn ',' service ',' chaucy ', ""]")</f>
        <v>['OII', 'Telkomsel', 'application', 'ente', 'slow', 'repeat', 'open', 'apply', 'fix', 'turn', 'bill', 'staple', ' related ',' money ',' fast ',' ente ',' turn ',' service ',' chaucy ', "]</v>
      </c>
      <c r="D912" s="3">
        <v>1.0</v>
      </c>
    </row>
    <row r="913" ht="15.75" customHeight="1">
      <c r="A913" s="1">
        <v>911.0</v>
      </c>
      <c r="B913" s="3" t="s">
        <v>914</v>
      </c>
      <c r="C913" s="3" t="str">
        <f>IFERROR(__xludf.DUMMYFUNCTION("GOOGLETRANSLATE(B913,""id"",""en"")"),"['Here', 'Where', 'Credit', 'Activein', 'At Home', 'WiFi', 'Credit', 'Out', 'Bangke', 'Jahanam', ""]")</f>
        <v>['Here', 'Where', 'Credit', 'Activein', 'At Home', 'WiFi', 'Credit', 'Out', 'Bangke', 'Jahanam', "]</v>
      </c>
      <c r="D913" s="3">
        <v>1.0</v>
      </c>
    </row>
    <row r="914" ht="15.75" customHeight="1">
      <c r="A914" s="1">
        <v>912.0</v>
      </c>
      <c r="B914" s="3" t="s">
        <v>915</v>
      </c>
      <c r="C914" s="3" t="str">
        <f>IFERROR(__xludf.DUMMYFUNCTION("GOOGLETRANSLATE(B914,""id"",""en"")"),"['signal', 'good', 'smooth', 'Please', 'Telkomsel', 'hope', 'MEME', 'strong', 'signal', 'area', 'suburb', 'city', ' The community ',' feel ',' signal ',' fast ',' help ', ""]")</f>
        <v>['signal', 'good', 'smooth', 'Please', 'Telkomsel', 'hope', 'MEME', 'strong', 'signal', 'area', 'suburb', 'city', ' The community ',' feel ',' signal ',' fast ',' help ', "]</v>
      </c>
      <c r="D914" s="3">
        <v>4.0</v>
      </c>
    </row>
    <row r="915" ht="15.75" customHeight="1">
      <c r="A915" s="1">
        <v>913.0</v>
      </c>
      <c r="B915" s="3" t="s">
        <v>916</v>
      </c>
      <c r="C915" s="3" t="str">
        <f>IFERROR(__xludf.DUMMYFUNCTION("GOOGLETRANSLATE(B915,""id"",""en"")"),"['loyal', 'Telkomsel', 'expensive', 'entry', 'sense', 'because', 'network', 'good', 'competitors',' fix ',' quality ',' good ',' cheap ',' buy ',' quota ',' Telkomsel ',' expensive ',' felt ',' wort ',' karna ',' quality ',' network ',' telkomsel ',' bad "&amp;"',' competitor ' , 'the price is cheap', '']")</f>
        <v>['loyal', 'Telkomsel', 'expensive', 'entry', 'sense', 'because', 'network', 'good', 'competitors',' fix ',' quality ',' good ',' cheap ',' buy ',' quota ',' Telkomsel ',' expensive ',' felt ',' wort ',' karna ',' quality ',' network ',' telkomsel ',' bad ',' competitor ' , 'the price is cheap', '']</v>
      </c>
      <c r="D915" s="3">
        <v>1.0</v>
      </c>
    </row>
    <row r="916" ht="15.75" customHeight="1">
      <c r="A916" s="1">
        <v>914.0</v>
      </c>
      <c r="B916" s="3" t="s">
        <v>917</v>
      </c>
      <c r="C916" s="3" t="str">
        <f>IFERROR(__xludf.DUMMYFUNCTION("GOOGLETRANSLATE(B916,""id"",""en"")"),"['Greetings',' Success', 'Telkomsel', 'Hopefully', 'Telkomsel', 'Understanding', 'Needs',' Velp ',' Access', 'Costs',' Tel ',' Package ',' Internet ',' Affected ',' Customer ',' Student ',' Thank "", 'Love', 'Telkomsel',""]")</f>
        <v>['Greetings',' Success', 'Telkomsel', 'Hopefully', 'Telkomsel', 'Understanding', 'Needs',' Velp ',' Access', 'Costs',' Tel ',' Package ',' Internet ',' Affected ',' Customer ',' Student ',' Thank ", 'Love', 'Telkomsel',"]</v>
      </c>
      <c r="D916" s="3">
        <v>5.0</v>
      </c>
    </row>
    <row r="917" ht="15.75" customHeight="1">
      <c r="A917" s="1">
        <v>915.0</v>
      </c>
      <c r="B917" s="3" t="s">
        <v>918</v>
      </c>
      <c r="C917" s="3" t="str">
        <f>IFERROR(__xludf.DUMMYFUNCTION("GOOGLETRANSLATE(B917,""id"",""en"")"),"['here', 'signal', 'Telkomsel', 'Ancur', 'Provider', 'expensive', 'Doang', 'Quality', 'guaranteed', 'signal', 'threat', 'I' Stay ',' urban ',' know ',' signal ',' UDH ',' slow ',' crazy ', ""]")</f>
        <v>['here', 'signal', 'Telkomsel', 'Ancur', 'Provider', 'expensive', 'Doang', 'Quality', 'guaranteed', 'signal', 'threat', 'I' Stay ',' urban ',' know ',' signal ',' UDH ',' slow ',' crazy ', "]</v>
      </c>
      <c r="D917" s="3">
        <v>1.0</v>
      </c>
    </row>
    <row r="918" ht="15.75" customHeight="1">
      <c r="A918" s="1">
        <v>916.0</v>
      </c>
      <c r="B918" s="3" t="s">
        <v>919</v>
      </c>
      <c r="C918" s="3" t="str">
        <f>IFERROR(__xludf.DUMMYFUNCTION("GOOGLETRANSLATE(B918,""id"",""en"")"),"['Love', 'star', 'dlu', 'package', 'tsel', 'expensive', 'cheap', 'TPI', 'the list', 'difficult', 'for example', 'package', ' Cheerful ',' already ',' list ',' package ',' many ',' times', 'response', 'credit', 'udh', 'ties',' list ',' package ',' cheerful"&amp;" ' , 'turn on', 'data', 'cellular', 'pkoknya', 'like', 'so', 'factor', 'reducer', 'pulses',' cave ',' kcuspui ',' list ',' Package ',' Doang ',' right ',' pulse ',' already ',' ties', 'little', 'jdi', 'bsa', 'list', 'please', 'repair', '']")</f>
        <v>['Love', 'star', 'dlu', 'package', 'tsel', 'expensive', 'cheap', 'TPI', 'the list', 'difficult', 'for example', 'package', ' Cheerful ',' already ',' list ',' package ',' many ',' times', 'response', 'credit', 'udh', 'ties',' list ',' package ',' cheerful ' , 'turn on', 'data', 'cellular', 'pkoknya', 'like', 'so', 'factor', 'reducer', 'pulses',' cave ',' kcuspui ',' list ',' Package ',' Doang ',' right ',' pulse ',' already ',' ties', 'little', 'jdi', 'bsa', 'list', 'please', 'repair', '']</v>
      </c>
      <c r="D918" s="3">
        <v>4.0</v>
      </c>
    </row>
    <row r="919" ht="15.75" customHeight="1">
      <c r="A919" s="1">
        <v>917.0</v>
      </c>
      <c r="B919" s="3" t="s">
        <v>920</v>
      </c>
      <c r="C919" s="3" t="str">
        <f>IFERROR(__xludf.DUMMYFUNCTION("GOOGLETRANSLATE(B919,""id"",""en"")"),"['Service', 'ugly', 'complain', 'Veronika', 'response', 'alias',' mbulet ',' data ',' internet ',' turned off ',' suck ',' pulses', ' Notifications', 'quota', 'internet', 'run out', 'slow', 'notification', 'no', 'check', 'pulse', 'sumps',' buankanaak ',' "&amp;"no ',' Telkomsel ' , 'Kayak', 'gini', 'mentang', 'customer', 'service', 'threat']")</f>
        <v>['Service', 'ugly', 'complain', 'Veronika', 'response', 'alias',' mbulet ',' data ',' internet ',' turned off ',' suck ',' pulses', ' Notifications', 'quota', 'internet', 'run out', 'slow', 'notification', 'no', 'check', 'pulse', 'sumps',' buankanaak ',' no ',' Telkomsel ' , 'Kayak', 'gini', 'mentang', 'customer', 'service', 'threat']</v>
      </c>
      <c r="D919" s="3">
        <v>1.0</v>
      </c>
    </row>
    <row r="920" ht="15.75" customHeight="1">
      <c r="A920" s="1">
        <v>918.0</v>
      </c>
      <c r="B920" s="3" t="s">
        <v>921</v>
      </c>
      <c r="C920" s="3" t="str">
        <f>IFERROR(__xludf.DUMMYFUNCTION("GOOGLETRANSLATE(B920,""id"",""en"")"),"['Service', 'fast', 'really', 'like', 'times',' Kartuku ',' hit ',' Thank God ',' report ',' solution ',' thank ',' love ',' Admin ',' Telkomsel ',' understand ',' my problem ', ""]")</f>
        <v>['Service', 'fast', 'really', 'like', 'times',' Kartuku ',' hit ',' Thank God ',' report ',' solution ',' thank ',' love ',' Admin ',' Telkomsel ',' understand ',' my problem ', "]</v>
      </c>
      <c r="D920" s="3">
        <v>5.0</v>
      </c>
    </row>
    <row r="921" ht="15.75" customHeight="1">
      <c r="A921" s="1">
        <v>919.0</v>
      </c>
      <c r="B921" s="3" t="s">
        <v>922</v>
      </c>
      <c r="C921" s="3" t="str">
        <f>IFERROR(__xludf.DUMMYFUNCTION("GOOGLETRANSLATE(B921,""id"",""en"")"),"['Sorry', 'love', 'star', 'package', 'internet', 'here', 'user', 'Telkomsel', 'replace', 'get', 'pandemic', 'Nyari', ' Money ',' difficult ',' package ',' already ',' package ',' cheap ',' edit ',' love ',' star ',' Stay ',' safe ']")</f>
        <v>['Sorry', 'love', 'star', 'package', 'internet', 'here', 'user', 'Telkomsel', 'replace', 'get', 'pandemic', 'Nyari', ' Money ',' difficult ',' package ',' already ',' package ',' cheap ',' edit ',' love ',' star ',' Stay ',' safe ']</v>
      </c>
      <c r="D921" s="3">
        <v>2.0</v>
      </c>
    </row>
    <row r="922" ht="15.75" customHeight="1">
      <c r="A922" s="1">
        <v>920.0</v>
      </c>
      <c r="B922" s="3" t="s">
        <v>923</v>
      </c>
      <c r="C922" s="3" t="str">
        <f>IFERROR(__xludf.DUMMYFUNCTION("GOOGLETRANSLATE(B922,""id"",""en"")"),"['Purpose', 'Learning', 'Child', 'Try', 'Please', 'Most', 'Type', 'Package', 'Sell', 'Credit', 'Quota', 'Used', ' Internet ',' Application ',' Ntar ',' Dipake ',' No ',' GPP ',' Mubazir ',' Difficult ',' Easy ',' Society ', ""]")</f>
        <v>['Purpose', 'Learning', 'Child', 'Try', 'Please', 'Most', 'Type', 'Package', 'Sell', 'Credit', 'Quota', 'Used', ' Internet ',' Application ',' Ntar ',' Dipake ',' No ',' GPP ',' Mubazir ',' Difficult ',' Easy ',' Society ', "]</v>
      </c>
      <c r="D922" s="3">
        <v>1.0</v>
      </c>
    </row>
    <row r="923" ht="15.75" customHeight="1">
      <c r="A923" s="1">
        <v>921.0</v>
      </c>
      <c r="B923" s="3" t="s">
        <v>924</v>
      </c>
      <c r="C923" s="3" t="str">
        <f>IFERROR(__xludf.DUMMYFUNCTION("GOOGLETRANSLATE(B923,""id"",""en"")"),"['Steady', 'Telkomsel', 'users', 'loyal', 'simcard', 'Telkomsel', 'enjoy', 'convenience', 'promo', 'interesting', '']")</f>
        <v>['Steady', 'Telkomsel', 'users', 'loyal', 'simcard', 'Telkomsel', 'enjoy', 'convenience', 'promo', 'interesting', '']</v>
      </c>
      <c r="D923" s="3">
        <v>5.0</v>
      </c>
    </row>
    <row r="924" ht="15.75" customHeight="1">
      <c r="A924" s="1">
        <v>922.0</v>
      </c>
      <c r="B924" s="3" t="s">
        <v>925</v>
      </c>
      <c r="C924" s="3" t="str">
        <f>IFERROR(__xludf.DUMMYFUNCTION("GOOGLETRANSLATE(B924,""id"",""en"")"),"['', 'love', 'star', 'because', 'package', 'expensive', 'bget', 'skrg', 'ppkm', 'hrg', 'expensive', 'hrus',' expensive ',' Kembalikn ',' hrga ',' package ',' expensive ',' kyak ',' gini ',' buy ',' ']")</f>
        <v>['', 'love', 'star', 'because', 'package', 'expensive', 'bget', 'skrg', 'ppkm', 'hrg', 'expensive', 'hrus',' expensive ',' Kembalikn ',' hrga ',' package ',' expensive ',' kyak ',' gini ',' buy ',' ']</v>
      </c>
      <c r="D924" s="3">
        <v>1.0</v>
      </c>
    </row>
    <row r="925" ht="15.75" customHeight="1">
      <c r="A925" s="1">
        <v>923.0</v>
      </c>
      <c r="B925" s="3" t="s">
        <v>926</v>
      </c>
      <c r="C925" s="3" t="str">
        <f>IFERROR(__xludf.DUMMYFUNCTION("GOOGLETRANSLATE(B925,""id"",""en"")"),"['good', 'service', 'easy', 'use', 'feature', 'superior', 'choice', 'package', 'cheap', 'affordable', 'addin', 'gift', ' Daily ',' Chek ',' ina ',' GB ',' GB ',' APK ',' in the past ']")</f>
        <v>['good', 'service', 'easy', 'use', 'feature', 'superior', 'choice', 'package', 'cheap', 'affordable', 'addin', 'gift', ' Daily ',' Chek ',' ina ',' GB ',' GB ',' APK ',' in the past ']</v>
      </c>
      <c r="D925" s="3">
        <v>5.0</v>
      </c>
    </row>
    <row r="926" ht="15.75" customHeight="1">
      <c r="A926" s="1">
        <v>924.0</v>
      </c>
      <c r="B926" s="3" t="s">
        <v>927</v>
      </c>
      <c r="C926" s="3" t="str">
        <f>IFERROR(__xludf.DUMMYFUNCTION("GOOGLETRANSLATE(B926,""id"",""en"")"),"['application', 'error', 'buy', 'package', 'quota', 'tranquility', 'main', 'missing', 'menu', 'error', 'hot', 'promo', ' Lost ',' Padaha ',' People ',' Need ',' Package ',' ']")</f>
        <v>['application', 'error', 'buy', 'package', 'quota', 'tranquility', 'main', 'missing', 'menu', 'error', 'hot', 'promo', ' Lost ',' Padaha ',' People ',' Need ',' Package ',' ']</v>
      </c>
      <c r="D926" s="3">
        <v>1.0</v>
      </c>
    </row>
    <row r="927" ht="15.75" customHeight="1">
      <c r="A927" s="1">
        <v>925.0</v>
      </c>
      <c r="B927" s="3" t="s">
        <v>928</v>
      </c>
      <c r="C927" s="3" t="str">
        <f>IFERROR(__xludf.DUMMYFUNCTION("GOOGLETRANSLATE(B927,""id"",""en"")"),"['active', 'package', 'cut', 'quality', 'network', 'disappointing', 'Telkomsel', 'sell', 'make sure', 'charge', 'campaign', 'boycott', ' Telkomsel ',' ']")</f>
        <v>['active', 'package', 'cut', 'quality', 'network', 'disappointing', 'Telkomsel', 'sell', 'make sure', 'charge', 'campaign', 'boycott', ' Telkomsel ',' ']</v>
      </c>
      <c r="D927" s="3">
        <v>1.0</v>
      </c>
    </row>
    <row r="928" ht="15.75" customHeight="1">
      <c r="A928" s="1">
        <v>926.0</v>
      </c>
      <c r="B928" s="3" t="s">
        <v>929</v>
      </c>
      <c r="C928" s="3" t="str">
        <f>IFERROR(__xludf.DUMMYFUNCTION("GOOGLETRANSLATE(B928,""id"",""en"")"),"['', 'please', 'quota', 'internet', 'abis',' automatically ',' take ',' suck ',' pulse ',' loss', 'impressed', 'Telkomsel', 'nilep ',' pulse ',' customer ',' tasty ',' really ',' accused ',' so ',' informed ',' date ',' so ',' clock ',' so ',' quota ', 'I"&amp;"nternet', 'out', 'provider', 'neighbor', 'sucked', 'pulse', 'quota', 'internet', 'run out', 'Telkomsel', 'so', 'sorry', 'sorry', 'suggested' ',' Sewot ',' BTW ',' expensive ',' selling ',' pulse ',' quota ',' internet ',' Thanks', ""]")</f>
        <v>['', 'please', 'quota', 'internet', 'abis',' automatically ',' take ',' suck ',' pulse ',' loss', 'impressed', 'Telkomsel', 'nilep ',' pulse ',' customer ',' tasty ',' really ',' accused ',' so ',' informed ',' date ',' so ',' clock ',' so ',' quota ', 'Internet', 'out', 'provider', 'neighbor', 'sucked', 'pulse', 'quota', 'internet', 'run out', 'Telkomsel', 'so', 'sorry', 'sorry', 'suggested' ',' Sewot ',' BTW ',' expensive ',' selling ',' pulse ',' quota ',' internet ',' Thanks', "]</v>
      </c>
      <c r="D928" s="3">
        <v>4.0</v>
      </c>
    </row>
    <row r="929" ht="15.75" customHeight="1">
      <c r="A929" s="1">
        <v>927.0</v>
      </c>
      <c r="B929" s="3" t="s">
        <v>930</v>
      </c>
      <c r="C929" s="3" t="str">
        <f>IFERROR(__xludf.DUMMYFUNCTION("GOOGLETRANSLATE(B929,""id"",""en"")"),"['ugly', 'deh', 'essence', 'bad', 'really', 'experience', 'make', 'telkomsel', 'expensive', 'expensive', 'service', 'bad', ' Shame ',' provider ',' cheap ',' cheap ',' quality ',' hahahahah ']")</f>
        <v>['ugly', 'deh', 'essence', 'bad', 'really', 'experience', 'make', 'telkomsel', 'expensive', 'expensive', 'service', 'bad', ' Shame ',' provider ',' cheap ',' cheap ',' quality ',' hahahahah ']</v>
      </c>
      <c r="D929" s="3">
        <v>1.0</v>
      </c>
    </row>
    <row r="930" ht="15.75" customHeight="1">
      <c r="A930" s="1">
        <v>928.0</v>
      </c>
      <c r="B930" s="3" t="s">
        <v>931</v>
      </c>
      <c r="C930" s="3" t="str">
        <f>IFERROR(__xludf.DUMMYFUNCTION("GOOGLETRANSLATE(B930,""id"",""en"")"),"['Help', 'easy', 'operation', 'sucks',' condition ',' signal ',' bad ',' open ',' application ',' Telkomsel ',' crazy ',' Telkomsel ',' expensive ',' bad ',' quality ',' ']")</f>
        <v>['Help', 'easy', 'operation', 'sucks',' condition ',' signal ',' bad ',' open ',' application ',' Telkomsel ',' crazy ',' Telkomsel ',' expensive ',' bad ',' quality ',' ']</v>
      </c>
      <c r="D930" s="3">
        <v>5.0</v>
      </c>
    </row>
    <row r="931" ht="15.75" customHeight="1">
      <c r="A931" s="1">
        <v>929.0</v>
      </c>
      <c r="B931" s="3" t="s">
        <v>932</v>
      </c>
      <c r="C931" s="3" t="str">
        <f>IFERROR(__xludf.DUMMYFUNCTION("GOOGLETRANSLATE(B931,""id"",""en"")"),"['Disappointed', 'service', 'Privileges',' Telkomsel ',' as expensive ',' anything ',' Telkomsel ',' service ',' rights', 'users',' satisfying ',' price ',' expensive ',' term ',' package ',' data ',' reduced ',' signal ',' UDH ',' surfing ',' amidst ',' "&amp;"city ',' sinynya ',' unlimited ',' unlimited ' , 'gakada', 'gakada', 'out', 'abis',' pdhl ',' udh ',' buy ',' package ',' unlimited ',' a year ',' data ',' abis', ' unlimited ',' skrg ',' pulse ',' reduced ',' put ',' consumer ',' ']")</f>
        <v>['Disappointed', 'service', 'Privileges',' Telkomsel ',' as expensive ',' anything ',' Telkomsel ',' service ',' rights', 'users',' satisfying ',' price ',' expensive ',' term ',' package ',' data ',' reduced ',' signal ',' UDH ',' surfing ',' amidst ',' city ',' sinynya ',' unlimited ',' unlimited ' , 'gakada', 'gakada', 'out', 'abis',' pdhl ',' udh ',' buy ',' package ',' unlimited ',' a year ',' data ',' abis', ' unlimited ',' skrg ',' pulse ',' reduced ',' put ',' consumer ',' ']</v>
      </c>
      <c r="D931" s="3">
        <v>1.0</v>
      </c>
    </row>
    <row r="932" ht="15.75" customHeight="1">
      <c r="A932" s="1">
        <v>930.0</v>
      </c>
      <c r="B932" s="3" t="s">
        <v>933</v>
      </c>
      <c r="C932" s="3" t="str">
        <f>IFERROR(__xludf.DUMMYFUNCTION("GOOGLETRANSLATE(B932,""id"",""en"")"),"['Telkomsel', 'skrg', 'expensive', 'package', 'data', 'speed', 'internet', 'poor', 'snail', 'second', 'response', 'complement', ' Copy ',' paste ',' just ',' told ',' contact ',' internet ',' lose ',' smartfren ', ""]")</f>
        <v>['Telkomsel', 'skrg', 'expensive', 'package', 'data', 'speed', 'internet', 'poor', 'snail', 'second', 'response', 'complement', ' Copy ',' paste ',' just ',' told ',' contact ',' internet ',' lose ',' smartfren ', "]</v>
      </c>
      <c r="D932" s="3">
        <v>1.0</v>
      </c>
    </row>
    <row r="933" ht="15.75" customHeight="1">
      <c r="A933" s="1">
        <v>931.0</v>
      </c>
      <c r="B933" s="3" t="s">
        <v>934</v>
      </c>
      <c r="C933" s="3" t="str">
        <f>IFERROR(__xludf.DUMMYFUNCTION("GOOGLETRANSLATE(B933,""id"",""en"")"),"['Please', 'repaired', 'network', 'internet', 'in the region', 'district', 'penok', 'abab', 'lematang', 'ilir', 'province', 'Sumatra', ' south ',' update ',' application ',' network ',' update ',' network ',' internet ',' bad ',' pendopo ']")</f>
        <v>['Please', 'repaired', 'network', 'internet', 'in the region', 'district', 'penok', 'abab', 'lematang', 'ilir', 'province', 'Sumatra', ' south ',' update ',' application ',' network ',' update ',' network ',' internet ',' bad ',' pendopo ']</v>
      </c>
      <c r="D933" s="3">
        <v>1.0</v>
      </c>
    </row>
    <row r="934" ht="15.75" customHeight="1">
      <c r="A934" s="1">
        <v>932.0</v>
      </c>
      <c r="B934" s="3" t="s">
        <v>935</v>
      </c>
      <c r="C934" s="3" t="str">
        <f>IFERROR(__xludf.DUMMYFUNCTION("GOOGLETRANSLATE(B934,""id"",""en"")"),"['package', 'run out', 'pulse', 'main', 'eaten', 'culuci', 'consumer', 'see', 'donk', 'provider', 'package', ' Credit ',' sucked ',' name ',' cheating ',' Costumer ',' sucked ',' pulse ',' permission ',' network ',' slow ',' star ',' suits', 'shame' , 'co"&amp;"lumn', 'rating', 'comment', 'bad', 'woi', 'telkomsel', 'shy', 'donk']")</f>
        <v>['package', 'run out', 'pulse', 'main', 'eaten', 'culuci', 'consumer', 'see', 'donk', 'provider', 'package', ' Credit ',' sucked ',' name ',' cheating ',' Costumer ',' sucked ',' pulse ',' permission ',' network ',' slow ',' star ',' suits', 'shame' , 'column', 'rating', 'comment', 'bad', 'woi', 'telkomsel', 'shy', 'donk']</v>
      </c>
      <c r="D934" s="3">
        <v>1.0</v>
      </c>
    </row>
    <row r="935" ht="15.75" customHeight="1">
      <c r="A935" s="1">
        <v>933.0</v>
      </c>
      <c r="B935" s="3" t="s">
        <v>936</v>
      </c>
      <c r="C935" s="3" t="str">
        <f>IFERROR(__xludf.DUMMYFUNCTION("GOOGLETRANSLATE(B935,""id"",""en"")"),"['kah', 'called', 'operator', 'biggest', 'poor', 'package', 'internet', 'expensive', 'network', 'change', 'service', 'wifi', ' ugly ',' etc. ',' principal ',' network ',' worst ',' Telkomsel ',' gamer ',' Mending ',' Telkomsel ']")</f>
        <v>['kah', 'called', 'operator', 'biggest', 'poor', 'package', 'internet', 'expensive', 'network', 'change', 'service', 'wifi', ' ugly ',' etc. ',' principal ',' network ',' worst ',' Telkomsel ',' gamer ',' Mending ',' Telkomsel ']</v>
      </c>
      <c r="D935" s="3">
        <v>1.0</v>
      </c>
    </row>
    <row r="936" ht="15.75" customHeight="1">
      <c r="A936" s="1">
        <v>934.0</v>
      </c>
      <c r="B936" s="3" t="s">
        <v>937</v>
      </c>
      <c r="C936" s="3" t="str">
        <f>IFERROR(__xludf.DUMMYFUNCTION("GOOGLETRANSLATE(B936,""id"",""en"")"),"['Disappointed', 'Telkomsel', 'buy', 'quota', 'game', 'use', 'play', 'game', 'pub', 'game', 'pub', 'enter', ' The list ']")</f>
        <v>['Disappointed', 'Telkomsel', 'buy', 'quota', 'game', 'use', 'play', 'game', 'pub', 'game', 'pub', 'enter', ' The list ']</v>
      </c>
      <c r="D936" s="3">
        <v>1.0</v>
      </c>
    </row>
    <row r="937" ht="15.75" customHeight="1">
      <c r="A937" s="1">
        <v>935.0</v>
      </c>
      <c r="B937" s="3" t="s">
        <v>938</v>
      </c>
      <c r="C937" s="3" t="str">
        <f>IFERROR(__xludf.DUMMYFUNCTION("GOOGLETRANSLATE(B937,""id"",""en"")"),"['Problem', 'like', 'error', 'lag', 'slow', 'net', 'play', 'game', 'sosmed', 'located', 'Cibubur', 'East Jakarta', ' hours', 'night', 'Please', 'suggestions',' input ',' repairs', 'overcome']")</f>
        <v>['Problem', 'like', 'error', 'lag', 'slow', 'net', 'play', 'game', 'sosmed', 'located', 'Cibubur', 'East Jakarta', ' hours', 'night', 'Please', 'suggestions',' input ',' repairs', 'overcome']</v>
      </c>
      <c r="D937" s="3">
        <v>1.0</v>
      </c>
    </row>
    <row r="938" ht="15.75" customHeight="1">
      <c r="A938" s="1">
        <v>936.0</v>
      </c>
      <c r="B938" s="3" t="s">
        <v>939</v>
      </c>
      <c r="C938" s="3" t="str">
        <f>IFERROR(__xludf.DUMMYFUNCTION("GOOGLETRANSLATE(B938,""id"",""en"")"),"['Knpa', 'love', 'star', 'please', 'Telkomsel', 'network', 'data', 'east', 'kec', 'nipah', 'fix', 'signal', ' Severe ',' Very ',' Player ',' Game ',' Disappointed ',' ']")</f>
        <v>['Knpa', 'love', 'star', 'please', 'Telkomsel', 'network', 'data', 'east', 'kec', 'nipah', 'fix', 'signal', ' Severe ',' Very ',' Player ',' Game ',' Disappointed ',' ']</v>
      </c>
      <c r="D938" s="3">
        <v>1.0</v>
      </c>
    </row>
    <row r="939" ht="15.75" customHeight="1">
      <c r="A939" s="1">
        <v>937.0</v>
      </c>
      <c r="B939" s="3" t="s">
        <v>940</v>
      </c>
      <c r="C939" s="3" t="str">
        <f>IFERROR(__xludf.DUMMYFUNCTION("GOOGLETRANSLATE(B939,""id"",""en"")"),"['Telkomsel', 'Severe', 'connection', 'disconnected', 'Purchases', 'expensive', 'concerned', 'mobile', 'banking', 'already', 'unpair']")</f>
        <v>['Telkomsel', 'Severe', 'connection', 'disconnected', 'Purchases', 'expensive', 'concerned', 'mobile', 'banking', 'already', 'unpair']</v>
      </c>
      <c r="D939" s="3">
        <v>1.0</v>
      </c>
    </row>
    <row r="940" ht="15.75" customHeight="1">
      <c r="A940" s="1">
        <v>938.0</v>
      </c>
      <c r="B940" s="3" t="s">
        <v>941</v>
      </c>
      <c r="C940" s="3" t="str">
        <f>IFERROR(__xludf.DUMMYFUNCTION("GOOGLETRANSLATE(B940,""id"",""en"")"),"['The manager', 'idiot', 'here', 'service', 'Response', 'Message', 'automatically', 'effective', 'the problem', 'cumak', 'thinking', 'luck', ' Priority ',' Customers', 'Satisfied', 'Most', 'Eat', 'Money', 'Haram', 'I', 'Hope', 'Uklum', ""]")</f>
        <v>['The manager', 'idiot', 'here', 'service', 'Response', 'Message', 'automatically', 'effective', 'the problem', 'cumak', 'thinking', 'luck', ' Priority ',' Customers', 'Satisfied', 'Most', 'Eat', 'Money', 'Haram', 'I', 'Hope', 'Uklum', "]</v>
      </c>
      <c r="D940" s="3">
        <v>1.0</v>
      </c>
    </row>
    <row r="941" ht="15.75" customHeight="1">
      <c r="A941" s="1">
        <v>939.0</v>
      </c>
      <c r="B941" s="3" t="s">
        <v>942</v>
      </c>
      <c r="C941" s="3" t="str">
        <f>IFERROR(__xludf.DUMMYFUNCTION("GOOGLETRANSLATE(B941,""id"",""en"")"),"['strange', 'Telkomsel', 'buy', 'package', 'data', 'balance', 'truncated', 'package', 'data', 'active', 'complain', 'transaction', ' Enter ',' processed ',' told ',' Wait ',' clock ',' crazyaa ',' buy ',' package ',' data ',' need ',' fast ',' told ',' Wa"&amp;"it ' , 'There', 'pay', 'there', 'directly', 'active', 'package', 'bought', 'miss', 'era', 'Telkomsel', 'old', 'service']")</f>
        <v>['strange', 'Telkomsel', 'buy', 'package', 'data', 'balance', 'truncated', 'package', 'data', 'active', 'complain', 'transaction', ' Enter ',' processed ',' told ',' Wait ',' clock ',' crazyaa ',' buy ',' package ',' data ',' need ',' fast ',' told ',' Wait ' , 'There', 'pay', 'there', 'directly', 'active', 'package', 'bought', 'miss', 'era', 'Telkomsel', 'old', 'service']</v>
      </c>
      <c r="D941" s="3">
        <v>1.0</v>
      </c>
    </row>
    <row r="942" ht="15.75" customHeight="1">
      <c r="A942" s="1">
        <v>940.0</v>
      </c>
      <c r="B942" s="3" t="s">
        <v>943</v>
      </c>
      <c r="C942" s="3" t="str">
        <f>IFERROR(__xludf.DUMMYFUNCTION("GOOGLETRANSLATE(B942,""id"",""en"")"),"['use', 'then', 'technique', 'release', 'aka', 'withdrawal', 'package', 'promo', 'right', 'contents',' pulse ',' package ',' The reason ',' update ',' package ',' purchase ',' package ',' according to ',' promotion ',' GB ',' GB ',' Tax ',' Main ', ""]")</f>
        <v>['use', 'then', 'technique', 'release', 'aka', 'withdrawal', 'package', 'promo', 'right', 'contents',' pulse ',' package ',' The reason ',' update ',' package ',' purchase ',' package ',' according to ',' promotion ',' GB ',' GB ',' Tax ',' Main ', "]</v>
      </c>
      <c r="D942" s="3">
        <v>1.0</v>
      </c>
    </row>
    <row r="943" ht="15.75" customHeight="1">
      <c r="A943" s="1">
        <v>941.0</v>
      </c>
      <c r="B943" s="3" t="s">
        <v>944</v>
      </c>
      <c r="C943" s="3" t="str">
        <f>IFERROR(__xludf.DUMMYFUNCTION("GOOGLETRANSLATE(B943,""id"",""en"")"),"['network', 'slow', 'already', 'price', 'quota', 'expensive', 'nggk', 'balanced', 'income', 'person', 'pandemic', 'friend', ' Friends', 'Mending', 'Exchange', 'Card', 'Perdana', 'Nggk', 'Current', 'Price', 'Quota', 'Cheap']")</f>
        <v>['network', 'slow', 'already', 'price', 'quota', 'expensive', 'nggk', 'balanced', 'income', 'person', 'pandemic', 'friend', ' Friends', 'Mending', 'Exchange', 'Card', 'Perdana', 'Nggk', 'Current', 'Price', 'Quota', 'Cheap']</v>
      </c>
      <c r="D943" s="3">
        <v>1.0</v>
      </c>
    </row>
    <row r="944" ht="15.75" customHeight="1">
      <c r="A944" s="1">
        <v>942.0</v>
      </c>
      <c r="B944" s="3" t="s">
        <v>945</v>
      </c>
      <c r="C944" s="3" t="str">
        <f>IFERROR(__xludf.DUMMYFUNCTION("GOOGLETRANSLATE(B944,""id"",""en"")"),"['tired', 'deh', 'seems',' complain ',' mulu ',' kmrn ',' indosat ',' safe ',' karna ',' telkomsel ',' number ',' udh ',' try ',' contents', 'package', 'trnyt', 'disease', 'win', 'prestige', 'network', 'bsa', 'repair', 'disease', 'stall', 'next door' , 'd"&amp;"eh']")</f>
        <v>['tired', 'deh', 'seems',' complain ',' mulu ',' kmrn ',' indosat ',' safe ',' karna ',' telkomsel ',' number ',' udh ',' try ',' contents', 'package', 'trnyt', 'disease', 'win', 'prestige', 'network', 'bsa', 'repair', 'disease', 'stall', 'next door' , 'deh']</v>
      </c>
      <c r="D944" s="3">
        <v>1.0</v>
      </c>
    </row>
    <row r="945" ht="15.75" customHeight="1">
      <c r="A945" s="1">
        <v>943.0</v>
      </c>
      <c r="B945" s="3" t="s">
        <v>946</v>
      </c>
      <c r="C945" s="3" t="str">
        <f>IFERROR(__xludf.DUMMYFUNCTION("GOOGLETRANSLATE(B945,""id"",""en"")"),"['Telkomsel', 'steal', 'pulse', 'data', 'package', 'call', 'pulse', 'regular', 'pulse', 'regular', 'lost', 'package', ' Data ',' Date ',' Msih ',' Date ',' Lost ',' Package ',' Data ',' Not bad ',' troubling ',' ORDER ',' ']")</f>
        <v>['Telkomsel', 'steal', 'pulse', 'data', 'package', 'call', 'pulse', 'regular', 'pulse', 'regular', 'lost', 'package', ' Data ',' Date ',' Msih ',' Date ',' Lost ',' Package ',' Data ',' Not bad ',' troubling ',' ORDER ',' ']</v>
      </c>
      <c r="D945" s="3">
        <v>1.0</v>
      </c>
    </row>
    <row r="946" ht="15.75" customHeight="1">
      <c r="A946" s="1">
        <v>944.0</v>
      </c>
      <c r="B946" s="3" t="s">
        <v>947</v>
      </c>
      <c r="C946" s="3" t="str">
        <f>IFERROR(__xludf.DUMMYFUNCTION("GOOGLETRANSLATE(B946,""id"",""en"")"),"['', 'July', 'Sunday', 'Signal', 'Region', 'home', 'Cengkareng', 'East', 'West Jakbar', 'Signal', 'Internet', 'stable', 'disturbing ',' Feel ',' emang ',' error ',' plus', 'service', 'call', 'center', 'telephone', 'application', 'what', 'application', 'si"&amp;"gnal', 'Enter', 'application', 'stable', 'moved', 'provider', 'please', 'respond']")</f>
        <v>['', 'July', 'Sunday', 'Signal', 'Region', 'home', 'Cengkareng', 'East', 'West Jakbar', 'Signal', 'Internet', 'stable', 'disturbing ',' Feel ',' emang ',' error ',' plus', 'service', 'call', 'center', 'telephone', 'application', 'what', 'application', 'signal', 'Enter', 'application', 'stable', 'moved', 'provider', 'please', 'respond']</v>
      </c>
      <c r="D946" s="3">
        <v>1.0</v>
      </c>
    </row>
    <row r="947" ht="15.75" customHeight="1">
      <c r="A947" s="1">
        <v>945.0</v>
      </c>
      <c r="B947" s="3" t="s">
        <v>948</v>
      </c>
      <c r="C947" s="3" t="str">
        <f>IFERROR(__xludf.DUMMYFUNCTION("GOOGLETRANSLATE(B947,""id"",""en"")"),"['APK', 'Not bad', 'good', 'system', 'purchase', 'quota', 'point', 'experience', 'system', 'busy', 'tried', 'tens',' times', 'beg', 'system', 'fast']")</f>
        <v>['APK', 'Not bad', 'good', 'system', 'purchase', 'quota', 'point', 'experience', 'system', 'busy', 'tried', 'tens',' times', 'beg', 'system', 'fast']</v>
      </c>
      <c r="D947" s="3">
        <v>3.0</v>
      </c>
    </row>
    <row r="948" ht="15.75" customHeight="1">
      <c r="A948" s="1">
        <v>946.0</v>
      </c>
      <c r="B948" s="3" t="s">
        <v>949</v>
      </c>
      <c r="C948" s="3" t="str">
        <f>IFERROR(__xludf.DUMMYFUNCTION("GOOGLETRANSLATE(B948,""id"",""en"")"),"['pulse', 'sucked', 'buy', 'package', 'thousand', 'combo', 'internet', 'call', 'right', 'call', 'telkomsel', 'pulses',' Sya ',' sucked ',' detrimental ']")</f>
        <v>['pulse', 'sucked', 'buy', 'package', 'thousand', 'combo', 'internet', 'call', 'right', 'call', 'telkomsel', 'pulses',' Sya ',' sucked ',' detrimental ']</v>
      </c>
      <c r="D948" s="3">
        <v>1.0</v>
      </c>
    </row>
    <row r="949" ht="15.75" customHeight="1">
      <c r="A949" s="1">
        <v>947.0</v>
      </c>
      <c r="B949" s="3" t="s">
        <v>950</v>
      </c>
      <c r="C949" s="3" t="str">
        <f>IFERROR(__xludf.DUMMYFUNCTION("GOOGLETRANSLATE(B949,""id"",""en"")"),"['TELKOM', 'Kissing', 'Network', 'Terrible', 'Play', 'Game', 'Online', 'Promise', 'Buy', 'Quota', 'Telkomsel', 'Promise', ' Off ',' network ',' Telkomsel ',' so ',' Thank you ', ""]")</f>
        <v>['TELKOM', 'Kissing', 'Network', 'Terrible', 'Play', 'Game', 'Online', 'Promise', 'Buy', 'Quota', 'Telkomsel', 'Promise', ' Off ',' network ',' Telkomsel ',' so ',' Thank you ', "]</v>
      </c>
      <c r="D949" s="3">
        <v>1.0</v>
      </c>
    </row>
    <row r="950" ht="15.75" customHeight="1">
      <c r="A950" s="1">
        <v>948.0</v>
      </c>
      <c r="B950" s="3" t="s">
        <v>951</v>
      </c>
      <c r="C950" s="3" t="str">
        <f>IFERROR(__xludf.DUMMYFUNCTION("GOOGLETRANSLATE(B950,""id"",""en"")"),"['Ora', 'Telkomsel', 'Severe', 'signal', 'slow', 'package', 'data', 'expensive', 'signal', 'slow', 'bankrupt', 'what', ' Lost ',' rivals', 'disappointed', 'customers',' home ',' gallery ',' Telkomsel ',' Tower ',' Telkomsel ',' signal ',' network ',' Ouch"&amp;" ',' parahhh ' , '']")</f>
        <v>['Ora', 'Telkomsel', 'Severe', 'signal', 'slow', 'package', 'data', 'expensive', 'signal', 'slow', 'bankrupt', 'what', ' Lost ',' rivals', 'disappointed', 'customers',' home ',' gallery ',' Telkomsel ',' Tower ',' Telkomsel ',' signal ',' network ',' Ouch ',' parahhh ' , '']</v>
      </c>
      <c r="D950" s="3">
        <v>1.0</v>
      </c>
    </row>
    <row r="951" ht="15.75" customHeight="1">
      <c r="A951" s="1">
        <v>949.0</v>
      </c>
      <c r="B951" s="3" t="s">
        <v>952</v>
      </c>
      <c r="C951" s="3" t="str">
        <f>IFERROR(__xludf.DUMMYFUNCTION("GOOGLETRANSLATE(B951,""id"",""en"")"),"['interesting', 'price', 'package', 'expensive', 'sleep', 'right', 'payment', 'direct', 'linkaja', 'rebet', 'regret', 'update', ' version ',' new ',' like ',' version ']")</f>
        <v>['interesting', 'price', 'package', 'expensive', 'sleep', 'right', 'payment', 'direct', 'linkaja', 'rebet', 'regret', 'update', ' version ',' new ',' like ',' version ']</v>
      </c>
      <c r="D951" s="3">
        <v>2.0</v>
      </c>
    </row>
    <row r="952" ht="15.75" customHeight="1">
      <c r="A952" s="1">
        <v>950.0</v>
      </c>
      <c r="B952" s="3" t="s">
        <v>953</v>
      </c>
      <c r="C952" s="3" t="str">
        <f>IFERROR(__xludf.DUMMYFUNCTION("GOOGLETRANSLATE(B952,""id"",""en"")"),"['application', 'buy', 'daily', 'package', 'conference', 'package', 'education', 'package', 'night', 'please', 'disappointed', 'already', ' Fill ',' Fund ',' Quota ',' Daily ',' Ehh ',' Ouch ',' ugly ',' really ']")</f>
        <v>['application', 'buy', 'daily', 'package', 'conference', 'package', 'education', 'package', 'night', 'please', 'disappointed', 'already', ' Fill ',' Fund ',' Quota ',' Daily ',' Ehh ',' Ouch ',' ugly ',' really ']</v>
      </c>
      <c r="D952" s="3">
        <v>1.0</v>
      </c>
    </row>
    <row r="953" ht="15.75" customHeight="1">
      <c r="A953" s="1">
        <v>951.0</v>
      </c>
      <c r="B953" s="3" t="s">
        <v>954</v>
      </c>
      <c r="C953" s="3" t="str">
        <f>IFERROR(__xludf.DUMMYFUNCTION("GOOGLETRANSLATE(B953,""id"",""en"")"),"['App', 'damaged', 'system', 'Android', 'class',' Telkomsel ',' App ',' Rich ',' Gini ',' Shy ',' Noh ',' Indosat ',' CenterNa ',' like ',' no ',' response ',' obstacle ',' disappointed ',' times', 'love', 'rate', 'app', 'fix', 'deh', 'ngasal' , 'App']")</f>
        <v>['App', 'damaged', 'system', 'Android', 'class',' Telkomsel ',' App ',' Rich ',' Gini ',' Shy ',' Noh ',' Indosat ',' CenterNa ',' like ',' no ',' response ',' obstacle ',' disappointed ',' times', 'love', 'rate', 'app', 'fix', 'deh', 'ngasal' , 'App']</v>
      </c>
      <c r="D953" s="3">
        <v>1.0</v>
      </c>
    </row>
    <row r="954" ht="15.75" customHeight="1">
      <c r="A954" s="1">
        <v>952.0</v>
      </c>
      <c r="B954" s="3" t="s">
        <v>955</v>
      </c>
      <c r="C954" s="3" t="str">
        <f>IFERROR(__xludf.DUMMYFUNCTION("GOOGLETRANSLATE(B954,""id"",""en"")"),"['Kenceng', 'really', 'eat', 'quota', 'contents',' pulse ',' already ',' direct ',' sumps', 'rb', 'forget', 'Matiin', ' Data ',' Bentar ',' Doank ',' Nyampe ',' MNT ',' Dine ',' greedy ',' Woii ', ""]")</f>
        <v>['Kenceng', 'really', 'eat', 'quota', 'contents',' pulse ',' already ',' direct ',' sumps', 'rb', 'forget', 'Matiin', ' Data ',' Bentar ',' Doank ',' Nyampe ',' MNT ',' Dine ',' greedy ',' Woii ', "]</v>
      </c>
      <c r="D954" s="3">
        <v>1.0</v>
      </c>
    </row>
    <row r="955" ht="15.75" customHeight="1">
      <c r="A955" s="1">
        <v>953.0</v>
      </c>
      <c r="B955" s="3" t="s">
        <v>956</v>
      </c>
      <c r="C955" s="3" t="str">
        <f>IFERROR(__xludf.DUMMYFUNCTION("GOOGLETRANSLATE(B955,""id"",""en"")"),"['price', 'quota', 'promo', 'noise', 'the difference', 'in the past', 'pandemic', 'gini', 'person', 'person', 'need', 'quota', ' Learn ',' love ',' promo ',' cheap ',' selfish ',' person ',' person ',' there ',' need ',' there ',' ']")</f>
        <v>['price', 'quota', 'promo', 'noise', 'the difference', 'in the past', 'pandemic', 'gini', 'person', 'person', 'need', 'quota', ' Learn ',' love ',' promo ',' cheap ',' selfish ',' person ',' person ',' there ',' need ',' there ',' ']</v>
      </c>
      <c r="D955" s="3">
        <v>1.0</v>
      </c>
    </row>
    <row r="956" ht="15.75" customHeight="1">
      <c r="A956" s="1">
        <v>954.0</v>
      </c>
      <c r="B956" s="3" t="s">
        <v>957</v>
      </c>
      <c r="C956" s="3" t="str">
        <f>IFERROR(__xludf.DUMMYFUNCTION("GOOGLETRANSLATE(B956,""id"",""en"")"),"['complaints',' buy ',' package ',' internet ',' mending ',' buy ',' already ',' buy ',' package ',' internet ',' transaction ',' managed ',' quota ',' so ',' thank ',' love ', ""]")</f>
        <v>['complaints',' buy ',' package ',' internet ',' mending ',' buy ',' already ',' buy ',' package ',' internet ',' transaction ',' managed ',' quota ',' so ',' thank ',' love ', "]</v>
      </c>
      <c r="D956" s="3">
        <v>5.0</v>
      </c>
    </row>
    <row r="957" ht="15.75" customHeight="1">
      <c r="A957" s="1">
        <v>955.0</v>
      </c>
      <c r="B957" s="3" t="s">
        <v>958</v>
      </c>
      <c r="C957" s="3" t="str">
        <f>IFERROR(__xludf.DUMMYFUNCTION("GOOGLETRANSLATE(B957,""id"",""en"")"),"['package', 'transparent', 'buy', 'quota', 'buy', 'price', 'already', 'different', 'buy', 'package', 'rich', 'restricted', ' written']")</f>
        <v>['package', 'transparent', 'buy', 'quota', 'buy', 'price', 'already', 'different', 'buy', 'package', 'rich', 'restricted', ' written']</v>
      </c>
      <c r="D957" s="3">
        <v>1.0</v>
      </c>
    </row>
    <row r="958" ht="15.75" customHeight="1">
      <c r="A958" s="1">
        <v>956.0</v>
      </c>
      <c r="B958" s="3" t="s">
        <v>959</v>
      </c>
      <c r="C958" s="3" t="str">
        <f>IFERROR(__xludf.DUMMYFUNCTION("GOOGLETRANSLATE(B958,""id"",""en"")"),"['here', 'Telkomsel', 'pke', 'many years',' Napa ',' slow ',' already ',' mah ',' package ',' expensive ',' slow ',' network ',' Mending ',' Change ',' card ',' Ajah ',' Season ',' Telkomsel ',' Telkomsel ',' Mending ',' Change ',' already ',' replace ', "&amp;"""]")</f>
        <v>['here', 'Telkomsel', 'pke', 'many years',' Napa ',' slow ',' already ',' mah ',' package ',' expensive ',' slow ',' network ',' Mending ',' Change ',' card ',' Ajah ',' Season ',' Telkomsel ',' Telkomsel ',' Mending ',' Change ',' already ',' replace ', "]</v>
      </c>
      <c r="D958" s="3">
        <v>1.0</v>
      </c>
    </row>
    <row r="959" ht="15.75" customHeight="1">
      <c r="A959" s="1">
        <v>957.0</v>
      </c>
      <c r="B959" s="3" t="s">
        <v>960</v>
      </c>
      <c r="C959" s="3" t="str">
        <f>IFERROR(__xludf.DUMMYFUNCTION("GOOGLETRANSLATE(B959,""id"",""en"")"),"['origin', 'intermittent', 'bangse', 'telkomsel', 'column', 'review', 'ngeluh', 'listen', 'paraaaahhhhhhhhhhhhhhhhhh")</f>
        <v>['origin', 'intermittent', 'bangse', 'telkomsel', 'column', 'review', 'ngeluh', 'listen', 'paraaaahhhhhhhhhhhhhhhhhh</v>
      </c>
      <c r="D959" s="3">
        <v>1.0</v>
      </c>
    </row>
    <row r="960" ht="15.75" customHeight="1">
      <c r="A960" s="1">
        <v>958.0</v>
      </c>
      <c r="B960" s="3" t="s">
        <v>961</v>
      </c>
      <c r="C960" s="3" t="str">
        <f>IFERROR(__xludf.DUMMYFUNCTION("GOOGLETRANSLATE(B960,""id"",""en"")"),"['Telkomsel', 'signal', 'destroyed', 'quota', 'msh', 'city', 'signal', 'missing', 'disappointing']")</f>
        <v>['Telkomsel', 'signal', 'destroyed', 'quota', 'msh', 'city', 'signal', 'missing', 'disappointing']</v>
      </c>
      <c r="D960" s="3">
        <v>1.0</v>
      </c>
    </row>
    <row r="961" ht="15.75" customHeight="1">
      <c r="A961" s="1">
        <v>959.0</v>
      </c>
      <c r="B961" s="3" t="s">
        <v>962</v>
      </c>
      <c r="C961" s="3" t="str">
        <f>IFERROR(__xludf.DUMMYFUNCTION("GOOGLETRANSLATE(B961,""id"",""en"")"),"['annoyed', 'user', 'loyal', 'Telkomsel', 'Network', 'poor', 'use', 'per month', 'JT', ""]")</f>
        <v>['annoyed', 'user', 'loyal', 'Telkomsel', 'Network', 'poor', 'use', 'per month', 'JT', "]</v>
      </c>
      <c r="D961" s="3">
        <v>1.0</v>
      </c>
    </row>
    <row r="962" ht="15.75" customHeight="1">
      <c r="A962" s="1">
        <v>960.0</v>
      </c>
      <c r="B962" s="3" t="s">
        <v>963</v>
      </c>
      <c r="C962" s="3" t="str">
        <f>IFERROR(__xludf.DUMMYFUNCTION("GOOGLETRANSLATE(B962,""id"",""en"")"),"['Telkomsel', 'Not bad', 'UDH', 'Sinyal', 'stable', 'TPI', 'Rich', 'Sinyal', 'Like', 'ugly', 'Fix', 'GPP', ' package ',' expensive ',' pnting ',' signal ',' stable ']")</f>
        <v>['Telkomsel', 'Not bad', 'UDH', 'Sinyal', 'stable', 'TPI', 'Rich', 'Sinyal', 'Like', 'ugly', 'Fix', 'GPP', ' package ',' expensive ',' pnting ',' signal ',' stable ']</v>
      </c>
      <c r="D962" s="3">
        <v>1.0</v>
      </c>
    </row>
    <row r="963" ht="15.75" customHeight="1">
      <c r="A963" s="1">
        <v>961.0</v>
      </c>
      <c r="B963" s="3" t="s">
        <v>964</v>
      </c>
      <c r="C963" s="3" t="str">
        <f>IFERROR(__xludf.DUMMYFUNCTION("GOOGLETRANSLATE(B963,""id"",""en"")"),"['Move', 'cheap', 'signal', 'fast', 'ugly', 'Telkomsel', 'For example', 'Notif', 'quota', 'finished', 'pulse', 'Cut', ' UDH ',' ugly ',' slow ',' expensive ']")</f>
        <v>['Move', 'cheap', 'signal', 'fast', 'ugly', 'Telkomsel', 'For example', 'Notif', 'quota', 'finished', 'pulse', 'Cut', ' UDH ',' ugly ',' slow ',' expensive ']</v>
      </c>
      <c r="D963" s="3">
        <v>1.0</v>
      </c>
    </row>
    <row r="964" ht="15.75" customHeight="1">
      <c r="A964" s="1">
        <v>962.0</v>
      </c>
      <c r="B964" s="3" t="s">
        <v>965</v>
      </c>
      <c r="C964" s="3" t="str">
        <f>IFERROR(__xludf.DUMMYFUNCTION("GOOGLETRANSLATE(B964,""id"",""en"")"),"['Rates',' expensive ',' choices', 'packages',' internet ',' useful ',' users', 'Telkomsel', 'majority', 'players',' games', 'hobbies',' Watch ',' sane ',' choice ',' package ',' win ',' expensive ',' doang ', ""]")</f>
        <v>['Rates',' expensive ',' choices', 'packages',' internet ',' useful ',' users', 'Telkomsel', 'majority', 'players',' games', 'hobbies',' Watch ',' sane ',' choice ',' package ',' win ',' expensive ',' doang ', "]</v>
      </c>
      <c r="D964" s="3">
        <v>1.0</v>
      </c>
    </row>
    <row r="965" ht="15.75" customHeight="1">
      <c r="A965" s="1">
        <v>963.0</v>
      </c>
      <c r="B965" s="3" t="s">
        <v>966</v>
      </c>
      <c r="C965" s="3" t="str">
        <f>IFERROR(__xludf.DUMMYFUNCTION("GOOGLETRANSLATE(B965,""id"",""en"")"),"['Please', 'network', 'Fix', 'slow', 'play', 'game', 'here', 'network', 'slow', 'udh', 'kyk', 'gini', ' users', 'card', 'Telkomsel', 'moved', 'card', 'high school', 'thing', '']")</f>
        <v>['Please', 'network', 'Fix', 'slow', 'play', 'game', 'here', 'network', 'slow', 'udh', 'kyk', 'gini', ' users', 'card', 'Telkomsel', 'moved', 'card', 'high school', 'thing', '']</v>
      </c>
      <c r="D965" s="3">
        <v>1.0</v>
      </c>
    </row>
    <row r="966" ht="15.75" customHeight="1">
      <c r="A966" s="1">
        <v>964.0</v>
      </c>
      <c r="B966" s="3" t="s">
        <v>967</v>
      </c>
      <c r="C966" s="3" t="str">
        <f>IFERROR(__xludf.DUMMYFUNCTION("GOOGLETRANSLATE(B966,""id"",""en"")"),"['Telkomsel', 'Bagus',' Likea ',' Please ',' Network ',' Region ',' Kuningan ',' Javanese ',' West ',' Update ',' signal ',' Full ',' ']")</f>
        <v>['Telkomsel', 'Bagus',' Likea ',' Please ',' Network ',' Region ',' Kuningan ',' Javanese ',' West ',' Update ',' signal ',' Full ',' ']</v>
      </c>
      <c r="D966" s="3">
        <v>5.0</v>
      </c>
    </row>
    <row r="967" ht="15.75" customHeight="1">
      <c r="A967" s="1">
        <v>965.0</v>
      </c>
      <c r="B967" s="3" t="s">
        <v>968</v>
      </c>
      <c r="C967" s="3" t="str">
        <f>IFERROR(__xludf.DUMMYFUNCTION("GOOGLETRANSLATE(B967,""id"",""en"")"),"['Disappointed', 'Very', 'Telkomsel', 'Package', 'Call', 'Minutes',' Gabisa ',' Package ',' Game ',' Tens', 'Gabisa', 'Dipake', ' already ',' that's', 'signal', 'slow', 'please', 'fix']")</f>
        <v>['Disappointed', 'Very', 'Telkomsel', 'Package', 'Call', 'Minutes',' Gabisa ',' Package ',' Game ',' Tens', 'Gabisa', 'Dipake', ' already ',' that's', 'signal', 'slow', 'please', 'fix']</v>
      </c>
      <c r="D967" s="3">
        <v>1.0</v>
      </c>
    </row>
    <row r="968" ht="15.75" customHeight="1">
      <c r="A968" s="1">
        <v>966.0</v>
      </c>
      <c r="B968" s="3" t="s">
        <v>969</v>
      </c>
      <c r="C968" s="3" t="str">
        <f>IFERROR(__xludf.DUMMYFUNCTION("GOOGLETRANSLATE(B968,""id"",""en"")"),"['message', 'pay off', 'pulse', 'buy', 'package', 'emergency', 'padl', 'kaga', 'package', 'emergency', 'right', 'fill', ' pulse ',' pulse ',' suck ',' reverse ',' pulse ', ""]")</f>
        <v>['message', 'pay off', 'pulse', 'buy', 'package', 'emergency', 'padl', 'kaga', 'package', 'emergency', 'right', 'fill', ' pulse ',' pulse ',' suck ',' reverse ',' pulse ', "]</v>
      </c>
      <c r="D968" s="3">
        <v>1.0</v>
      </c>
    </row>
    <row r="969" ht="15.75" customHeight="1">
      <c r="A969" s="1">
        <v>967.0</v>
      </c>
      <c r="B969" s="3" t="s">
        <v>970</v>
      </c>
      <c r="C969" s="3" t="str">
        <f>IFERROR(__xludf.DUMMYFUNCTION("GOOGLETRANSLATE(B969,""id"",""en"")"),"['Bad', 'quality', 'Telkomsel', 'unlimited', 'free', 'user', 'limit', 'forced', 'love', 'soorrryyy']")</f>
        <v>['Bad', 'quality', 'Telkomsel', 'unlimited', 'free', 'user', 'limit', 'forced', 'love', 'soorrryyy']</v>
      </c>
      <c r="D969" s="3">
        <v>1.0</v>
      </c>
    </row>
    <row r="970" ht="15.75" customHeight="1">
      <c r="A970" s="1">
        <v>968.0</v>
      </c>
      <c r="B970" s="3" t="s">
        <v>971</v>
      </c>
      <c r="C970" s="3" t="str">
        <f>IFERROR(__xludf.DUMMYFUNCTION("GOOGLETRANSLATE(B970,""id"",""en"")"),"['', 'quota', 'unlimited', 'right', 'unlimited', 'unlimited', 'send', 'chat', 'wait', 'minute', 'bru', 'enter', 'please ',' customers', 'Telkomsel', 'moved', 'provider', 'fix', 'network', 'speed', 'Mbps',' buyer ',' quota ',' unlimited ',' price ', 'Rb', "&amp;"'']")</f>
        <v>['', 'quota', 'unlimited', 'right', 'unlimited', 'unlimited', 'send', 'chat', 'wait', 'minute', 'bru', 'enter', 'please ',' customers', 'Telkomsel', 'moved', 'provider', 'fix', 'network', 'speed', 'Mbps',' buyer ',' quota ',' unlimited ',' price ', 'Rb', '']</v>
      </c>
      <c r="D970" s="3">
        <v>1.0</v>
      </c>
    </row>
    <row r="971" ht="15.75" customHeight="1">
      <c r="A971" s="1">
        <v>969.0</v>
      </c>
      <c r="B971" s="3" t="s">
        <v>972</v>
      </c>
      <c r="C971" s="3" t="str">
        <f>IFERROR(__xludf.DUMMYFUNCTION("GOOGLETRANSLATE(B971,""id"",""en"")"),"['quota', 'expensive', 'quota', 'ngak', 'even', 'signal', 'slow', 'aka', 'rotten', 'taun', 'pakek', 'tsel', ' times', 'intend', 'replace', 'card', '']")</f>
        <v>['quota', 'expensive', 'quota', 'ngak', 'even', 'signal', 'slow', 'aka', 'rotten', 'taun', 'pakek', 'tsel', ' times', 'intend', 'replace', 'card', '']</v>
      </c>
      <c r="D971" s="3">
        <v>1.0</v>
      </c>
    </row>
    <row r="972" ht="15.75" customHeight="1">
      <c r="A972" s="1">
        <v>970.0</v>
      </c>
      <c r="B972" s="3" t="s">
        <v>973</v>
      </c>
      <c r="C972" s="3" t="str">
        <f>IFERROR(__xludf.DUMMYFUNCTION("GOOGLETRANSLATE(B972,""id"",""en"")"),"['truncated', 'balance', 'pulse', 'already', 'activates',' package ',' already ',' hub ',' service ',' Telkomsel ',' direct ',' solution ',' Manche ',' Telkomsel ',' automatic ',' sucking ',' pulse ',' network ',' changed ',' already ',' network ',' card "&amp;"',' Telkomsel ',' set ',' here ' , 'Disappointed', 'Telkomsel', 'complain', 'menu', 'MyTelkomsel', 'Veronica', 'chat', 'menu', 'Telkomsel', 'Veronica', ""]")</f>
        <v>['truncated', 'balance', 'pulse', 'already', 'activates',' package ',' already ',' hub ',' service ',' Telkomsel ',' direct ',' solution ',' Manche ',' Telkomsel ',' automatic ',' sucking ',' pulse ',' network ',' changed ',' already ',' network ',' card ',' Telkomsel ',' set ',' here ' , 'Disappointed', 'Telkomsel', 'complain', 'menu', 'MyTelkomsel', 'Veronica', 'chat', 'menu', 'Telkomsel', 'Veronica', "]</v>
      </c>
      <c r="D972" s="3">
        <v>1.0</v>
      </c>
    </row>
    <row r="973" ht="15.75" customHeight="1">
      <c r="A973" s="1">
        <v>971.0</v>
      </c>
      <c r="B973" s="3" t="s">
        <v>974</v>
      </c>
      <c r="C973" s="3" t="str">
        <f>IFERROR(__xludf.DUMMYFUNCTION("GOOGLETRANSLATE(B973,""id"",""en"")"),"['', 'Change', 'number', 'said', 'disappointed', 'service', 'Telkomsel', 'Signal', 'Kayak', 'Provider', 'Enter', ""]")</f>
        <v>['', 'Change', 'number', 'said', 'disappointed', 'service', 'Telkomsel', 'Signal', 'Kayak', 'Provider', 'Enter', "]</v>
      </c>
      <c r="D973" s="3">
        <v>1.0</v>
      </c>
    </row>
    <row r="974" ht="15.75" customHeight="1">
      <c r="A974" s="1">
        <v>972.0</v>
      </c>
      <c r="B974" s="3" t="s">
        <v>975</v>
      </c>
      <c r="C974" s="3" t="str">
        <f>IFERROR(__xludf.DUMMYFUNCTION("GOOGLETRANSLATE(B974,""id"",""en"")"),"['signal', 'supet', 'slow', 'operator', 'connection', 'slow', 'ngak', 'quota', 'internet', 'contents',' package ',' tsel ',' Promo ',' quota ',' ngak ',' poke ',' karna ',' connection ',' slow ',' mending ',' Indosat ',' Mahalan ',' a little ',' connectio"&amp;"n ',' internet ' , 'fast', '']")</f>
        <v>['signal', 'supet', 'slow', 'operator', 'connection', 'slow', 'ngak', 'quota', 'internet', 'contents',' package ',' tsel ',' Promo ',' quota ',' ngak ',' poke ',' karna ',' connection ',' slow ',' mending ',' Indosat ',' Mahalan ',' a little ',' connection ',' internet ' , 'fast', '']</v>
      </c>
      <c r="D974" s="3">
        <v>1.0</v>
      </c>
    </row>
    <row r="975" ht="15.75" customHeight="1">
      <c r="A975" s="1">
        <v>973.0</v>
      </c>
      <c r="B975" s="3" t="s">
        <v>976</v>
      </c>
      <c r="C975" s="3" t="str">
        <f>IFERROR(__xludf.DUMMYFUNCTION("GOOGLETRANSLATE(B975,""id"",""en"")"),"['fast', 'buy', 'kouta', 'easy', 'person', 'oon', 'downlod', 'work', 'download', 'use', 'the application', 'wonder']")</f>
        <v>['fast', 'buy', 'kouta', 'easy', 'person', 'oon', 'downlod', 'work', 'download', 'use', 'the application', 'wonder']</v>
      </c>
      <c r="D975" s="3">
        <v>5.0</v>
      </c>
    </row>
    <row r="976" ht="15.75" customHeight="1">
      <c r="A976" s="1">
        <v>974.0</v>
      </c>
      <c r="B976" s="3" t="s">
        <v>977</v>
      </c>
      <c r="C976" s="3" t="str">
        <f>IFERROR(__xludf.DUMMYFUNCTION("GOOGLETRANSLATE(B976,""id"",""en"")"),"['', 'times',' buy ',' pulse ',' package ',' data ',' promo ',' active ',' pulse ',' reduced ',' shg ',' buy ',' package ',' HRS ',' buy ',' pulse ',' time ',' loss', 'haduhh', 'sorry', 'star', 'for', '']")</f>
        <v>['', 'times',' buy ',' pulse ',' package ',' data ',' promo ',' active ',' pulse ',' reduced ',' shg ',' buy ',' package ',' HRS ',' buy ',' pulse ',' time ',' loss', 'haduhh', 'sorry', 'star', 'for', '']</v>
      </c>
      <c r="D976" s="3">
        <v>1.0</v>
      </c>
    </row>
    <row r="977" ht="15.75" customHeight="1">
      <c r="A977" s="1">
        <v>975.0</v>
      </c>
      <c r="B977" s="3" t="s">
        <v>978</v>
      </c>
      <c r="C977" s="3" t="str">
        <f>IFERROR(__xludf.DUMMYFUNCTION("GOOGLETRANSLATE(B977,""id"",""en"")"),"['Expensive', 'really', 'Kuotanyaa', 'Dekarangan', 'package', 'cheap', 'just', 'buy', 'do "",' at home ',' Telkomsel ',' price ',' quota ',' monthly ',' unlimited ',' cheapest ',' application ',' rb ',' package ',' divided ',' complicated ',' ']")</f>
        <v>['Expensive', 'really', 'Kuotanyaa', 'Dekarangan', 'package', 'cheap', 'just', 'buy', 'do ",' at home ',' Telkomsel ',' price ',' quota ',' monthly ',' unlimited ',' cheapest ',' application ',' rb ',' package ',' divided ',' complicated ',' ']</v>
      </c>
      <c r="D977" s="3">
        <v>1.0</v>
      </c>
    </row>
    <row r="978" ht="15.75" customHeight="1">
      <c r="A978" s="1">
        <v>976.0</v>
      </c>
      <c r="B978" s="3" t="s">
        <v>979</v>
      </c>
      <c r="C978" s="3" t="str">
        <f>IFERROR(__xludf.DUMMYFUNCTION("GOOGLETRANSLATE(B978,""id"",""en"")"),"['Login', 'Telkomsel', 'Emotion', 'Verification', 'seconds',' SMS ',' Send ',' Minutes', 'Mudian', 'How', 'Login', 'Developer', ' Application ',' Thinking ',' Clock ',' Login ',' Gara ',' Gara ',' SMS ',' Sent ',' Jdnya ',' Link ',' Verifikasi ',' expirat"&amp;"ion ', ""]")</f>
        <v>['Login', 'Telkomsel', 'Emotion', 'Verification', 'seconds',' SMS ',' Send ',' Minutes', 'Mudian', 'How', 'Login', 'Developer', ' Application ',' Thinking ',' Clock ',' Login ',' Gara ',' Gara ',' SMS ',' Sent ',' Jdnya ',' Link ',' Verifikasi ',' expiration ', "]</v>
      </c>
      <c r="D978" s="3">
        <v>1.0</v>
      </c>
    </row>
    <row r="979" ht="15.75" customHeight="1">
      <c r="A979" s="1">
        <v>977.0</v>
      </c>
      <c r="B979" s="3" t="s">
        <v>980</v>
      </c>
      <c r="C979" s="3" t="str">
        <f>IFERROR(__xludf.DUMMYFUNCTION("GOOGLETRANSLATE(B979,""id"",""en"")"),"['Severe', 'really', 'Telkomsel', 'skrg', 'covid', 'difficult', 'buk', 'please', 'child', 'learn', 'online', 'difficult', ' Price ',' expensive ',' KNPA ',' APL ',' Update ',' Package ',' Price ',' ']")</f>
        <v>['Severe', 'really', 'Telkomsel', 'skrg', 'covid', 'difficult', 'buk', 'please', 'child', 'learn', 'online', 'difficult', ' Price ',' expensive ',' KNPA ',' APL ',' Update ',' Package ',' Price ',' ']</v>
      </c>
      <c r="D979" s="3">
        <v>1.0</v>
      </c>
    </row>
    <row r="980" ht="15.75" customHeight="1">
      <c r="A980" s="1">
        <v>978.0</v>
      </c>
      <c r="B980" s="3" t="s">
        <v>981</v>
      </c>
      <c r="C980" s="3" t="str">
        <f>IFERROR(__xludf.DUMMYFUNCTION("GOOGLETRANSLATE(B980,""id"",""en"")"),"['area', 'signal', 'Telkomsel', 'good', 'bad', 'neighbor', 'friend', 'telkomse', 'disappointed', 'sya', 'replace', 'number', ' already ',' know ',' number ',' forced ',' ']")</f>
        <v>['area', 'signal', 'Telkomsel', 'good', 'bad', 'neighbor', 'friend', 'telkomse', 'disappointed', 'sya', 'replace', 'number', ' already ',' know ',' number ',' forced ',' ']</v>
      </c>
      <c r="D980" s="3">
        <v>1.0</v>
      </c>
    </row>
    <row r="981" ht="15.75" customHeight="1">
      <c r="A981" s="1">
        <v>979.0</v>
      </c>
      <c r="B981" s="3" t="s">
        <v>982</v>
      </c>
      <c r="C981" s="3" t="str">
        <f>IFERROR(__xludf.DUMMYFUNCTION("GOOGLETRANSLATE(B981,""id"",""en"")"),"['Method', 'Payment', 'Link', 'Eliminate', 'Disappointed', 'Method', 'Payment', 'Link', 'Eliminate', 'Package', 'Combo', 'Sakti', ' loop ',' missing ',' sometimes', 'sometimes',' missing ',' min ',' application ',' Telkomsel ',' consistent ',' gini ']")</f>
        <v>['Method', 'Payment', 'Link', 'Eliminate', 'Disappointed', 'Method', 'Payment', 'Link', 'Eliminate', 'Package', 'Combo', 'Sakti', ' loop ',' missing ',' sometimes', 'sometimes',' missing ',' min ',' application ',' Telkomsel ',' consistent ',' gini ']</v>
      </c>
      <c r="D981" s="3">
        <v>1.0</v>
      </c>
    </row>
    <row r="982" ht="15.75" customHeight="1">
      <c r="A982" s="1">
        <v>980.0</v>
      </c>
      <c r="B982" s="3" t="s">
        <v>983</v>
      </c>
      <c r="C982" s="3" t="str">
        <f>IFERROR(__xludf.DUMMYFUNCTION("GOOGLETRANSLATE(B982,""id"",""en"")"),"['Previously', 'Telkomsel', 'signal', 'good', 'slow', 'love', 'star', 'network', 'normal', 'worth', 'given', 'star', ' Full ',' ']")</f>
        <v>['Previously', 'Telkomsel', 'signal', 'good', 'slow', 'love', 'star', 'network', 'normal', 'worth', 'given', 'star', ' Full ',' ']</v>
      </c>
      <c r="D982" s="3">
        <v>1.0</v>
      </c>
    </row>
    <row r="983" ht="15.75" customHeight="1">
      <c r="A983" s="1">
        <v>981.0</v>
      </c>
      <c r="B983" s="3" t="s">
        <v>984</v>
      </c>
      <c r="C983" s="3" t="str">
        <f>IFERROR(__xludf.DUMMYFUNCTION("GOOGLETRANSLATE(B983,""id"",""en"")"),"['Increases',' LGI ',' Quality ',' Signal ',' Village ',' City ',' Suggestion ',' Pairs', 'Transmitter', 'Tower', 'Telkomsel', 'Desa', ' BNYAK ',' TLKOMSEL ',' MHLNY ',' SJA ',' TLKOMSEL ',' QUALITY ',' Signal ',' Good ',' City ',' ugly ',' Village ',' ']")</f>
        <v>['Increases',' LGI ',' Quality ',' Signal ',' Village ',' City ',' Suggestion ',' Pairs', 'Transmitter', 'Tower', 'Telkomsel', 'Desa', ' BNYAK ',' TLKOMSEL ',' MHLNY ',' SJA ',' TLKOMSEL ',' QUALITY ',' Signal ',' Good ',' City ',' ugly ',' Village ',' ']</v>
      </c>
      <c r="D983" s="3">
        <v>4.0</v>
      </c>
    </row>
    <row r="984" ht="15.75" customHeight="1">
      <c r="A984" s="1">
        <v>982.0</v>
      </c>
      <c r="B984" s="3" t="s">
        <v>985</v>
      </c>
      <c r="C984" s="3" t="str">
        <f>IFERROR(__xludf.DUMMYFUNCTION("GOOGLETRANSLATE(B984,""id"",""en"")"),"['yeah', 'Telkomsel', 'package', 'special', 'video', 'doang', 'internet', 'facebook', 'instagram', 'whatsapp', 'no', 'application', ' Need ',' Learn ',' Learn ',' ']")</f>
        <v>['yeah', 'Telkomsel', 'package', 'special', 'video', 'doang', 'internet', 'facebook', 'instagram', 'whatsapp', 'no', 'application', ' Need ',' Learn ',' Learn ',' ']</v>
      </c>
      <c r="D984" s="3">
        <v>1.0</v>
      </c>
    </row>
    <row r="985" ht="15.75" customHeight="1">
      <c r="A985" s="1">
        <v>983.0</v>
      </c>
      <c r="B985" s="3" t="s">
        <v>986</v>
      </c>
      <c r="C985" s="3" t="str">
        <f>IFERROR(__xludf.DUMMYFUNCTION("GOOGLETRANSLATE(B985,""id"",""en"")"),"['buy', 'package', 'enter', 'UDH', 'Times',' buy ',' package ',' TPI ',' Package ',' enter ',' pulse ',' ada ',' Please, 'Help']")</f>
        <v>['buy', 'package', 'enter', 'UDH', 'Times',' buy ',' package ',' TPI ',' Package ',' enter ',' pulse ',' ada ',' Please, 'Help']</v>
      </c>
      <c r="D985" s="3">
        <v>2.0</v>
      </c>
    </row>
    <row r="986" ht="15.75" customHeight="1">
      <c r="A986" s="1">
        <v>984.0</v>
      </c>
      <c r="B986" s="3" t="s">
        <v>987</v>
      </c>
      <c r="C986" s="3" t="str">
        <f>IFERROR(__xludf.DUMMYFUNCTION("GOOGLETRANSLATE(B986,""id"",""en"")"),"['Network', 'Telkomsel', 'LEG', 'Comfortable', 'Please', 'Increase', 'Quality', 'Signal', 'Telkomsel', 'Network', 'Macet', ""]")</f>
        <v>['Network', 'Telkomsel', 'LEG', 'Comfortable', 'Please', 'Increase', 'Quality', 'Signal', 'Telkomsel', 'Network', 'Macet', "]</v>
      </c>
      <c r="D986" s="3">
        <v>3.0</v>
      </c>
    </row>
    <row r="987" ht="15.75" customHeight="1">
      <c r="A987" s="1">
        <v>985.0</v>
      </c>
      <c r="B987" s="3" t="s">
        <v>988</v>
      </c>
      <c r="C987" s="3" t="str">
        <f>IFERROR(__xludf.DUMMYFUNCTION("GOOGLETRANSLATE(B987,""id"",""en"")"),"['ugly', 'Not bad']")</f>
        <v>['ugly', 'Not bad']</v>
      </c>
      <c r="D987" s="3">
        <v>1.0</v>
      </c>
    </row>
    <row r="988" ht="15.75" customHeight="1">
      <c r="A988" s="1">
        <v>986.0</v>
      </c>
      <c r="B988" s="3" t="s">
        <v>989</v>
      </c>
      <c r="C988" s="3" t="str">
        <f>IFERROR(__xludf.DUMMYFUNCTION("GOOGLETRANSLATE(B988,""id"",""en"")"),"['Telkomsel', 'lag', 'quality', 'ugly', 'bad', 'maen', 'game', 'online', 'broke', 'experience', 'telkomse', 'believe', ' Try ',' wrong ',' employees', 'Maen', 'Maen', 'Wrong', 'Game', 'Disconnect']")</f>
        <v>['Telkomsel', 'lag', 'quality', 'ugly', 'bad', 'maen', 'game', 'online', 'broke', 'experience', 'telkomse', 'believe', ' Try ',' wrong ',' employees', 'Maen', 'Maen', 'Wrong', 'Game', 'Disconnect']</v>
      </c>
      <c r="D988" s="3">
        <v>1.0</v>
      </c>
    </row>
    <row r="989" ht="15.75" customHeight="1">
      <c r="A989" s="1">
        <v>987.0</v>
      </c>
      <c r="B989" s="3" t="s">
        <v>990</v>
      </c>
      <c r="C989" s="3" t="str">
        <f>IFERROR(__xludf.DUMMYFUNCTION("GOOGLETRANSLATE(B989,""id"",""en"")"),"['update', 'method', 'payment', 'use', 'link', 'suggestion', 'please', 'method', 'payment', 'via', 'link', 'fund', ' Ovo ',' via ',' pulse ',' comfortable ',' ']")</f>
        <v>['update', 'method', 'payment', 'use', 'link', 'suggestion', 'please', 'method', 'payment', 'via', 'link', 'fund', ' Ovo ',' via ',' pulse ',' comfortable ',' ']</v>
      </c>
      <c r="D989" s="3">
        <v>3.0</v>
      </c>
    </row>
    <row r="990" ht="15.75" customHeight="1">
      <c r="A990" s="1">
        <v>988.0</v>
      </c>
      <c r="B990" s="3" t="s">
        <v>991</v>
      </c>
      <c r="C990" s="3" t="str">
        <f>IFERROR(__xludf.DUMMYFUNCTION("GOOGLETRANSLATE(B990,""id"",""en"")"),"['buy', 'package', 'quota', 'package', 'combo', 'unlimited', 'network', 'sucks',' slow ',' please ',' fix ',' the network ',' Here ',' The network ',' ugly ',' Telkomsel ']")</f>
        <v>['buy', 'package', 'quota', 'package', 'combo', 'unlimited', 'network', 'sucks',' slow ',' please ',' fix ',' the network ',' Here ',' The network ',' ugly ',' Telkomsel ']</v>
      </c>
      <c r="D990" s="3">
        <v>1.0</v>
      </c>
    </row>
    <row r="991" ht="15.75" customHeight="1">
      <c r="A991" s="1">
        <v>989.0</v>
      </c>
      <c r="B991" s="3" t="s">
        <v>992</v>
      </c>
      <c r="C991" s="3" t="str">
        <f>IFERROR(__xludf.DUMMYFUNCTION("GOOGLETRANSLATE(B991,""id"",""en"")"),"['application', 'disruption', 'right', 'buy', 'check', 'quota', 'disorder', 'operator', 'Telkomsel', 'network', 'best', 'disappointed', ' Fix ',' boooos', 'paid', 'expensive', 'service', 'ugly', 'abiiiiiis',' signal ',' slow ',' application ',' damaged ',"&amp;"' force ',' application ' , 'closed', 'expensive', 'quality', 'below', 'Standard', 'provider']")</f>
        <v>['application', 'disruption', 'right', 'buy', 'check', 'quota', 'disorder', 'operator', 'Telkomsel', 'network', 'best', 'disappointed', ' Fix ',' boooos', 'paid', 'expensive', 'service', 'ugly', 'abiiiiiis',' signal ',' slow ',' application ',' damaged ',' force ',' application ' , 'closed', 'expensive', 'quality', 'below', 'Standard', 'provider']</v>
      </c>
      <c r="D991" s="3">
        <v>1.0</v>
      </c>
    </row>
    <row r="992" ht="15.75" customHeight="1">
      <c r="A992" s="1">
        <v>990.0</v>
      </c>
      <c r="B992" s="3" t="s">
        <v>993</v>
      </c>
      <c r="C992" s="3" t="str">
        <f>IFERROR(__xludf.DUMMYFUNCTION("GOOGLETRANSLATE(B992,""id"",""en"")"),"['package', 'emergency', 'Telkomsel', 'resek', 'bangettt', 'name', 'emergency', 'org', 'need', 'pulse', 'turn', 'choose', ' package ',' emergency ',' notification ',' filled ',' select ',' emergency ',' morning ',' respont ',' forced ',' contents', 'pulse"&amp;"', 'regular', 'rb' , 'ehh', 'contents',' pulse ',' regular ',' noon ',' approve ',' package ',' emergency ',' regular ',' chick ',' duh ',' ngeselin ',' Bangetttt ',' Disight ',' Customer ',' Times', 'Many', 'Bad', 'really', 'Sihhh', 'Telkomsel', ""]")</f>
        <v>['package', 'emergency', 'Telkomsel', 'resek', 'bangettt', 'name', 'emergency', 'org', 'need', 'pulse', 'turn', 'choose', ' package ',' emergency ',' notification ',' filled ',' select ',' emergency ',' morning ',' respont ',' forced ',' contents', 'pulse', 'regular', 'rb' , 'ehh', 'contents',' pulse ',' regular ',' noon ',' approve ',' package ',' emergency ',' regular ',' chick ',' duh ',' ngeselin ',' Bangetttt ',' Disight ',' Customer ',' Times', 'Many', 'Bad', 'really', 'Sihhh', 'Telkomsel', "]</v>
      </c>
      <c r="D992" s="3">
        <v>1.0</v>
      </c>
    </row>
    <row r="993" ht="15.75" customHeight="1">
      <c r="A993" s="1">
        <v>991.0</v>
      </c>
      <c r="B993" s="3" t="s">
        <v>994</v>
      </c>
      <c r="C993" s="3" t="str">
        <f>IFERROR(__xludf.DUMMYFUNCTION("GOOGLETRANSLATE(B993,""id"",""en"")"),"['ugly', 'bed', 'the application', 'update', 'kayak', 'gini', 'cloudy', 'update', 'please', 'fix', 'fast', 'kayak', ' Gini ',' Mending ',' subscribe ',' card ',' kayak ',' tri ',' exsis']")</f>
        <v>['ugly', 'bed', 'the application', 'update', 'kayak', 'gini', 'cloudy', 'update', 'please', 'fix', 'fast', 'kayak', ' Gini ',' Mending ',' subscribe ',' card ',' kayak ',' tri ',' exsis']</v>
      </c>
      <c r="D993" s="3">
        <v>1.0</v>
      </c>
    </row>
    <row r="994" ht="15.75" customHeight="1">
      <c r="A994" s="1">
        <v>992.0</v>
      </c>
      <c r="B994" s="3" t="s">
        <v>995</v>
      </c>
      <c r="C994" s="3" t="str">
        <f>IFERROR(__xludf.DUMMYFUNCTION("GOOGLETRANSLATE(B994,""id"",""en"")"),"['Telkomsel', 'price', 'package', 'combo', 'customer', 'kasi', 'promo', 'customer', 'pampered', 'promo', 'please', 'Telkomsel', ' His attention ',' Customer ',' ']")</f>
        <v>['Telkomsel', 'price', 'package', 'combo', 'customer', 'kasi', 'promo', 'customer', 'pampered', 'promo', 'please', 'Telkomsel', ' His attention ',' Customer ',' ']</v>
      </c>
      <c r="D994" s="3">
        <v>1.0</v>
      </c>
    </row>
    <row r="995" ht="15.75" customHeight="1">
      <c r="A995" s="1">
        <v>993.0</v>
      </c>
      <c r="B995" s="3" t="s">
        <v>996</v>
      </c>
      <c r="C995" s="3" t="str">
        <f>IFERROR(__xludf.DUMMYFUNCTION("GOOGLETRANSLATE(B995,""id"",""en"")"),"['Telkomsel', 'active', 'package', 'date', 'run out', 'date', 'bkn', 'rich', 'gini', 'already', 'package', 'network', ' super ',' slow ',' snail ',' forest ',' city ',' Loe ',' super ',' duper ',' slow ',' snail ',' pelangan ',' loyal ',' Telkomsel ' , 'k"&amp;"lu', 'rich', 'search', 'tasty', 'bnyak', 'operator', 'thank you', '']")</f>
        <v>['Telkomsel', 'active', 'package', 'date', 'run out', 'date', 'bkn', 'rich', 'gini', 'already', 'package', 'network', ' super ',' slow ',' snail ',' forest ',' city ',' Loe ',' super ',' duper ',' slow ',' snail ',' pelangan ',' loyal ',' Telkomsel ' , 'klu', 'rich', 'search', 'tasty', 'bnyak', 'operator', 'thank you', '']</v>
      </c>
      <c r="D995" s="3">
        <v>1.0</v>
      </c>
    </row>
    <row r="996" ht="15.75" customHeight="1">
      <c r="A996" s="1">
        <v>994.0</v>
      </c>
      <c r="B996" s="3" t="s">
        <v>997</v>
      </c>
      <c r="C996" s="3" t="str">
        <f>IFERROR(__xludf.DUMMYFUNCTION("GOOGLETRANSLATE(B996,""id"",""en"")"),"['Love', 'Gift', 'Number', 'Prefix', 'Direct', 'Blank', 'Veronica', 'Maintenance', 'Serving', 'complaint']")</f>
        <v>['Love', 'Gift', 'Number', 'Prefix', 'Direct', 'Blank', 'Veronica', 'Maintenance', 'Serving', 'complaint']</v>
      </c>
      <c r="D996" s="3">
        <v>2.0</v>
      </c>
    </row>
    <row r="997" ht="15.75" customHeight="1">
      <c r="A997" s="1">
        <v>995.0</v>
      </c>
      <c r="B997" s="3" t="s">
        <v>998</v>
      </c>
      <c r="C997" s="3" t="str">
        <f>IFERROR(__xludf.DUMMYFUNCTION("GOOGLETRANSLATE(B997,""id"",""en"")"),"['Service', 'friendly', 'Simple', 'Transaction', 'Application', 'MyTelkomsel', 'Enhanced', 'System', 'Karna', 'Update', 'System', 'Service', ' application ',' use ',' application ',' fix ',' thank ',' love ',' ']")</f>
        <v>['Service', 'friendly', 'Simple', 'Transaction', 'Application', 'MyTelkomsel', 'Enhanced', 'System', 'Karna', 'Update', 'System', 'Service', ' application ',' use ',' application ',' fix ',' thank ',' love ',' ']</v>
      </c>
      <c r="D997" s="3">
        <v>5.0</v>
      </c>
    </row>
    <row r="998" ht="15.75" customHeight="1">
      <c r="A998" s="1">
        <v>996.0</v>
      </c>
      <c r="B998" s="3" t="s">
        <v>999</v>
      </c>
      <c r="C998" s="3" t="str">
        <f>IFERROR(__xludf.DUMMYFUNCTION("GOOGLETRANSLATE(B998,""id"",""en"")"),"['Jaringa', 'Fix', 'Storm', 'Rain', 'Thunder', 'Light', 'Call', 'Direct', 'Disconnected', 'Main', 'Network', 'Disconnected', ' Mani ',' game ',' Login ',' connection ',' network ',' disconnected ',' make sure ',' quota ',' internet ',' quota ',' internet "&amp;"',' slow ',' forgiveness' , '']")</f>
        <v>['Jaringa', 'Fix', 'Storm', 'Rain', 'Thunder', 'Light', 'Call', 'Direct', 'Disconnected', 'Main', 'Network', 'Disconnected', ' Mani ',' game ',' Login ',' connection ',' network ',' disconnected ',' make sure ',' quota ',' internet ',' quota ',' internet ',' slow ',' forgiveness' , '']</v>
      </c>
      <c r="D998" s="3">
        <v>1.0</v>
      </c>
    </row>
    <row r="999" ht="15.75" customHeight="1">
      <c r="A999" s="1">
        <v>997.0</v>
      </c>
      <c r="B999" s="3" t="s">
        <v>1000</v>
      </c>
      <c r="C999" s="3" t="str">
        <f>IFERROR(__xludf.DUMMYFUNCTION("GOOGLETRANSLATE(B999,""id"",""en"")"),"['Optimize', 'performance', 'TTP', 'obedient', 'accept', 'Change', 'DRI', 'Network', 'Semga', 'lightening', 'Costs',' Tuk ',' Access', 'Network', 'Telkomsel', 'Data', 'Telkomsel', 'Hopefully', 'Win', 'Gift', 'Amin']")</f>
        <v>['Optimize', 'performance', 'TTP', 'obedient', 'accept', 'Change', 'DRI', 'Network', 'Semga', 'lightening', 'Costs',' Tuk ',' Access', 'Network', 'Telkomsel', 'Data', 'Telkomsel', 'Hopefully', 'Win', 'Gift', 'Amin']</v>
      </c>
      <c r="D999" s="3">
        <v>5.0</v>
      </c>
    </row>
    <row r="1000" ht="15.75" customHeight="1">
      <c r="A1000" s="1">
        <v>998.0</v>
      </c>
      <c r="B1000" s="3" t="s">
        <v>1001</v>
      </c>
      <c r="C1000" s="3" t="str">
        <f>IFERROR(__xludf.DUMMYFUNCTION("GOOGLETRANSLATE(B1000,""id"",""en"")"),"['Buy', 'Package', 'Credit', 'Pay', 'Use', 'Application', 'Fund', 'Similar', 'Disruption', 'Use', 'Banking', 'SLL', ' strange ',' mslh ',' use ',' banking ',' pieces', 'Males',' buy ',' via ',' banking ',' ']")</f>
        <v>['Buy', 'Package', 'Credit', 'Pay', 'Use', 'Application', 'Fund', 'Similar', 'Disruption', 'Use', 'Banking', 'SLL', ' strange ',' mslh ',' use ',' banking ',' pieces', 'Males',' buy ',' via ',' banking ',' ']</v>
      </c>
      <c r="D1000" s="3">
        <v>3.0</v>
      </c>
    </row>
    <row r="1001" ht="15.75" customHeight="1">
      <c r="A1001" s="1">
        <v>999.0</v>
      </c>
      <c r="B1001" s="3" t="s">
        <v>1002</v>
      </c>
      <c r="C1001" s="3" t="str">
        <f>IFERROR(__xludf.DUMMYFUNCTION("GOOGLETRANSLATE(B1001,""id"",""en"")"),"['Display', 'Error', 'Options',' Payment ',' Macem ',' Pay ',' Debit ',' Reject ',' Via ',' Application ',' ATM ',' already ',' RIWEH ',' payment ',' hope ',' Benerin ',' look ',' good ',' forget ',' function ',' main ',' thank ',' love ']")</f>
        <v>['Display', 'Error', 'Options',' Payment ',' Macem ',' Pay ',' Debit ',' Reject ',' Via ',' Application ',' ATM ',' already ',' RIWEH ',' payment ',' hope ',' Benerin ',' look ',' good ',' forget ',' function ',' main ',' thank ',' love ']</v>
      </c>
      <c r="D1001" s="3">
        <v>3.0</v>
      </c>
    </row>
    <row r="1002" ht="15.75" customHeight="1">
      <c r="A1002" s="1">
        <v>1000.0</v>
      </c>
      <c r="B1002" s="3" t="s">
        <v>1003</v>
      </c>
      <c r="C1002" s="3" t="str">
        <f>IFERROR(__xludf.DUMMYFUNCTION("GOOGLETRANSLATE(B1002,""id"",""en"")"),"['Satisfied', 'signal', 'good', 'service', 'easy', 'consumer', 'helped', 'package', 'internet', 'cheap', 'aerua', 'people', ' Move ',' self-service ',' Telkomsel ',' enter ',' Telkomsel ',' automatic ',' send ',' sms', 'kalu', 'fail', 'put', 'password', '"&amp;"arou' , 'code', 'verification', 'makes it difficult', 'consumer', 'need', 'service', 'fast', 'accurate', 'easy', 'please', 'change', 'procedure', ' Enter ',' MyTelkomsel ',' as easy ']")</f>
        <v>['Satisfied', 'signal', 'good', 'service', 'easy', 'consumer', 'helped', 'package', 'internet', 'cheap', 'aerua', 'people', ' Move ',' self-service ',' Telkomsel ',' enter ',' Telkomsel ',' automatic ',' send ',' sms', 'kalu', 'fail', 'put', 'password', 'arou' , 'code', 'verification', 'makes it difficult', 'consumer', 'need', 'service', 'fast', 'accurate', 'easy', 'please', 'change', 'procedure', ' Enter ',' MyTelkomsel ',' as easy ']</v>
      </c>
      <c r="D1002" s="3">
        <v>5.0</v>
      </c>
    </row>
    <row r="1003" ht="15.75" customHeight="1">
      <c r="A1003" s="1">
        <v>1001.0</v>
      </c>
      <c r="B1003" s="3" t="s">
        <v>1004</v>
      </c>
      <c r="C1003" s="3" t="str">
        <f>IFERROR(__xludf.DUMMYFUNCTION("GOOGLETRANSLATE(B1003,""id"",""en"")"),"['buy', 'unlimited', 'already', 'expensive', 'comparable', 'speed', 'slow', 'already', 'frequency', 'mode', 'plane', 'yes' Exploring ',' Internet ',' Mode ',' Plane ',' Please ',' Telkomsel ',' Notice ',' Comfort ',' Customer ', ""]")</f>
        <v>['buy', 'unlimited', 'already', 'expensive', 'comparable', 'speed', 'slow', 'already', 'frequency', 'mode', 'plane', 'yes' Exploring ',' Internet ',' Mode ',' Plane ',' Please ',' Telkomsel ',' Notice ',' Comfort ',' Customer ', "]</v>
      </c>
      <c r="D1003" s="3">
        <v>1.0</v>
      </c>
    </row>
    <row r="1004" ht="15.75" customHeight="1">
      <c r="A1004" s="1">
        <v>1002.0</v>
      </c>
      <c r="B1004" s="3" t="s">
        <v>1005</v>
      </c>
      <c r="C1004" s="3" t="str">
        <f>IFERROR(__xludf.DUMMYFUNCTION("GOOGLETRANSLATE(B1004,""id"",""en"")"),"['Woiiiii', 'Network', 'Telkomsel', 'Severe', 'Gini', 'Cok', 'Buy', 'Khuota', 'Data', 'Gag', 'Life', 'Network', ' Woiii ',' Sumatran ',' West ',' Please ',' Explanation ',' Darling ',' Khuota ',' Gag ',' Use ', ""]")</f>
        <v>['Woiiiii', 'Network', 'Telkomsel', 'Severe', 'Gini', 'Cok', 'Buy', 'Khuota', 'Data', 'Gag', 'Life', 'Network', ' Woiii ',' Sumatran ',' West ',' Please ',' Explanation ',' Darling ',' Khuota ',' Gag ',' Use ', "]</v>
      </c>
      <c r="D1004" s="3">
        <v>5.0</v>
      </c>
    </row>
    <row r="1005" ht="15.75" customHeight="1">
      <c r="A1005" s="1">
        <v>1003.0</v>
      </c>
      <c r="B1005" s="3" t="s">
        <v>1006</v>
      </c>
      <c r="C1005" s="3" t="str">
        <f>IFERROR(__xludf.DUMMYFUNCTION("GOOGLETRANSLATE(B1005,""id"",""en"")"),"['Telkomsel', 'ugly', 'really', 'corruptor', 'BUMN', 'dilapidated', 'complains',' change ',' base ',' mafia ',' koplak ',' disappointed ',' ']")</f>
        <v>['Telkomsel', 'ugly', 'really', 'corruptor', 'BUMN', 'dilapidated', 'complains',' change ',' base ',' mafia ',' koplak ',' disappointed ',' ']</v>
      </c>
      <c r="D1005" s="3">
        <v>1.0</v>
      </c>
    </row>
    <row r="1006" ht="15.75" customHeight="1">
      <c r="A1006" s="1">
        <v>1004.0</v>
      </c>
      <c r="B1006" s="3" t="s">
        <v>1007</v>
      </c>
      <c r="C1006" s="3" t="str">
        <f>IFERROR(__xludf.DUMMYFUNCTION("GOOGLETRANSLATE(B1006,""id"",""en"")"),"['Yesterday', 'buy', 'package', 'data', 'shopeepay', 'gopay', 'funds',' gabisa ',' pulse ',' already ',' Matiin ',' network ',' slow ',' bnaget ',' buy ',' package ',' data ',' expensive ',' network ',' fit ',' play ',' game ',' please ',' fix ', ""]")</f>
        <v>['Yesterday', 'buy', 'package', 'data', 'shopeepay', 'gopay', 'funds',' gabisa ',' pulse ',' already ',' Matiin ',' network ',' slow ',' bnaget ',' buy ',' package ',' data ',' expensive ',' network ',' fit ',' play ',' game ',' please ',' fix ', "]</v>
      </c>
      <c r="D1006" s="3">
        <v>1.0</v>
      </c>
    </row>
    <row r="1007" ht="15.75" customHeight="1">
      <c r="A1007" s="1">
        <v>1005.0</v>
      </c>
      <c r="B1007" s="3" t="s">
        <v>1008</v>
      </c>
      <c r="C1007" s="3" t="str">
        <f>IFERROR(__xludf.DUMMYFUNCTION("GOOGLETRANSLATE(B1007,""id"",""en"")"),"['Telkomsel', 'annoying', 'really', 'contents',' pulse ',' RB ',' Sumpot ',' pulses', 'thousand', 'funny', 'people', 'country', ' The pulses', 'Meaning', 'million', 'Telkomsel', 'Maling', 'Ngeselin', 'expensive', 'Doang', 'Kenceng', 'kagak']")</f>
        <v>['Telkomsel', 'annoying', 'really', 'contents',' pulse ',' RB ',' Sumpot ',' pulses', 'thousand', 'funny', 'people', 'country', ' The pulses', 'Meaning', 'million', 'Telkomsel', 'Maling', 'Ngeselin', 'expensive', 'Doang', 'Kenceng', 'kagak']</v>
      </c>
      <c r="D1007" s="3">
        <v>1.0</v>
      </c>
    </row>
    <row r="1008" ht="15.75" customHeight="1">
      <c r="A1008" s="1">
        <v>1006.0</v>
      </c>
      <c r="B1008" s="3" t="s">
        <v>1009</v>
      </c>
      <c r="C1008" s="3" t="str">
        <f>IFERROR(__xludf.DUMMYFUNCTION("GOOGLETRANSLATE(B1008,""id"",""en"")"),"['Ngga', 'buy', 'package', 'gaming', 'Telkomsel', 'loss',' severe ',' reconnect ',' just ',' different ',' buy ',' package ',' Gaming ',' Axis', 'Current', 'Jaya', 'Boss',' Saranin ',' Like ',' Maen ',' Game ',' MLBB ',' Pub ',' AOV ',' card ' , 'Axis']")</f>
        <v>['Ngga', 'buy', 'package', 'gaming', 'Telkomsel', 'loss',' severe ',' reconnect ',' just ',' different ',' buy ',' package ',' Gaming ',' Axis', 'Current', 'Jaya', 'Boss',' Saranin ',' Like ',' Maen ',' Game ',' MLBB ',' Pub ',' AOV ',' card ' , 'Axis']</v>
      </c>
      <c r="D1008" s="3">
        <v>1.0</v>
      </c>
    </row>
    <row r="1009" ht="15.75" customHeight="1">
      <c r="A1009" s="1">
        <v>1007.0</v>
      </c>
      <c r="B1009" s="3" t="s">
        <v>1010</v>
      </c>
      <c r="C1009" s="3" t="str">
        <f>IFERROR(__xludf.DUMMYFUNCTION("GOOGLETRANSLATE(B1009,""id"",""en"")"),"['', 'Stop', 'subscription', 'NSP', 'SMS', 'subscription', 'NSP', 'UDH', 'Extend', 'Oil', 'Aktipkan', 'Extend', 'Please ',' play ',' todong ',' do business', 'Telkomsel', 'UDH', 'Please', 'Keep', 'convenience', 'Customer', '']")</f>
        <v>['', 'Stop', 'subscription', 'NSP', 'SMS', 'subscription', 'NSP', 'UDH', 'Extend', 'Oil', 'Aktipkan', 'Extend', 'Please ',' play ',' todong ',' do business', 'Telkomsel', 'UDH', 'Please', 'Keep', 'convenience', 'Customer', '']</v>
      </c>
      <c r="D1009" s="3">
        <v>5.0</v>
      </c>
    </row>
    <row r="1010" ht="15.75" customHeight="1">
      <c r="A1010" s="1">
        <v>1008.0</v>
      </c>
      <c r="B1010" s="3" t="s">
        <v>1011</v>
      </c>
      <c r="C1010" s="3" t="str">
        <f>IFERROR(__xludf.DUMMYFUNCTION("GOOGLETRANSLATE(B1010,""id"",""en"")"),"['Telkomsel', 'ugly', 'already', 'expensive', 'according to', 'quality', 'weve', 'shame', 'ride', 'price', 'package', 'quality', ' repaired ',' consumer ',' loss', 'disappointed', 'deh', 'kek', 'gini', 'mending', 'replace', 'network', 'ngotak', 'Telkomsel"&amp;"', 'capitalist' , 'luck', 'doang', 'package', 'changed', 'price', 'comfortable', 'actually', 'vision', 'mission', 'comfort', 'customer', 'nomer', ' Please ',' read ',' ']")</f>
        <v>['Telkomsel', 'ugly', 'already', 'expensive', 'according to', 'quality', 'weve', 'shame', 'ride', 'price', 'package', 'quality', ' repaired ',' consumer ',' loss', 'disappointed', 'deh', 'kek', 'gini', 'mending', 'replace', 'network', 'ngotak', 'Telkomsel', 'capitalist' , 'luck', 'doang', 'package', 'changed', 'price', 'comfortable', 'actually', 'vision', 'mission', 'comfort', 'customer', 'nomer', ' Please ',' read ',' ']</v>
      </c>
      <c r="D1010" s="3">
        <v>1.0</v>
      </c>
    </row>
    <row r="1011" ht="15.75" customHeight="1">
      <c r="A1011" s="1">
        <v>1009.0</v>
      </c>
      <c r="B1011" s="3" t="s">
        <v>1012</v>
      </c>
      <c r="C1011" s="3" t="str">
        <f>IFERROR(__xludf.DUMMYFUNCTION("GOOGLETRANSLATE(B1011,""id"",""en"")"),"['many years',' loyal ',' use ',' Telkomsel ',' TPI ',' slow ',' Nonny ',' improved ',' price ',' package ',' expensive ',' versal ',' Reverse ',' Service ',' Thank "", 'Disappointed', 'Bkalan', 'Change', 'Card', 'GNI',""]")</f>
        <v>['many years',' loyal ',' use ',' Telkomsel ',' TPI ',' slow ',' Nonny ',' improved ',' price ',' package ',' expensive ',' versal ',' Reverse ',' Service ',' Thank ", 'Disappointed', 'Bkalan', 'Change', 'Card', 'GNI',"]</v>
      </c>
      <c r="D1011" s="3">
        <v>1.0</v>
      </c>
    </row>
    <row r="1012" ht="15.75" customHeight="1">
      <c r="A1012" s="1">
        <v>1010.0</v>
      </c>
      <c r="B1012" s="3" t="s">
        <v>1013</v>
      </c>
      <c r="C1012" s="3" t="str">
        <f>IFERROR(__xludf.DUMMYFUNCTION("GOOGLETRANSLATE(B1012,""id"",""en"")"),"['Rendem', 'Point', 'Quota', 'Replied', 'Please', 'Sorry', 'System', 'Busy', 'Try', 'Points',' Returned ',' Accept ',' Love ',' Edge ',' Point ',' Balek ', ""]")</f>
        <v>['Rendem', 'Point', 'Quota', 'Replied', 'Please', 'Sorry', 'System', 'Busy', 'Try', 'Points',' Returned ',' Accept ',' Love ',' Edge ',' Point ',' Balek ', "]</v>
      </c>
      <c r="D1012" s="3">
        <v>1.0</v>
      </c>
    </row>
    <row r="1013" ht="15.75" customHeight="1">
      <c r="A1013" s="1">
        <v>1011.0</v>
      </c>
      <c r="B1013" s="3" t="s">
        <v>1014</v>
      </c>
      <c r="C1013" s="3" t="str">
        <f>IFERROR(__xludf.DUMMYFUNCTION("GOOGLETRANSLATE(B1013,""id"",""en"")"),"['expensive', 'Doang', 'Main', 'Game', 'Mobile', 'Legend', 'The network', 'Flower', 'Cempor', 'ping', 'red', 'Mulu', ' asoo ',' expensive ',' tsel ',' tissue ',' slow ',' tri ',' ']")</f>
        <v>['expensive', 'Doang', 'Main', 'Game', 'Mobile', 'Legend', 'The network', 'Flower', 'Cempor', 'ping', 'red', 'Mulu', ' asoo ',' expensive ',' tsel ',' tissue ',' slow ',' tri ',' ']</v>
      </c>
      <c r="D1013" s="3">
        <v>1.0</v>
      </c>
    </row>
    <row r="1014" ht="15.75" customHeight="1">
      <c r="A1014" s="1">
        <v>1012.0</v>
      </c>
      <c r="B1014" s="3" t="s">
        <v>1015</v>
      </c>
      <c r="C1014" s="3" t="str">
        <f>IFERROR(__xludf.DUMMYFUNCTION("GOOGLETRANSLATE(B1014,""id"",""en"")"),"['Please', 'The Network', 'Fix', 'Season', 'Very', 'Telkomsel', 'Buy', 'Quota', 'Play', 'Game', 'Ngelag', 'Buy', ' How ',' Lose ',' Gara ',' Gara ',' Signal ',' Good ',' Disappointed ',' Telkomsel ',' ']")</f>
        <v>['Please', 'The Network', 'Fix', 'Season', 'Very', 'Telkomsel', 'Buy', 'Quota', 'Play', 'Game', 'Ngelag', 'Buy', ' How ',' Lose ',' Gara ',' Gara ',' Signal ',' Good ',' Disappointed ',' Telkomsel ',' ']</v>
      </c>
      <c r="D1014" s="3">
        <v>1.0</v>
      </c>
    </row>
    <row r="1015" ht="15.75" customHeight="1">
      <c r="A1015" s="1">
        <v>1013.0</v>
      </c>
      <c r="B1015" s="3" t="s">
        <v>1016</v>
      </c>
      <c r="C1015" s="3" t="str">
        <f>IFERROR(__xludf.DUMMYFUNCTION("GOOGLETRANSLATE(B1015,""id"",""en"")"),"['Please', 'sorry', 'complaints',' natural ',' intered ',' leeeemooood ',' really ',' th ',' region ',' ngak ',' suggest ',' severe ',' Fets', 'intered', 'missing', 'entered', 'sometimes',' entry ',' settings', 'graparipun', 'uda', ""]")</f>
        <v>['Please', 'sorry', 'complaints',' natural ',' intered ',' leeeemooood ',' really ',' th ',' region ',' ngak ',' suggest ',' severe ',' Fets', 'intered', 'missing', 'entered', 'sometimes',' entry ',' settings', 'graparipun', 'uda', "]</v>
      </c>
      <c r="D1015" s="3">
        <v>2.0</v>
      </c>
    </row>
    <row r="1016" ht="15.75" customHeight="1">
      <c r="A1016" s="1">
        <v>1014.0</v>
      </c>
      <c r="B1016" s="3" t="s">
        <v>1017</v>
      </c>
      <c r="C1016" s="3" t="str">
        <f>IFERROR(__xludf.DUMMYFUNCTION("GOOGLETRANSLATE(B1016,""id"",""en"")"),"['Disappointed', 'Telkomsel', 'Times',' Out ',' Fill ',' Credit ',' Credit ',' Reduced ',' SMS ',' Nelfon ',' Internet ',' already ',' MyTelkomsel ',' send ',' message ',' email ',' kli ',' response ',' appreciate ',' Customer ',' tired ',' fill in ',' pu"&amp;"lse ',' continued ',' detrimental ' , 'disappointing', 'customers', 'trorrr', 'danger', 'disappointed', '']")</f>
        <v>['Disappointed', 'Telkomsel', 'Times',' Out ',' Fill ',' Credit ',' Credit ',' Reduced ',' SMS ',' Nelfon ',' Internet ',' already ',' MyTelkomsel ',' send ',' message ',' email ',' kli ',' response ',' appreciate ',' Customer ',' tired ',' fill in ',' pulse ',' continued ',' detrimental ' , 'disappointing', 'customers', 'trorrr', 'danger', 'disappointed', '']</v>
      </c>
      <c r="D1016" s="3">
        <v>1.0</v>
      </c>
    </row>
    <row r="1017" ht="15.75" customHeight="1">
      <c r="A1017" s="1">
        <v>1015.0</v>
      </c>
      <c r="B1017" s="3" t="s">
        <v>1018</v>
      </c>
      <c r="C1017" s="3" t="str">
        <f>IFERROR(__xludf.DUMMYFUNCTION("GOOGLETRANSLATE(B1017,""id"",""en"")"),"['complaining', 'signal', 'slow', 'ngnifia', 'provider', 'cell', 'provider', 'severe', 'dri', 'pda', 'waste', 'money', ' buy ',' card ',' prime ',' provider ',' mending ',' patient ',' use ',' application ',' slow ',' really ',' go ',' krna ',' in Indones"&amp;"ia ' , 'PDA', 'use', 'need', 'internet', 'slow', 'hope', 'cell', 'please', 'enhanced', 'strengthen', 'signal', 'ditower', ' SIGAP ',' checks', 'care', 'tower', 'trimakasih', 'cell', '']")</f>
        <v>['complaining', 'signal', 'slow', 'ngnifia', 'provider', 'cell', 'provider', 'severe', 'dri', 'pda', 'waste', 'money', ' buy ',' card ',' prime ',' provider ',' mending ',' patient ',' use ',' application ',' slow ',' really ',' go ',' krna ',' in Indonesia ' , 'PDA', 'use', 'need', 'internet', 'slow', 'hope', 'cell', 'please', 'enhanced', 'strengthen', 'signal', 'ditower', ' SIGAP ',' checks', 'care', 'tower', 'trimakasih', 'cell', '']</v>
      </c>
      <c r="D1017" s="3">
        <v>4.0</v>
      </c>
    </row>
    <row r="1018" ht="15.75" customHeight="1">
      <c r="A1018" s="1">
        <v>1016.0</v>
      </c>
      <c r="B1018" s="3" t="s">
        <v>1019</v>
      </c>
      <c r="C1018" s="3" t="str">
        <f>IFERROR(__xludf.DUMMYFUNCTION("GOOGLETRANSLATE(B1018,""id"",""en"")"),"['bismillah', 'hope', 'boss', 'dead', 'animal', '']")</f>
        <v>['bismillah', 'hope', 'boss', 'dead', 'animal', '']</v>
      </c>
      <c r="D1018" s="3">
        <v>1.0</v>
      </c>
    </row>
    <row r="1019" ht="15.75" customHeight="1">
      <c r="A1019" s="1">
        <v>1017.0</v>
      </c>
      <c r="B1019" s="3" t="s">
        <v>1020</v>
      </c>
      <c r="C1019" s="3" t="str">
        <f>IFERROR(__xludf.DUMMYFUNCTION("GOOGLETRANSLATE(B1019,""id"",""en"")"),"['Package', 'Combo', 'Sakti', 'Unlimited', 'Quota', 'Sosmed', 'Gabisa', 'Dipake', 'WhatsApp', 'Gabisa', 'Darling', 'Expensive', ' expensive ',' feels', 'cheated', 'Thanks',' Telkomsel ',' moved ',' Provider ',' Next to ',' ']")</f>
        <v>['Package', 'Combo', 'Sakti', 'Unlimited', 'Quota', 'Sosmed', 'Gabisa', 'Dipake', 'WhatsApp', 'Gabisa', 'Darling', 'Expensive', ' expensive ',' feels', 'cheated', 'Thanks',' Telkomsel ',' moved ',' Provider ',' Next to ',' ']</v>
      </c>
      <c r="D1019" s="3">
        <v>1.0</v>
      </c>
    </row>
    <row r="1020" ht="15.75" customHeight="1">
      <c r="A1020" s="1">
        <v>1018.0</v>
      </c>
      <c r="B1020" s="3" t="s">
        <v>1021</v>
      </c>
      <c r="C1020" s="3" t="str">
        <f>IFERROR(__xludf.DUMMYFUNCTION("GOOGLETRANSLATE(B1020,""id"",""en"")"),"['Telkomsel', 'disruption', 'signal', 'edge', 'quality', 'ugly', 'Gunain', 'pulse', 'sucks',' operator ',' pulses', 'truncated', ' quota ',' data ',' trick ',' Telkomsel ',' cunning ',' reaching ',' telkomsel ',' enforce ',' rates', 'data', 'expensive', '"&amp;"operator' , 'Indonesia', 'owned', 'BUMN', 'Telkomsel', 'Service', 'Dana', 'used', 'owned', 'Country', ""]")</f>
        <v>['Telkomsel', 'disruption', 'signal', 'edge', 'quality', 'ugly', 'Gunain', 'pulse', 'sucks',' operator ',' pulses', 'truncated', ' quota ',' data ',' trick ',' Telkomsel ',' cunning ',' reaching ',' telkomsel ',' enforce ',' rates', 'data', 'expensive', 'operator' , 'Indonesia', 'owned', 'BUMN', 'Telkomsel', 'Service', 'Dana', 'used', 'owned', 'Country', "]</v>
      </c>
      <c r="D1020" s="3">
        <v>1.0</v>
      </c>
    </row>
    <row r="1021" ht="15.75" customHeight="1">
      <c r="A1021" s="1">
        <v>1019.0</v>
      </c>
      <c r="B1021" s="3" t="s">
        <v>1022</v>
      </c>
      <c r="C1021" s="3" t="str">
        <f>IFERROR(__xludf.DUMMYFUNCTION("GOOGLETRANSLATE(B1021,""id"",""en"")"),"['confusing', 'subscribe', 'package', 'emergency', 'accept', 'package', 'emergency', 'pay', 'subscribe', 'maxtream', 'subscribe', 'stop', ' Subscribe ',' telephone ',' machine ',' mitrated ',' Minute ']")</f>
        <v>['confusing', 'subscribe', 'package', 'emergency', 'accept', 'package', 'emergency', 'pay', 'subscribe', 'maxtream', 'subscribe', 'stop', ' Subscribe ',' telephone ',' machine ',' mitrated ',' Minute ']</v>
      </c>
      <c r="D1021" s="3">
        <v>2.0</v>
      </c>
    </row>
    <row r="1022" ht="15.75" customHeight="1">
      <c r="A1022" s="1">
        <v>1020.0</v>
      </c>
      <c r="B1022" s="3" t="s">
        <v>1023</v>
      </c>
      <c r="C1022" s="3" t="str">
        <f>IFERROR(__xludf.DUMMYFUNCTION("GOOGLETRANSLATE(B1022,""id"",""en"")"),"['ugly', 'really', 'network', 'Telkomsel', 'contents',' package ',' internet ',' unlimited ',' GB ',' the network ',' ugly ',' really ',' How ',' Telkomsel ',' Recommended ',' really ', ""]")</f>
        <v>['ugly', 'really', 'network', 'Telkomsel', 'contents',' package ',' internet ',' unlimited ',' GB ',' the network ',' ugly ',' really ',' How ',' Telkomsel ',' Recommended ',' really ', "]</v>
      </c>
      <c r="D1022" s="3">
        <v>1.0</v>
      </c>
    </row>
    <row r="1023" ht="15.75" customHeight="1">
      <c r="A1023" s="1">
        <v>1021.0</v>
      </c>
      <c r="B1023" s="3" t="s">
        <v>1024</v>
      </c>
      <c r="C1023" s="3" t="str">
        <f>IFERROR(__xludf.DUMMYFUNCTION("GOOGLETRANSLATE(B1023,""id"",""en"")"),"['buy', 'package', 'giga', 'quota', 'national', 'giga', 'the rest', 'giga', 'medsos',' slow ',' price ',' that way ',' free ',' a month ',' fraud ',' mah ']")</f>
        <v>['buy', 'package', 'giga', 'quota', 'national', 'giga', 'the rest', 'giga', 'medsos',' slow ',' price ',' that way ',' free ',' a month ',' fraud ',' mah ']</v>
      </c>
      <c r="D1023" s="3">
        <v>1.0</v>
      </c>
    </row>
    <row r="1024" ht="15.75" customHeight="1">
      <c r="A1024" s="1">
        <v>1022.0</v>
      </c>
      <c r="B1024" s="3" t="s">
        <v>1025</v>
      </c>
      <c r="C1024" s="3" t="str">
        <f>IFERROR(__xludf.DUMMYFUNCTION("GOOGLETRANSLATE(B1024,""id"",""en"")"),"['Come', 'expensive', 'oath', 'quota', 'unlimited', 'chat', 'right', 'really', 'unlimited', 'unlimited', 'limit', 'GB', ' unlimited ',' quota ',' where ',' unlimited ',' count ',' limit ',' suggestion ',' read ',' mending ',' replace ',' card ',' here ','"&amp;" comfortable ' , 'thank you', '']")</f>
        <v>['Come', 'expensive', 'oath', 'quota', 'unlimited', 'chat', 'right', 'really', 'unlimited', 'unlimited', 'limit', 'GB', ' unlimited ',' quota ',' where ',' unlimited ',' count ',' limit ',' suggestion ',' read ',' mending ',' replace ',' card ',' here ',' comfortable ' , 'thank you', '']</v>
      </c>
      <c r="D1024" s="3">
        <v>1.0</v>
      </c>
    </row>
    <row r="1025" ht="15.75" customHeight="1">
      <c r="A1025" s="1">
        <v>1023.0</v>
      </c>
      <c r="B1025" s="3" t="s">
        <v>1026</v>
      </c>
      <c r="C1025" s="3" t="str">
        <f>IFERROR(__xludf.DUMMYFUNCTION("GOOGLETRANSLATE(B1025,""id"",""en"")"),"['Provider', 'Worst', 'Indonesia', 'Telkomsel', 'Network', 'Spacious',' Leet ',' Severe ',' Original ',' Fix ',' Quality ',' Jatohin ',' price ',' package ',' internet ',' comparable ',' price ',' cheap ',' quality ',' cheap ',' so "", 'Terimagaji',""]")</f>
        <v>['Provider', 'Worst', 'Indonesia', 'Telkomsel', 'Network', 'Spacious',' Leet ',' Severe ',' Original ',' Fix ',' Quality ',' Jatohin ',' price ',' package ',' internet ',' comparable ',' price ',' cheap ',' quality ',' cheap ',' so ", 'Terimagaji',"]</v>
      </c>
      <c r="D1025" s="3">
        <v>1.0</v>
      </c>
    </row>
    <row r="1026" ht="15.75" customHeight="1">
      <c r="A1026" s="1">
        <v>1024.0</v>
      </c>
      <c r="B1026" s="3" t="s">
        <v>1027</v>
      </c>
      <c r="C1026" s="3" t="str">
        <f>IFERROR(__xludf.DUMMYFUNCTION("GOOGLETRANSLATE(B1026,""id"",""en"")"),"['User', 'loyal', 'Telkomsel', 'SKTR', 'Minnmggu', 'LLU', 'buy', 'quota', 'Telkomsel', 'for', 'active', 'bln', ' Good ',' PMBELLIAN ',' SCHEME ',' Changed ',' Sousal ',' ugly ',' Week ',' Please ',' Kada ',' Telkomsel ',' Looked ',' Package ',' Internet '"&amp;" , 'Yng', 'sell', 'kpasda', 'community', 'expensive', 'compared to', 'operator', 'ttpi', 'signal', 'ugly', 'active', 'package', ' Wasted ',' Human Resistance ',' Really ',' Disappointing ',' Call ',' Persensified ',' Connect ', ""]")</f>
        <v>['User', 'loyal', 'Telkomsel', 'SKTR', 'Minnmggu', 'LLU', 'buy', 'quota', 'Telkomsel', 'for', 'active', 'bln', ' Good ',' PMBELLIAN ',' SCHEME ',' Changed ',' Sousal ',' ugly ',' Week ',' Please ',' Kada ',' Telkomsel ',' Looked ',' Package ',' Internet ' , 'Yng', 'sell', 'kpasda', 'community', 'expensive', 'compared to', 'operator', 'ttpi', 'signal', 'ugly', 'active', 'package', ' Wasted ',' Human Resistance ',' Really ',' Disappointing ',' Call ',' Persensified ',' Connect ', "]</v>
      </c>
      <c r="D1026" s="3">
        <v>1.0</v>
      </c>
    </row>
    <row r="1027" ht="15.75" customHeight="1">
      <c r="A1027" s="1">
        <v>1025.0</v>
      </c>
      <c r="B1027" s="3" t="s">
        <v>1028</v>
      </c>
      <c r="C1027" s="3" t="str">
        <f>IFERROR(__xludf.DUMMYFUNCTION("GOOGLETRANSLATE(B1027,""id"",""en"")"),"['Sorry', 'fasting', 'service', 'package', 'expensive', 'expensive', 'according to', 'Sometimes',' slow ',' sometimes', 'signal', 'ilang', ' Please, 'Customize', 'slow', 'gini', 'Mending', 'card', 'sifted', 'cheap', 'expensive', 'slow', 'please', 'fix', '"&amp;"thank you' , '']")</f>
        <v>['Sorry', 'fasting', 'service', 'package', 'expensive', 'expensive', 'according to', 'Sometimes',' slow ',' sometimes', 'signal', 'ilang', ' Please, 'Customize', 'slow', 'gini', 'Mending', 'card', 'sifted', 'cheap', 'expensive', 'slow', 'please', 'fix', 'thank you' , '']</v>
      </c>
      <c r="D1027" s="3">
        <v>2.0</v>
      </c>
    </row>
    <row r="1028" ht="15.75" customHeight="1">
      <c r="A1028" s="1">
        <v>1026.0</v>
      </c>
      <c r="B1028" s="3" t="s">
        <v>1029</v>
      </c>
      <c r="C1028" s="3" t="str">
        <f>IFERROR(__xludf.DUMMYFUNCTION("GOOGLETRANSLATE(B1028,""id"",""en"")"),"['meal', 'rice', 'fried', 'Jokowi', 'trolley', 'riding', 'sun', 'ditch', 'eat', 'snake', 'grandma', 'kiko', ' good ',' clock ',' eat ',' sleep ',' sound ',' division ',' book ',' practice ',' circumcision ',' woman ',' continuous', 'stop', 'smoking' ]")</f>
        <v>['meal', 'rice', 'fried', 'Jokowi', 'trolley', 'riding', 'sun', 'ditch', 'eat', 'snake', 'grandma', 'kiko', ' good ',' clock ',' eat ',' sleep ',' sound ',' division ',' book ',' practice ',' circumcision ',' woman ',' continuous', 'stop', 'smoking' ]</v>
      </c>
      <c r="D1028" s="3">
        <v>5.0</v>
      </c>
    </row>
    <row r="1029" ht="15.75" customHeight="1">
      <c r="A1029" s="1">
        <v>1027.0</v>
      </c>
      <c r="B1029" s="3" t="s">
        <v>1030</v>
      </c>
      <c r="C1029" s="3" t="str">
        <f>IFERROR(__xludf.DUMMYFUNCTION("GOOGLETRANSLATE(B1029,""id"",""en"")"),"['Please', 'Signal', 'Stabilize', 'Play', 'Game', 'Play', 'Social', 'Media', 'Invalid', 'Conversation', 'Signal', 'Disappear', ' Failed ',' Send ',' bit ',' second ',' City ',' Semarang ',' East ',' outside ',' space ',' signal ',' Sometimes', 'Lost', 'ho"&amp;"pe' , 'add', 'tower', 'transmitter', 'signal', 'edge', 'city', 'solid', 'city', 'edge', 'hit', 'edge', 'hit', ' Certainly ',' solid ',' City ',' get ',' direction ',' Thanks']")</f>
        <v>['Please', 'Signal', 'Stabilize', 'Play', 'Game', 'Play', 'Social', 'Media', 'Invalid', 'Conversation', 'Signal', 'Disappear', ' Failed ',' Send ',' bit ',' second ',' City ',' Semarang ',' East ',' outside ',' space ',' signal ',' Sometimes', 'Lost', 'hope' , 'add', 'tower', 'transmitter', 'signal', 'edge', 'city', 'solid', 'city', 'edge', 'hit', 'edge', 'hit', ' Certainly ',' solid ',' City ',' get ',' direction ',' Thanks']</v>
      </c>
      <c r="D1029" s="3">
        <v>5.0</v>
      </c>
    </row>
    <row r="1030" ht="15.75" customHeight="1">
      <c r="A1030" s="1">
        <v>1028.0</v>
      </c>
      <c r="B1030" s="3" t="s">
        <v>1031</v>
      </c>
      <c r="C1030" s="3" t="str">
        <f>IFERROR(__xludf.DUMMYFUNCTION("GOOGLETRANSLATE(B1030,""id"",""en"")"),"['sorry', 'admin', 'network', 'Telkomsel', 'friendly', 'slow', 'really', 'better', 'please', 'network', 'increase', 'cook', ' pelp ',' thank you ',' brother ',' brother ',' admin ', ""]")</f>
        <v>['sorry', 'admin', 'network', 'Telkomsel', 'friendly', 'slow', 'really', 'better', 'please', 'network', 'increase', 'cook', ' pelp ',' thank you ',' brother ',' brother ',' admin ', "]</v>
      </c>
      <c r="D1030" s="3">
        <v>3.0</v>
      </c>
    </row>
    <row r="1031" ht="15.75" customHeight="1">
      <c r="A1031" s="1">
        <v>1029.0</v>
      </c>
      <c r="B1031" s="3" t="s">
        <v>1032</v>
      </c>
      <c r="C1031" s="3" t="str">
        <f>IFERROR(__xludf.DUMMYFUNCTION("GOOGLETRANSLATE(B1031,""id"",""en"")"),"['Telkomsel', 'ugly', 'network', 'Lose', 'Indosat', 'There', 'Kembalikn', 'Temkosel', 'network', 'stable', 'price', 'expensive', ' Satisfied ',' price ',' expensive ',' network ',' Lowot ',' ']")</f>
        <v>['Telkomsel', 'ugly', 'network', 'Lose', 'Indosat', 'There', 'Kembalikn', 'Temkosel', 'network', 'stable', 'price', 'expensive', ' Satisfied ',' price ',' expensive ',' network ',' Lowot ',' ']</v>
      </c>
      <c r="D1031" s="3">
        <v>2.0</v>
      </c>
    </row>
    <row r="1032" ht="15.75" customHeight="1">
      <c r="A1032" s="1">
        <v>1030.0</v>
      </c>
      <c r="B1032" s="3" t="s">
        <v>1033</v>
      </c>
      <c r="C1032" s="3" t="str">
        <f>IFERROR(__xludf.DUMMYFUNCTION("GOOGLETRANSLATE(B1032,""id"",""en"")"),"['Disappointed', 'buy', 'open', 'Tiktok', 'etc.', 'pulse', 'run out', 'one hundred', 'thousand', 'network', 'good', 'please', ' Fix ',' Telkomsel ',' Please ',' Fix ',' Network ',' Good ',' People ',' Season ']")</f>
        <v>['Disappointed', 'buy', 'open', 'Tiktok', 'etc.', 'pulse', 'run out', 'one hundred', 'thousand', 'network', 'good', 'please', ' Fix ',' Telkomsel ',' Please ',' Fix ',' Network ',' Good ',' People ',' Season ']</v>
      </c>
      <c r="D1032" s="3">
        <v>1.0</v>
      </c>
    </row>
    <row r="1033" ht="15.75" customHeight="1">
      <c r="A1033" s="1">
        <v>1031.0</v>
      </c>
      <c r="B1033" s="3" t="s">
        <v>1034</v>
      </c>
      <c r="C1033" s="3" t="str">
        <f>IFERROR(__xludf.DUMMYFUNCTION("GOOGLETRANSLATE(B1033,""id"",""en"")"),"['Please', 'Package', 'Internet', 'Quota', 'Main', 'Out', 'Speed', 'Trludu', 'Low', 'Speed', 'Krna', 'Lying', ' Sya ',' subscribe ',' package ',' Xtra ',' combo ',' quota ',' main ',' hnya ',' GB ',' quota ',' main ',' run out ',' left ' , 'quota', 'sosme"&amp;"d', 'browsing', 'watch', 'streaming', 'Disney', 'I'll', 'subscribe', 'Doank', 'please', 'Donk', ' Telkomsel ',' Worth ',' Thank you ']")</f>
        <v>['Please', 'Package', 'Internet', 'Quota', 'Main', 'Out', 'Speed', 'Trludu', 'Low', 'Speed', 'Krna', 'Lying', ' Sya ',' subscribe ',' package ',' Xtra ',' combo ',' quota ',' main ',' hnya ',' GB ',' quota ',' main ',' run out ',' left ' , 'quota', 'sosmed', 'browsing', 'watch', 'streaming', 'Disney', 'I'll', 'subscribe', 'Doank', 'please', 'Donk', ' Telkomsel ',' Worth ',' Thank you ']</v>
      </c>
      <c r="D1033" s="3">
        <v>1.0</v>
      </c>
    </row>
    <row r="1034" ht="15.75" customHeight="1">
      <c r="A1034" s="1">
        <v>1032.0</v>
      </c>
      <c r="B1034" s="3" t="s">
        <v>1035</v>
      </c>
      <c r="C1034" s="3" t="str">
        <f>IFERROR(__xludf.DUMMYFUNCTION("GOOGLETRANSLATE(B1034,""id"",""en"")"),"['Network', 'Telkomsel', 'Severe', 'Buy', 'Package', 'Expensive', 'Network', 'Mintak', 'Forgiveness',' Lemot ',' Solution ',' Telkomsel ',' Sebagus', 'dlu']")</f>
        <v>['Network', 'Telkomsel', 'Severe', 'Buy', 'Package', 'Expensive', 'Network', 'Mintak', 'Forgiveness',' Lemot ',' Solution ',' Telkomsel ',' Sebagus', 'dlu']</v>
      </c>
      <c r="D1034" s="3">
        <v>1.0</v>
      </c>
    </row>
    <row r="1035" ht="15.75" customHeight="1">
      <c r="A1035" s="1">
        <v>1033.0</v>
      </c>
      <c r="B1035" s="3" t="s">
        <v>1036</v>
      </c>
      <c r="C1035" s="3" t="str">
        <f>IFERROR(__xludf.DUMMYFUNCTION("GOOGLETRANSLATE(B1035,""id"",""en"")"),"['Please', 'Sorry', 'Forced', 'Love', 'Star', 'Network', 'Your Internet', 'Repaired', 'Switch', 'Provider', 'Price', 'Cheap', ' quality ',' network ',' from you ',' bored ',' complain ',' already ',' try ',' setting ',' network ',' manual ',' try ',' chan"&amp;"ge ',' provider ' , 'Network', 'internet you', 'already', 'fix', 'see', 'You', '']")</f>
        <v>['Please', 'Sorry', 'Forced', 'Love', 'Star', 'Network', 'Your Internet', 'Repaired', 'Switch', 'Provider', 'Price', 'Cheap', ' quality ',' network ',' from you ',' bored ',' complain ',' already ',' try ',' setting ',' network ',' manual ',' try ',' change ',' provider ' , 'Network', 'internet you', 'already', 'fix', 'see', 'You', '']</v>
      </c>
      <c r="D1035" s="3">
        <v>1.0</v>
      </c>
    </row>
    <row r="1036" ht="15.75" customHeight="1">
      <c r="A1036" s="1">
        <v>1034.0</v>
      </c>
      <c r="B1036" s="3" t="s">
        <v>1037</v>
      </c>
      <c r="C1036" s="3" t="str">
        <f>IFERROR(__xludf.DUMMYFUNCTION("GOOGLETRANSLATE(B1036,""id"",""en"")"),"['expensive', 'network', 'stable', 'play', 'right', 'play', 'rank', 'emotion', 'ping', 'green', 'yellow', 'red', ' I ',' Lose ',' Mulu ',' Lotsin ',' Gift ',' Car ',' Kagak ',' Get ',' Woey ',' Benerin ',' Network ',' Leet ',' right ' , 'night', 'week', '"&amp;"me', 'just', 'mabar', 'cuk', 'kagak', 'malming', 'understand', 'anying', 'price', 'expensive', ' Quality ',' Ngab ',' ']")</f>
        <v>['expensive', 'network', 'stable', 'play', 'right', 'play', 'rank', 'emotion', 'ping', 'green', 'yellow', 'red', ' I ',' Lose ',' Mulu ',' Lotsin ',' Gift ',' Car ',' Kagak ',' Get ',' Woey ',' Benerin ',' Network ',' Leet ',' right ' , 'night', 'week', 'me', 'just', 'mabar', 'cuk', 'kagak', 'malming', 'understand', 'anying', 'price', 'expensive', ' Quality ',' Ngab ',' ']</v>
      </c>
      <c r="D1036" s="3">
        <v>1.0</v>
      </c>
    </row>
    <row r="1037" ht="15.75" customHeight="1">
      <c r="A1037" s="1">
        <v>1035.0</v>
      </c>
      <c r="B1037" s="3" t="s">
        <v>1038</v>
      </c>
      <c r="C1037" s="3" t="str">
        <f>IFERROR(__xludf.DUMMYFUNCTION("GOOGLETRANSLATE(B1037,""id"",""en"")"),"['Love', 'Bintang', 'Juice', 'Internet', 'Telkomsel', 'Clock', 'Reset', 'Clock', 'Clock', 'Leet', 'Download', 'Pub', ' Play ',' Store ',' Clock ',' Finish ',' Plis', 'Telkomsel', 'Fix', 'Network', 'Loss',' Customer ',' Please ',' Fix ',' ']")</f>
        <v>['Love', 'Bintang', 'Juice', 'Internet', 'Telkomsel', 'Clock', 'Reset', 'Clock', 'Clock', 'Leet', 'Download', 'Pub', ' Play ',' Store ',' Clock ',' Finish ',' Plis', 'Telkomsel', 'Fix', 'Network', 'Loss',' Customer ',' Please ',' Fix ',' ']</v>
      </c>
      <c r="D1037" s="3">
        <v>1.0</v>
      </c>
    </row>
    <row r="1038" ht="15.75" customHeight="1">
      <c r="A1038" s="1">
        <v>1036.0</v>
      </c>
      <c r="B1038" s="3" t="s">
        <v>1039</v>
      </c>
      <c r="C1038" s="3" t="str">
        <f>IFERROR(__xludf.DUMMYFUNCTION("GOOGLETRANSLATE(B1038,""id"",""en"")"),"['disappointing', 'how', 'weve', 'Telkomsel', 'workers', 'fix', 'network', 'Telkom', 'Different', 'disappointed']")</f>
        <v>['disappointing', 'how', 'weve', 'Telkomsel', 'workers', 'fix', 'network', 'Telkom', 'Different', 'disappointed']</v>
      </c>
      <c r="D1038" s="3">
        <v>2.0</v>
      </c>
    </row>
    <row r="1039" ht="15.75" customHeight="1">
      <c r="A1039" s="1">
        <v>1037.0</v>
      </c>
      <c r="B1039" s="3" t="s">
        <v>1040</v>
      </c>
      <c r="C1039" s="3" t="str">
        <f>IFERROR(__xludf.DUMMYFUNCTION("GOOGLETRANSLATE(B1039,""id"",""en"")"),"['swear', 'buy', 'package', 'sms',' difficult ',' forgiveness', 'app', 'service', 'tsel', 'direct', 'sorry', 'system', ' Busy ',' GTU ',' Try ',' Use ',' Tsel ',' GTU ']")</f>
        <v>['swear', 'buy', 'package', 'sms',' difficult ',' forgiveness', 'app', 'service', 'tsel', 'direct', 'sorry', 'system', ' Busy ',' GTU ',' Try ',' Use ',' Tsel ',' GTU ']</v>
      </c>
      <c r="D1039" s="3">
        <v>1.0</v>
      </c>
    </row>
    <row r="1040" ht="15.75" customHeight="1">
      <c r="A1040" s="1">
        <v>1038.0</v>
      </c>
      <c r="B1040" s="3" t="s">
        <v>1041</v>
      </c>
      <c r="C1040" s="3" t="str">
        <f>IFERROR(__xludf.DUMMYFUNCTION("GOOGLETRANSLATE(B1040,""id"",""en"")"),"['Greetings',' Aceh ',' Southeast ',' Please ',' Network ',' Telkomsel ',' Fix ',' Karna ',' according to ',' Costs', 'Consumers',' Loss', ' Please ',' Consider ',' Harms', 'Consumers',' Feel ',' ']")</f>
        <v>['Greetings',' Aceh ',' Southeast ',' Please ',' Network ',' Telkomsel ',' Fix ',' Karna ',' according to ',' Costs', 'Consumers',' Loss', ' Please ',' Consider ',' Harms', 'Consumers',' Feel ',' ']</v>
      </c>
      <c r="D1040" s="3">
        <v>1.0</v>
      </c>
    </row>
    <row r="1041" ht="15.75" customHeight="1">
      <c r="A1041" s="1">
        <v>1039.0</v>
      </c>
      <c r="B1041" s="3" t="s">
        <v>1042</v>
      </c>
      <c r="C1041" s="3" t="str">
        <f>IFERROR(__xludf.DUMMYFUNCTION("GOOGLETRANSLATE(B1041,""id"",""en"")"),"['Hello', 'users',' Telkomsel ',' Disappointed ',' Features', 'Package', 'GB', 'thousand', 'Features',' Lost ',' Accessible ',' Please ',' Sis', 'Return', 'Features',' Package ',' Change ',' Rating ',' Kmbali ']")</f>
        <v>['Hello', 'users',' Telkomsel ',' Disappointed ',' Features', 'Package', 'GB', 'thousand', 'Features',' Lost ',' Accessible ',' Please ',' Sis', 'Return', 'Features',' Package ',' Change ',' Rating ',' Kmbali ']</v>
      </c>
      <c r="D1041" s="3">
        <v>2.0</v>
      </c>
    </row>
    <row r="1042" ht="15.75" customHeight="1">
      <c r="A1042" s="1">
        <v>1040.0</v>
      </c>
      <c r="B1042" s="3" t="s">
        <v>1043</v>
      </c>
      <c r="C1042" s="3" t="str">
        <f>IFERROR(__xludf.DUMMYFUNCTION("GOOGLETRANSLATE(B1042,""id"",""en"")"),"['Transaction', 'SUCCESS', 'Offer', 'Promo', 'System', 'Please', 'Notice', 'Service', 'Hope', 'Priority', 'Satisfaction', 'Customer', ' ']")</f>
        <v>['Transaction', 'SUCCESS', 'Offer', 'Promo', 'System', 'Please', 'Notice', 'Service', 'Hope', 'Priority', 'Satisfaction', 'Customer', ' ']</v>
      </c>
      <c r="D1042" s="3">
        <v>3.0</v>
      </c>
    </row>
    <row r="1043" ht="15.75" customHeight="1">
      <c r="A1043" s="1">
        <v>1041.0</v>
      </c>
      <c r="B1043" s="3" t="s">
        <v>1044</v>
      </c>
      <c r="C1043" s="3" t="str">
        <f>IFERROR(__xludf.DUMMYFUNCTION("GOOGLETRANSLATE(B1043,""id"",""en"")"),"['slow', 'understand', 'talk', 'Telkomsel', 'Lampung', 'Tanggamus',' network ',' ilang ',' rich ',' tags', 'debt', 'buy', ' quota ',' debt ',' network ',' bad ',' severe ',' ilang ',' mnt ',' repeat ',' change ',' oprator ',' calm ',' accept ',' bacotan '"&amp;" , 'appreciate', 'reply', 'Telkomsel', 'Lamsel', 'network', 'super', 'bad', 'region']")</f>
        <v>['slow', 'understand', 'talk', 'Telkomsel', 'Lampung', 'Tanggamus',' network ',' ilang ',' rich ',' tags', 'debt', 'buy', ' quota ',' debt ',' network ',' bad ',' severe ',' ilang ',' mnt ',' repeat ',' change ',' oprator ',' calm ',' accept ',' bacotan ' , 'appreciate', 'reply', 'Telkomsel', 'Lamsel', 'network', 'super', 'bad', 'region']</v>
      </c>
      <c r="D1043" s="3">
        <v>1.0</v>
      </c>
    </row>
    <row r="1044" ht="15.75" customHeight="1">
      <c r="A1044" s="1">
        <v>1042.0</v>
      </c>
      <c r="B1044" s="3" t="s">
        <v>1045</v>
      </c>
      <c r="C1044" s="3" t="str">
        <f>IFERROR(__xludf.DUMMYFUNCTION("GOOGLETRANSLATE(B1044,""id"",""en"")"),"['Sorry', 'ask', 'Telkomsel', 'then', 'Diemin', 'Signal', 'Mulu', 'Nge', 'Meet', 'then', 'tasty', ' Ngegame ',' good ',' please ',' donk ',' signal ',' telkom ',' lined ',' ']")</f>
        <v>['Sorry', 'ask', 'Telkomsel', 'then', 'Diemin', 'Signal', 'Mulu', 'Nge', 'Meet', 'then', 'tasty', ' Ngegame ',' good ',' please ',' donk ',' signal ',' telkom ',' lined ',' ']</v>
      </c>
      <c r="D1044" s="3">
        <v>1.0</v>
      </c>
    </row>
    <row r="1045" ht="15.75" customHeight="1">
      <c r="A1045" s="1">
        <v>1043.0</v>
      </c>
      <c r="B1045" s="3" t="s">
        <v>1046</v>
      </c>
      <c r="C1045" s="3" t="str">
        <f>IFERROR(__xludf.DUMMYFUNCTION("GOOGLETRANSLATE(B1045,""id"",""en"")"),"['Package', 'expensive', 'expensive', 'user', 'card', 'sympathy', 'loyal', 'think', 'think', 'buy', 'package', 'package', ' expensive ',' package ',' rich ',' card ',' card ',' cheap ',' cheap ',' love ',' sympathy ']")</f>
        <v>['Package', 'expensive', 'expensive', 'user', 'card', 'sympathy', 'loyal', 'think', 'think', 'buy', 'package', 'package', ' expensive ',' package ',' rich ',' card ',' card ',' cheap ',' cheap ',' love ',' sympathy ']</v>
      </c>
      <c r="D1045" s="3">
        <v>2.0</v>
      </c>
    </row>
    <row r="1046" ht="15.75" customHeight="1">
      <c r="A1046" s="1">
        <v>1044.0</v>
      </c>
      <c r="B1046" s="3" t="s">
        <v>1047</v>
      </c>
      <c r="C1046" s="3" t="str">
        <f>IFERROR(__xludf.DUMMYFUNCTION("GOOGLETRANSLATE(B1046,""id"",""en"")"),"['halah', 'update', 'network', 'bad', 'ugly', 'buy', 'quota', 'expensive', 'tapu', 'tip', 'tip', 'ngelag', ' Kayak ',' Gini ',' Progression ',' Please ',' Fix ',' Network ',' Okey ',' Thanks']")</f>
        <v>['halah', 'update', 'network', 'bad', 'ugly', 'buy', 'quota', 'expensive', 'tapu', 'tip', 'tip', 'ngelag', ' Kayak ',' Gini ',' Progression ',' Please ',' Fix ',' Network ',' Okey ',' Thanks']</v>
      </c>
      <c r="D1046" s="3">
        <v>1.0</v>
      </c>
    </row>
    <row r="1047" ht="15.75" customHeight="1">
      <c r="A1047" s="1">
        <v>1045.0</v>
      </c>
      <c r="B1047" s="3" t="s">
        <v>1048</v>
      </c>
      <c r="C1047" s="3" t="str">
        <f>IFERROR(__xludf.DUMMYFUNCTION("GOOGLETRANSLATE(B1047,""id"",""en"")"),"['expensive', 'package', 'quality', 'network', 'Makassar', 'Maros',' sentence ',' suitable ',' describes', 'resentment', 'Telkomsel', 'woi', ' Fix ',' Jaringanta ',' boss', 'price', 'love', 'expensive', 'Is there', 'choice', 'star', ""]")</f>
        <v>['expensive', 'package', 'quality', 'network', 'Makassar', 'Maros',' sentence ',' suitable ',' describes', 'resentment', 'Telkomsel', 'woi', ' Fix ',' Jaringanta ',' boss', 'price', 'love', 'expensive', 'Is there', 'choice', 'star', "]</v>
      </c>
      <c r="D1047" s="3">
        <v>1.0</v>
      </c>
    </row>
    <row r="1048" ht="15.75" customHeight="1">
      <c r="A1048" s="1">
        <v>1046.0</v>
      </c>
      <c r="B1048" s="3" t="s">
        <v>1049</v>
      </c>
      <c r="C1048" s="3" t="str">
        <f>IFERROR(__xludf.DUMMYFUNCTION("GOOGLETRANSLATE(B1048,""id"",""en"")"),"['Application', 'Ad', 'Rb', 'Combo', 'Sakti', 'GB', 'check', 'RB', 'hahaha', 'user', 'Telkomel', 'eneg', ' buy ',' quota ',' whtsapp ',' telponan ',' vcan ',' now ',' cuman ',' chtan ',' doang ',' quota ',' lag ',' chat ',' whatsapp ' , 'Ralat', 'Telkomse"&amp;"l', 'quota', 'Thinking', 'WhatApp', 'Doang', 'Wrong', 'Meaning', 'Package', 'Comfortable', 'Expensive', 'Bonus',' pelngan ',' LMA ',' service ',' comfortable ',' dri ',' dlu ']")</f>
        <v>['Application', 'Ad', 'Rb', 'Combo', 'Sakti', 'GB', 'check', 'RB', 'hahaha', 'user', 'Telkomel', 'eneg', ' buy ',' quota ',' whtsapp ',' telponan ',' vcan ',' now ',' cuman ',' chtan ',' doang ',' quota ',' lag ',' chat ',' whatsapp ' , 'Ralat', 'Telkomsel', 'quota', 'Thinking', 'WhatApp', 'Doang', 'Wrong', 'Meaning', 'Package', 'Comfortable', 'Expensive', 'Bonus',' pelngan ',' LMA ',' service ',' comfortable ',' dri ',' dlu ']</v>
      </c>
      <c r="D1048" s="3">
        <v>1.0</v>
      </c>
    </row>
    <row r="1049" ht="15.75" customHeight="1">
      <c r="A1049" s="1">
        <v>1047.0</v>
      </c>
      <c r="B1049" s="3" t="s">
        <v>1050</v>
      </c>
      <c r="C1049" s="3" t="str">
        <f>IFERROR(__xludf.DUMMYFUNCTION("GOOGLETRANSLATE(B1049,""id"",""en"")"),"['', 'BPK', 'Leader', 'Telkomsel', 'Nmor', 'Message', 'Fraud', 'Winner', 'Lottery', 'Pinjol', 'Tlong', 'Browse', 'Actor ',' seller ',' nmor ',' org ',' let ',' leave ',' add ',' victim ',' org ',' old ',' cheated ',' message ',' tsb ', 'hope', 'browse', '"&amp;"seller', 'number', 'sms',' search ',' use ',' location ',' caught ',' nmornya ',' browse ',' ignore ',' harm ', 'person']")</f>
        <v>['', 'BPK', 'Leader', 'Telkomsel', 'Nmor', 'Message', 'Fraud', 'Winner', 'Lottery', 'Pinjol', 'Tlong', 'Browse', 'Actor ',' seller ',' nmor ',' org ',' let ',' leave ',' add ',' victim ',' org ',' old ',' cheated ',' message ',' tsb ', 'hope', 'browse', 'seller', 'number', 'sms',' search ',' use ',' location ',' caught ',' nmornya ',' browse ',' ignore ',' harm ', 'person']</v>
      </c>
      <c r="D1049" s="3">
        <v>1.0</v>
      </c>
    </row>
    <row r="1050" ht="15.75" customHeight="1">
      <c r="A1050" s="1">
        <v>1048.0</v>
      </c>
      <c r="B1050" s="3" t="s">
        <v>1051</v>
      </c>
      <c r="C1050" s="3" t="str">
        <f>IFERROR(__xludf.DUMMYFUNCTION("GOOGLETRANSLATE(B1050,""id"",""en"")"),"['Telkomsel', 'complain', 'repair', 'replied', 'comment', 'sorry', 'consumer', 'loss',' line ',' undersi ',' loss', 'reply', ' Comments', 'Sorry', 'Try', 'TPI', 'Change', 'Fix', 'Regions',' Regions', 'City', 'Regions',' City ',' Tasks', 'Regions' , 'Need'"&amp;", 'communication', 'entertainment', 'sucking', 'data', 'TPI', 'entertained', 'annoyed', 'sorry']")</f>
        <v>['Telkomsel', 'complain', 'repair', 'replied', 'comment', 'sorry', 'consumer', 'loss',' line ',' undersi ',' loss', 'reply', ' Comments', 'Sorry', 'Try', 'TPI', 'Change', 'Fix', 'Regions',' Regions', 'City', 'Regions',' City ',' Tasks', 'Regions' , 'Need', 'communication', 'entertainment', 'sucking', 'data', 'TPI', 'entertained', 'annoyed', 'sorry']</v>
      </c>
      <c r="D1050" s="3">
        <v>1.0</v>
      </c>
    </row>
    <row r="1051" ht="15.75" customHeight="1">
      <c r="A1051" s="1">
        <v>1049.0</v>
      </c>
      <c r="B1051" s="3" t="s">
        <v>1052</v>
      </c>
      <c r="C1051" s="3" t="str">
        <f>IFERROR(__xludf.DUMMYFUNCTION("GOOGLETRANSLATE(B1051,""id"",""en"")"),"['Telkomsel', 'please', 'Telkomsel', 'complain', 'network', 'ugly', 'feel', 'Telkomsel', 'how', 'ads',' see ',' Telkomsel ',' network ',' good ',' pdhal ',' as good ',' message ',' already ',' dlm ',' knp ',' ngeleg ',' hate ',' telkomsel ',' ngeleg ',' h"&amp;"ope ' , 'read']")</f>
        <v>['Telkomsel', 'please', 'Telkomsel', 'complain', 'network', 'ugly', 'feel', 'Telkomsel', 'how', 'ads',' see ',' Telkomsel ',' network ',' good ',' pdhal ',' as good ',' message ',' already ',' dlm ',' knp ',' ngeleg ',' hate ',' telkomsel ',' ngeleg ',' hope ' , 'read']</v>
      </c>
      <c r="D1051" s="3">
        <v>1.0</v>
      </c>
    </row>
    <row r="1052" ht="15.75" customHeight="1">
      <c r="A1052" s="1">
        <v>1050.0</v>
      </c>
      <c r="B1052" s="3" t="s">
        <v>1053</v>
      </c>
      <c r="C1052" s="3" t="str">
        <f>IFERROR(__xludf.DUMMYFUNCTION("GOOGLETRANSLATE(B1052,""id"",""en"")"),"['Helpful', 'Useful', '']")</f>
        <v>['Helpful', 'Useful', '']</v>
      </c>
      <c r="D1052" s="3">
        <v>5.0</v>
      </c>
    </row>
    <row r="1053" ht="15.75" customHeight="1">
      <c r="A1053" s="1">
        <v>1051.0</v>
      </c>
      <c r="B1053" s="3" t="s">
        <v>1054</v>
      </c>
      <c r="C1053" s="3" t="str">
        <f>IFERROR(__xludf.DUMMYFUNCTION("GOOGLETRANSLATE(B1053,""id"",""en"")"),"['Severe', 'signal', 'Speed', 'Perfoma', 'Network', 'Telkomsel', 'steady', 'hard', 'really', 'open', 'google', 'must', ' Wait ',' Minutes', 'Open', 'Download', 'Bitrate', 'Nyampe', 'KB', 'Mentok', 'KB', 'Open', 'YouTube', 'Buffering', 'Mulu' , 'Open', 'Lo"&amp;"ading', 'Image', 'appears',' Open ',' Not bad ',' Lost ',' fast ',' ama ',' deterred ',' kapok ',' like this']")</f>
        <v>['Severe', 'signal', 'Speed', 'Perfoma', 'Network', 'Telkomsel', 'steady', 'hard', 'really', 'open', 'google', 'must', ' Wait ',' Minutes', 'Open', 'Download', 'Bitrate', 'Nyampe', 'KB', 'Mentok', 'KB', 'Open', 'YouTube', 'Buffering', 'Mulu' , 'Open', 'Loading', 'Image', 'appears',' Open ',' Not bad ',' Lost ',' fast ',' ama ',' deterred ',' kapok ',' like this']</v>
      </c>
      <c r="D1053" s="3">
        <v>1.0</v>
      </c>
    </row>
    <row r="1054" ht="15.75" customHeight="1">
      <c r="A1054" s="1">
        <v>1052.0</v>
      </c>
      <c r="B1054" s="3" t="s">
        <v>1055</v>
      </c>
      <c r="C1054" s="3" t="str">
        <f>IFERROR(__xludf.DUMMYFUNCTION("GOOGLETRANSLATE(B1054,""id"",""en"")"),"['Telkomsel', 'area', 'yesterday', 'network', 'good', 'Alhamdulillah', 'suggest', 'Telkomsel', 'lock', 'lock', 'pulses',' pulses', ' Shame ',' Package ',' Data ',' ']")</f>
        <v>['Telkomsel', 'area', 'yesterday', 'network', 'good', 'Alhamdulillah', 'suggest', 'Telkomsel', 'lock', 'lock', 'pulses',' pulses', ' Shame ',' Package ',' Data ',' ']</v>
      </c>
      <c r="D1054" s="3">
        <v>5.0</v>
      </c>
    </row>
    <row r="1055" ht="15.75" customHeight="1">
      <c r="A1055" s="1">
        <v>1053.0</v>
      </c>
      <c r="B1055" s="3" t="s">
        <v>1056</v>
      </c>
      <c r="C1055" s="3" t="str">
        <f>IFERROR(__xludf.DUMMYFUNCTION("GOOGLETRANSLATE(B1055,""id"",""en"")"),"['Telkomsel', 'poor', 'network', 'ugly', 'really', 'labile', 'stable', 'play', 'game', 'online', 'disappointed', 'really', ' Already ',' stand up ',' progress', 'development', 'problematic', 'regarding', 'service', 'network', 'internet', '']")</f>
        <v>['Telkomsel', 'poor', 'network', 'ugly', 'really', 'labile', 'stable', 'play', 'game', 'online', 'disappointed', 'really', ' Already ',' stand up ',' progress', 'development', 'problematic', 'regarding', 'service', 'network', 'internet', '']</v>
      </c>
      <c r="D1055" s="3">
        <v>1.0</v>
      </c>
    </row>
    <row r="1056" ht="15.75" customHeight="1">
      <c r="A1056" s="1">
        <v>1054.0</v>
      </c>
      <c r="B1056" s="3" t="s">
        <v>1057</v>
      </c>
      <c r="C1056" s="3" t="str">
        <f>IFERROR(__xludf.DUMMYFUNCTION("GOOGLETRANSLATE(B1056,""id"",""en"")"),"['Telkomsel', 'network', 'semeraw', 'area', 'price', 'package', 'data', 'expensive', 'quality', 'network', 'comparable', 'expensive', ' network ',' feel ',' edge ',' please ',' as soon as possible ',' fix ',' ']")</f>
        <v>['Telkomsel', 'network', 'semeraw', 'area', 'price', 'package', 'data', 'expensive', 'quality', 'network', 'comparable', 'expensive', ' network ',' feel ',' edge ',' please ',' as soon as possible ',' fix ',' ']</v>
      </c>
      <c r="D1056" s="3">
        <v>1.0</v>
      </c>
    </row>
    <row r="1057" ht="15.75" customHeight="1">
      <c r="A1057" s="1">
        <v>1055.0</v>
      </c>
      <c r="B1057" s="3" t="s">
        <v>1058</v>
      </c>
      <c r="C1057" s="3" t="str">
        <f>IFERROR(__xludf.DUMMYFUNCTION("GOOGLETRANSLATE(B1057,""id"",""en"")"),"['already', 'cashback', 'point', 'shopeepay', 'enter', 'nominal', 'emang', 'feel', 'lied to', 'led', 'lure', 'promo', ' Shopee ',' Telkomsel ',' essence ',' disappointed ',' feel ',' lied to ']")</f>
        <v>['already', 'cashback', 'point', 'shopeepay', 'enter', 'nominal', 'emang', 'feel', 'lied to', 'led', 'lure', 'promo', ' Shopee ',' Telkomsel ',' essence ',' disappointed ',' feel ',' lied to ']</v>
      </c>
      <c r="D1057" s="3">
        <v>1.0</v>
      </c>
    </row>
    <row r="1058" ht="15.75" customHeight="1">
      <c r="A1058" s="1">
        <v>1056.0</v>
      </c>
      <c r="B1058" s="3" t="s">
        <v>1059</v>
      </c>
      <c r="C1058" s="3" t="str">
        <f>IFERROR(__xludf.DUMMYFUNCTION("GOOGLETRANSLATE(B1058,""id"",""en"")"),"['Slow', 'Severe', 'Severe', 'Severe', 'Signal', 'Full', 'Network', 'Open', 'Youtub', 'Slow', 'Forgiveness',' Apalgi ',' Maen ',' game ',' please ',' fix ']")</f>
        <v>['Slow', 'Severe', 'Severe', 'Severe', 'Signal', 'Full', 'Network', 'Open', 'Youtub', 'Slow', 'Forgiveness',' Apalgi ',' Maen ',' game ',' please ',' fix ']</v>
      </c>
      <c r="D1058" s="3">
        <v>1.0</v>
      </c>
    </row>
    <row r="1059" ht="15.75" customHeight="1">
      <c r="A1059" s="1">
        <v>1057.0</v>
      </c>
      <c r="B1059" s="3" t="s">
        <v>1060</v>
      </c>
      <c r="C1059" s="3" t="str">
        <f>IFERROR(__xludf.DUMMYFUNCTION("GOOGLETRANSLATE(B1059,""id"",""en"")"),"['Yesterday', 'buy', 'package', 'unlimited', 'GB', 'for', 'APK', 'Credit', 'cut', 'turn', 'check', 'Package', ' Credit ',' zero ',' how ',' change ',' Benerin ',' ']")</f>
        <v>['Yesterday', 'buy', 'package', 'unlimited', 'GB', 'for', 'APK', 'Credit', 'cut', 'turn', 'check', 'Package', ' Credit ',' zero ',' how ',' change ',' Benerin ',' ']</v>
      </c>
      <c r="D1059" s="3">
        <v>1.0</v>
      </c>
    </row>
    <row r="1060" ht="15.75" customHeight="1">
      <c r="A1060" s="1">
        <v>1058.0</v>
      </c>
      <c r="B1060" s="3" t="s">
        <v>1061</v>
      </c>
      <c r="C1060" s="3" t="str">
        <f>IFERROR(__xludf.DUMMYFUNCTION("GOOGLETRANSLATE(B1060,""id"",""en"")"),"['Gue', 'ksih', 'star', 'Msih', 'hope', 'Review', 'ugly', 'before', 'send', 'fix', 'update', 'hope', ' ""Severe 'results,' honest ',' apk ',' Telkomsel ',' bad ',' makes it easy ',' dlm ',' purchase ',' package ',' features', 'help', 'opened' , 'The appli"&amp;"cation', 'data', 'translucent', 'features',' exchange ',' point ',' function ',' buy ',' package ',' data ',' fail ',' mulu ',' disappointed']")</f>
        <v>['Gue', 'ksih', 'star', 'Msih', 'hope', 'Review', 'ugly', 'before', 'send', 'fix', 'update', 'hope', ' "Severe 'results,' honest ',' apk ',' Telkomsel ',' bad ',' makes it easy ',' dlm ',' purchase ',' package ',' features', 'help', 'opened' , 'The application', 'data', 'translucent', 'features',' exchange ',' point ',' function ',' buy ',' package ',' data ',' fail ',' mulu ',' disappointed']</v>
      </c>
      <c r="D1060" s="3">
        <v>1.0</v>
      </c>
    </row>
    <row r="1061" ht="15.75" customHeight="1">
      <c r="A1061" s="1">
        <v>1059.0</v>
      </c>
      <c r="B1061" s="3" t="s">
        <v>1062</v>
      </c>
      <c r="C1061" s="3" t="str">
        <f>IFERROR(__xludf.DUMMYFUNCTION("GOOGLETRANSLATE(B1061,""id"",""en"")"),"['Good', 'steady', 'Telkomsel', 'good', 'signal', 'maslah', 'transaction', 'easy', 'link', 'price', 'bonus',' save ',' counter ',' ']")</f>
        <v>['Good', 'steady', 'Telkomsel', 'good', 'signal', 'maslah', 'transaction', 'easy', 'link', 'price', 'bonus',' save ',' counter ',' ']</v>
      </c>
      <c r="D1061" s="3">
        <v>5.0</v>
      </c>
    </row>
    <row r="1062" ht="15.75" customHeight="1">
      <c r="A1062" s="1">
        <v>1060.0</v>
      </c>
      <c r="B1062" s="3" t="s">
        <v>1063</v>
      </c>
      <c r="C1062" s="3" t="str">
        <f>IFERROR(__xludf.DUMMYFUNCTION("GOOGLETRANSLATE(B1062,""id"",""en"")"),"['Package', 'said', 'package', 'data', 'run out', 'play', 'cut', 'connection', 'a day', 'kali', 'kyk', 'gini', ' Really ',' fix ',' your connection ',' Kenceng ',' Kencengnya ',' just ',' Doang ',' Cupu ',' love ',' warning ',' that's', 'Kyk', 'kuuninstal"&amp;"l' , 'Ajalah', 'My APK', 'Manual', '']")</f>
        <v>['Package', 'said', 'package', 'data', 'run out', 'play', 'cut', 'connection', 'a day', 'kali', 'kyk', 'gini', ' Really ',' fix ',' your connection ',' Kenceng ',' Kencengnya ',' just ',' Doang ',' Cupu ',' love ',' warning ',' that's', 'Kyk', 'kuuninstall' , 'Ajalah', 'My APK', 'Manual', '']</v>
      </c>
      <c r="D1062" s="3">
        <v>1.0</v>
      </c>
    </row>
    <row r="1063" ht="15.75" customHeight="1">
      <c r="A1063" s="1">
        <v>1061.0</v>
      </c>
      <c r="B1063" s="3" t="s">
        <v>1064</v>
      </c>
      <c r="C1063" s="3" t="str">
        <f>IFERROR(__xludf.DUMMYFUNCTION("GOOGLETRANSLATE(B1063,""id"",""en"")"),"['signal', 'Telkomsel', 'dead', 'times',' a day ',' morning ',' noon ',' hours', 'productive', 'afternoon', 'dead', 'morning', ' Position ',' Muko ',' Muko ',' Kecamatan ',' Tanjung ',' Raya ',' Regency ',' Agam ',' Sumatra ',' West ',' January ',' custom"&amp;"ers', 'Telkomsel' , 'moved', 'please', 'response', 'many reply', 'report', 'response', 'klu', 'customer', 'move', 'please', 'fix']")</f>
        <v>['signal', 'Telkomsel', 'dead', 'times',' a day ',' morning ',' noon ',' hours', 'productive', 'afternoon', 'dead', 'morning', ' Position ',' Muko ',' Muko ',' Kecamatan ',' Tanjung ',' Raya ',' Regency ',' Agam ',' Sumatra ',' West ',' January ',' customers', 'Telkomsel' , 'moved', 'please', 'response', 'many reply', 'report', 'response', 'klu', 'customer', 'move', 'please', 'fix']</v>
      </c>
      <c r="D1063" s="3">
        <v>1.0</v>
      </c>
    </row>
    <row r="1064" ht="15.75" customHeight="1">
      <c r="A1064" s="1">
        <v>1062.0</v>
      </c>
      <c r="B1064" s="3" t="s">
        <v>1065</v>
      </c>
      <c r="C1064" s="3" t="str">
        <f>IFERROR(__xludf.DUMMYFUNCTION("GOOGLETRANSLATE(B1064,""id"",""en"")"),"['Telkomsel', 'cheats',' msh ',' leftover ',' pulse ',' rb ',' knp ',' skrg ',' tggl ',' rupiah ',' pdhal ',' activation ',' Data ',' Internet ',' call ',' TLP ',' fraud ',' Dri ',' telkontolmsel ']")</f>
        <v>['Telkomsel', 'cheats',' msh ',' leftover ',' pulse ',' rb ',' knp ',' skrg ',' tggl ',' rupiah ',' pdhal ',' activation ',' Data ',' Internet ',' call ',' TLP ',' fraud ',' Dri ',' telkontolmsel ']</v>
      </c>
      <c r="D1064" s="3">
        <v>1.0</v>
      </c>
    </row>
    <row r="1065" ht="15.75" customHeight="1">
      <c r="A1065" s="1">
        <v>1063.0</v>
      </c>
      <c r="B1065" s="3" t="s">
        <v>1066</v>
      </c>
      <c r="C1065" s="3" t="str">
        <f>IFERROR(__xludf.DUMMYFUNCTION("GOOGLETRANSLATE(B1065,""id"",""en"")"),"['Provider', 'good', 'bad', 'like', 'sucked', 'credit', 'claim', 'gift', 'daily', 'check', 'used', 'before' pulses', 'sumps',' run out ',' hard ',' changed ',' package ',' finished ',' sucked ',' pulse ',' main ',' detrimental ']")</f>
        <v>['Provider', 'good', 'bad', 'like', 'sucked', 'credit', 'claim', 'gift', 'daily', 'check', 'used', 'before' pulses', 'sumps',' run out ',' hard ',' changed ',' package ',' finished ',' sucked ',' pulse ',' main ',' detrimental ']</v>
      </c>
      <c r="D1065" s="3">
        <v>1.0</v>
      </c>
    </row>
    <row r="1066" ht="15.75" customHeight="1">
      <c r="A1066" s="1">
        <v>1064.0</v>
      </c>
      <c r="B1066" s="3" t="s">
        <v>1067</v>
      </c>
      <c r="C1066" s="3" t="str">
        <f>IFERROR(__xludf.DUMMYFUNCTION("GOOGLETRANSLATE(B1066,""id"",""en"")"),"['price', 'package', 'expensive', 'application', 'MyTelkomsel', 'promo', 'package', 'price', 'thousand', 'please', 'bro', 'love', ' Promo ',' random ',' bot ',' application ',' telegram ',' tip ',' end ',' ']")</f>
        <v>['price', 'package', 'expensive', 'application', 'MyTelkomsel', 'promo', 'package', 'price', 'thousand', 'please', 'bro', 'love', ' Promo ',' random ',' bot ',' application ',' telegram ',' tip ',' end ',' ']</v>
      </c>
      <c r="D1066" s="3">
        <v>1.0</v>
      </c>
    </row>
    <row r="1067" ht="15.75" customHeight="1">
      <c r="A1067" s="1">
        <v>1065.0</v>
      </c>
      <c r="B1067" s="3" t="s">
        <v>1068</v>
      </c>
      <c r="C1067" s="3" t="str">
        <f>IFERROR(__xludf.DUMMYFUNCTION("GOOGLETRANSLATE(B1067,""id"",""en"")"),"['telkosmel', 'here', 'signal', 'pdahal', 'in the city', 'hlo', 'TPI', 'sinya', 'down', 'game', 'ping it', 'red', ' Plis', 'repaired', 'Area', 'Karanganyar', 'JGAN', 'RICH', 'GINI', 'TRUS', '']")</f>
        <v>['telkosmel', 'here', 'signal', 'pdahal', 'in the city', 'hlo', 'TPI', 'sinya', 'down', 'game', 'ping it', 'red', ' Plis', 'repaired', 'Area', 'Karanganyar', 'JGAN', 'RICH', 'GINI', 'TRUS', '']</v>
      </c>
      <c r="D1067" s="3">
        <v>1.0</v>
      </c>
    </row>
    <row r="1068" ht="15.75" customHeight="1">
      <c r="A1068" s="1">
        <v>1066.0</v>
      </c>
      <c r="B1068" s="3" t="s">
        <v>1069</v>
      </c>
      <c r="C1068" s="3" t="str">
        <f>IFERROR(__xludf.DUMMYFUNCTION("GOOGLETRANSLATE(B1068,""id"",""en"")"),"['proud', 'strength', 'network', 'Telkomsel', 'Diplok', 'village', 'access',' internet ',' network ',' best ',' Telkomsel ',' easy ',' Tasks', 'School', 'Resolved', 'Information', 'Easy', 'Google', 'Agriculture', 'Terimaksih', 'Telkomsel', ""]")</f>
        <v>['proud', 'strength', 'network', 'Telkomsel', 'Diplok', 'village', 'access',' internet ',' network ',' best ',' Telkomsel ',' easy ',' Tasks', 'School', 'Resolved', 'Information', 'Easy', 'Google', 'Agriculture', 'Terimaksih', 'Telkomsel', "]</v>
      </c>
      <c r="D1068" s="3">
        <v>5.0</v>
      </c>
    </row>
    <row r="1069" ht="15.75" customHeight="1">
      <c r="A1069" s="1">
        <v>1067.0</v>
      </c>
      <c r="B1069" s="3" t="s">
        <v>1070</v>
      </c>
      <c r="C1069" s="3" t="str">
        <f>IFERROR(__xludf.DUMMYFUNCTION("GOOGLETRANSLATE(B1069,""id"",""en"")"),"['ask', 'error', 'how', 'subscribe', 'Disney', 'hotstar', 'right', 'pressed', 'buy', 'failed', 'error', 'subscribe', ' active ',' run out ']")</f>
        <v>['ask', 'error', 'how', 'subscribe', 'Disney', 'hotstar', 'right', 'pressed', 'buy', 'failed', 'error', 'subscribe', ' active ',' run out ']</v>
      </c>
      <c r="D1069" s="3">
        <v>2.0</v>
      </c>
    </row>
    <row r="1070" ht="15.75" customHeight="1">
      <c r="A1070" s="1">
        <v>1068.0</v>
      </c>
      <c r="B1070" s="3" t="s">
        <v>1071</v>
      </c>
      <c r="C1070" s="3" t="str">
        <f>IFERROR(__xludf.DUMMYFUNCTION("GOOGLETRANSLATE(B1070,""id"",""en"")"),"['Network', 'bad', 'Telkomsel', 'Telkomsel', 'here', 'decreases',' quality ',' network ',' bad ',' signal ',' assessment ',' bad ',' Stars', 'make sure', 'choose', '']")</f>
        <v>['Network', 'bad', 'Telkomsel', 'Telkomsel', 'here', 'decreases',' quality ',' network ',' bad ',' signal ',' assessment ',' bad ',' Stars', 'make sure', 'choose', '']</v>
      </c>
      <c r="D1070" s="3">
        <v>1.0</v>
      </c>
    </row>
    <row r="1071" ht="15.75" customHeight="1">
      <c r="A1071" s="1">
        <v>1069.0</v>
      </c>
      <c r="B1071" s="3" t="s">
        <v>1072</v>
      </c>
      <c r="C1071" s="3" t="str">
        <f>IFERROR(__xludf.DUMMYFUNCTION("GOOGLETRANSLATE(B1071,""id"",""en"")"),"['cool', 'play', 'signal', 'ugly', 'sosmed', 'game', 'etc.', 'right', 'transaction', 'buy', 'package', 'his writing', ' server ',' busy ',' please ',' price ',' package ',' expensive ',' tissue ',' tetep ',' slow ',' sorry ',' telkomsel ',' please ',' rep"&amp;"aired ' ]")</f>
        <v>['cool', 'play', 'signal', 'ugly', 'sosmed', 'game', 'etc.', 'right', 'transaction', 'buy', 'package', 'his writing', ' server ',' busy ',' please ',' price ',' package ',' expensive ',' tissue ',' tetep ',' slow ',' sorry ',' telkomsel ',' please ',' repaired ' ]</v>
      </c>
      <c r="D1071" s="3">
        <v>3.0</v>
      </c>
    </row>
    <row r="1072" ht="15.75" customHeight="1">
      <c r="A1072" s="1">
        <v>1070.0</v>
      </c>
      <c r="B1072" s="3" t="s">
        <v>1073</v>
      </c>
      <c r="C1072" s="3" t="str">
        <f>IFERROR(__xludf.DUMMYFUNCTION("GOOGLETRANSLATE(B1072,""id"",""en"")"),"['', 'love', 'star', 'signal', 'Telkomsel', 'JDI', 'bad', 'really', 'now', 'Severe', 'please', 'fix', 'Bagusan ',' Indosat ',' now ',' mah ',' bagusan ',' Telkomsel ',' now ',' mah ',' bad ',' really ',' Jaringn ',' severe ']")</f>
        <v>['', 'love', 'star', 'signal', 'Telkomsel', 'JDI', 'bad', 'really', 'now', 'Severe', 'please', 'fix', 'Bagusan ',' Indosat ',' now ',' mah ',' bagusan ',' Telkomsel ',' now ',' mah ',' bad ',' really ',' Jaringn ',' severe ']</v>
      </c>
      <c r="D1072" s="3">
        <v>1.0</v>
      </c>
    </row>
    <row r="1073" ht="15.75" customHeight="1">
      <c r="A1073" s="1">
        <v>1071.0</v>
      </c>
      <c r="B1073" s="3" t="s">
        <v>1074</v>
      </c>
      <c r="C1073" s="3" t="str">
        <f>IFERROR(__xludf.DUMMYFUNCTION("GOOGLETRANSLATE(B1073,""id"",""en"")"),"['Contents',' pulse ',' thousand ',' no ',' enter ',' told ',' wait ',' hello ',' like ',' user ',' operator ',' already ',' try ',' moved ',' axis', 'satisfied', 'service', 'no', 'bad', 'ping', 'pong', 'operator', 'impressed', 'no', 'intention' , 'Love',"&amp;" 'Solution', 'Have', 'Wait', 'Wait', 'Credit', 'No "",' Enter ',' It's ',' How ',' Deh ',' Have ',' husband ',' child ',' no ',' Telkomsel ',' payaaaahh ']")</f>
        <v>['Contents',' pulse ',' thousand ',' no ',' enter ',' told ',' wait ',' hello ',' like ',' user ',' operator ',' already ',' try ',' moved ',' axis', 'satisfied', 'service', 'no', 'bad', 'ping', 'pong', 'operator', 'impressed', 'no', 'intention' , 'Love', 'Solution', 'Have', 'Wait', 'Wait', 'Credit', 'No ",' Enter ',' It's ',' How ',' Deh ',' Have ',' husband ',' child ',' no ',' Telkomsel ',' payaaaahh ']</v>
      </c>
      <c r="D1073" s="3">
        <v>1.0</v>
      </c>
    </row>
    <row r="1074" ht="15.75" customHeight="1">
      <c r="A1074" s="1">
        <v>1072.0</v>
      </c>
      <c r="B1074" s="3" t="s">
        <v>1075</v>
      </c>
      <c r="C1074" s="3" t="str">
        <f>IFERROR(__xludf.DUMMYFUNCTION("GOOGLETRANSLATE(B1074,""id"",""en"")"),"['Please', 'Help', 'Fill', 'reset', 'credit', 'pulse', 'run out', 'appears',' SMS ',' activate ',' package ',' check ',' quota ',' quota ',' enter ',' please ',' overcome ',' ']")</f>
        <v>['Please', 'Help', 'Fill', 'reset', 'credit', 'pulse', 'run out', 'appears',' SMS ',' activate ',' package ',' check ',' quota ',' quota ',' enter ',' please ',' overcome ',' ']</v>
      </c>
      <c r="D1074" s="3">
        <v>1.0</v>
      </c>
    </row>
    <row r="1075" ht="15.75" customHeight="1">
      <c r="A1075" s="1">
        <v>1073.0</v>
      </c>
      <c r="B1075" s="3" t="s">
        <v>1076</v>
      </c>
      <c r="C1075" s="3" t="str">
        <f>IFERROR(__xludf.DUMMYFUNCTION("GOOGLETRANSLATE(B1075,""id"",""en"")"),"['signal', 'Telkomsel', 'Region', 'Majalengka', 'South', 'weak', 'a year', 'backward', 'signal', 'Not bad', 'bln', 'May', ' SMPE ',' SKRNG ',' SGT ',' Lemh ',' Signal ',' BBR ',' Times', 'TELP', 'SIA', 'Repair', 'Telkomsel', 'HRS', 'Niru' , 'smarfren', 'v"&amp;"illage', 'neighbor', 'signal', 'smarfren', 'sgt', 'good', 'built', 'mini', 'bts',' yth ',' directors', ' TELKOMSEL ',' Fix ',' Quality ',' Network ',' Oversce ',' Urban ',' Build ',' Mini ',' BTS ',' Village ',' Improvement ',' Consumers', 'Telkomsel' , '"&amp;"Move', 'Operator', '']")</f>
        <v>['signal', 'Telkomsel', 'Region', 'Majalengka', 'South', 'weak', 'a year', 'backward', 'signal', 'Not bad', 'bln', 'May', ' SMPE ',' SKRNG ',' SGT ',' Lemh ',' Signal ',' BBR ',' Times', 'TELP', 'SIA', 'Repair', 'Telkomsel', 'HRS', 'Niru' , 'smarfren', 'village', 'neighbor', 'signal', 'smarfren', 'sgt', 'good', 'built', 'mini', 'bts',' yth ',' directors', ' TELKOMSEL ',' Fix ',' Quality ',' Network ',' Oversce ',' Urban ',' Build ',' Mini ',' BTS ',' Village ',' Improvement ',' Consumers', 'Telkomsel' , 'Move', 'Operator', '']</v>
      </c>
      <c r="D1075" s="3">
        <v>1.0</v>
      </c>
    </row>
    <row r="1076" ht="15.75" customHeight="1">
      <c r="A1076" s="1">
        <v>1074.0</v>
      </c>
      <c r="B1076" s="3" t="s">
        <v>1077</v>
      </c>
      <c r="C1076" s="3" t="str">
        <f>IFERROR(__xludf.DUMMYFUNCTION("GOOGLETRANSLATE(B1076,""id"",""en"")"),"['Pulogadung', 'Jakarta', 'East', 'suburbs',' city ',' Jakarta ',' era ',' already ',' vines', 'boro', 'get', 'Hadeuuhhh', ' Providers', 'kynya', ""]")</f>
        <v>['Pulogadung', 'Jakarta', 'East', 'suburbs',' city ',' Jakarta ',' era ',' already ',' vines', 'boro', 'get', 'Hadeuuhhh', ' Providers', 'kynya', "]</v>
      </c>
      <c r="D1076" s="3">
        <v>1.0</v>
      </c>
    </row>
    <row r="1077" ht="15.75" customHeight="1">
      <c r="A1077" s="1">
        <v>1075.0</v>
      </c>
      <c r="B1077" s="3" t="s">
        <v>1078</v>
      </c>
      <c r="C1077" s="3" t="str">
        <f>IFERROR(__xludf.DUMMYFUNCTION("GOOGLETRANSLATE(B1077,""id"",""en"")"),"['emang', 'rotten', 'bad', 'network', 'internet', 'LTE', 'sympathy', 'play', 'game', 'online', 'noon', 'lag', ' Severe ',' slow ',' quota ',' intentionally ',' slow ',' bad ',' network ',' internet ',' fear ',' loss', 'Telkomsel', 'gave', 'quota' , 'Hopef"&amp;"ully', 'Simpati', 'Leave', 'Customer', 'Bankrupt', 'You', 'Sympathy', 'Network', 'Internet', 'Worst', 'Published', 'Number', ' Indonesia ',' BANGJE ',' You ',' Sympathy ',' ']")</f>
        <v>['emang', 'rotten', 'bad', 'network', 'internet', 'LTE', 'sympathy', 'play', 'game', 'online', 'noon', 'lag', ' Severe ',' slow ',' quota ',' intentionally ',' slow ',' bad ',' network ',' internet ',' fear ',' loss', 'Telkomsel', 'gave', 'quota' , 'Hopefully', 'Simpati', 'Leave', 'Customer', 'Bankrupt', 'You', 'Sympathy', 'Network', 'Internet', 'Worst', 'Published', 'Number', ' Indonesia ',' BANGJE ',' You ',' Sympathy ',' ']</v>
      </c>
      <c r="D1077" s="3">
        <v>1.0</v>
      </c>
    </row>
    <row r="1078" ht="15.75" customHeight="1">
      <c r="A1078" s="1">
        <v>1076.0</v>
      </c>
      <c r="B1078" s="3" t="s">
        <v>1079</v>
      </c>
      <c r="C1078" s="3" t="str">
        <f>IFERROR(__xludf.DUMMYFUNCTION("GOOGLETRANSLATE(B1078,""id"",""en"")"),"['Sis',' what ',' buy ',' pulse ',' package ',' internet ',' buy ',' extra ',' unlimited ',' right ',' buy ',' pulse ',' Register ',' package ',' ehh ',' already ',' Please ',' Help ',' Sis']")</f>
        <v>['Sis',' what ',' buy ',' pulse ',' package ',' internet ',' buy ',' extra ',' unlimited ',' right ',' buy ',' pulse ',' Register ',' package ',' ehh ',' already ',' Please ',' Help ',' Sis']</v>
      </c>
      <c r="D1078" s="3">
        <v>2.0</v>
      </c>
    </row>
    <row r="1079" ht="15.75" customHeight="1">
      <c r="A1079" s="1">
        <v>1077.0</v>
      </c>
      <c r="B1079" s="3" t="s">
        <v>1080</v>
      </c>
      <c r="C1079" s="3" t="str">
        <f>IFERROR(__xludf.DUMMYFUNCTION("GOOGLETRANSLATE(B1079,""id"",""en"")"),"['card', 'sympathy', 'card', 'package', 'combo', 'Sakti', 'internet', 'max', 'how', 'buy', 'package', 'combo', ' Sakti ',' Download ',' Application ',' Telkomsel ',' Dataru ',' Package ',' Combo ',' Sakti ']")</f>
        <v>['card', 'sympathy', 'card', 'package', 'combo', 'Sakti', 'internet', 'max', 'how', 'buy', 'package', 'combo', ' Sakti ',' Download ',' Application ',' Telkomsel ',' Dataru ',' Package ',' Combo ',' Sakti ']</v>
      </c>
      <c r="D1079" s="3">
        <v>1.0</v>
      </c>
    </row>
    <row r="1080" ht="15.75" customHeight="1">
      <c r="A1080" s="1">
        <v>1078.0</v>
      </c>
      <c r="B1080" s="3" t="s">
        <v>1081</v>
      </c>
      <c r="C1080" s="3" t="str">
        <f>IFERROR(__xludf.DUMMYFUNCTION("GOOGLETRANSLATE(B1080,""id"",""en"")"),"['Please', 'Restore', 'On', 'Card', 'Use', 'Card', 'Card', 'On', 'Used', ""]")</f>
        <v>['Please', 'Restore', 'On', 'Card', 'Use', 'Card', 'Card', 'On', 'Used', "]</v>
      </c>
      <c r="D1080" s="3">
        <v>1.0</v>
      </c>
    </row>
    <row r="1081" ht="15.75" customHeight="1">
      <c r="A1081" s="1">
        <v>1079.0</v>
      </c>
      <c r="B1081" s="3" t="s">
        <v>1082</v>
      </c>
      <c r="C1081" s="3" t="str">
        <f>IFERROR(__xludf.DUMMYFUNCTION("GOOGLETRANSLATE(B1081,""id"",""en"")"),"['Fix', 'signal', 'delicious',' play ',' game ',' hurry ',' rush ',' slow ',' kayak ',' snail ',' upgrade ',' pro ',' Disappointed ',' Telkomsel ',' Telkomsel ',' ambitious', 'quota', 'expensive', 'network', 'slow', 'kek', 'snail', 'disappointed', 'Telkom"&amp;"sel', 'already' , 'many years', 'cards', 'prices', 'expensive', 'quality', 'garbage', '']")</f>
        <v>['Fix', 'signal', 'delicious',' play ',' game ',' hurry ',' rush ',' slow ',' kayak ',' snail ',' upgrade ',' pro ',' Disappointed ',' Telkomsel ',' Telkomsel ',' ambitious', 'quota', 'expensive', 'network', 'slow', 'kek', 'snail', 'disappointed', 'Telkomsel', 'already' , 'many years', 'cards', 'prices', 'expensive', 'quality', 'garbage', '']</v>
      </c>
      <c r="D1081" s="3">
        <v>1.0</v>
      </c>
    </row>
    <row r="1082" ht="15.75" customHeight="1">
      <c r="A1082" s="1">
        <v>1080.0</v>
      </c>
      <c r="B1082" s="3" t="s">
        <v>1083</v>
      </c>
      <c r="C1082" s="3" t="str">
        <f>IFERROR(__xludf.DUMMYFUNCTION("GOOGLETRANSLATE(B1082,""id"",""en"")"),"['Disappointing', 'contents',' pulse ',' buy ',' package ',' cheerful ',' Telkomsel ',' buy ',' pulse ',' reduce ',' pulse ',' please ',' Update ',' axis', 'pulse', 'locked', 'reduce', 'please', ""]")</f>
        <v>['Disappointing', 'contents',' pulse ',' buy ',' package ',' cheerful ',' Telkomsel ',' buy ',' pulse ',' reduce ',' pulse ',' please ',' Update ',' axis', 'pulse', 'locked', 'reduce', 'please', "]</v>
      </c>
      <c r="D1082" s="3">
        <v>1.0</v>
      </c>
    </row>
    <row r="1083" ht="15.75" customHeight="1">
      <c r="A1083" s="1">
        <v>1081.0</v>
      </c>
      <c r="B1083" s="3" t="s">
        <v>1084</v>
      </c>
      <c r="C1083" s="3" t="str">
        <f>IFERROR(__xludf.DUMMYFUNCTION("GOOGLETRANSLATE(B1083,""id"",""en"")"),"['Telkomsel', 'YTH', 'tolooong', 'network', 'fix', 'area', 'network', 'internet', 'like', 'forest', 'area', 'attack', ' Banten ',' Pas', 'Housing', 'Senopati', 'Pergilan', 'Sya', 'Telkomsel', 'Smenjak', 'Sya', 'Move', 'home', 'Network' , 'Internet', 'diff"&amp;"icult', 'open', 'application', 'like', 'youtube', 'go', 'ngekame', 'online', 'tmbah', 'severe', 'please', ' Fix ',' Telkomsel ',' Smentara ',' Sya ',' PKE ',' Current ',' Jaya ',' Move ',' Prmanen ', ""]")</f>
        <v>['Telkomsel', 'YTH', 'tolooong', 'network', 'fix', 'area', 'network', 'internet', 'like', 'forest', 'area', 'attack', ' Banten ',' Pas', 'Housing', 'Senopati', 'Pergilan', 'Sya', 'Telkomsel', 'Smenjak', 'Sya', 'Move', 'home', 'Network' , 'Internet', 'difficult', 'open', 'application', 'like', 'youtube', 'go', 'ngekame', 'online', 'tmbah', 'severe', 'please', ' Fix ',' Telkomsel ',' Smentara ',' Sya ',' PKE ',' Current ',' Jaya ',' Move ',' Prmanen ', "]</v>
      </c>
      <c r="D1083" s="3">
        <v>1.0</v>
      </c>
    </row>
    <row r="1084" ht="15.75" customHeight="1">
      <c r="A1084" s="1">
        <v>1082.0</v>
      </c>
      <c r="B1084" s="3" t="s">
        <v>1085</v>
      </c>
      <c r="C1084" s="3" t="str">
        <f>IFERROR(__xludf.DUMMYFUNCTION("GOOGLETRANSLATE(B1084,""id"",""en"")"),"['fair', 'Sometimes', 'buy', 'package', 'promo', 'missing', 'buy', 'package', 'appears', 'promo', ""]")</f>
        <v>['fair', 'Sometimes', 'buy', 'package', 'promo', 'missing', 'buy', 'package', 'appears', 'promo', "]</v>
      </c>
      <c r="D1084" s="3">
        <v>1.0</v>
      </c>
    </row>
    <row r="1085" ht="15.75" customHeight="1">
      <c r="A1085" s="1">
        <v>1083.0</v>
      </c>
      <c r="B1085" s="3" t="s">
        <v>1086</v>
      </c>
      <c r="C1085" s="3" t="str">
        <f>IFERROR(__xludf.DUMMYFUNCTION("GOOGLETRANSLATE(B1085,""id"",""en"")"),"['Ngasi', 'Price', 'Ngilak', 'Bang', 'Sis',' Price ',' Hundreds', 'thousand', 'People', 'Mature', 'Thinking', 'Buy', ' the package ',' child ',' work ',' happy ',' package ',' internet ',' GB ',' run out ',' left ',' package ',' expensive ',' beg ',' pack"&amp;"age ' , 'Package', 'promk', 'price', 'package', 'reduced', '']")</f>
        <v>['Ngasi', 'Price', 'Ngilak', 'Bang', 'Sis',' Price ',' Hundreds', 'thousand', 'People', 'Mature', 'Thinking', 'Buy', ' the package ',' child ',' work ',' happy ',' package ',' internet ',' GB ',' run out ',' left ',' package ',' expensive ',' beg ',' package ' , 'Package', 'promk', 'price', 'package', 'reduced', '']</v>
      </c>
      <c r="D1085" s="3">
        <v>2.0</v>
      </c>
    </row>
    <row r="1086" ht="15.75" customHeight="1">
      <c r="A1086" s="1">
        <v>1084.0</v>
      </c>
      <c r="B1086" s="3" t="s">
        <v>1087</v>
      </c>
      <c r="C1086" s="3" t="str">
        <f>IFERROR(__xludf.DUMMYFUNCTION("GOOGLETRANSLATE(B1086,""id"",""en"")"),"['application', 'what', 'update', 'NOT', 'Joss',' Soyo ',' Loyo ',' Lost ',' Irex ',' Vitamale ',' satisfying ',' Customers', ' slow ',' wess ',' jand ',' poor ',' era ',' forward ',' tangled ',' perupate ',' plusin ',' where 'is', 'repaired', 'kek' , 'Gi"&amp;"ni', '']")</f>
        <v>['application', 'what', 'update', 'NOT', 'Joss',' Soyo ',' Loyo ',' Lost ',' Irex ',' Vitamale ',' satisfying ',' Customers', ' slow ',' wess ',' jand ',' poor ',' era ',' forward ',' tangled ',' perupate ',' plusin ',' where 'is', 'repaired', 'kek' , 'Gini', '']</v>
      </c>
      <c r="D1086" s="3">
        <v>1.0</v>
      </c>
    </row>
    <row r="1087" ht="15.75" customHeight="1">
      <c r="A1087" s="1">
        <v>1085.0</v>
      </c>
      <c r="B1087" s="3" t="s">
        <v>1088</v>
      </c>
      <c r="C1087" s="3" t="str">
        <f>IFERROR(__xludf.DUMMYFUNCTION("GOOGLETRANSLATE(B1087,""id"",""en"")"),"['application', 'fraud', 'package', 'enteprise', 'contents', 'package', 'printed', 'internet', 'unlimited', 'bought', 'package', 'call' Operator ',' Sampe ',' Description ',' Written ',' Notification ',' SMS ',' Enter ',' Written ',' Basic ',' Application"&amp;" ',' Fraud ']")</f>
        <v>['application', 'fraud', 'package', 'enteprise', 'contents', 'package', 'printed', 'internet', 'unlimited', 'bought', 'package', 'call' Operator ',' Sampe ',' Description ',' Written ',' Notification ',' SMS ',' Enter ',' Written ',' Basic ',' Application ',' Fraud ']</v>
      </c>
      <c r="D1087" s="3">
        <v>1.0</v>
      </c>
    </row>
    <row r="1088" ht="15.75" customHeight="1">
      <c r="A1088" s="1">
        <v>1086.0</v>
      </c>
      <c r="B1088" s="3" t="s">
        <v>1089</v>
      </c>
      <c r="C1088" s="3" t="str">
        <f>IFERROR(__xludf.DUMMYFUNCTION("GOOGLETRANSLATE(B1088,""id"",""en"")"),"['Hello', 'Telkomsel', 'Service', 'Application', 'Good', 'Reach', 'Extensive', 'Darling', 'Products',' Expensive ',' Customers', 'Most', ' Movers', 'economy', 'minimal', 'card', 'people', 'rich', 'held']")</f>
        <v>['Hello', 'Telkomsel', 'Service', 'Application', 'Good', 'Reach', 'Extensive', 'Darling', 'Products',' Expensive ',' Customers', 'Most', ' Movers', 'economy', 'minimal', 'card', 'people', 'rich', 'held']</v>
      </c>
      <c r="D1088" s="3">
        <v>4.0</v>
      </c>
    </row>
    <row r="1089" ht="15.75" customHeight="1">
      <c r="A1089" s="1">
        <v>1087.0</v>
      </c>
      <c r="B1089" s="3" t="s">
        <v>1090</v>
      </c>
      <c r="C1089" s="3" t="str">
        <f>IFERROR(__xludf.DUMMYFUNCTION("GOOGLETRANSLATE(B1089,""id"",""en"")"),"['Severe', 'really', 'Telkomsel', 'buy', 'package', 'daily', 'written', 'RB', 'right', 'clicked', 'price', 'rb', ' Bener ',' menu ',' daily ',' parahhhh ',' ']")</f>
        <v>['Severe', 'really', 'Telkomsel', 'buy', 'package', 'daily', 'written', 'RB', 'right', 'clicked', 'price', 'rb', ' Bener ',' menu ',' daily ',' parahhhh ',' ']</v>
      </c>
      <c r="D1089" s="3">
        <v>1.0</v>
      </c>
    </row>
    <row r="1090" ht="15.75" customHeight="1">
      <c r="A1090" s="1">
        <v>1088.0</v>
      </c>
      <c r="B1090" s="3" t="s">
        <v>1091</v>
      </c>
      <c r="C1090" s="3" t="str">
        <f>IFERROR(__xludf.DUMMYFUNCTION("GOOGLETRANSLATE(B1090,""id"",""en"")"),"['ntaps',' daily ',' check ',' balance ',' pulse ',' rich ',' yesterday ',' yesterday ',' manyin ',' promo ',' package ',' cheap ',' Cheap ',' good ',' ehe ']")</f>
        <v>['ntaps',' daily ',' check ',' balance ',' pulse ',' rich ',' yesterday ',' yesterday ',' manyin ',' promo ',' package ',' cheap ',' Cheap ',' good ',' ehe ']</v>
      </c>
      <c r="D1090" s="3">
        <v>4.0</v>
      </c>
    </row>
    <row r="1091" ht="15.75" customHeight="1">
      <c r="A1091" s="1">
        <v>1089.0</v>
      </c>
      <c r="B1091" s="3" t="s">
        <v>1092</v>
      </c>
      <c r="C1091" s="3" t="str">
        <f>IFERROR(__xludf.DUMMYFUNCTION("GOOGLETRANSLATE(B1091,""id"",""en"")"),"['package', 'gabisa', 'open', 'zoom', 'already', 'until', 'buy', 'quota', 'learn', 'gabisa', 'open', 'zoom', ' Severe ',' times', 'network', 'Telkomsel', 'oath', '']")</f>
        <v>['package', 'gabisa', 'open', 'zoom', 'already', 'until', 'buy', 'quota', 'learn', 'gabisa', 'open', 'zoom', ' Severe ',' times', 'network', 'Telkomsel', 'oath', '']</v>
      </c>
      <c r="D1091" s="3">
        <v>1.0</v>
      </c>
    </row>
    <row r="1092" ht="15.75" customHeight="1">
      <c r="A1092" s="1">
        <v>1090.0</v>
      </c>
      <c r="B1092" s="3" t="s">
        <v>1093</v>
      </c>
      <c r="C1092" s="3" t="str">
        <f>IFERROR(__xludf.DUMMYFUNCTION("GOOGLETRANSLATE(B1092,""id"",""en"")"),"['ugly', 'user', 'loyal', 'Telkomsel', 'tens',' TPI ',' promo ',' package ',' data ',' package ',' data ',' expensive ',' Rewel ']")</f>
        <v>['ugly', 'user', 'loyal', 'Telkomsel', 'tens',' TPI ',' promo ',' package ',' data ',' package ',' data ',' expensive ',' Rewel ']</v>
      </c>
      <c r="D1092" s="3">
        <v>1.0</v>
      </c>
    </row>
    <row r="1093" ht="15.75" customHeight="1">
      <c r="A1093" s="1">
        <v>1091.0</v>
      </c>
      <c r="B1093" s="3" t="s">
        <v>1094</v>
      </c>
      <c r="C1093" s="3" t="str">
        <f>IFERROR(__xludf.DUMMYFUNCTION("GOOGLETRANSLATE(B1093,""id"",""en"")"),"['Please', 'fix', 'signal', 'use', 'Telkomsel', 'commented', 'sorry', 'love', 'star', 'stable', 'love', 'rating', ' good', '']")</f>
        <v>['Please', 'fix', 'signal', 'use', 'Telkomsel', 'commented', 'sorry', 'love', 'star', 'stable', 'love', 'rating', ' good', '']</v>
      </c>
      <c r="D1093" s="3">
        <v>1.0</v>
      </c>
    </row>
    <row r="1094" ht="15.75" customHeight="1">
      <c r="A1094" s="1">
        <v>1092.0</v>
      </c>
      <c r="B1094" s="3" t="s">
        <v>1095</v>
      </c>
      <c r="C1094" s="3" t="str">
        <f>IFERROR(__xludf.DUMMYFUNCTION("GOOGLETRANSLATE(B1094,""id"",""en"")"),"['', 'Telkomsel', 'Human', 'Operator', 'Difficult', 'Contacted', 'Pay', 'Network', 'Telkomsel', 'Stable', 'Afternoon', 'Night', 'Saturday ',' week ',' Speed ​​',' Kbps', 'Region', 'Tajur', 'Halang', 'Kab', 'Bogor', 'Telkomsel', 'Eliminating', 'Murmer', 'M"&amp;"urmer', 'GB', 'Minutes',' Nelp ',' SMS ',' Facebook ',' Twitter ',' Telkomsel ',' Provide ',' Access', 'Tel', 'Free', 'Direct', 'Human ',' operator ',' enter ',' machine ',' answering ',' ']")</f>
        <v>['', 'Telkomsel', 'Human', 'Operator', 'Difficult', 'Contacted', 'Pay', 'Network', 'Telkomsel', 'Stable', 'Afternoon', 'Night', 'Saturday ',' week ',' Speed ​​',' Kbps', 'Region', 'Tajur', 'Halang', 'Kab', 'Bogor', 'Telkomsel', 'Eliminating', 'Murmer', 'Murmer', 'GB', 'Minutes',' Nelp ',' SMS ',' Facebook ',' Twitter ',' Telkomsel ',' Provide ',' Access', 'Tel', 'Free', 'Direct', 'Human ',' operator ',' enter ',' machine ',' answering ',' ']</v>
      </c>
      <c r="D1094" s="3">
        <v>1.0</v>
      </c>
    </row>
    <row r="1095" ht="15.75" customHeight="1">
      <c r="A1095" s="1">
        <v>1093.0</v>
      </c>
      <c r="B1095" s="3" t="s">
        <v>1096</v>
      </c>
      <c r="C1095" s="3" t="str">
        <f>IFERROR(__xludf.DUMMYFUNCTION("GOOGLETRANSLATE(B1095,""id"",""en"")"),"['Hello', 'Gaes',' Abis', 'Donwload', 'Install', 'Update', 'Forgot', 'Closed', 'Application', 'Mytsell', 'Nidak', 'Update', ' Application ',' opened ',' update ',' That's', 'Gajelas',' ']")</f>
        <v>['Hello', 'Gaes',' Abis', 'Donwload', 'Install', 'Update', 'Forgot', 'Closed', 'Application', 'Mytsell', 'Nidak', 'Update', ' Application ',' opened ',' update ',' That's', 'Gajelas',' ']</v>
      </c>
      <c r="D1095" s="3">
        <v>3.0</v>
      </c>
    </row>
    <row r="1096" ht="15.75" customHeight="1">
      <c r="A1096" s="1">
        <v>1094.0</v>
      </c>
      <c r="B1096" s="3" t="s">
        <v>1097</v>
      </c>
      <c r="C1096" s="3" t="str">
        <f>IFERROR(__xludf.DUMMYFUNCTION("GOOGLETRANSLATE(B1096,""id"",""en"")"),"['Followup', 'Rating', 'Star', 'Natural', 'User', 'It's',' Natural ',' Quota ',' Expensive ',' Network ',' Leet ',' Package ',' internet ',' woy ',' Woy ',' serious', 'pandemic', 'covid', 'kek', 'gini', 'weve', 'easy', 'looked', 'money', 'kagak' , 'Thinki"&amp;"ng', 'Woy', 'Mind', 'Pakek', 'pity', 'his family', 'Fuu', ""]")</f>
        <v>['Followup', 'Rating', 'Star', 'Natural', 'User', 'It's',' Natural ',' Quota ',' Expensive ',' Network ',' Leet ',' Package ',' internet ',' woy ',' Woy ',' serious', 'pandemic', 'covid', 'kek', 'gini', 'weve', 'easy', 'looked', 'money', 'kagak' , 'Thinking', 'Woy', 'Mind', 'Pakek', 'pity', 'his family', 'Fuu', "]</v>
      </c>
      <c r="D1096" s="3">
        <v>1.0</v>
      </c>
    </row>
    <row r="1097" ht="15.75" customHeight="1">
      <c r="A1097" s="1">
        <v>1095.0</v>
      </c>
      <c r="B1097" s="3" t="s">
        <v>1098</v>
      </c>
      <c r="C1097" s="3" t="str">
        <f>IFERROR(__xludf.DUMMYFUNCTION("GOOGLETRANSLATE(B1097,""id"",""en"")"),"['Developer', 'KPDA', 'Telkomsel', 'Dear', 'Please', 'Package', 'Easy', 'Out', 'Cepet', 'Really', 'Out', 'waste', ' Make ',' package ',' money ',' buy ',' package ',' ']")</f>
        <v>['Developer', 'KPDA', 'Telkomsel', 'Dear', 'Please', 'Package', 'Easy', 'Out', 'Cepet', 'Really', 'Out', 'waste', ' Make ',' package ',' money ',' buy ',' package ',' ']</v>
      </c>
      <c r="D1097" s="3">
        <v>2.0</v>
      </c>
    </row>
    <row r="1098" ht="15.75" customHeight="1">
      <c r="A1098" s="1">
        <v>1096.0</v>
      </c>
      <c r="B1098" s="3" t="s">
        <v>1099</v>
      </c>
      <c r="C1098" s="3" t="str">
        <f>IFERROR(__xludf.DUMMYFUNCTION("GOOGLETRANSLATE(B1098,""id"",""en"")"),"['Telkomsel', 'like', 'take', 'pulse', 'package', 'data', 'run out', 'package', 'run out', 'suck', 'pulse', 'detrimental', ' people of Indonesia', '']")</f>
        <v>['Telkomsel', 'like', 'take', 'pulse', 'package', 'data', 'run out', 'package', 'run out', 'suck', 'pulse', 'detrimental', ' people of Indonesia', '']</v>
      </c>
      <c r="D1098" s="3">
        <v>1.0</v>
      </c>
    </row>
    <row r="1099" ht="15.75" customHeight="1">
      <c r="A1099" s="1">
        <v>1097.0</v>
      </c>
      <c r="B1099" s="3" t="s">
        <v>1100</v>
      </c>
      <c r="C1099" s="3" t="str">
        <f>IFERROR(__xludf.DUMMYFUNCTION("GOOGLETRANSLATE(B1099,""id"",""en"")"),"['Application', 'heavy', 'Tsel', 'send', 'WhatsApp', 'Instagram', 'Facebook', 'Minutes', 'BSA', 'send', ""]")</f>
        <v>['Application', 'heavy', 'Tsel', 'send', 'WhatsApp', 'Instagram', 'Facebook', 'Minutes', 'BSA', 'send', "]</v>
      </c>
      <c r="D1099" s="3">
        <v>1.0</v>
      </c>
    </row>
    <row r="1100" ht="15.75" customHeight="1">
      <c r="A1100" s="1">
        <v>1098.0</v>
      </c>
      <c r="B1100" s="3" t="s">
        <v>1101</v>
      </c>
      <c r="C1100" s="3" t="str">
        <f>IFERROR(__xludf.DUMMYFUNCTION("GOOGLETRANSLATE(B1100,""id"",""en"")"),"['Application', 'label', 'package', 'cheerful', 'code', 'umb', 'promo', 'cheerful', 'label', 'quota', 'package', 'weekend', ' Event ',' Get ',' Fractions', 'Internet', 'Internet', 'GB', 'Honest', 'Disappointed', 'Package', 'Quota', 'Interested', 'Urung', "&amp;"'Buy it' , 'fraud', 'label', 'quota', 'cheerful', 'honest', 'darling', 'three', '']")</f>
        <v>['Application', 'label', 'package', 'cheerful', 'code', 'umb', 'promo', 'cheerful', 'label', 'quota', 'package', 'weekend', ' Event ',' Get ',' Fractions', 'Internet', 'Internet', 'GB', 'Honest', 'Disappointed', 'Package', 'Quota', 'Interested', 'Urung', 'Buy it' , 'fraud', 'label', 'quota', 'cheerful', 'honest', 'darling', 'three', '']</v>
      </c>
      <c r="D1100" s="3">
        <v>1.0</v>
      </c>
    </row>
    <row r="1101" ht="15.75" customHeight="1">
      <c r="A1101" s="1">
        <v>1099.0</v>
      </c>
      <c r="B1101" s="3" t="s">
        <v>1102</v>
      </c>
      <c r="C1101" s="3" t="str">
        <f>IFERROR(__xludf.DUMMYFUNCTION("GOOGLETRANSLATE(B1101,""id"",""en"")"),"['payaaah', 'Telkomsel', 'winning', 'migration', 'hello', 'prepaid', 'no', 'hrs', 'replace', 'card', 'number']")</f>
        <v>['payaaah', 'Telkomsel', 'winning', 'migration', 'hello', 'prepaid', 'no', 'hrs', 'replace', 'card', 'number']</v>
      </c>
      <c r="D1101" s="3">
        <v>1.0</v>
      </c>
    </row>
    <row r="1102" ht="15.75" customHeight="1">
      <c r="A1102" s="1">
        <v>1100.0</v>
      </c>
      <c r="B1102" s="3" t="s">
        <v>1103</v>
      </c>
      <c r="C1102" s="3" t="str">
        <f>IFERROR(__xludf.DUMMYFUNCTION("GOOGLETRANSLATE(B1102,""id"",""en"")"),"['update', 'application', 'slow', 'login', 'stuck', 'logo', 'application', 'wait', 'signal', 'full', 'wifi', 'application']")</f>
        <v>['update', 'application', 'slow', 'login', 'stuck', 'logo', 'application', 'wait', 'signal', 'full', 'wifi', 'application']</v>
      </c>
      <c r="D1102" s="3">
        <v>1.0</v>
      </c>
    </row>
    <row r="1103" ht="15.75" customHeight="1">
      <c r="A1103" s="1">
        <v>1101.0</v>
      </c>
      <c r="B1103" s="3" t="s">
        <v>1104</v>
      </c>
      <c r="C1103" s="3" t="str">
        <f>IFERROR(__xludf.DUMMYFUNCTION("GOOGLETRANSLATE(B1103,""id"",""en"")"),"['Experience', 'the most beautiful', 'Telkomsel', 'help', 'makes it easy', 'in' communication ',' features ',' complete ',' signal ',' strong ',' thank ',' Love ',' Telkomsel ',' Success', ""]")</f>
        <v>['Experience', 'the most beautiful', 'Telkomsel', 'help', 'makes it easy', 'in' communication ',' features ',' complete ',' signal ',' strong ',' thank ',' Love ',' Telkomsel ',' Success', "]</v>
      </c>
      <c r="D1103" s="3">
        <v>5.0</v>
      </c>
    </row>
    <row r="1104" ht="15.75" customHeight="1">
      <c r="A1104" s="1">
        <v>1102.0</v>
      </c>
      <c r="B1104" s="3" t="s">
        <v>1105</v>
      </c>
      <c r="C1104" s="3" t="str">
        <f>IFERROR(__xludf.DUMMYFUNCTION("GOOGLETRANSLATE(B1104,""id"",""en"")"),"['Severe', 'Network', 'Telkomsel', 'Original', 'Play', 'Gamen', 'Ngelag', 'Severe', 'Gajelas',' ping it ',' Gatetap ',' Dead ',' Lights', 'crazy', 'ilang', 'network', 'in the city', 'please', 'lined', 'tissue', 'delicious',' subscribe ',' Telkomsel ', ""]")</f>
        <v>['Severe', 'Network', 'Telkomsel', 'Original', 'Play', 'Gamen', 'Ngelag', 'Severe', 'Gajelas',' ping it ',' Gatetap ',' Dead ',' Lights', 'crazy', 'ilang', 'network', 'in the city', 'please', 'lined', 'tissue', 'delicious',' subscribe ',' Telkomsel ', "]</v>
      </c>
      <c r="D1104" s="3">
        <v>1.0</v>
      </c>
    </row>
    <row r="1105" ht="15.75" customHeight="1">
      <c r="A1105" s="1">
        <v>1103.0</v>
      </c>
      <c r="B1105" s="3" t="s">
        <v>1106</v>
      </c>
      <c r="C1105" s="3" t="str">
        <f>IFERROR(__xludf.DUMMYFUNCTION("GOOGLETRANSLATE(B1105,""id"",""en"")"),"['here', 'Telkomsel', 'Sinyal', 'slow', 'then', 'buy', 'package', 'run out', 'active', 'already', 'expensive', 'active', ' Reduced ',' What ',' Please ',' Fix ',' Expensive ',' Quota ',' Worthit ',' A Look ',' Active ',' Pas', 'A Month', 'Network', 'Smoot"&amp;"h' , 'already', 'expensive', 'here', 'gajelas', ""]")</f>
        <v>['here', 'Telkomsel', 'Sinyal', 'slow', 'then', 'buy', 'package', 'run out', 'active', 'already', 'expensive', 'active', ' Reduced ',' What ',' Please ',' Fix ',' Expensive ',' Quota ',' Worthit ',' A Look ',' Active ',' Pas', 'A Month', 'Network', 'Smooth' , 'already', 'expensive', 'here', 'gajelas', "]</v>
      </c>
      <c r="D1105" s="3">
        <v>1.0</v>
      </c>
    </row>
    <row r="1106" ht="15.75" customHeight="1">
      <c r="A1106" s="1">
        <v>1104.0</v>
      </c>
      <c r="B1106" s="3" t="s">
        <v>1107</v>
      </c>
      <c r="C1106" s="3" t="str">
        <f>IFERROR(__xludf.DUMMYFUNCTION("GOOGLETRANSLATE(B1106,""id"",""en"")"),"['Claim', 'Voucher', 'Daily', 'Check', 'Success',' FAILURE ',' SUCCESS ',' PAS ',' PEAKE ',' Sucking ',' Quota ',' Main ',' sucks', 'like', 'intention', 'gave', 'gift', '']")</f>
        <v>['Claim', 'Voucher', 'Daily', 'Check', 'Success',' FAILURE ',' SUCCESS ',' PAS ',' PEAKE ',' Sucking ',' Quota ',' Main ',' sucks', 'like', 'intention', 'gave', 'gift', '']</v>
      </c>
      <c r="D1106" s="3">
        <v>2.0</v>
      </c>
    </row>
    <row r="1107" ht="15.75" customHeight="1">
      <c r="A1107" s="1">
        <v>1105.0</v>
      </c>
      <c r="B1107" s="3" t="s">
        <v>1108</v>
      </c>
      <c r="C1107" s="3" t="str">
        <f>IFERROR(__xludf.DUMMYFUNCTION("GOOGLETRANSLATE(B1107,""id"",""en"")"),"['signal', 'missing', 'pulse', 'disappear', 'Telkomsel', 'no', 'brave', 'application', 'lock', 'pulse', 'plz', 'see', ' App ',' axis', 'key', 'pulse', 'according to', 'no', 'steal', 'sin']")</f>
        <v>['signal', 'missing', 'pulse', 'disappear', 'Telkomsel', 'no', 'brave', 'application', 'lock', 'pulse', 'plz', 'see', ' App ',' axis', 'key', 'pulse', 'according to', 'no', 'steal', 'sin']</v>
      </c>
      <c r="D1107" s="3">
        <v>1.0</v>
      </c>
    </row>
    <row r="1108" ht="15.75" customHeight="1">
      <c r="A1108" s="1">
        <v>1106.0</v>
      </c>
      <c r="B1108" s="3" t="s">
        <v>1109</v>
      </c>
      <c r="C1108" s="3" t="str">
        <f>IFERROR(__xludf.DUMMYFUNCTION("GOOGLETRANSLATE(B1108,""id"",""en"")"),"['Package', 'You', 'Urus',' Network ',' You ',' Fix ',' Buy ',' Package ',' Expensive ',' Expensive ',' Network ',' Different ',' Providers', 'low', 'Full', 'connection', 'hard', 'really', 'You', 'Telkomsel', 'Raying', 'I', 'Select', 'Provider', 'Telkomse"&amp;"l' , '']")</f>
        <v>['Package', 'You', 'Urus',' Network ',' You ',' Fix ',' Buy ',' Package ',' Expensive ',' Expensive ',' Network ',' Different ',' Providers', 'low', 'Full', 'connection', 'hard', 'really', 'You', 'Telkomsel', 'Raying', 'I', 'Select', 'Provider', 'Telkomsel' , '']</v>
      </c>
      <c r="D1108" s="3">
        <v>1.0</v>
      </c>
    </row>
    <row r="1109" ht="15.75" customHeight="1">
      <c r="A1109" s="1">
        <v>1107.0</v>
      </c>
      <c r="B1109" s="3" t="s">
        <v>1110</v>
      </c>
      <c r="C1109" s="3" t="str">
        <f>IFERROR(__xludf.DUMMYFUNCTION("GOOGLETRANSLATE(B1109,""id"",""en"")"),"['Uda', 'Exchange', 'Points',' Ntuk ',' Package ',' GB ',' Credit ',' Application ',' Search ',' Money ',' Use ',' Points', ' Mending ',' Direct ',' buy ',' Credit ',' USA ',' TKAR ',' Points', 'buy', 'pulse', 'Points',' Reduced ',' Points', 'Out' , 'Pack"&amp;"age', 'pulse']")</f>
        <v>['Uda', 'Exchange', 'Points',' Ntuk ',' Package ',' GB ',' Credit ',' Application ',' Search ',' Money ',' Use ',' Points', ' Mending ',' Direct ',' buy ',' Credit ',' USA ',' TKAR ',' Points', 'buy', 'pulse', 'Points',' Reduced ',' Points', 'Out' , 'Package', 'pulse']</v>
      </c>
      <c r="D1109" s="3">
        <v>1.0</v>
      </c>
    </row>
    <row r="1110" ht="15.75" customHeight="1">
      <c r="A1110" s="1">
        <v>1108.0</v>
      </c>
      <c r="B1110" s="3" t="s">
        <v>1111</v>
      </c>
      <c r="C1110" s="3" t="str">
        <f>IFERROR(__xludf.DUMMYFUNCTION("GOOGLETRANSLATE(B1110,""id"",""en"")"),"['Paketan', 'expensive', 'network', 'service', 'bad', 'proud of', 'rame', 'rame', 'love', 'star', 'becus', ""]")</f>
        <v>['Paketan', 'expensive', 'network', 'service', 'bad', 'proud of', 'rame', 'rame', 'love', 'star', 'becus', "]</v>
      </c>
      <c r="D1110" s="3">
        <v>1.0</v>
      </c>
    </row>
    <row r="1111" ht="15.75" customHeight="1">
      <c r="A1111" s="1">
        <v>1109.0</v>
      </c>
      <c r="B1111" s="3" t="s">
        <v>1112</v>
      </c>
      <c r="C1111" s="3" t="str">
        <f>IFERROR(__xludf.DUMMYFUNCTION("GOOGLETRANSLATE(B1111,""id"",""en"")"),"['Disappointed', 'because', 'find it', 'menu', 'stop', 'use', 'package', 'gamesmaxx', 'difficulty', 'stop', 'use', 'package', ' gamesmaxx ',' sorry ',' appreciate ',' maker ',' application ']")</f>
        <v>['Disappointed', 'because', 'find it', 'menu', 'stop', 'use', 'package', 'gamesmaxx', 'difficulty', 'stop', 'use', 'package', ' gamesmaxx ',' sorry ',' appreciate ',' maker ',' application ']</v>
      </c>
      <c r="D1111" s="3">
        <v>5.0</v>
      </c>
    </row>
    <row r="1112" ht="15.75" customHeight="1">
      <c r="A1112" s="1">
        <v>1110.0</v>
      </c>
      <c r="B1112" s="3" t="s">
        <v>1113</v>
      </c>
      <c r="C1112" s="3" t="str">
        <f>IFERROR(__xludf.DUMMYFUNCTION("GOOGLETRANSLATE(B1112,""id"",""en"")"),"['Package', 'Combo', 'Sakti', 'replaced', 'Imternet', 'Sakti', 'quota', 'watch', 'Disney', 'hotstar', 'etc.', 'silly', ' ']")</f>
        <v>['Package', 'Combo', 'Sakti', 'replaced', 'Imternet', 'Sakti', 'quota', 'watch', 'Disney', 'hotstar', 'etc.', 'silly', ' ']</v>
      </c>
      <c r="D1112" s="3">
        <v>1.0</v>
      </c>
    </row>
    <row r="1113" ht="15.75" customHeight="1">
      <c r="A1113" s="1">
        <v>1111.0</v>
      </c>
      <c r="B1113" s="3" t="s">
        <v>1114</v>
      </c>
      <c r="C1113" s="3" t="str">
        <f>IFERROR(__xludf.DUMMYFUNCTION("GOOGLETRANSLATE(B1113,""id"",""en"")"),"['signal', 'severe', 'really', 'Mulu', 'uda', 'try', 'email', 'kirain', 'mah', 'help', 'original', 'salespeople', ' Really ',' signal ',' change ',' Mulu ',' stable ',' dilapidated ',' ']")</f>
        <v>['signal', 'severe', 'really', 'Mulu', 'uda', 'try', 'email', 'kirain', 'mah', 'help', 'original', 'salespeople', ' Really ',' signal ',' change ',' Mulu ',' stable ',' dilapidated ',' ']</v>
      </c>
      <c r="D1113" s="3">
        <v>1.0</v>
      </c>
    </row>
    <row r="1114" ht="15.75" customHeight="1">
      <c r="A1114" s="1">
        <v>1112.0</v>
      </c>
      <c r="B1114" s="3" t="s">
        <v>1115</v>
      </c>
      <c r="C1114" s="3" t="str">
        <f>IFERROR(__xludf.DUMMYFUNCTION("GOOGLETRANSLATE(B1114,""id"",""en"")"),"['submit', 'request', 'return', 'credit', 'missing', 'telegram', 'waiting', 'a week', 'reply', 'disappointed', 'please', 'Telkomsel', ' Check ',' thank you ']")</f>
        <v>['submit', 'request', 'return', 'credit', 'missing', 'telegram', 'waiting', 'a week', 'reply', 'disappointed', 'please', 'Telkomsel', ' Check ',' thank you ']</v>
      </c>
      <c r="D1114" s="3">
        <v>2.0</v>
      </c>
    </row>
    <row r="1115" ht="15.75" customHeight="1">
      <c r="A1115" s="1">
        <v>1113.0</v>
      </c>
      <c r="B1115" s="3" t="s">
        <v>1116</v>
      </c>
      <c r="C1115" s="3" t="str">
        <f>IFERROR(__xludf.DUMMYFUNCTION("GOOGLETRANSLATE(B1115,""id"",""en"")"),"['Please', 'Telkomsel', 'Features',' Lock ',' Credit ',' Telkomsel ',' Quotes', 'Out', 'Cutting', 'Credit', 'Credit', 'Cut "" quota ',' run out ',' notification ',' loss']")</f>
        <v>['Please', 'Telkomsel', 'Features',' Lock ',' Credit ',' Telkomsel ',' Quotes', 'Out', 'Cutting', 'Credit', 'Credit', 'Cut " quota ',' run out ',' notification ',' loss']</v>
      </c>
      <c r="D1115" s="3">
        <v>1.0</v>
      </c>
    </row>
    <row r="1116" ht="15.75" customHeight="1">
      <c r="A1116" s="1">
        <v>1114.0</v>
      </c>
      <c r="B1116" s="3" t="s">
        <v>1117</v>
      </c>
      <c r="C1116" s="3" t="str">
        <f>IFERROR(__xludf.DUMMYFUNCTION("GOOGLETRANSLATE(B1116,""id"",""en"")"),"['Application', 'Untuj', 'buy', 'package', 'device', 'buy', 'package', 'app', 'langsun', 'sya', 'error', 'waiting', ' finished ',' sya ',' hrs', 'waiting', 'smpai', 'kdang', 'mnt', 'bought', 'package', 'wants',' knp ',' always', 'bgtu' , 'smntra', 'ktika'"&amp;", 'sya', 'open', 'app', 'mslah', 'come on', 'company', 'app', 'bgin', 'sya', 'try', ' Untk ',' uninstall ',' mslah ',' ttp ', ""]")</f>
        <v>['Application', 'Untuj', 'buy', 'package', 'device', 'buy', 'package', 'app', 'langsun', 'sya', 'error', 'waiting', ' finished ',' sya ',' hrs', 'waiting', 'smpai', 'kdang', 'mnt', 'bought', 'package', 'wants',' knp ',' always', 'bgtu' , 'smntra', 'ktika', 'sya', 'open', 'app', 'mslah', 'come on', 'company', 'app', 'bgin', 'sya', 'try', ' Untk ',' uninstall ',' mslah ',' ttp ', "]</v>
      </c>
      <c r="D1116" s="3">
        <v>1.0</v>
      </c>
    </row>
    <row r="1117" ht="15.75" customHeight="1">
      <c r="A1117" s="1">
        <v>1115.0</v>
      </c>
      <c r="B1117" s="3" t="s">
        <v>1118</v>
      </c>
      <c r="C1117" s="3" t="str">
        <f>IFERROR(__xludf.DUMMYFUNCTION("GOOGLETRANSLATE(B1117,""id"",""en"")"),"['please', 'package', 'a day', 'run out', 'buy', 'clock', 'yakali', 'abis',' hour ',' it jank ',' kagak ',' a day ',' hours', 'minutes',' ajg ',' waste ',' pulse ',' doang ',' buy ',' pulse ',' kagak ',' money ', ""]")</f>
        <v>['please', 'package', 'a day', 'run out', 'buy', 'clock', 'yakali', 'abis',' hour ',' it jank ',' kagak ',' a day ',' hours', 'minutes',' ajg ',' waste ',' pulse ',' doang ',' buy ',' pulse ',' kagak ',' money ', "]</v>
      </c>
      <c r="D1117" s="3">
        <v>1.0</v>
      </c>
    </row>
    <row r="1118" ht="15.75" customHeight="1">
      <c r="A1118" s="1">
        <v>1116.0</v>
      </c>
      <c r="B1118" s="3" t="s">
        <v>1119</v>
      </c>
      <c r="C1118" s="3" t="str">
        <f>IFERROR(__xludf.DUMMYFUNCTION("GOOGLETRANSLATE(B1118,""id"",""en"")"),"[ 'Telecom', 'anjjjjjjjjjjjjjjjjjiiiiiiiiiiiiiiiinnnnnnnngggggggggggggggg', 'kkoooooooooooooooooooooonnnnnnnnnnnnttttttttttttooooooolllllllll', 'signal', 'ilang', 'eat', 'salary', 'blind', 'cave', 'sumpahin', 'exploded', 'kuburm' ' ubek ']")</f>
        <v>[ 'Telecom', 'anjjjjjjjjjjjjjjjjjiiiiiiiiiiiiiiiinnnnnnnngggggggggggggggg', 'kkoooooooooooooooooooooonnnnnnnnnnnnttttttttttttooooooolllllllll', 'signal', 'ilang', 'eat', 'salary', 'blind', 'cave', 'sumpahin', 'exploded', 'kuburm' ' ubek ']</v>
      </c>
      <c r="D1118" s="3">
        <v>1.0</v>
      </c>
    </row>
    <row r="1119" ht="15.75" customHeight="1">
      <c r="A1119" s="1">
        <v>1117.0</v>
      </c>
      <c r="B1119" s="3" t="s">
        <v>1120</v>
      </c>
      <c r="C1119" s="3" t="str">
        <f>IFERROR(__xludf.DUMMYFUNCTION("GOOGLETRANSLATE(B1119,""id"",""en"")"),"['Network', 'Telkomsel', 'Nge', 'Game', 'Ping', 'Down', 'Kayak', 'Gini', 'Network', 'Full', 'Seriously', 'Ngegame', ' Sight ',' Telkomsel ',' ']")</f>
        <v>['Network', 'Telkomsel', 'Nge', 'Game', 'Ping', 'Down', 'Kayak', 'Gini', 'Network', 'Full', 'Seriously', 'Ngegame', ' Sight ',' Telkomsel ',' ']</v>
      </c>
      <c r="D1119" s="3">
        <v>1.0</v>
      </c>
    </row>
    <row r="1120" ht="15.75" customHeight="1">
      <c r="A1120" s="1">
        <v>1118.0</v>
      </c>
      <c r="B1120" s="3" t="s">
        <v>1121</v>
      </c>
      <c r="C1120" s="3" t="str">
        <f>IFERROR(__xludf.DUMMYFUNCTION("GOOGLETRANSLATE(B1120,""id"",""en"")"),"['Please', 'Increase', 'Quality', 'Network', 'Village', 'Tirto', 'Raharjo', 'Banyuasin', 'Sumatran', 'South', 'Signal', 'Desa', ' Weak ',' Thank you ', ""]")</f>
        <v>['Please', 'Increase', 'Quality', 'Network', 'Village', 'Tirto', 'Raharjo', 'Banyuasin', 'Sumatran', 'South', 'Signal', 'Desa', ' Weak ',' Thank you ', "]</v>
      </c>
      <c r="D1120" s="3">
        <v>2.0</v>
      </c>
    </row>
    <row r="1121" ht="15.75" customHeight="1">
      <c r="A1121" s="1">
        <v>1119.0</v>
      </c>
      <c r="B1121" s="3" t="s">
        <v>1122</v>
      </c>
      <c r="C1121" s="3" t="str">
        <f>IFERROR(__xludf.DUMMYFUNCTION("GOOGLETRANSLATE(B1121,""id"",""en"")"),"['suggestion', 'please', 'repaired', 'signal', 'network', 'player', 'game', 'online', 'satisfied', 'condition', 'users',' Telkomsel ',' The area ',' satisfied ',' signal ',' Nge ',' lag ',' game ',' please ',' respond ',' Review ',' trimakasih ',' Telkoms"&amp;"el ']")</f>
        <v>['suggestion', 'please', 'repaired', 'signal', 'network', 'player', 'game', 'online', 'satisfied', 'condition', 'users',' Telkomsel ',' The area ',' satisfied ',' signal ',' Nge ',' lag ',' game ',' please ',' respond ',' Review ',' trimakasih ',' Telkomsel ']</v>
      </c>
      <c r="D1121" s="3">
        <v>1.0</v>
      </c>
    </row>
    <row r="1122" ht="15.75" customHeight="1">
      <c r="A1122" s="1">
        <v>1120.0</v>
      </c>
      <c r="B1122" s="3" t="s">
        <v>1123</v>
      </c>
      <c r="C1122" s="3" t="str">
        <f>IFERROR(__xludf.DUMMYFUNCTION("GOOGLETRANSLATE(B1122,""id"",""en"")"),"['Promo', 'TPI', 'Reasons', 'Offline', 'Try', 'PDHL', 'PKE', 'WiFi', 'Nnton', 'Yutub', ""]")</f>
        <v>['Promo', 'TPI', 'Reasons', 'Offline', 'Try', 'PDHL', 'PKE', 'WiFi', 'Nnton', 'Yutub', "]</v>
      </c>
      <c r="D1122" s="3">
        <v>1.0</v>
      </c>
    </row>
    <row r="1123" ht="15.75" customHeight="1">
      <c r="A1123" s="1">
        <v>1121.0</v>
      </c>
      <c r="B1123" s="3" t="s">
        <v>1124</v>
      </c>
      <c r="C1123" s="3" t="str">
        <f>IFERROR(__xludf.DUMMYFUNCTION("GOOGLETRANSLATE(B1123,""id"",""en"")"),"['Disight', 'Customers',' Faithful ',' Change ',' Signal ',' Credit ',' Direct ',' Out ',' Quota ',' Network ',' Fix ',' The Network ',' ugly ',' credit ',' customer ',' run out ',' pulse ',' rb ',' run out ',' named ',' network ',' error ',' dri ',' ']")</f>
        <v>['Disight', 'Customers',' Faithful ',' Change ',' Signal ',' Credit ',' Direct ',' Out ',' Quota ',' Network ',' Fix ',' The Network ',' ugly ',' credit ',' customer ',' run out ',' pulse ',' rb ',' run out ',' named ',' network ',' error ',' dri ',' ']</v>
      </c>
      <c r="D1123" s="3">
        <v>1.0</v>
      </c>
    </row>
    <row r="1124" ht="15.75" customHeight="1">
      <c r="A1124" s="1">
        <v>1122.0</v>
      </c>
      <c r="B1124" s="3" t="s">
        <v>1125</v>
      </c>
      <c r="C1124" s="3" t="str">
        <f>IFERROR(__xludf.DUMMYFUNCTION("GOOGLETRANSLATE(B1124,""id"",""en"")"),"['', 'recommended', 'money', 'little', 'pingin', 'buy', 'quota', 'bonus',' living ',' village ',' living ',' area ',' city ',' suburbs', 'city', 'UDH', 'speed', 'signal', 'area', 'MB', 'crazy', 'luck', 'good', 'hhhh', 'dlu', 'Sampe', 'Change', '']")</f>
        <v>['', 'recommended', 'money', 'little', 'pingin', 'buy', 'quota', 'bonus',' living ',' village ',' living ',' area ',' city ',' suburbs', 'city', 'UDH', 'speed', 'signal', 'area', 'MB', 'crazy', 'luck', 'good', 'hhhh', 'dlu', 'Sampe', 'Change', '']</v>
      </c>
      <c r="D1124" s="3">
        <v>1.0</v>
      </c>
    </row>
    <row r="1125" ht="15.75" customHeight="1">
      <c r="A1125" s="1">
        <v>1123.0</v>
      </c>
      <c r="B1125" s="3" t="s">
        <v>1126</v>
      </c>
      <c r="C1125" s="3" t="str">
        <f>IFERROR(__xludf.DUMMYFUNCTION("GOOGLETRANSLATE(B1125,""id"",""en"")"),"['Network', 'reviews',' star ',' network ',' stable ',' reply ',' times', 'email', 'many years',' use ',' Telkomsel ',' connection ',' Internet ',' stable ',' fix ',' network ',' ']")</f>
        <v>['Network', 'reviews',' star ',' network ',' stable ',' reply ',' times', 'email', 'many years',' use ',' Telkomsel ',' connection ',' Internet ',' stable ',' fix ',' network ',' ']</v>
      </c>
      <c r="D1125" s="3">
        <v>1.0</v>
      </c>
    </row>
    <row r="1126" ht="15.75" customHeight="1">
      <c r="A1126" s="1">
        <v>1124.0</v>
      </c>
      <c r="B1126" s="3" t="s">
        <v>1127</v>
      </c>
      <c r="C1126" s="3" t="str">
        <f>IFERROR(__xludf.DUMMYFUNCTION("GOOGLETRANSLATE(B1126,""id"",""en"")"),"['', 'buy', 'quota', 'game', 'Ngelag', 'Severe', 'buy', 'quota', 'card', 'already', 'expensive', 'expensive', 'already ',' That's', 'fast', 'Abis',' Males', 'Bangat', 'Males', ""]")</f>
        <v>['', 'buy', 'quota', 'game', 'Ngelag', 'Severe', 'buy', 'quota', 'card', 'already', 'expensive', 'expensive', 'already ',' That's', 'fast', 'Abis',' Males', 'Bangat', 'Males', "]</v>
      </c>
      <c r="D1126" s="3">
        <v>1.0</v>
      </c>
    </row>
    <row r="1127" ht="15.75" customHeight="1">
      <c r="A1127" s="1">
        <v>1125.0</v>
      </c>
      <c r="B1127" s="3" t="s">
        <v>1128</v>
      </c>
      <c r="C1127" s="3" t="str">
        <f>IFERROR(__xludf.DUMMYFUNCTION("GOOGLETRANSLATE(B1127,""id"",""en"")"),"['update', 'application', 'good', 'look', 'please', 'love', 'feature', 'application', 'axis',' stop ',' use ',' pulse ',' Quota ',' Out ',' Sumpot ',' Karna ',' Open ',' sosmed ',' for a while ',' already ',' rb ',' Many ',' sometimes', 'buy', 'pulse' , '"&amp;"Forgotten', 'Activate', 'Package', 'Internet', 'Sumpot', 'Please', 'Increase', 'Min', 'Please', 'Love', 'Feature', 'Min', ' Credit ',' Sumpot ',' Data ',' Out ']")</f>
        <v>['update', 'application', 'good', 'look', 'please', 'love', 'feature', 'application', 'axis',' stop ',' use ',' pulse ',' Quota ',' Out ',' Sumpot ',' Karna ',' Open ',' sosmed ',' for a while ',' already ',' rb ',' Many ',' sometimes', 'buy', 'pulse' , 'Forgotten', 'Activate', 'Package', 'Internet', 'Sumpot', 'Please', 'Increase', 'Min', 'Please', 'Love', 'Feature', 'Min', ' Credit ',' Sumpot ',' Data ',' Out ']</v>
      </c>
      <c r="D1127" s="3">
        <v>3.0</v>
      </c>
    </row>
    <row r="1128" ht="15.75" customHeight="1">
      <c r="A1128" s="1">
        <v>1126.0</v>
      </c>
      <c r="B1128" s="3" t="s">
        <v>1129</v>
      </c>
      <c r="C1128" s="3" t="str">
        <f>IFERROR(__xludf.DUMMYFUNCTION("GOOGLETRANSLATE(B1128,""id"",""en"")"),"['', 'ugly', 'the network', 'Mari', 'criticism', 'Try', 'ugly', 'expensive', 'emg', 'no', 'try', 'Dinurunin', 'the price ',' serve ',' network ',' strong ',' love ',' expensive ',' dilapidated ',' quota ',' game ',' liar ',' quota ',' game ',' handy ', 'Q"&amp;"uota', 'Reduced', 'How', 'Bodo', 'Udh', 'ugly', 'BURIK', 'Males', 'Hopefully', 'Cheap', 'Strong', 'The Network']")</f>
        <v>['', 'ugly', 'the network', 'Mari', 'criticism', 'Try', 'ugly', 'expensive', 'emg', 'no', 'try', 'Dinurunin', 'the price ',' serve ',' network ',' strong ',' love ',' expensive ',' dilapidated ',' quota ',' game ',' liar ',' quota ',' game ',' handy ', 'Quota', 'Reduced', 'How', 'Bodo', 'Udh', 'ugly', 'BURIK', 'Males', 'Hopefully', 'Cheap', 'Strong', 'The Network']</v>
      </c>
      <c r="D1128" s="3">
        <v>1.0</v>
      </c>
    </row>
    <row r="1129" ht="15.75" customHeight="1">
      <c r="A1129" s="1">
        <v>1127.0</v>
      </c>
      <c r="B1129" s="3" t="s">
        <v>1130</v>
      </c>
      <c r="C1129" s="3" t="str">
        <f>IFERROR(__xludf.DUMMYFUNCTION("GOOGLETRANSLATE(B1129,""id"",""en"")"),"['Signal', 'Telkomsel', 'ugly', 'rare', 'signal', 'ugly', 'ugly', 'use', 'open', 'social', 'media', 'clay', ' Buy ',' Package ',' Internet ']")</f>
        <v>['Signal', 'Telkomsel', 'ugly', 'rare', 'signal', 'ugly', 'ugly', 'use', 'open', 'social', 'media', 'clay', ' Buy ',' Package ',' Internet ']</v>
      </c>
      <c r="D1129" s="3">
        <v>4.0</v>
      </c>
    </row>
    <row r="1130" ht="15.75" customHeight="1">
      <c r="A1130" s="1">
        <v>1128.0</v>
      </c>
      <c r="B1130" s="3" t="s">
        <v>1131</v>
      </c>
      <c r="C1130" s="3" t="str">
        <f>IFERROR(__xludf.DUMMYFUNCTION("GOOGLETRANSLATE(B1130,""id"",""en"")"),"['Sorry', 'buy', 'quota', 'game', 'situ', 'description', 'bonus',' voucher ',' diamond ',' mlbb ',' right ',' buy ',' See ',' voucher ',' gimna ']")</f>
        <v>['Sorry', 'buy', 'quota', 'game', 'situ', 'description', 'bonus',' voucher ',' diamond ',' mlbb ',' right ',' buy ',' See ',' voucher ',' gimna ']</v>
      </c>
      <c r="D1130" s="3">
        <v>2.0</v>
      </c>
    </row>
    <row r="1131" ht="15.75" customHeight="1">
      <c r="A1131" s="1">
        <v>1129.0</v>
      </c>
      <c r="B1131" s="3" t="s">
        <v>1132</v>
      </c>
      <c r="C1131" s="3" t="str">
        <f>IFERROR(__xludf.DUMMYFUNCTION("GOOGLETRANSLATE(B1131,""id"",""en"")"),"['WOI', 'Telkomsel', 'turn', 'price', 'package', 'sky', 'quality', 'network', 'cheap', 'many years',' use ',' Telkomsel ',' disappointing', '']")</f>
        <v>['WOI', 'Telkomsel', 'turn', 'price', 'package', 'sky', 'quality', 'network', 'cheap', 'many years',' use ',' Telkomsel ',' disappointing', '']</v>
      </c>
      <c r="D1131" s="3">
        <v>1.0</v>
      </c>
    </row>
    <row r="1132" ht="15.75" customHeight="1">
      <c r="A1132" s="1">
        <v>1130.0</v>
      </c>
      <c r="B1132" s="3" t="s">
        <v>1133</v>
      </c>
      <c r="C1132" s="3" t="str">
        <f>IFERROR(__xludf.DUMMYFUNCTION("GOOGLETRANSLATE(B1132,""id"",""en"")"),"['please', 'Telkomsel', 'quota', 'game', 'category', 'game', 'please', 'please', 'enter', 'game', 'genshin', 'impact', ' Categories', 'quota', 'games',' Hopefully ',' Review ',' Read ',' Note ',' How do ',' The rest ',' steady ',' ']")</f>
        <v>['please', 'Telkomsel', 'quota', 'game', 'category', 'game', 'please', 'please', 'enter', 'game', 'genshin', 'impact', ' Categories', 'quota', 'games',' Hopefully ',' Review ',' Read ',' Note ',' How do ',' The rest ',' steady ',' ']</v>
      </c>
      <c r="D1132" s="3">
        <v>5.0</v>
      </c>
    </row>
    <row r="1133" ht="15.75" customHeight="1">
      <c r="A1133" s="1">
        <v>1131.0</v>
      </c>
      <c r="B1133" s="3" t="s">
        <v>1134</v>
      </c>
      <c r="C1133" s="3" t="str">
        <f>IFERROR(__xludf.DUMMYFUNCTION("GOOGLETRANSLATE(B1133,""id"",""en"")"),"['The application', 'really', 'failed', 'process',' NGK ',' opened ',' Simple ',' Stay ',' Open ',' APK ',' LIAT ',' Credit ',' quota ',' type ',' number ',' check ',' signal ',' good ',' ngk ',' open ',' already ',' wifi ',' tetep ',' ngk ',' huka ' , 'R"&amp;"egistration', 'reset', 'then', '']")</f>
        <v>['The application', 'really', 'failed', 'process',' NGK ',' opened ',' Simple ',' Stay ',' Open ',' APK ',' LIAT ',' Credit ',' quota ',' type ',' number ',' check ',' signal ',' good ',' ngk ',' open ',' already ',' wifi ',' tetep ',' ngk ',' huka ' , 'Registration', 'reset', 'then', '']</v>
      </c>
      <c r="D1133" s="3">
        <v>2.0</v>
      </c>
    </row>
    <row r="1134" ht="15.75" customHeight="1">
      <c r="A1134" s="1">
        <v>1132.0</v>
      </c>
      <c r="B1134" s="3" t="s">
        <v>1135</v>
      </c>
      <c r="C1134" s="3" t="str">
        <f>IFERROR(__xludf.DUMMYFUNCTION("GOOGLETRANSLATE(B1134,""id"",""en"")"),"['Knp', 'stlh', 'update', 'type', 'package', 'Sakti', 'disappointed', 'bgaimana', 'telkomsel', 'difficulty', 'skrg', 'ngk', ' Package ',' Sakti ',' chat ',' SLH ',' admin ',' ngak ',' use ',' reasons', 'jwbn', 'ngak', 'jls',' disappointed ',' disappointed"&amp;" ' , 'Disappointed', 'Disappointed', 'Tmn', 'Make', 'Update', 'NNT', 'PKT', 'Combo', 'ilang', 'bibtang', 'love']")</f>
        <v>['Knp', 'stlh', 'update', 'type', 'package', 'Sakti', 'disappointed', 'bgaimana', 'telkomsel', 'difficulty', 'skrg', 'ngk', ' Package ',' Sakti ',' chat ',' SLH ',' admin ',' ngak ',' use ',' reasons', 'jwbn', 'ngak', 'jls',' disappointed ',' disappointed ' , 'Disappointed', 'Disappointed', 'Tmn', 'Make', 'Update', 'NNT', 'PKT', 'Combo', 'ilang', 'bibtang', 'love']</v>
      </c>
      <c r="D1134" s="3">
        <v>1.0</v>
      </c>
    </row>
    <row r="1135" ht="15.75" customHeight="1">
      <c r="A1135" s="1">
        <v>1133.0</v>
      </c>
      <c r="B1135" s="3" t="s">
        <v>1136</v>
      </c>
      <c r="C1135" s="3" t="str">
        <f>IFERROR(__xludf.DUMMYFUNCTION("GOOGLETRANSLATE(B1135,""id"",""en"")"),"['Please', 'repair', 'Season', 'buy', 'package', 'combo', 'Telkomsel', 'for', 'right', 'click', 'buy', 'tell', ' Wait ',' minutes', 'system', 'error', 'right', 'restart', 'APK', 'enter', 'pulse', 'drained', 'until', 'left', 'Rp' , 'Package', 'active', 'wa"&amp;"sted', 'sain', 'pulse', 'mending', 'transaction', 'apk', 'telkomsel', 'deh', 'loss',' fix ',' Looked on ',' please ',' thank you ']")</f>
        <v>['Please', 'repair', 'Season', 'buy', 'package', 'combo', 'Telkomsel', 'for', 'right', 'click', 'buy', 'tell', ' Wait ',' minutes', 'system', 'error', 'right', 'restart', 'APK', 'enter', 'pulse', 'drained', 'until', 'left', 'Rp' , 'Package', 'active', 'wasted', 'sain', 'pulse', 'mending', 'transaction', 'apk', 'telkomsel', 'deh', 'loss',' fix ',' Looked on ',' please ',' thank you ']</v>
      </c>
      <c r="D1135" s="3">
        <v>1.0</v>
      </c>
    </row>
    <row r="1136" ht="15.75" customHeight="1">
      <c r="A1136" s="1">
        <v>1134.0</v>
      </c>
      <c r="B1136" s="3" t="s">
        <v>1137</v>
      </c>
      <c r="C1136" s="3" t="str">
        <f>IFERROR(__xludf.DUMMYFUNCTION("GOOGLETRANSLATE(B1136,""id"",""en"")"),"['Signal', 'Telkomsel', 'Bad', 'Game', 'Recommended', 'Game', 'Mobile', 'Legends',' Salah ',' Only ',' Lost ',' Connection ',' Internet ',' play ',' game ',' suggest ',' buy ',' Telkomsel ',' need ',' play ',' game ',' BURIK ',' really ',' signal ']")</f>
        <v>['Signal', 'Telkomsel', 'Bad', 'Game', 'Recommended', 'Game', 'Mobile', 'Legends',' Salah ',' Only ',' Lost ',' Connection ',' Internet ',' play ',' game ',' suggest ',' buy ',' Telkomsel ',' need ',' play ',' game ',' BURIK ',' really ',' signal ']</v>
      </c>
      <c r="D1136" s="3">
        <v>1.0</v>
      </c>
    </row>
    <row r="1137" ht="15.75" customHeight="1">
      <c r="A1137" s="1">
        <v>1135.0</v>
      </c>
      <c r="B1137" s="3" t="s">
        <v>1138</v>
      </c>
      <c r="C1137" s="3" t="str">
        <f>IFERROR(__xludf.DUMMYFUNCTION("GOOGLETRANSLATE(B1137,""id"",""en"")"),"['Card', 'Mending', 'Change', 'Severe', 'Main', 'Game', 'Ngeleg', 'Severe', 'Signal', 'Difficult', 'Price', 'Expensive', ' in accordance', '']")</f>
        <v>['Card', 'Mending', 'Change', 'Severe', 'Main', 'Game', 'Ngeleg', 'Severe', 'Signal', 'Difficult', 'Price', 'Expensive', ' in accordance', '']</v>
      </c>
      <c r="D1137" s="3">
        <v>1.0</v>
      </c>
    </row>
    <row r="1138" ht="15.75" customHeight="1">
      <c r="A1138" s="1">
        <v>1136.0</v>
      </c>
      <c r="B1138" s="3" t="s">
        <v>1139</v>
      </c>
      <c r="C1138" s="3" t="str">
        <f>IFERROR(__xludf.DUMMYFUNCTION("GOOGLETRANSLATE(B1138,""id"",""en"")"),"['brother', 'friend', 'neighbor', 'neighbor', 'star', 'signal', 'chaotic', 'be patient', 'improved', 'deteriorating']")</f>
        <v>['brother', 'friend', 'neighbor', 'neighbor', 'star', 'signal', 'chaotic', 'be patient', 'improved', 'deteriorating']</v>
      </c>
      <c r="D1138" s="3">
        <v>1.0</v>
      </c>
    </row>
    <row r="1139" ht="15.75" customHeight="1">
      <c r="A1139" s="1">
        <v>1137.0</v>
      </c>
      <c r="B1139" s="3" t="s">
        <v>1140</v>
      </c>
      <c r="C1139" s="3" t="str">
        <f>IFERROR(__xludf.DUMMYFUNCTION("GOOGLETRANSLATE(B1139,""id"",""en"")"),"['Yesterday', 'register', 'quota', 'price', 'cheap', 'price', 'soar', 'degree', 'subscribe', 'quota', 'pandemic', 'learn', ' Online ',' TPI ',' price ',' think ',' times', 'buy']")</f>
        <v>['Yesterday', 'register', 'quota', 'price', 'cheap', 'price', 'soar', 'degree', 'subscribe', 'quota', 'pandemic', 'learn', ' Online ',' TPI ',' price ',' think ',' times', 'buy']</v>
      </c>
      <c r="D1139" s="3">
        <v>2.0</v>
      </c>
    </row>
    <row r="1140" ht="15.75" customHeight="1">
      <c r="A1140" s="1">
        <v>1138.0</v>
      </c>
      <c r="B1140" s="3" t="s">
        <v>1141</v>
      </c>
      <c r="C1140" s="3" t="str">
        <f>IFERROR(__xludf.DUMMYFUNCTION("GOOGLETRANSLATE(B1140,""id"",""en"")"),"['Telkomsel', 'cutting', 'pulses', 'so "",' percent ',' Tampa ',' purpose ',' make sure ',' package ',' data ',' off ',' Cut ',' Telkom ',' Pay ',' Debt ',' ']")</f>
        <v>['Telkomsel', 'cutting', 'pulses', 'so ",' percent ',' Tampa ',' purpose ',' make sure ',' package ',' data ',' off ',' Cut ',' Telkom ',' Pay ',' Debt ',' ']</v>
      </c>
      <c r="D1140" s="3">
        <v>1.0</v>
      </c>
    </row>
    <row r="1141" ht="15.75" customHeight="1">
      <c r="A1141" s="1">
        <v>1139.0</v>
      </c>
      <c r="B1141" s="3" t="s">
        <v>1142</v>
      </c>
      <c r="C1141" s="3" t="str">
        <f>IFERROR(__xludf.DUMMYFUNCTION("GOOGLETRANSLATE(B1141,""id"",""en"")"),"['Telkomsel', 'bad', 'signal', 'bad', 'expensive', 'kyknya', 'briefly', 'telkomsel', 'extinct', 'pulse', 'taken', 'pdhl', ' already ',' list ',' package ',' internet ',' ngeselin ',' bnget ',' ']")</f>
        <v>['Telkomsel', 'bad', 'signal', 'bad', 'expensive', 'kyknya', 'briefly', 'telkomsel', 'extinct', 'pulse', 'taken', 'pdhl', ' already ',' list ',' package ',' internet ',' ngeselin ',' bnget ',' ']</v>
      </c>
      <c r="D1141" s="3">
        <v>1.0</v>
      </c>
    </row>
    <row r="1142" ht="15.75" customHeight="1">
      <c r="A1142" s="1">
        <v>1140.0</v>
      </c>
      <c r="B1142" s="3" t="s">
        <v>1143</v>
      </c>
      <c r="C1142" s="3" t="str">
        <f>IFERROR(__xludf.DUMMYFUNCTION("GOOGLETRANSLATE(B1142,""id"",""en"")"),"['Telkomsel', 'already', 'mAh', 'pulse', 'expensive', 'quality', 'signal', 'berocis',' comparable ',' price ',' package ',' safety ',' send ',' data ',' hard ',' forgiveness', '']")</f>
        <v>['Telkomsel', 'already', 'mAh', 'pulse', 'expensive', 'quality', 'signal', 'berocis',' comparable ',' price ',' package ',' safety ',' send ',' data ',' hard ',' forgiveness', '']</v>
      </c>
      <c r="D1142" s="3">
        <v>1.0</v>
      </c>
    </row>
    <row r="1143" ht="15.75" customHeight="1">
      <c r="A1143" s="1">
        <v>1141.0</v>
      </c>
      <c r="B1143" s="3" t="s">
        <v>1144</v>
      </c>
      <c r="C1143" s="3" t="str">
        <f>IFERROR(__xludf.DUMMYFUNCTION("GOOGLETRANSLATE(B1143,""id"",""en"")"),"['', 'UDH', 'change', 'Telkomsel', 'like', 'corruption', 'multimedia', 'buy', 'package', 'GB', 'GB', 'quota', 'main ',' GB ',' Multimedia ',' Join ',' GB ',' Corruption ',' Join ',' GTU ',' Ngakuni ',' Faith ',' Corruption ',' Road ',' Eat ', 'Money', 'Ha"&amp;"ram', 'vomiting', 'Blood', 'Family', 'Loe']")</f>
        <v>['', 'UDH', 'change', 'Telkomsel', 'like', 'corruption', 'multimedia', 'buy', 'package', 'GB', 'GB', 'quota', 'main ',' GB ',' Multimedia ',' Join ',' GB ',' Corruption ',' Join ',' GTU ',' Ngakuni ',' Faith ',' Corruption ',' Road ',' Eat ', 'Money', 'Haram', 'vomiting', 'Blood', 'Family', 'Loe']</v>
      </c>
      <c r="D1143" s="3">
        <v>1.0</v>
      </c>
    </row>
    <row r="1144" ht="15.75" customHeight="1">
      <c r="A1144" s="1">
        <v>1142.0</v>
      </c>
      <c r="B1144" s="3" t="s">
        <v>1145</v>
      </c>
      <c r="C1144" s="3" t="str">
        <f>IFERROR(__xludf.DUMMYFUNCTION("GOOGLETRANSLATE(B1144,""id"",""en"")"),"['KNPA', 'card', 'Telkomsel', 'KNPA', 'buy', 'package', 'combo', 'for', 'thousand', 'bngt', 'buy', 'package', ' Knpa ',' skrng ',' contents', 'pulse']")</f>
        <v>['KNPA', 'card', 'Telkomsel', 'KNPA', 'buy', 'package', 'combo', 'for', 'thousand', 'bngt', 'buy', 'package', ' Knpa ',' skrng ',' contents', 'pulse']</v>
      </c>
      <c r="D1144" s="3">
        <v>1.0</v>
      </c>
    </row>
    <row r="1145" ht="15.75" customHeight="1">
      <c r="A1145" s="1">
        <v>1143.0</v>
      </c>
      <c r="B1145" s="3" t="s">
        <v>1146</v>
      </c>
      <c r="C1145" s="3" t="str">
        <f>IFERROR(__xludf.DUMMYFUNCTION("GOOGLETRANSLATE(B1145,""id"",""en"")"),"['Sihh', 'quota', 'unlimited', 'sosmed', 'ngekame', 'tiktok', 'update', 'severe', 'trs',' pulse ',' cpt ',' run out ',' repair', '']")</f>
        <v>['Sihh', 'quota', 'unlimited', 'sosmed', 'ngekame', 'tiktok', 'update', 'severe', 'trs',' pulse ',' cpt ',' run out ',' repair', '']</v>
      </c>
      <c r="D1145" s="3">
        <v>1.0</v>
      </c>
    </row>
    <row r="1146" ht="15.75" customHeight="1">
      <c r="A1146" s="1">
        <v>1144.0</v>
      </c>
      <c r="B1146" s="3" t="s">
        <v>1147</v>
      </c>
      <c r="C1146" s="3" t="str">
        <f>IFERROR(__xludf.DUMMYFUNCTION("GOOGLETRANSLATE(B1146,""id"",""en"")"),"['Lemot', 'Severe', 'Feronika', 'JWB', 'blame', 'APN', 'Mode', 'Plane', 'already', 'slow', 'fix', 'his web', ' Bandung ',' signal ',' ugly ',' open ',' Facebook ',' slow ',' forgiveness', 'horrified', 'Telkomsel', 'JAWAH', 'gave', 'solution', 'mah' , 'rep"&amp;"lace', 'provider', 'together', 'together', 'slow', 'price', 'package', 'expensive', 'network', 'kek', 'snail', 'Telkomsel', ' ugly ',' severe ',' ']")</f>
        <v>['Lemot', 'Severe', 'Feronika', 'JWB', 'blame', 'APN', 'Mode', 'Plane', 'already', 'slow', 'fix', 'his web', ' Bandung ',' signal ',' ugly ',' open ',' Facebook ',' slow ',' forgiveness', 'horrified', 'Telkomsel', 'JAWAH', 'gave', 'solution', 'mah' , 'replace', 'provider', 'together', 'together', 'slow', 'price', 'package', 'expensive', 'network', 'kek', 'snail', 'Telkomsel', ' ugly ',' severe ',' ']</v>
      </c>
      <c r="D1146" s="3">
        <v>1.0</v>
      </c>
    </row>
    <row r="1147" ht="15.75" customHeight="1">
      <c r="A1147" s="1">
        <v>1145.0</v>
      </c>
      <c r="B1147" s="3" t="s">
        <v>1148</v>
      </c>
      <c r="C1147" s="3" t="str">
        <f>IFERROR(__xludf.DUMMYFUNCTION("GOOGLETRANSLATE(B1147,""id"",""en"")"),"['Telkomsel', 'here', 'gajelas', 'signal', 'addict', 'game', 'online', 'comfortable', 'please', 'fix', 'thank you']")</f>
        <v>['Telkomsel', 'here', 'gajelas', 'signal', 'addict', 'game', 'online', 'comfortable', 'please', 'fix', 'thank you']</v>
      </c>
      <c r="D1147" s="3">
        <v>1.0</v>
      </c>
    </row>
    <row r="1148" ht="15.75" customHeight="1">
      <c r="A1148" s="1">
        <v>1146.0</v>
      </c>
      <c r="B1148" s="3" t="s">
        <v>1149</v>
      </c>
      <c r="C1148" s="3" t="str">
        <f>IFERROR(__xludf.DUMMYFUNCTION("GOOGLETRANSLATE(B1148,""id"",""en"")"),"['buy', 'quota', 'bonus',' diamond ',' mlbb ',' code ',' redeem ',' strange ',' impression ',' cheating ',' pdahal ',' use ',' Know ',' Nastal ']")</f>
        <v>['buy', 'quota', 'bonus',' diamond ',' mlbb ',' code ',' redeem ',' strange ',' impression ',' cheating ',' pdahal ',' use ',' Know ',' Nastal ']</v>
      </c>
      <c r="D1148" s="3">
        <v>1.0</v>
      </c>
    </row>
    <row r="1149" ht="15.75" customHeight="1">
      <c r="A1149" s="1">
        <v>1147.0</v>
      </c>
      <c r="B1149" s="3" t="s">
        <v>1150</v>
      </c>
      <c r="C1149" s="3" t="str">
        <f>IFERROR(__xludf.DUMMYFUNCTION("GOOGLETRANSLATE(B1149,""id"",""en"")"),"['skr', 'application', 'slow', 'accuracy', 'speed', 'open', 'menu', 'bagusan', 'smooth', 'look', 'good', 'arranged', ' neat ',' open ',' account ',' interesting ',' Show ',' photo ',' profile ',' account ',' telkomsel ',' klu ',' skr ',' open ',' phone ' "&amp;", 'klu', 'provide', 'menu', 'install', 'photo', 'profile', 'suggestion', 'thank', 'love', ""]")</f>
        <v>['skr', 'application', 'slow', 'accuracy', 'speed', 'open', 'menu', 'bagusan', 'smooth', 'look', 'good', 'arranged', ' neat ',' open ',' account ',' interesting ',' Show ',' photo ',' profile ',' account ',' telkomsel ',' klu ',' skr ',' open ',' phone ' , 'klu', 'provide', 'menu', 'install', 'photo', 'profile', 'suggestion', 'thank', 'love', "]</v>
      </c>
      <c r="D1149" s="3">
        <v>3.0</v>
      </c>
    </row>
    <row r="1150" ht="15.75" customHeight="1">
      <c r="A1150" s="1">
        <v>1148.0</v>
      </c>
      <c r="B1150" s="3" t="s">
        <v>1151</v>
      </c>
      <c r="C1150" s="3" t="str">
        <f>IFERROR(__xludf.DUMMYFUNCTION("GOOGLETRANSLATE(B1150,""id"",""en"")"),"['Want', 'Signal', 'Telkomsel', 'Kampung', 'Cikatomas', 'Tasikmalaya', 'Lost', 'Day', 'Please', 'Acts', 'Continue', ""]")</f>
        <v>['Want', 'Signal', 'Telkomsel', 'Kampung', 'Cikatomas', 'Tasikmalaya', 'Lost', 'Day', 'Please', 'Acts', 'Continue', "]</v>
      </c>
      <c r="D1150" s="3">
        <v>2.0</v>
      </c>
    </row>
    <row r="1151" ht="15.75" customHeight="1">
      <c r="A1151" s="1">
        <v>1149.0</v>
      </c>
      <c r="B1151" s="3" t="s">
        <v>1152</v>
      </c>
      <c r="C1151" s="3" t="str">
        <f>IFERROR(__xludf.DUMMYFUNCTION("GOOGLETRANSLATE(B1151,""id"",""en"")"),"['Please', 'Fix', 'Loss',' Buy ',' Package ',' Promo ',' GB ',' Enter ',' Purchase ',' Application ',' Folk ',' Medium ',' down ',' sanagat ',' harm "", 'happy', 'promo', 'quota', 'buy', 'entry', 'error', 'buy', 'package', 'daily', 'direct' , 'entry', 'ho"&amp;"w', 'please', 'Wait', 'package', 'pulse', 'drained', 'internet', 'quota', 'pulse', 'finished', 'quota']")</f>
        <v>['Please', 'Fix', 'Loss',' Buy ',' Package ',' Promo ',' GB ',' Enter ',' Purchase ',' Application ',' Folk ',' Medium ',' down ',' sanagat ',' harm ", 'happy', 'promo', 'quota', 'buy', 'entry', 'error', 'buy', 'package', 'daily', 'direct' , 'entry', 'how', 'please', 'Wait', 'package', 'pulse', 'drained', 'internet', 'quota', 'pulse', 'finished', 'quota']</v>
      </c>
      <c r="D1151" s="3">
        <v>1.0</v>
      </c>
    </row>
    <row r="1152" ht="15.75" customHeight="1">
      <c r="A1152" s="1">
        <v>1150.0</v>
      </c>
      <c r="B1152" s="3" t="s">
        <v>1153</v>
      </c>
      <c r="C1152" s="3" t="str">
        <f>IFERROR(__xludf.DUMMYFUNCTION("GOOGLETRANSLATE(B1152,""id"",""en"")"),"['Prizes',' promo ',' present ',' Telkomsel ',' love ',' recommon ',' friend ',' colleague ',' business', 'brother', 'hope', 'kayak', ' Indosat ',' Love ',' Surprise ',' Smartphone ',' ROQ ',' ']")</f>
        <v>['Prizes',' promo ',' present ',' Telkomsel ',' love ',' recommon ',' friend ',' colleague ',' business', 'brother', 'hope', 'kayak', ' Indosat ',' Love ',' Surprise ',' Smartphone ',' ROQ ',' ']</v>
      </c>
      <c r="D1152" s="3">
        <v>1.0</v>
      </c>
    </row>
    <row r="1153" ht="15.75" customHeight="1">
      <c r="A1153" s="1">
        <v>1151.0</v>
      </c>
      <c r="B1153" s="3" t="s">
        <v>1154</v>
      </c>
      <c r="C1153" s="3" t="str">
        <f>IFERROR(__xludf.DUMMYFUNCTION("GOOGLETRANSLATE(B1153,""id"",""en"")"),"['ehhhh', 'gmn', 'signal', 'slow', 'bat', 'Telkomsel', 'bozzz', 'dri', 'change', 'logo', 'expensive', 'mending', ' Benerin ',' Sousal ',' expensive ',' Doank ',' Jakarta ',' Bosss', 'Kampung', 'Watduhhh', 'ugly', 'Severe', 'Thinking', ""]")</f>
        <v>['ehhhh', 'gmn', 'signal', 'slow', 'bat', 'Telkomsel', 'bozzz', 'dri', 'change', 'logo', 'expensive', 'mending', ' Benerin ',' Sousal ',' expensive ',' Doank ',' Jakarta ',' Bosss', 'Kampung', 'Watduhhh', 'ugly', 'Severe', 'Thinking', "]</v>
      </c>
      <c r="D1153" s="3">
        <v>1.0</v>
      </c>
    </row>
    <row r="1154" ht="15.75" customHeight="1">
      <c r="A1154" s="1">
        <v>1152.0</v>
      </c>
      <c r="B1154" s="3" t="s">
        <v>1155</v>
      </c>
      <c r="C1154" s="3" t="str">
        <f>IFERROR(__xludf.DUMMYFUNCTION("GOOGLETRANSLATE(B1154,""id"",""en"")"),"['Telkomsel', 'gag', 'tasty', 'set', 'purchase', 'nature', 'cheap', 'must', 'error', 'buy', 'expensive', 'got', ' Kayak ',' cheerful ',' Telkomsel ',' bran ',' tasty ',' koyok ',' jancccc ']")</f>
        <v>['Telkomsel', 'gag', 'tasty', 'set', 'purchase', 'nature', 'cheap', 'must', 'error', 'buy', 'expensive', 'got', ' Kayak ',' cheerful ',' Telkomsel ',' bran ',' tasty ',' koyok ',' jancccc ']</v>
      </c>
      <c r="D1154" s="3">
        <v>3.0</v>
      </c>
    </row>
    <row r="1155" ht="15.75" customHeight="1">
      <c r="A1155" s="1">
        <v>1153.0</v>
      </c>
      <c r="B1155" s="3" t="s">
        <v>1156</v>
      </c>
      <c r="C1155" s="3" t="str">
        <f>IFERROR(__xludf.DUMMYFUNCTION("GOOGLETRANSLATE(B1155,""id"",""en"")"),"['Good', 'profitable', 'promo', 'provided', 'interesting', 'cheap', 'cheap', 'darling', 'dapetin', 'coupon', 'undi', 'heppy', ' pulse ',' million ',' hope ',' get ',' as soon as possible ', ""]")</f>
        <v>['Good', 'profitable', 'promo', 'provided', 'interesting', 'cheap', 'cheap', 'darling', 'dapetin', 'coupon', 'undi', 'heppy', ' pulse ',' million ',' hope ',' get ',' as soon as possible ', "]</v>
      </c>
      <c r="D1155" s="3">
        <v>5.0</v>
      </c>
    </row>
    <row r="1156" ht="15.75" customHeight="1">
      <c r="A1156" s="1">
        <v>1154.0</v>
      </c>
      <c r="B1156" s="3" t="s">
        <v>1157</v>
      </c>
      <c r="C1156" s="3" t="str">
        <f>IFERROR(__xludf.DUMMYFUNCTION("GOOGLETRANSLATE(B1156,""id"",""en"")"),"['', 'Love', 'Bintang', 'Kirain', 'Change', 'Telkomsel', 'TTG', 'Signal', 'Ngadaaaaat', 'Aliaa', 'Leet', 'Zero', 'Signal ',' signs', 'line', 'ketip', 'ketip', 'line', 'truz', 'ilang', 'line', 'gaaa', 'full', 'line', 'kayak', 'Main', 'eyes', 'girl', 'signa"&amp;"l', 'Telkomsel', '']")</f>
        <v>['', 'Love', 'Bintang', 'Kirain', 'Change', 'Telkomsel', 'TTG', 'Signal', 'Ngadaaaaat', 'Aliaa', 'Leet', 'Zero', 'Signal ',' signs', 'line', 'ketip', 'ketip', 'line', 'truz', 'ilang', 'line', 'gaaa', 'full', 'line', 'kayak', 'Main', 'eyes', 'girl', 'signal', 'Telkomsel', '']</v>
      </c>
      <c r="D1156" s="3">
        <v>1.0</v>
      </c>
    </row>
    <row r="1157" ht="15.75" customHeight="1">
      <c r="A1157" s="1">
        <v>1155.0</v>
      </c>
      <c r="B1157" s="3" t="s">
        <v>1158</v>
      </c>
      <c r="C1157" s="3" t="str">
        <f>IFERROR(__xludf.DUMMYFUNCTION("GOOGLETRANSLATE(B1157,""id"",""en"")"),"['Package', 'Offered', 'expensive', 'redundant', 'bought', 'usage', 'internet', 'GB', 'per month', 'dikasi', 'choice', 'GB', ' Buy ',' GB ',' Angus', 'Kekeke', 'Mgk', 'Try', 'Switch', 'Provider', 'Friendly', 'Price', 'Option', 'Package', 'Flexible' , '']")</f>
        <v>['Package', 'Offered', 'expensive', 'redundant', 'bought', 'usage', 'internet', 'GB', 'per month', 'dikasi', 'choice', 'GB', ' Buy ',' GB ',' Angus', 'Kekeke', 'Mgk', 'Try', 'Switch', 'Provider', 'Friendly', 'Price', 'Option', 'Package', 'Flexible' , '']</v>
      </c>
      <c r="D1157" s="3">
        <v>1.0</v>
      </c>
    </row>
    <row r="1158" ht="15.75" customHeight="1">
      <c r="A1158" s="1">
        <v>1156.0</v>
      </c>
      <c r="B1158" s="3" t="s">
        <v>1159</v>
      </c>
      <c r="C1158" s="3" t="str">
        <f>IFERROR(__xludf.DUMMYFUNCTION("GOOGLETRANSLATE(B1158,""id"",""en"")"),"['Telkomsel', 'Yesterday', 'Fill', 'pulse', 'pulse', 'mna', 'sorry', 'sassy', 'typed', 'because', 'annoyed', 'pulses',' Morning ',' Please ',' Help ',' Society ',' Disappointed ',' Tks', ""]")</f>
        <v>['Telkomsel', 'Yesterday', 'Fill', 'pulse', 'pulse', 'mna', 'sorry', 'sassy', 'typed', 'because', 'annoyed', 'pulses',' Morning ',' Please ',' Help ',' Society ',' Disappointed ',' Tks', "]</v>
      </c>
      <c r="D1158" s="3">
        <v>5.0</v>
      </c>
    </row>
    <row r="1159" ht="15.75" customHeight="1">
      <c r="A1159" s="1">
        <v>1157.0</v>
      </c>
      <c r="B1159" s="3" t="s">
        <v>1160</v>
      </c>
      <c r="C1159" s="3" t="str">
        <f>IFERROR(__xludf.DUMMYFUNCTION("GOOGLETRANSLATE(B1159,""id"",""en"")"),"['Application', 'updated', 'good', 'good', 'price', 'package', 'internet', 'getting', 'accompanied', 'improvement', 'speed', 'access',' Internet ',' ']")</f>
        <v>['Application', 'updated', 'good', 'good', 'price', 'package', 'internet', 'getting', 'accompanied', 'improvement', 'speed', 'access',' Internet ',' ']</v>
      </c>
      <c r="D1159" s="3">
        <v>5.0</v>
      </c>
    </row>
    <row r="1160" ht="15.75" customHeight="1">
      <c r="A1160" s="1">
        <v>1158.0</v>
      </c>
      <c r="B1160" s="3" t="s">
        <v>1161</v>
      </c>
      <c r="C1160" s="3" t="str">
        <f>IFERROR(__xludf.DUMMYFUNCTION("GOOGLETRANSLATE(B1160,""id"",""en"")"),"['signal', 'mulu', 'intention', 'tower', 'intention', 'contents',' package ',' data ',' elo ',' already ',' rival ',' quality ',' Kayak ',' Gini ',' Thinking ',' NDK ',' Telkomsel ',' Males', ""]")</f>
        <v>['signal', 'mulu', 'intention', 'tower', 'intention', 'contents',' package ',' data ',' elo ',' already ',' rival ',' quality ',' Kayak ',' Gini ',' Thinking ',' NDK ',' Telkomsel ',' Males', "]</v>
      </c>
      <c r="D1160" s="3">
        <v>1.0</v>
      </c>
    </row>
    <row r="1161" ht="15.75" customHeight="1">
      <c r="A1161" s="1">
        <v>1159.0</v>
      </c>
      <c r="B1161" s="3" t="s">
        <v>1162</v>
      </c>
      <c r="C1161" s="3" t="str">
        <f>IFERROR(__xludf.DUMMYFUNCTION("GOOGLETRANSLATE(B1161,""id"",""en"")"),"['buy', 'package', 'internet', 'error', 'check', 'connection', 'application', 'smooth', 'admin', 'bot']")</f>
        <v>['buy', 'package', 'internet', 'error', 'check', 'connection', 'application', 'smooth', 'admin', 'bot']</v>
      </c>
      <c r="D1161" s="3">
        <v>1.0</v>
      </c>
    </row>
    <row r="1162" ht="15.75" customHeight="1">
      <c r="A1162" s="1">
        <v>1160.0</v>
      </c>
      <c r="B1162" s="3" t="s">
        <v>1163</v>
      </c>
      <c r="C1162" s="3" t="str">
        <f>IFERROR(__xludf.DUMMYFUNCTION("GOOGLETRANSLATE(B1162,""id"",""en"")"),"['Network', 'Telkomsel', 'Anjim', 'really', 'stable', 'sinynya', 'woy', 'already', 'already', 'sophisticated', 'sophisticated', 'intention', ' network ',' intention ',' collapse ',' Tower ',' Anjim ',' really ', ""]")</f>
        <v>['Network', 'Telkomsel', 'Anjim', 'really', 'stable', 'sinynya', 'woy', 'already', 'already', 'sophisticated', 'sophisticated', 'intention', ' network ',' intention ',' collapse ',' Tower ',' Anjim ',' really ', "]</v>
      </c>
      <c r="D1162" s="3">
        <v>1.0</v>
      </c>
    </row>
    <row r="1163" ht="15.75" customHeight="1">
      <c r="A1163" s="1">
        <v>1161.0</v>
      </c>
      <c r="B1163" s="3" t="s">
        <v>1164</v>
      </c>
      <c r="C1163" s="3" t="str">
        <f>IFERROR(__xludf.DUMMYFUNCTION("GOOGLETRANSLATE(B1163,""id"",""en"")"),"['Application', 'complicated', 'confusing', 'Try', 'Simple', 'Tata', 'Located', 'Example', 'Application', 'Credit', 'Cutting', 'Package', ' Data ',' run out ',' price ',' package ',' data ',' classified ',' expensive ',' users', 'Telkomsel', 'loop', 'chea"&amp;"p', 'price', 'package' , 'Data', 'card', 'Move', 'Telkomsel', '']")</f>
        <v>['Application', 'complicated', 'confusing', 'Try', 'Simple', 'Tata', 'Located', 'Example', 'Application', 'Credit', 'Cutting', 'Package', ' Data ',' run out ',' price ',' package ',' data ',' classified ',' expensive ',' users', 'Telkomsel', 'loop', 'cheap', 'price', 'package' , 'Data', 'card', 'Move', 'Telkomsel', '']</v>
      </c>
      <c r="D1163" s="3">
        <v>2.0</v>
      </c>
    </row>
    <row r="1164" ht="15.75" customHeight="1">
      <c r="A1164" s="1">
        <v>1162.0</v>
      </c>
      <c r="B1164" s="3" t="s">
        <v>1165</v>
      </c>
      <c r="C1164" s="3" t="str">
        <f>IFERROR(__xludf.DUMMYFUNCTION("GOOGLETRANSLATE(B1164,""id"",""en"")"),"['', 'Far', 'tasty', 'apps',' just ',' product ',' confused ',' division ',' function ',' entertain ',' like ',' gakemane ',' unlimited ',' Dahlah ',' Gosah ',' Language ',' Limited ',' Limited ',' Ujubg ',' Restricted ',' Restricted ',' BBR ',' Applicati"&amp;"on ',' Speed ​​',' Reach ', 'limit', 'yaiyalah', 'restricted', 'company', 'gamau', 'loss',' emg ',' company ',' grandma ',' well ',' cave ',' shares', 'TLKM ',' actually ',' owner ',' stock ',' cave ',' benefit ',' cmn ',' as', 'consumer', 'loss',' ad ','"&amp;" unlimited ', ""]")</f>
        <v>['', 'Far', 'tasty', 'apps',' just ',' product ',' confused ',' division ',' function ',' entertain ',' like ',' gakemane ',' unlimited ',' Dahlah ',' Gosah ',' Language ',' Limited ',' Limited ',' Ujubg ',' Restricted ',' Restricted ',' BBR ',' Application ',' Speed ​​',' Reach ', 'limit', 'yaiyalah', 'restricted', 'company', 'gamau', 'loss',' emg ',' company ',' grandma ',' well ',' cave ',' shares', 'TLKM ',' actually ',' owner ',' stock ',' cave ',' benefit ',' cmn ',' as', 'consumer', 'loss',' ad ',' unlimited ', "]</v>
      </c>
      <c r="D1164" s="3">
        <v>5.0</v>
      </c>
    </row>
    <row r="1165" ht="15.75" customHeight="1">
      <c r="A1165" s="1">
        <v>1163.0</v>
      </c>
      <c r="B1165" s="3" t="s">
        <v>1166</v>
      </c>
      <c r="C1165" s="3" t="str">
        <f>IFERROR(__xludf.DUMMYFUNCTION("GOOGLETRANSLATE(B1165,""id"",""en"")"),"['mind', 'billing', 'repayment', 'package', 'emergency', 'Telkomsel', 'finished', 'charging', 'pulse', 'charged', 'bill', 'repayment', ' package ',' emergency ',' activate ',' package ',' emergency ',' system ',' related ',' package ',' emergency ',' even"&amp;"t ',' detrimental ',' user ',' card ' , 'Telkomsel', 'package', 'emergency', 'Telkomsel', 'Hopefully', 'Understand', 'Review', 'Thank you', '']")</f>
        <v>['mind', 'billing', 'repayment', 'package', 'emergency', 'Telkomsel', 'finished', 'charging', 'pulse', 'charged', 'bill', 'repayment', ' package ',' emergency ',' activate ',' package ',' emergency ',' system ',' related ',' package ',' emergency ',' event ',' detrimental ',' user ',' card ' , 'Telkomsel', 'package', 'emergency', 'Telkomsel', 'Hopefully', 'Understand', 'Review', 'Thank you', '']</v>
      </c>
      <c r="D1165" s="3">
        <v>1.0</v>
      </c>
    </row>
    <row r="1166" ht="15.75" customHeight="1">
      <c r="A1166" s="1">
        <v>1164.0</v>
      </c>
      <c r="B1166" s="3" t="s">
        <v>1167</v>
      </c>
      <c r="C1166" s="3" t="str">
        <f>IFERROR(__xludf.DUMMYFUNCTION("GOOGLETRANSLATE(B1166,""id"",""en"")"),"['Please', 'Telkomsel', 'Package', 'Unlimited', 'YouTube', 'Credit', 'Out', 'Terms', 'Oprator', 'Telkomsel']")</f>
        <v>['Please', 'Telkomsel', 'Package', 'Unlimited', 'YouTube', 'Credit', 'Out', 'Terms', 'Oprator', 'Telkomsel']</v>
      </c>
      <c r="D1166" s="3">
        <v>1.0</v>
      </c>
    </row>
    <row r="1167" ht="15.75" customHeight="1">
      <c r="A1167" s="1">
        <v>1165.0</v>
      </c>
      <c r="B1167" s="3" t="s">
        <v>1168</v>
      </c>
      <c r="C1167" s="3" t="str">
        <f>IFERROR(__xludf.DUMMYFUNCTION("GOOGLETRANSLATE(B1167,""id"",""en"")"),"['Transfer', 'pulse', 'friend', 'enter', 'clock', 'pulse', 'truncated', 'TLP', 'told', 'wait', 'clock', 'contents',' Credit ',' friend ',' dilapidated ',' ']")</f>
        <v>['Transfer', 'pulse', 'friend', 'enter', 'clock', 'pulse', 'truncated', 'TLP', 'told', 'wait', 'clock', 'contents',' Credit ',' friend ',' dilapidated ',' ']</v>
      </c>
      <c r="D1167" s="3">
        <v>1.0</v>
      </c>
    </row>
    <row r="1168" ht="15.75" customHeight="1">
      <c r="A1168" s="1">
        <v>1166.0</v>
      </c>
      <c r="B1168" s="3" t="s">
        <v>1169</v>
      </c>
      <c r="C1168" s="3" t="str">
        <f>IFERROR(__xludf.DUMMYFUNCTION("GOOGLETRANSLATE(B1168,""id"",""en"")"),"['buy', 'pulse', 'application', 'Telkomsel', 'ovo', 'balance', 'uda', 'chopped', 'pulse', 'entry', 'telephone', 'operator', ' Have ',' Wait ',' satisfying ',' service ',' Telkomsel ', ""]")</f>
        <v>['buy', 'pulse', 'application', 'Telkomsel', 'ovo', 'balance', 'uda', 'chopped', 'pulse', 'entry', 'telephone', 'operator', ' Have ',' Wait ',' satisfying ',' service ',' Telkomsel ', "]</v>
      </c>
      <c r="D1168" s="3">
        <v>1.0</v>
      </c>
    </row>
    <row r="1169" ht="15.75" customHeight="1">
      <c r="A1169" s="1">
        <v>1167.0</v>
      </c>
      <c r="B1169" s="3" t="s">
        <v>1170</v>
      </c>
      <c r="C1169" s="3" t="str">
        <f>IFERROR(__xludf.DUMMYFUNCTION("GOOGLETRANSLATE(B1169,""id"",""en"")"),"['Assalamualaikum', 'Please', 'Sorry', 'Telkomsel', 'Telkomsel', 'The Net', 'Leet', 'Leet', 'Buy', 'Credit', 'BLI', 'Package', ' OMG ',' internet ',' Pakek ',' please ',' Telkomsel ',' pellanted ',' loyal ',' Telkomsel ',' Please ',' help ',' thank ',' lo"&amp;"ve ']")</f>
        <v>['Assalamualaikum', 'Please', 'Sorry', 'Telkomsel', 'Telkomsel', 'The Net', 'Leet', 'Leet', 'Buy', 'Credit', 'BLI', 'Package', ' OMG ',' internet ',' Pakek ',' please ',' Telkomsel ',' pellanted ',' loyal ',' Telkomsel ',' Please ',' help ',' thank ',' love ']</v>
      </c>
      <c r="D1169" s="3">
        <v>2.0</v>
      </c>
    </row>
    <row r="1170" ht="15.75" customHeight="1">
      <c r="A1170" s="1">
        <v>1168.0</v>
      </c>
      <c r="B1170" s="3" t="s">
        <v>1171</v>
      </c>
      <c r="C1170" s="3" t="str">
        <f>IFERROR(__xludf.DUMMYFUNCTION("GOOGLETRANSLATE(B1170,""id"",""en"")"),"['Stress',' Telkomsel ',' Network ',' stable ',' rotten ',' error ',' mulu ',' Dih ',' unclean ',' replace ',' card ',' prime ',' bro ',' Jngan ',' PKE ',' Telkomsel ',' perverted ',' already ',' here ',' mah ',' choice ',' package ',' internet ', ""]")</f>
        <v>['Stress',' Telkomsel ',' Network ',' stable ',' rotten ',' error ',' mulu ',' Dih ',' unclean ',' replace ',' card ',' prime ',' bro ',' Jngan ',' PKE ',' Telkomsel ',' perverted ',' already ',' here ',' mah ',' choice ',' package ',' internet ', "]</v>
      </c>
      <c r="D1170" s="3">
        <v>1.0</v>
      </c>
    </row>
    <row r="1171" ht="15.75" customHeight="1">
      <c r="A1171" s="1">
        <v>1169.0</v>
      </c>
      <c r="B1171" s="3" t="s">
        <v>1172</v>
      </c>
      <c r="C1171" s="3" t="str">
        <f>IFERROR(__xludf.DUMMYFUNCTION("GOOGLETRANSLATE(B1171,""id"",""en"")"),"['Actually', 'Telkomsel', 'whyaaa', 'Yesterday', 'cave', 'buy', 'package', 'right', 'cave', 'buy', 'pulse', 'reduced', ' Package ',' entered ',' that's', 'pulse', 'cave', 'ilang', 'package', 'enter', 'damn', 'loss',' cave ',' signal ',' slow ' , 'price', "&amp;"'choice', 'cave', 'already', 'contents',' pulse ',' want ',' buy ',' package ',' already ',' minute ',' cave ',' Fill ',' Credit ',' Please ',' Fix ',' Gini ',' Mending ',' Cave ',' Change ',' Card ',' Next ',' Kayak ',' Sodara ',' Cave ' , 'yesterday']")</f>
        <v>['Actually', 'Telkomsel', 'whyaaa', 'Yesterday', 'cave', 'buy', 'package', 'right', 'cave', 'buy', 'pulse', 'reduced', ' Package ',' entered ',' that's', 'pulse', 'cave', 'ilang', 'package', 'enter', 'damn', 'loss',' cave ',' signal ',' slow ' , 'price', 'choice', 'cave', 'already', 'contents',' pulse ',' want ',' buy ',' package ',' already ',' minute ',' cave ',' Fill ',' Credit ',' Please ',' Fix ',' Gini ',' Mending ',' Cave ',' Change ',' Card ',' Next ',' Kayak ',' Sodara ',' Cave ' , 'yesterday']</v>
      </c>
      <c r="D1171" s="3">
        <v>1.0</v>
      </c>
    </row>
    <row r="1172" ht="15.75" customHeight="1">
      <c r="A1172" s="1">
        <v>1170.0</v>
      </c>
      <c r="B1172" s="3" t="s">
        <v>1173</v>
      </c>
      <c r="C1172" s="3" t="str">
        <f>IFERROR(__xludf.DUMMYFUNCTION("GOOGLETRANSLATE(B1172,""id"",""en"")"),"['Sorry', 'Telkomsel', 'buy', 'package', 'expensive', 'until', 'package', 'RB', 'GB', 'slow', 'Severe', 'buy', ' Cheap ',' woi ',' buy ',' thousand ',' slow ',' woiiii ',' signal ',' ancor ',' Telkomsel ',' Gosh ',' disappointing ',' ']")</f>
        <v>['Sorry', 'Telkomsel', 'buy', 'package', 'expensive', 'until', 'package', 'RB', 'GB', 'slow', 'Severe', 'buy', ' Cheap ',' woi ',' buy ',' thousand ',' slow ',' woiiii ',' signal ',' ancor ',' Telkomsel ',' Gosh ',' disappointing ',' ']</v>
      </c>
      <c r="D1172" s="3">
        <v>1.0</v>
      </c>
    </row>
    <row r="1173" ht="15.75" customHeight="1">
      <c r="A1173" s="1">
        <v>1171.0</v>
      </c>
      <c r="B1173" s="3" t="s">
        <v>1174</v>
      </c>
      <c r="C1173" s="3" t="str">
        <f>IFERROR(__xludf.DUMMYFUNCTION("GOOGLETRANSLATE(B1173,""id"",""en"")"),"['Disappointed', 'I', 'Customer', 'loyal', 'Telkomsel', 'Network', 'ugly', 'really', 'buy', 'quota', 'expensive', 'network', ' ugly ',' wanted ',' moved ',' me ',' provider ',' network ',' Telkomsel ',' disappointing ',' ']")</f>
        <v>['Disappointed', 'I', 'Customer', 'loyal', 'Telkomsel', 'Network', 'ugly', 'really', 'buy', 'quota', 'expensive', 'network', ' ugly ',' wanted ',' moved ',' me ',' provider ',' network ',' Telkomsel ',' disappointing ',' ']</v>
      </c>
      <c r="D1173" s="3">
        <v>1.0</v>
      </c>
    </row>
    <row r="1174" ht="15.75" customHeight="1">
      <c r="A1174" s="1">
        <v>1172.0</v>
      </c>
      <c r="B1174" s="3" t="s">
        <v>1175</v>
      </c>
      <c r="C1174" s="3" t="str">
        <f>IFERROR(__xludf.DUMMYFUNCTION("GOOGLETRANSLATE(B1174,""id"",""en"")"),"['', 'update', 'slow', 'garbage', 'Telkomsel', 'cave', 'ngebug', 'enter', 'into', 'App', 'update', 'severe', 'right ',' ']")</f>
        <v>['', 'update', 'slow', 'garbage', 'Telkomsel', 'cave', 'ngebug', 'enter', 'into', 'App', 'update', 'severe', 'right ',' ']</v>
      </c>
      <c r="D1174" s="3">
        <v>1.0</v>
      </c>
    </row>
    <row r="1175" ht="15.75" customHeight="1">
      <c r="A1175" s="1">
        <v>1173.0</v>
      </c>
      <c r="B1175" s="3" t="s">
        <v>1176</v>
      </c>
      <c r="C1175" s="3" t="str">
        <f>IFERROR(__xludf.DUMMYFUNCTION("GOOGLETRANSLATE(B1175,""id"",""en"")"),"['easy', 'hopefully', 'update', 'easy', 'login', 'number', 'used to', 'ribet', 'really', 'plus',' rating ',' already ',' Good ',' Ribet ',' ']")</f>
        <v>['easy', 'hopefully', 'update', 'easy', 'login', 'number', 'used to', 'ribet', 'really', 'plus',' rating ',' already ',' Good ',' Ribet ',' ']</v>
      </c>
      <c r="D1175" s="3">
        <v>1.0</v>
      </c>
    </row>
    <row r="1176" ht="15.75" customHeight="1">
      <c r="A1176" s="1">
        <v>1174.0</v>
      </c>
      <c r="B1176" s="3" t="s">
        <v>1177</v>
      </c>
      <c r="C1176" s="3" t="str">
        <f>IFERROR(__xludf.DUMMYFUNCTION("GOOGLETRANSLATE(B1176,""id"",""en"")"),"['Lemotd', 'the application', 'bad', 'bagusan', 'provider', 'UDH', 'expensive', 'slow', 'slow', 'pokonya', 'network', 'full' Tetep ',' Lemot ',' Application ',' Telkomsel ',' Disappointing ']")</f>
        <v>['Lemotd', 'the application', 'bad', 'bagusan', 'provider', 'UDH', 'expensive', 'slow', 'slow', 'pokonya', 'network', 'full' Tetep ',' Lemot ',' Application ',' Telkomsel ',' Disappointing ']</v>
      </c>
      <c r="D1176" s="3">
        <v>1.0</v>
      </c>
    </row>
    <row r="1177" ht="15.75" customHeight="1">
      <c r="A1177" s="1">
        <v>1175.0</v>
      </c>
      <c r="B1177" s="3" t="s">
        <v>1178</v>
      </c>
      <c r="C1177" s="3" t="str">
        <f>IFERROR(__xludf.DUMMYFUNCTION("GOOGLETRANSLATE(B1177,""id"",""en"")"),"['buy', 'quota', 'signal', 'TPI', 'Dipake', 'fix', 'quality', 'signal', 'rotten', 'signal', 'shy', 'provider', ' private ',' provider ',' plate ',' red ',' quality ',' bad ',' quota ',' buy ',' expensive ',' dipake ',' ']")</f>
        <v>['buy', 'quota', 'signal', 'TPI', 'Dipake', 'fix', 'quality', 'signal', 'rotten', 'signal', 'shy', 'provider', ' private ',' provider ',' plate ',' red ',' quality ',' bad ',' quota ',' buy ',' expensive ',' dipake ',' ']</v>
      </c>
      <c r="D1177" s="3">
        <v>1.0</v>
      </c>
    </row>
    <row r="1178" ht="15.75" customHeight="1">
      <c r="A1178" s="1">
        <v>1176.0</v>
      </c>
      <c r="B1178" s="3" t="s">
        <v>1179</v>
      </c>
      <c r="C1178" s="3" t="str">
        <f>IFERROR(__xludf.DUMMYFUNCTION("GOOGLETRANSLATE(B1178,""id"",""en"")"),"['Please', 'Telkomsel', 'Network', 'Kek', 'Gini', 'Student', 'Comfortable', 'Karna', 'Network', 'Data', 'Like', 'Dead', ' Online ',' expect ',' Telkom ',' restore ',' Network ',' Telkom ',' Sedia ',' Thank you ']")</f>
        <v>['Please', 'Telkomsel', 'Network', 'Kek', 'Gini', 'Student', 'Comfortable', 'Karna', 'Network', 'Data', 'Like', 'Dead', ' Online ',' expect ',' Telkom ',' restore ',' Network ',' Telkom ',' Sedia ',' Thank you ']</v>
      </c>
      <c r="D1178" s="3">
        <v>1.0</v>
      </c>
    </row>
    <row r="1179" ht="15.75" customHeight="1">
      <c r="A1179" s="1">
        <v>1177.0</v>
      </c>
      <c r="B1179" s="3" t="s">
        <v>1180</v>
      </c>
      <c r="C1179" s="3" t="str">
        <f>IFERROR(__xludf.DUMMYFUNCTION("GOOGLETRANSLATE(B1179,""id"",""en"")"),"['signal', 'parahhhhh', 'ugly', 'really', 'parahh', 'parahh', 'repaired', 'signal', 'ugly', 'really', 'used', 'game', ' Parahhh ',' Bangett ',' oath ',' ugly ', ""]")</f>
        <v>['signal', 'parahhhhh', 'ugly', 'really', 'parahh', 'parahh', 'repaired', 'signal', 'ugly', 'really', 'used', 'game', ' Parahhh ',' Bangett ',' oath ',' ugly ', "]</v>
      </c>
      <c r="D1179" s="3">
        <v>1.0</v>
      </c>
    </row>
    <row r="1180" ht="15.75" customHeight="1">
      <c r="A1180" s="1">
        <v>1178.0</v>
      </c>
      <c r="B1180" s="3" t="s">
        <v>1181</v>
      </c>
      <c r="C1180" s="3" t="str">
        <f>IFERROR(__xludf.DUMMYFUNCTION("GOOGLETRANSLATE(B1180,""id"",""en"")"),"['slow', 'really', 'woi', 'price', 'package', 'naek', 'network', 'battered', 'already', 'malem', 'already', 'kagak', ' Used ',' so slow ',' emotions', 'really', 'Maen', 'game', 'kagak', 'strong', 'edit', 'pretentious',' iye ',' really ' , 'Ngelintanin', '"&amp;"battered', 'Benerin', 'Gausah', 'Country']")</f>
        <v>['slow', 'really', 'woi', 'price', 'package', 'naek', 'network', 'battered', 'already', 'malem', 'already', 'kagak', ' Used ',' so slow ',' emotions', 'really', 'Maen', 'game', 'kagak', 'strong', 'edit', 'pretentious',' iye ',' really ' , 'Ngelintanin', 'battered', 'Benerin', 'Gausah', 'Country']</v>
      </c>
      <c r="D1180" s="3">
        <v>1.0</v>
      </c>
    </row>
    <row r="1181" ht="15.75" customHeight="1">
      <c r="A1181" s="1">
        <v>1179.0</v>
      </c>
      <c r="B1181" s="3" t="s">
        <v>1182</v>
      </c>
      <c r="C1181" s="3" t="str">
        <f>IFERROR(__xludf.DUMMYFUNCTION("GOOGLETRANSLATE(B1181,""id"",""en"")"),"['', 'Telkomsel', 'Damn', 'buy', 'pulse', 'check', 'number', 'already', 'right', 'counter', 'already', 'success',' shipping ',' Credit ',' enter ',' replace ',' counter ',' packagein ',' package ',' youtube ',' GB ',' loss', 'loss',' really ',' pulse ', '"&amp;"ilang', 'internet', 'road', 'apes']")</f>
        <v>['', 'Telkomsel', 'Damn', 'buy', 'pulse', 'check', 'number', 'already', 'right', 'counter', 'already', 'success',' shipping ',' Credit ',' enter ',' replace ',' counter ',' packagein ',' package ',' youtube ',' GB ',' loss', 'loss',' really ',' pulse ', 'ilang', 'internet', 'road', 'apes']</v>
      </c>
      <c r="D1181" s="3">
        <v>1.0</v>
      </c>
    </row>
    <row r="1182" ht="15.75" customHeight="1">
      <c r="A1182" s="1">
        <v>1180.0</v>
      </c>
      <c r="B1182" s="3" t="s">
        <v>1183</v>
      </c>
      <c r="C1182" s="3" t="str">
        <f>IFERROR(__xludf.DUMMYFUNCTION("GOOGLETRANSLATE(B1182,""id"",""en"")"),"['Paketan', 'YouTube', 'Unlimited', 'Out', 'Buy', 'Meeting', 'Lost', 'Veronika', 'System', 'Busy', 'Clear', 'Data', ' Update ',' Application ',' Menu ',' Thinking ',' YouTube ',' With You ',' ']")</f>
        <v>['Paketan', 'YouTube', 'Unlimited', 'Out', 'Buy', 'Meeting', 'Lost', 'Veronika', 'System', 'Busy', 'Clear', 'Data', ' Update ',' Application ',' Menu ',' Thinking ',' YouTube ',' With You ',' ']</v>
      </c>
      <c r="D1182" s="3">
        <v>1.0</v>
      </c>
    </row>
    <row r="1183" ht="15.75" customHeight="1">
      <c r="A1183" s="1">
        <v>1181.0</v>
      </c>
      <c r="B1183" s="3" t="s">
        <v>1184</v>
      </c>
      <c r="C1183" s="3" t="str">
        <f>IFERROR(__xludf.DUMMYFUNCTION("GOOGLETRANSLATE(B1183,""id"",""en"")"),"['update', 'APK', 'service', 'quality', 'network', 'backward', 'profit', 'internet', 'card', 'tri', 'update', 'apk', ' Update ',' APK ',' network ',' card ',' tri ',' because 'signal', 'Telkomsel', 'bad', 'thank', 'love', 'Telkomsel']")</f>
        <v>['update', 'APK', 'service', 'quality', 'network', 'backward', 'profit', 'internet', 'card', 'tri', 'update', 'apk', ' Update ',' APK ',' network ',' card ',' tri ',' because 'signal', 'Telkomsel', 'bad', 'thank', 'love', 'Telkomsel']</v>
      </c>
      <c r="D1183" s="3">
        <v>1.0</v>
      </c>
    </row>
    <row r="1184" ht="15.75" customHeight="1">
      <c r="A1184" s="1">
        <v>1182.0</v>
      </c>
      <c r="B1184" s="3" t="s">
        <v>1185</v>
      </c>
      <c r="C1184" s="3" t="str">
        <f>IFERROR(__xludf.DUMMYFUNCTION("GOOGLETRANSLATE(B1184,""id"",""en"")"),"['network', 'bapuk', 'Telkomsel', 'slow', 'severe', 'where', 'signal', 'Telkomsel', 'speeding', 'rich', 'listen', 'complaint', ' Customers', 'fix', 'damage', 'respond', 'complementary', 'customers',' customers', 'moved', 'operator']")</f>
        <v>['network', 'bapuk', 'Telkomsel', 'slow', 'severe', 'where', 'signal', 'Telkomsel', 'speeding', 'rich', 'listen', 'complaint', ' Customers', 'fix', 'damage', 'respond', 'complementary', 'customers',' customers', 'moved', 'operator']</v>
      </c>
      <c r="D1184" s="3">
        <v>1.0</v>
      </c>
    </row>
    <row r="1185" ht="15.75" customHeight="1">
      <c r="A1185" s="1">
        <v>1183.0</v>
      </c>
      <c r="B1185" s="3" t="s">
        <v>1186</v>
      </c>
      <c r="C1185" s="3" t="str">
        <f>IFERROR(__xludf.DUMMYFUNCTION("GOOGLETRANSLATE(B1185,""id"",""en"")"),"['blng', 'ugly', 'lose', 'competitiveness',' hope ',' Telkomsel ',' change ',' nominal ',' price ',' package ',' internet ',' strangling ',' Stable ',' ajh ',' use ',' satisfied ',' comfortable ',' ']")</f>
        <v>['blng', 'ugly', 'lose', 'competitiveness',' hope ',' Telkomsel ',' change ',' nominal ',' price ',' package ',' internet ',' strangling ',' Stable ',' ajh ',' use ',' satisfied ',' comfortable ',' ']</v>
      </c>
      <c r="D1185" s="3">
        <v>2.0</v>
      </c>
    </row>
    <row r="1186" ht="15.75" customHeight="1">
      <c r="A1186" s="1">
        <v>1184.0</v>
      </c>
      <c r="B1186" s="3" t="s">
        <v>1187</v>
      </c>
      <c r="C1186" s="3" t="str">
        <f>IFERROR(__xludf.DUMMYFUNCTION("GOOGLETRANSLATE(B1186,""id"",""en"")"),"['suggestion', 'Telkomsel', 'user', 'combo', 'Sakti', 'unlimited', 'quota', 'main', 'run out', 'hope', 'enter', 'application' Telkomsel ',' application ',' Unlimited ',' Telkomsel ',' slow ',' Loading ',' quota ',' main ',' Out ', ""]")</f>
        <v>['suggestion', 'Telkomsel', 'user', 'combo', 'Sakti', 'unlimited', 'quota', 'main', 'run out', 'hope', 'enter', 'application' Telkomsel ',' application ',' Unlimited ',' Telkomsel ',' slow ',' Loading ',' quota ',' main ',' Out ', "]</v>
      </c>
      <c r="D1186" s="3">
        <v>3.0</v>
      </c>
    </row>
    <row r="1187" ht="15.75" customHeight="1">
      <c r="A1187" s="1">
        <v>1185.0</v>
      </c>
      <c r="B1187" s="3" t="s">
        <v>1188</v>
      </c>
      <c r="C1187" s="3" t="str">
        <f>IFERROR(__xludf.DUMMYFUNCTION("GOOGLETRANSLATE(B1187,""id"",""en"")"),"['No', 'Dipake', 'Try', 'Log', 'Direct', 'Dead', 'Pantesan', 'People', 'Love', 'Rating', 'Application', 'Relate', ' ugly ',' really ',' application ',' Please ',' Lined ']")</f>
        <v>['No', 'Dipake', 'Try', 'Log', 'Direct', 'Dead', 'Pantesan', 'People', 'Love', 'Rating', 'Application', 'Relate', ' ugly ',' really ',' application ',' Please ',' Lined ']</v>
      </c>
      <c r="D1187" s="3">
        <v>1.0</v>
      </c>
    </row>
    <row r="1188" ht="15.75" customHeight="1">
      <c r="A1188" s="1">
        <v>1186.0</v>
      </c>
      <c r="B1188" s="3" t="s">
        <v>1189</v>
      </c>
      <c r="C1188" s="3" t="str">
        <f>IFERROR(__xludf.DUMMYFUNCTION("GOOGLETRANSLATE(B1188,""id"",""en"")"),"['Emotion', 'Network', 'Internet', 'Pakek', 'Current', 'Fasting', 'Yesterday', 'Network', 'Stable', 'Gini', 'Please', 'Benerin', ' Kasian ',' user ',' pandemic ',' replace ',' right ',' crazy ',' price ',' please ',' condition ',' already ',' according to"&amp;" ',' ama ',' signal ' , 'Internet', 'Apalgi', 'Finance', 'Bener', 'Calculate', 'Bener', 'please', 'Telkomsel', 'fix', 'times',' stable ',' Gini ',' Intervies', 'online', 'failed', 'gegara', 'signal']")</f>
        <v>['Emotion', 'Network', 'Internet', 'Pakek', 'Current', 'Fasting', 'Yesterday', 'Network', 'Stable', 'Gini', 'Please', 'Benerin', ' Kasian ',' user ',' pandemic ',' replace ',' right ',' crazy ',' price ',' please ',' condition ',' already ',' according to ',' ama ',' signal ' , 'Internet', 'Apalgi', 'Finance', 'Bener', 'Calculate', 'Bener', 'please', 'Telkomsel', 'fix', 'times',' stable ',' Gini ',' Intervies', 'online', 'failed', 'gegara', 'signal']</v>
      </c>
      <c r="D1188" s="3">
        <v>1.0</v>
      </c>
    </row>
    <row r="1189" ht="15.75" customHeight="1">
      <c r="A1189" s="1">
        <v>1187.0</v>
      </c>
      <c r="B1189" s="3" t="s">
        <v>1190</v>
      </c>
      <c r="C1189" s="3" t="str">
        <f>IFERROR(__xludf.DUMMYFUNCTION("GOOGLETRANSLATE(B1189,""id"",""en"")"),"['Fitting', 'Open', 'Application', 'Telkomsel', 'Loading', 'Info', 'UFDate', 'Application', 'Telkomsel', 'UFDate', 'Info', 'Dial', ' Number ',' please ',' repaired ',' service ',' application ',' Telkomsel ',' ']")</f>
        <v>['Fitting', 'Open', 'Application', 'Telkomsel', 'Loading', 'Info', 'UFDate', 'Application', 'Telkomsel', 'UFDate', 'Info', 'Dial', ' Number ',' please ',' repaired ',' service ',' application ',' Telkomsel ',' ']</v>
      </c>
      <c r="D1189" s="3">
        <v>3.0</v>
      </c>
    </row>
    <row r="1190" ht="15.75" customHeight="1">
      <c r="A1190" s="1">
        <v>1188.0</v>
      </c>
      <c r="B1190" s="3" t="s">
        <v>1191</v>
      </c>
      <c r="C1190" s="3" t="str">
        <f>IFERROR(__xludf.DUMMYFUNCTION("GOOGLETRANSLATE(B1190,""id"",""en"")"),"['Paketan', 'here', 'nuru', 'down', 'price', 'network', 'slow', 'like', 'bonus', 'daily', 'check', 'sometimes' JGA ',' package ',' cheap ',' cheap ',' really ',' trs', 'maha', 'expensive', 'ttp', 'okay', 'hope']")</f>
        <v>['Paketan', 'here', 'nuru', 'down', 'price', 'network', 'slow', 'like', 'bonus', 'daily', 'check', 'sometimes' JGA ',' package ',' cheap ',' cheap ',' really ',' trs', 'maha', 'expensive', 'ttp', 'okay', 'hope']</v>
      </c>
      <c r="D1190" s="3">
        <v>4.0</v>
      </c>
    </row>
    <row r="1191" ht="15.75" customHeight="1">
      <c r="A1191" s="1">
        <v>1189.0</v>
      </c>
      <c r="B1191" s="3" t="s">
        <v>1192</v>
      </c>
      <c r="C1191" s="3" t="str">
        <f>IFERROR(__xludf.DUMMYFUNCTION("GOOGLETRANSLATE(B1191,""id"",""en"")"),"['respect', 'Developer', 'Telkomsel', 'promo', 'run out', 'please', 'removed', 'disappointed', 'already', 'content', 'pulse', 'promo', ' ']")</f>
        <v>['respect', 'Developer', 'Telkomsel', 'promo', 'run out', 'please', 'removed', 'disappointed', 'already', 'content', 'pulse', 'promo', ' ']</v>
      </c>
      <c r="D1191" s="3">
        <v>1.0</v>
      </c>
    </row>
    <row r="1192" ht="15.75" customHeight="1">
      <c r="A1192" s="1">
        <v>1190.0</v>
      </c>
      <c r="B1192" s="3" t="s">
        <v>1193</v>
      </c>
      <c r="C1192" s="3" t="str">
        <f>IFERROR(__xludf.DUMMYFUNCTION("GOOGLETRANSLATE(B1192,""id"",""en"")"),"['Please', 'Sorry', 'reduce', 'respect', 'Paketan', 'Offer', 'Different', 'friend', 'Application', 'Thank you', ""]")</f>
        <v>['Please', 'Sorry', 'reduce', 'respect', 'Paketan', 'Offer', 'Different', 'friend', 'Application', 'Thank you', "]</v>
      </c>
      <c r="D1192" s="3">
        <v>1.0</v>
      </c>
    </row>
    <row r="1193" ht="15.75" customHeight="1">
      <c r="A1193" s="1">
        <v>1191.0</v>
      </c>
      <c r="B1193" s="3" t="s">
        <v>1194</v>
      </c>
      <c r="C1193" s="3" t="str">
        <f>IFERROR(__xludf.DUMMYFUNCTION("GOOGLETRANSLATE(B1193,""id"",""en"")"),"['Telkomsel', 'Bener', 'signal', 'severe', 'quality', 'bad', 'quota', 'expensive', 'ugly', 'hope', 'bankrupt', 'Telkomsel', ' Hopefully ',' stock ',' plump ',' ']")</f>
        <v>['Telkomsel', 'Bener', 'signal', 'severe', 'quality', 'bad', 'quota', 'expensive', 'ugly', 'hope', 'bankrupt', 'Telkomsel', ' Hopefully ',' stock ',' plump ',' ']</v>
      </c>
      <c r="D1193" s="3">
        <v>1.0</v>
      </c>
    </row>
    <row r="1194" ht="15.75" customHeight="1">
      <c r="A1194" s="1">
        <v>1192.0</v>
      </c>
      <c r="B1194" s="3" t="s">
        <v>1195</v>
      </c>
      <c r="C1194" s="3" t="str">
        <f>IFERROR(__xludf.DUMMYFUNCTION("GOOGLETRANSLATE(B1194,""id"",""en"")"),"['Telkomsel', 'Severe', 'why', 'already', 'moved', 'card', 'Hello', 'children', 'quota', 'pretty', 'expensive', 'signal', ' Severe ',' Please ',' Donk ',' Lined ',' Gini ',' Customer ',' Faithful ',' Telkomsel ',' Move ',' Perdana ']")</f>
        <v>['Telkomsel', 'Severe', 'why', 'already', 'moved', 'card', 'Hello', 'children', 'quota', 'pretty', 'expensive', 'signal', ' Severe ',' Please ',' Donk ',' Lined ',' Gini ',' Customer ',' Faithful ',' Telkomsel ',' Move ',' Perdana ']</v>
      </c>
      <c r="D1194" s="3">
        <v>1.0</v>
      </c>
    </row>
    <row r="1195" ht="15.75" customHeight="1">
      <c r="A1195" s="1">
        <v>1193.0</v>
      </c>
      <c r="B1195" s="3" t="s">
        <v>1196</v>
      </c>
      <c r="C1195" s="3" t="str">
        <f>IFERROR(__xludf.DUMMYFUNCTION("GOOGLETRANSLATE(B1195,""id"",""en"")"),"['Hmm', 'Liat', 'Review', 'Ngerasain', 'Telkomsel', 'already', 'expensive', 'fast', 'run out', 'also', 'buy', 'cheap', ' unlimited ',' a month ',' right ',' TPI ',' a month ',' already ',' abisss', 'uda', 'condition', 'economy', 'difficult', 'online', 'sc"&amp;"hool' , 'Telkomsel', 'Poor', 'Ajaaa', ""]")</f>
        <v>['Hmm', 'Liat', 'Review', 'Ngerasain', 'Telkomsel', 'already', 'expensive', 'fast', 'run out', 'also', 'buy', 'cheap', ' unlimited ',' a month ',' right ',' TPI ',' a month ',' already ',' abisss', 'uda', 'condition', 'economy', 'difficult', 'online', 'school' , 'Telkomsel', 'Poor', 'Ajaaa', "]</v>
      </c>
      <c r="D1195" s="3">
        <v>1.0</v>
      </c>
    </row>
    <row r="1196" ht="15.75" customHeight="1">
      <c r="A1196" s="1">
        <v>1194.0</v>
      </c>
      <c r="B1196" s="3" t="s">
        <v>1197</v>
      </c>
      <c r="C1196" s="3" t="str">
        <f>IFERROR(__xludf.DUMMYFUNCTION("GOOGLETRANSLATE(B1196,""id"",""en"")"),"['Sorry', 'Change', 'Star', 'Bintang', 'Because', 'Network', 'Telkomsel', 'UGK', 'Figure', 'Network', 'Lemot', 'Quota', ' expensive ',' network ',' slow ',' ngalamin ',' nonnsaya ',' personal ',' friend ',' users', 'Telkomsel', 'hope', 'fix', 'users',' Te"&amp;"lkomsel ' , 'car', 'heart', 'card', 'bay', 'karawang', 'ciampel', ""]")</f>
        <v>['Sorry', 'Change', 'Star', 'Bintang', 'Because', 'Network', 'Telkomsel', 'UGK', 'Figure', 'Network', 'Lemot', 'Quota', ' expensive ',' network ',' slow ',' ngalamin ',' nonnsaya ',' personal ',' friend ',' users', 'Telkomsel', 'hope', 'fix', 'users',' Telkomsel ' , 'car', 'heart', 'card', 'bay', 'karawang', 'ciampel', "]</v>
      </c>
      <c r="D1196" s="3">
        <v>1.0</v>
      </c>
    </row>
    <row r="1197" ht="15.75" customHeight="1">
      <c r="A1197" s="1">
        <v>1195.0</v>
      </c>
      <c r="B1197" s="3" t="s">
        <v>1198</v>
      </c>
      <c r="C1197" s="3" t="str">
        <f>IFERROR(__xludf.DUMMYFUNCTION("GOOGLETRANSLATE(B1197,""id"",""en"")"),"['access',' internet ',' slow ',' application ',' slow ',' price ',' expensive ',' please ',' dehh ',' provider ',' telkom ',' diminatin ',' people ',' BENAHIN ',' Tuhh ',' system ',' internet ',' price ',' compete ',' bnget ',' crazy ',' looked ',' luck "&amp;"',' really ',' sihh ' , 'yaa', 'forgiveness']")</f>
        <v>['access',' internet ',' slow ',' application ',' slow ',' price ',' expensive ',' please ',' dehh ',' provider ',' telkom ',' diminatin ',' people ',' BENAHIN ',' Tuhh ',' system ',' internet ',' price ',' compete ',' bnget ',' crazy ',' looked ',' luck ',' really ',' sihh ' , 'yaa', 'forgiveness']</v>
      </c>
      <c r="D1197" s="3">
        <v>1.0</v>
      </c>
    </row>
    <row r="1198" ht="15.75" customHeight="1">
      <c r="A1198" s="1">
        <v>1196.0</v>
      </c>
      <c r="B1198" s="3" t="s">
        <v>1199</v>
      </c>
      <c r="C1198" s="3" t="str">
        <f>IFERROR(__xludf.DUMMYFUNCTION("GOOGLETRANSLATE(B1198,""id"",""en"")"),"['Wear', 'Telkomsel', 'good', 'cheap', 'expensive', 'network', 'ugly', 'eat', 'pulse', 'can', 'sms',' package ',' The internet ',' run out ',' entry ',' application ',' buy ',' package ',' pulse ',' leftover ',' pulse ',' disappear ',' minutes', 'disappoi"&amp;"nted', 'Telkomsel' , 'Natural', 'Posts', 'Prove', 'Quality', 'Company', ""]")</f>
        <v>['Wear', 'Telkomsel', 'good', 'cheap', 'expensive', 'network', 'ugly', 'eat', 'pulse', 'can', 'sms',' package ',' The internet ',' run out ',' entry ',' application ',' buy ',' package ',' pulse ',' leftover ',' pulse ',' disappear ',' minutes', 'disappointed', 'Telkomsel' , 'Natural', 'Posts', 'Prove', 'Quality', 'Company', "]</v>
      </c>
      <c r="D1198" s="3">
        <v>1.0</v>
      </c>
    </row>
    <row r="1199" ht="15.75" customHeight="1">
      <c r="A1199" s="1">
        <v>1197.0</v>
      </c>
      <c r="B1199" s="3" t="s">
        <v>1200</v>
      </c>
      <c r="C1199" s="3" t="str">
        <f>IFERROR(__xludf.DUMMYFUNCTION("GOOGLETRANSLATE(B1199,""id"",""en"")"),"['Daily', 'Stamp', 'level', 'redeem', 'level', 'redeem', 'writing', 'claim', 'appear', 'locked', 'stamp', 'excess',' Open ',' Bonus', 'Level', '']")</f>
        <v>['Daily', 'Stamp', 'level', 'redeem', 'level', 'redeem', 'writing', 'claim', 'appear', 'locked', 'stamp', 'excess',' Open ',' Bonus', 'Level', '']</v>
      </c>
      <c r="D1199" s="3">
        <v>4.0</v>
      </c>
    </row>
    <row r="1200" ht="15.75" customHeight="1">
      <c r="A1200" s="1">
        <v>1198.0</v>
      </c>
      <c r="B1200" s="3" t="s">
        <v>1201</v>
      </c>
      <c r="C1200" s="3" t="str">
        <f>IFERROR(__xludf.DUMMYFUNCTION("GOOGLETRANSLATE(B1200,""id"",""en"")"),"['application', 'ugly', 'really', 'right', 'nukar', 'point', 'application', 'jammed', 'jammed', 'back', 'apply', 'jammed', ' Forced ',' Uninstall ']")</f>
        <v>['application', 'ugly', 'really', 'right', 'nukar', 'point', 'application', 'jammed', 'jammed', 'back', 'apply', 'jammed', ' Forced ',' Uninstall ']</v>
      </c>
      <c r="D1200" s="3">
        <v>1.0</v>
      </c>
    </row>
    <row r="1201" ht="15.75" customHeight="1">
      <c r="A1201" s="1">
        <v>1199.0</v>
      </c>
      <c r="B1201" s="3" t="s">
        <v>1202</v>
      </c>
      <c r="C1201" s="3" t="str">
        <f>IFERROR(__xludf.DUMMYFUNCTION("GOOGLETRANSLATE(B1201,""id"",""en"")"),"['The application', 'Good', 'Helping', 'Signal', 'Telkomsel', 'Post', 'Pre', 'Pay', 'in the area', 'Bernung', 'Kec', 'Gedong', ' Tataan ',' severe ',' really ',' boss', 'please', 'repaired', '']")</f>
        <v>['The application', 'Good', 'Helping', 'Signal', 'Telkomsel', 'Post', 'Pre', 'Pay', 'in the area', 'Bernung', 'Kec', 'Gedong', ' Tataan ',' severe ',' really ',' boss', 'please', 'repaired', '']</v>
      </c>
      <c r="D1201" s="3">
        <v>2.0</v>
      </c>
    </row>
    <row r="1202" ht="15.75" customHeight="1">
      <c r="A1202" s="1">
        <v>1200.0</v>
      </c>
      <c r="B1202" s="3" t="s">
        <v>1203</v>
      </c>
      <c r="C1202" s="3" t="str">
        <f>IFERROR(__xludf.DUMMYFUNCTION("GOOGLETRANSLATE(B1202,""id"",""en"")"),"['pulse', 'sumps',' contents', 'pulses',' already ',' wifi ',' udab ',' buy ',' package ',' monthly ',' rare ',' turn on ',' Data ',' KNPA ',' Credit ',' Out ',' ']")</f>
        <v>['pulse', 'sumps',' contents', 'pulses',' already ',' wifi ',' udab ',' buy ',' package ',' monthly ',' rare ',' turn on ',' Data ',' KNPA ',' Credit ',' Out ',' ']</v>
      </c>
      <c r="D1202" s="3">
        <v>3.0</v>
      </c>
    </row>
    <row r="1203" ht="15.75" customHeight="1">
      <c r="A1203" s="1">
        <v>1201.0</v>
      </c>
      <c r="B1203" s="3" t="s">
        <v>1204</v>
      </c>
      <c r="C1203" s="3" t="str">
        <f>IFERROR(__xludf.DUMMYFUNCTION("GOOGLETRANSLATE(B1203,""id"",""en"")"),"['signal', 'Telkomsel', 'bad', 'quota', 'unlimited', 'useful', 'quota', 'buy', 'used', 'bad', 'signal', 'quota', ' used ',' huh ',' quota ',' watch ',' used ',' quota ',' main ',' many ',' times', 'complain', 'loading', 'sosmedan']")</f>
        <v>['signal', 'Telkomsel', 'bad', 'quota', 'unlimited', 'useful', 'quota', 'buy', 'used', 'bad', 'signal', 'quota', ' used ',' huh ',' quota ',' watch ',' used ',' quota ',' main ',' many ',' times', 'complain', 'loading', 'sosmedan']</v>
      </c>
      <c r="D1203" s="3">
        <v>1.0</v>
      </c>
    </row>
    <row r="1204" ht="15.75" customHeight="1">
      <c r="A1204" s="1">
        <v>1202.0</v>
      </c>
      <c r="B1204" s="3" t="s">
        <v>1205</v>
      </c>
      <c r="C1204" s="3" t="str">
        <f>IFERROR(__xludf.DUMMYFUNCTION("GOOGLETRANSLATE(B1204,""id"",""en"")"),"['use', 'telkmsel', 'signal', 'tekomsel', 'ugly', 'kayak', 'snail', 'replace', 'Isah', 'pakek', 'card', 'Telkomsel', ' Semkin ',' pakek ',' slow ',' already ',' expensive ',' slow ',' klw ',' tanaya ',' sllu ',' repair ',' already ',' think ',' Cman ' , '"&amp;"Fortunately', 'Come', 'Leave', 'TelkomSellllllllllllll', 'Snail']")</f>
        <v>['use', 'telkmsel', 'signal', 'tekomsel', 'ugly', 'kayak', 'snail', 'replace', 'Isah', 'pakek', 'card', 'Telkomsel', ' Semkin ',' pakek ',' slow ',' already ',' expensive ',' slow ',' klw ',' tanaya ',' sllu ',' repair ',' already ',' think ',' Cman ' , 'Fortunately', 'Come', 'Leave', 'TelkomSellllllllllllll', 'Snail']</v>
      </c>
      <c r="D1204" s="3">
        <v>1.0</v>
      </c>
    </row>
    <row r="1205" ht="15.75" customHeight="1">
      <c r="A1205" s="1">
        <v>1203.0</v>
      </c>
      <c r="B1205" s="3" t="s">
        <v>1206</v>
      </c>
      <c r="C1205" s="3" t="str">
        <f>IFERROR(__xludf.DUMMYFUNCTION("GOOGLETRANSLATE(B1205,""id"",""en"")"),"['Please', 'The network', 'Flatancing', 'Region', 'Jambi', 'Kerinci', 'Exact', 'Village', 'Kersik', 'Old', 'Main', 'Mobile', ' Legend ',' network ',' stable ',' as soon as possible ',' action ',' improvement ',' satisfied ',' network ',' Telkomsel ',' tnk"&amp;"s']")</f>
        <v>['Please', 'The network', 'Flatancing', 'Region', 'Jambi', 'Kerinci', 'Exact', 'Village', 'Kersik', 'Old', 'Main', 'Mobile', ' Legend ',' network ',' stable ',' as soon as possible ',' action ',' improvement ',' satisfied ',' network ',' Telkomsel ',' tnks']</v>
      </c>
      <c r="D1205" s="3">
        <v>3.0</v>
      </c>
    </row>
    <row r="1206" ht="15.75" customHeight="1">
      <c r="A1206" s="1">
        <v>1204.0</v>
      </c>
      <c r="B1206" s="3" t="s">
        <v>1207</v>
      </c>
      <c r="C1206" s="3" t="str">
        <f>IFERROR(__xludf.DUMMYFUNCTION("GOOGLETRANSLATE(B1206,""id"",""en"")"),"['Telkomsel', 'bad', 'network', 'Telkomsel', 'bad', 'aspect', 'device', 'package', 'above', 'pliss', 'please', 'repaired' The network is', 'just', 'go up', 'the price', ""]")</f>
        <v>['Telkomsel', 'bad', 'network', 'Telkomsel', 'bad', 'aspect', 'device', 'package', 'above', 'pliss', 'please', 'repaired' The network is', 'just', 'go up', 'the price', "]</v>
      </c>
      <c r="D1206" s="3">
        <v>1.0</v>
      </c>
    </row>
    <row r="1207" ht="15.75" customHeight="1">
      <c r="A1207" s="1">
        <v>1205.0</v>
      </c>
      <c r="B1207" s="3" t="s">
        <v>1208</v>
      </c>
      <c r="C1207" s="3" t="str">
        <f>IFERROR(__xludf.DUMMYFUNCTION("GOOGLETRANSLATE(B1207,""id"",""en"")"),"['Tekomsel', 'Taik', 'Telkomsel', 'Taik', 'KNPA', 'see', 'down', 'already', 'said', 'taik', 'quota', 'expensive', ' network ',' taik ']")</f>
        <v>['Tekomsel', 'Taik', 'Telkomsel', 'Taik', 'KNPA', 'see', 'down', 'already', 'said', 'taik', 'quota', 'expensive', ' network ',' taik ']</v>
      </c>
      <c r="D1207" s="3">
        <v>5.0</v>
      </c>
    </row>
    <row r="1208" ht="15.75" customHeight="1">
      <c r="A1208" s="1">
        <v>1206.0</v>
      </c>
      <c r="B1208" s="3" t="s">
        <v>1209</v>
      </c>
      <c r="C1208" s="3" t="str">
        <f>IFERROR(__xludf.DUMMYFUNCTION("GOOGLETRANSLATE(B1208,""id"",""en"")"),"['Telkomsel', 'Telkomsel', 'Disappointed', 'Use', 'Products', 'Telkomsel', 'Klu', 'Telkomsel', 'Offers', 'OMG', 'As' according to ',' Offered ',' dlu ',' combo ',' saktinya ',' changed ',' ']")</f>
        <v>['Telkomsel', 'Telkomsel', 'Disappointed', 'Use', 'Products', 'Telkomsel', 'Klu', 'Telkomsel', 'Offers', 'OMG', 'As' according to ',' Offered ',' dlu ',' combo ',' saktinya ',' changed ',' ']</v>
      </c>
      <c r="D1208" s="3">
        <v>5.0</v>
      </c>
    </row>
    <row r="1209" ht="15.75" customHeight="1">
      <c r="A1209" s="1">
        <v>1207.0</v>
      </c>
      <c r="B1209" s="3" t="s">
        <v>1210</v>
      </c>
      <c r="C1209" s="3" t="str">
        <f>IFERROR(__xludf.DUMMYFUNCTION("GOOGLETRANSLATE(B1209,""id"",""en"")"),"['Ngah', 'Telko', 'Changed', 'Display', 'Telkom', 'Disconnect', 'Need', 'Check', 'Data', 'Install', 'Disappointed', 'Hyone', ' Brisk ',' Language ',' English ',' PDH ',' People ',' Indonesia ',' Ngah ',' People ',' Understand ',' BHS ',' English ']")</f>
        <v>['Ngah', 'Telko', 'Changed', 'Display', 'Telkom', 'Disconnect', 'Need', 'Check', 'Data', 'Install', 'Disappointed', 'Hyone', ' Brisk ',' Language ',' English ',' PDH ',' People ',' Indonesia ',' Ngah ',' People ',' Understand ',' BHS ',' English ']</v>
      </c>
      <c r="D1209" s="3">
        <v>1.0</v>
      </c>
    </row>
    <row r="1210" ht="15.75" customHeight="1">
      <c r="A1210" s="1">
        <v>1208.0</v>
      </c>
      <c r="B1210" s="3" t="s">
        <v>1211</v>
      </c>
      <c r="C1210" s="3" t="str">
        <f>IFERROR(__xludf.DUMMYFUNCTION("GOOGLETRANSLATE(B1210,""id"",""en"")"),"['Suggestion', 'Package', 'Unlimited', 'buy', 'Combo', 'Sakti', 'appears',' Package ',' Unlimited ',' Unlimited ',' buy ',' combo ',' Sakti ',' please ',' collapsed ',' multiplied ',' option ',' price ',' combony ',' buy ',' GB ',' haga ',' provider ',' b"&amp;"est ',' times' , 'heavily', 'Indonesia', 'troubled', 'signal', 'range', 'special', 'area', 'level', 'its network', 'stable', 'satisfying', ""]")</f>
        <v>['Suggestion', 'Package', 'Unlimited', 'buy', 'Combo', 'Sakti', 'appears',' Package ',' Unlimited ',' Unlimited ',' buy ',' combo ',' Sakti ',' please ',' collapsed ',' multiplied ',' option ',' price ',' combony ',' buy ',' GB ',' haga ',' provider ',' best ',' times' , 'heavily', 'Indonesia', 'troubled', 'signal', 'range', 'special', 'area', 'level', 'its network', 'stable', 'satisfying', "]</v>
      </c>
      <c r="D1210" s="3">
        <v>1.0</v>
      </c>
    </row>
    <row r="1211" ht="15.75" customHeight="1">
      <c r="A1211" s="1">
        <v>1209.0</v>
      </c>
      <c r="B1211" s="3" t="s">
        <v>1212</v>
      </c>
      <c r="C1211" s="3" t="str">
        <f>IFERROR(__xludf.DUMMYFUNCTION("GOOGLETRANSLATE(B1211,""id"",""en"")"),"['Community', 'Internet', 'Region', 'Bandung', 'Pangalengan', 'Bad', 'Worth', 'Buy', 'Quota', 'Money', 'Leaves',' Banana ',' Threat ',' Severe ',' Connection ',' Internet ',' ']")</f>
        <v>['Community', 'Internet', 'Region', 'Bandung', 'Pangalengan', 'Bad', 'Worth', 'Buy', 'Quota', 'Money', 'Leaves',' Banana ',' Threat ',' Severe ',' Connection ',' Internet ',' ']</v>
      </c>
      <c r="D1211" s="3">
        <v>1.0</v>
      </c>
    </row>
    <row r="1212" ht="15.75" customHeight="1">
      <c r="A1212" s="1">
        <v>1210.0</v>
      </c>
      <c r="B1212" s="3" t="s">
        <v>1213</v>
      </c>
      <c r="C1212" s="3" t="str">
        <f>IFERROR(__xludf.DUMMYFUNCTION("GOOGLETRANSLATE(B1212,""id"",""en"")"),"['signal', 'Telkomsel', 'ugly', 'in the city', 'demgkat', 'transmitter', 'tetep', 'ugly', 'price', 'package', 'expensive', 'please', ' repaired ',' network ',' Telkomsel ',' user ',' comfortable ']")</f>
        <v>['signal', 'Telkomsel', 'ugly', 'in the city', 'demgkat', 'transmitter', 'tetep', 'ugly', 'price', 'package', 'expensive', 'please', ' repaired ',' network ',' Telkomsel ',' user ',' comfortable ']</v>
      </c>
      <c r="D1212" s="3">
        <v>1.0</v>
      </c>
    </row>
    <row r="1213" ht="15.75" customHeight="1">
      <c r="A1213" s="1">
        <v>1211.0</v>
      </c>
      <c r="B1213" s="3" t="s">
        <v>1214</v>
      </c>
      <c r="C1213" s="3" t="str">
        <f>IFERROR(__xludf.DUMMYFUNCTION("GOOGLETRANSLATE(B1213,""id"",""en"")"),"['Please', 'Telkomsel', 'repaired', 'network', 'slow', 'Kemdian', 'fill', 'pulse', 'thousand', 'intention', 'buy', 'package', ' Until ',' second ',' cut ',' thousand ',' fill ',' thousand ',' cut ',' thousand ',' really ',' disappointing ',' detrimental '"&amp;",' consunem ']")</f>
        <v>['Please', 'Telkomsel', 'repaired', 'network', 'slow', 'Kemdian', 'fill', 'pulse', 'thousand', 'intention', 'buy', 'package', ' Until ',' second ',' cut ',' thousand ',' fill ',' thousand ',' cut ',' thousand ',' really ',' disappointing ',' detrimental ',' consunem ']</v>
      </c>
      <c r="D1213" s="3">
        <v>1.0</v>
      </c>
    </row>
    <row r="1214" ht="15.75" customHeight="1">
      <c r="A1214" s="1">
        <v>1212.0</v>
      </c>
      <c r="B1214" s="3" t="s">
        <v>1215</v>
      </c>
      <c r="C1214" s="3" t="str">
        <f>IFERROR(__xludf.DUMMYFUNCTION("GOOGLETRANSLATE(B1214,""id"",""en"")"),"['Jaganlah', 'lies',' Customer ',' Disappointed ',' thousand ',' Occupy ',' Lying ',' Sell ',' Sell ',' Lie ',' Points', ' Honda ',' motorbike ',' bit ',' nga ',' honest ',' customer ']")</f>
        <v>['Jaganlah', 'lies',' Customer ',' Disappointed ',' thousand ',' Occupy ',' Lying ',' Sell ',' Sell ',' Lie ',' Points', ' Honda ',' motorbike ',' bit ',' nga ',' honest ',' customer ']</v>
      </c>
      <c r="D1214" s="3">
        <v>4.0</v>
      </c>
    </row>
    <row r="1215" ht="15.75" customHeight="1">
      <c r="A1215" s="1">
        <v>1213.0</v>
      </c>
      <c r="B1215" s="3" t="s">
        <v>1216</v>
      </c>
      <c r="C1215" s="3" t="str">
        <f>IFERROR(__xludf.DUMMYFUNCTION("GOOGLETRANSLATE(B1215,""id"",""en"")"),"['Telkomsel', 'branding', 'it seems',' quality ',' signal ',' already ',' class', 'good', 'please', 'repaired', 'complaint', 'repair', ' ']")</f>
        <v>['Telkomsel', 'branding', 'it seems',' quality ',' signal ',' already ',' class', 'good', 'please', 'repaired', 'complaint', 'repair', ' ']</v>
      </c>
      <c r="D1215" s="3">
        <v>1.0</v>
      </c>
    </row>
    <row r="1216" ht="15.75" customHeight="1">
      <c r="A1216" s="1">
        <v>1214.0</v>
      </c>
      <c r="B1216" s="3" t="s">
        <v>1217</v>
      </c>
      <c r="C1216" s="3" t="str">
        <f>IFERROR(__xludf.DUMMYFUNCTION("GOOGLETRANSLATE(B1216,""id"",""en"")"),"['Activate', 'Package', 'Combosakti', 'Date', 'Package', 'Date', 'a month', 'Lohhh', 'justice', 'telkosel', ""]")</f>
        <v>['Activate', 'Package', 'Combosakti', 'Date', 'Package', 'Date', 'a month', 'Lohhh', 'justice', 'telkosel', "]</v>
      </c>
      <c r="D1216" s="3">
        <v>1.0</v>
      </c>
    </row>
    <row r="1217" ht="15.75" customHeight="1">
      <c r="A1217" s="1">
        <v>1215.0</v>
      </c>
      <c r="B1217" s="3" t="s">
        <v>1218</v>
      </c>
      <c r="C1217" s="3" t="str">
        <f>IFERROR(__xludf.DUMMYFUNCTION("GOOGLETRANSLATE(B1217,""id"",""en"")"),"['Language', 'Language', 'Indonesia', 'Language', 'Changed', 'Depends',' User ',' User ',' Application ',' People ',' Indonesia ',' Language ',' Indonesia ',' Mandatory ',' Donk ',' Use ',' Products', 'Indonesia', 'Love', 'Language', 'Sorry', 'Love', 'Sta"&amp;"r', 'In the future', 'hope' , 'Language', 'Indonesia', 'Language', 'Main', 'Choice', 'Language', 'Greetings', ""]")</f>
        <v>['Language', 'Language', 'Indonesia', 'Language', 'Changed', 'Depends',' User ',' User ',' Application ',' People ',' Indonesia ',' Language ',' Indonesia ',' Mandatory ',' Donk ',' Use ',' Products', 'Indonesia', 'Love', 'Language', 'Sorry', 'Love', 'Star', 'In the future', 'hope' , 'Language', 'Indonesia', 'Language', 'Main', 'Choice', 'Language', 'Greetings', "]</v>
      </c>
      <c r="D1217" s="3">
        <v>1.0</v>
      </c>
    </row>
    <row r="1218" ht="15.75" customHeight="1">
      <c r="A1218" s="1">
        <v>1216.0</v>
      </c>
      <c r="B1218" s="3" t="s">
        <v>1219</v>
      </c>
      <c r="C1218" s="3" t="str">
        <f>IFERROR(__xludf.DUMMYFUNCTION("GOOGLETRANSLATE(B1218,""id"",""en"")"),"['emng', 'network', 'good', 'signal', 'full', 'play', 'game', 'ping', 'stable', 'jumping', 'have', 'Benerin', ' Until ',' until ',' play ',' signal ',' card ',' stable ',' really ']")</f>
        <v>['emng', 'network', 'good', 'signal', 'full', 'play', 'game', 'ping', 'stable', 'jumping', 'have', 'Benerin', ' Until ',' until ',' play ',' signal ',' card ',' stable ',' really ']</v>
      </c>
      <c r="D1218" s="3">
        <v>1.0</v>
      </c>
    </row>
    <row r="1219" ht="15.75" customHeight="1">
      <c r="A1219" s="1">
        <v>1217.0</v>
      </c>
      <c r="B1219" s="3" t="s">
        <v>1220</v>
      </c>
      <c r="C1219" s="3" t="str">
        <f>IFERROR(__xludf.DUMMYFUNCTION("GOOGLETRANSLATE(B1219,""id"",""en"")"),"['card', 'knp', 'contents',' package ',' use ',' voucher ',' move ',' buy ',' package ',' lap ',' success', 'internet', ' error ',' direct ',' enter ',' sms', 'package', 'data', 'leftover', 'pulse', 'disappear', ""]")</f>
        <v>['card', 'knp', 'contents',' package ',' use ',' voucher ',' move ',' buy ',' package ',' lap ',' success', 'internet', ' error ',' direct ',' enter ',' sms', 'package', 'data', 'leftover', 'pulse', 'disappear', "]</v>
      </c>
      <c r="D1219" s="3">
        <v>5.0</v>
      </c>
    </row>
    <row r="1220" ht="15.75" customHeight="1">
      <c r="A1220" s="1">
        <v>1218.0</v>
      </c>
      <c r="B1220" s="3" t="s">
        <v>1221</v>
      </c>
      <c r="C1220" s="3" t="str">
        <f>IFERROR(__xludf.DUMMYFUNCTION("GOOGLETRANSLATE(B1220,""id"",""en"")"),"['Bener', 'Satisfied', 'Sixai', 'User', 'Telkomsel', 'From', 'Massa', 'Gabisa', 'Kekeke', 'Quota', 'internet', 'Hadehh', ' DNG ',' TELKOMSEellLL ',' PDHL ',' before ',' The network ',' Topp ',' CERRR ',' Molo ',' Lakok ',' Rural ',' now ',' Why ',' Not ' "&amp;", 'Sad', 'Bngt', 'Telkomsel', 'Hope', 'CPET', 'repaired']")</f>
        <v>['Bener', 'Satisfied', 'Sixai', 'User', 'Telkomsel', 'From', 'Massa', 'Gabisa', 'Kekeke', 'Quota', 'internet', 'Hadehh', ' DNG ',' TELKOMSEellLL ',' PDHL ',' before ',' The network ',' Topp ',' CERRR ',' Molo ',' Lakok ',' Rural ',' now ',' Why ',' Not ' , 'Sad', 'Bngt', 'Telkomsel', 'Hope', 'CPET', 'repaired']</v>
      </c>
      <c r="D1220" s="3">
        <v>1.0</v>
      </c>
    </row>
    <row r="1221" ht="15.75" customHeight="1">
      <c r="A1221" s="1">
        <v>1219.0</v>
      </c>
      <c r="B1221" s="3" t="s">
        <v>1222</v>
      </c>
      <c r="C1221" s="3" t="str">
        <f>IFERROR(__xludf.DUMMYFUNCTION("GOOGLETRANSLATE(B1221,""id"",""en"")"),"['Come', 'expensive', 'package', 'already', 'gamau', 'subscription', 'tsel', 'mending', 'use', 'wifi', 'tsel', 'pket', ' Combo ',' Sakti ',' UDH ',' ilang ',' ']")</f>
        <v>['Come', 'expensive', 'package', 'already', 'gamau', 'subscription', 'tsel', 'mending', 'use', 'wifi', 'tsel', 'pket', ' Combo ',' Sakti ',' UDH ',' ilang ',' ']</v>
      </c>
      <c r="D1221" s="3">
        <v>1.0</v>
      </c>
    </row>
    <row r="1222" ht="15.75" customHeight="1">
      <c r="A1222" s="1">
        <v>1220.0</v>
      </c>
      <c r="B1222" s="3" t="s">
        <v>1223</v>
      </c>
      <c r="C1222" s="3" t="str">
        <f>IFERROR(__xludf.DUMMYFUNCTION("GOOGLETRANSLATE(B1222,""id"",""en"")"),"['pulse', 'bnyak', 'mala', 'sms',' then ',' notification ',' pulse ',' sufficient ',' sms', 'package', 'internet', 'expensive', ' Senua ',' Telkomsel ',' Mending ',' use ',' IM ',' already ',' cheap ',' then ',' network ',' slow ']")</f>
        <v>['pulse', 'bnyak', 'mala', 'sms',' then ',' notification ',' pulse ',' sufficient ',' sms', 'package', 'internet', 'expensive', ' Senua ',' Telkomsel ',' Mending ',' use ',' IM ',' already ',' cheap ',' then ',' network ',' slow ']</v>
      </c>
      <c r="D1222" s="3">
        <v>1.0</v>
      </c>
    </row>
    <row r="1223" ht="15.75" customHeight="1">
      <c r="A1223" s="1">
        <v>1221.0</v>
      </c>
      <c r="B1223" s="3" t="s">
        <v>1224</v>
      </c>
      <c r="C1223" s="3" t="str">
        <f>IFERROR(__xludf.DUMMYFUNCTION("GOOGLETRANSLATE(B1223,""id"",""en"")"),"['Package', 'Telkomsel', 'Change', 'Honest', 'Disappointed', 'Change', 'Package', 'Combo', 'Unlimited', 'thousand', 'Eliminate', ' Choice ',' payaaaaahhhhhh ',' ']")</f>
        <v>['Package', 'Telkomsel', 'Change', 'Honest', 'Disappointed', 'Change', 'Package', 'Combo', 'Unlimited', 'thousand', 'Eliminate', ' Choice ',' payaaaaahhhhhh ',' ']</v>
      </c>
      <c r="D1223" s="3">
        <v>1.0</v>
      </c>
    </row>
    <row r="1224" ht="15.75" customHeight="1">
      <c r="A1224" s="1">
        <v>1222.0</v>
      </c>
      <c r="B1224" s="3" t="s">
        <v>1225</v>
      </c>
      <c r="C1224" s="3" t="str">
        <f>IFERROR(__xludf.DUMMYFUNCTION("GOOGLETRANSLATE(B1224,""id"",""en"")"),"['Internet', 'bad', 'as bad as',' bad ',' home ',' villa ',' kencana ',' cikarang ',' program ',' a million ',' home ',' government ',' Internet ',' Loading ',' VKC ',' Tower ',' Sinyak ',' Enjoy ',' Network ',' Internet ', ""]")</f>
        <v>['Internet', 'bad', 'as bad as',' bad ',' home ',' villa ',' kencana ',' cikarang ',' program ',' a million ',' home ',' government ',' Internet ',' Loading ',' VKC ',' Tower ',' Sinyak ',' Enjoy ',' Network ',' Internet ', "]</v>
      </c>
      <c r="D1224" s="3">
        <v>1.0</v>
      </c>
    </row>
    <row r="1225" ht="15.75" customHeight="1">
      <c r="A1225" s="1">
        <v>1223.0</v>
      </c>
      <c r="B1225" s="3" t="s">
        <v>1226</v>
      </c>
      <c r="C1225" s="3" t="str">
        <f>IFERROR(__xludf.DUMMYFUNCTION("GOOGLETRANSLATE(B1225,""id"",""en"")"),"['Telkomsel', 'paaling', 'spacious',' reach ',' sometimes', 'sometimes',' voice ',' caller ',' already ',' talk ',' so ',' minutes', ' ']")</f>
        <v>['Telkomsel', 'paaling', 'spacious',' reach ',' sometimes', 'sometimes',' voice ',' caller ',' already ',' talk ',' so ',' minutes', ' ']</v>
      </c>
      <c r="D1225" s="3">
        <v>5.0</v>
      </c>
    </row>
    <row r="1226" ht="15.75" customHeight="1">
      <c r="A1226" s="1">
        <v>1224.0</v>
      </c>
      <c r="B1226" s="3" t="s">
        <v>1227</v>
      </c>
      <c r="C1226" s="3" t="str">
        <f>IFERROR(__xludf.DUMMYFUNCTION("GOOGLETRANSLATE(B1226,""id"",""en"")"),"['chaotic', 'quota', 'expensive', 'network', 'slow', 'quota', 'fast', 'run out', 'buy', 'package', 'unlimited', 'limited', ' chaotic ',' Telkomsel ',' name ',' good ',' pandemic ',' cheap ',' stable ',' activity ',' online ']")</f>
        <v>['chaotic', 'quota', 'expensive', 'network', 'slow', 'quota', 'fast', 'run out', 'buy', 'package', 'unlimited', 'limited', ' chaotic ',' Telkomsel ',' name ',' good ',' pandemic ',' cheap ',' stable ',' activity ',' online ']</v>
      </c>
      <c r="D1226" s="3">
        <v>1.0</v>
      </c>
    </row>
    <row r="1227" ht="15.75" customHeight="1">
      <c r="A1227" s="1">
        <v>1225.0</v>
      </c>
      <c r="B1227" s="3" t="s">
        <v>1228</v>
      </c>
      <c r="C1227" s="3" t="str">
        <f>IFERROR(__xludf.DUMMYFUNCTION("GOOGLETRANSLATE(B1227,""id"",""en"")"),"['Paketan', 'run out', 'a week', 'late', 'network', 'ugly', 'access',' internet ',' broken ',' broken ',' repaired ',' love ',' ',' Bintang ',' Review ',' Change ',' love ',' star ',' harmed ',' already ',' package ',' expensive ',' access', 'network', 'b"&amp;"roke' , 'Disconnect', 'AHIR', 'Package']")</f>
        <v>['Paketan', 'run out', 'a week', 'late', 'network', 'ugly', 'access',' internet ',' broken ',' broken ',' repaired ',' love ',' ',' Bintang ',' Review ',' Change ',' love ',' star ',' harmed ',' already ',' package ',' expensive ',' access', 'network', 'broke' , 'Disconnect', 'AHIR', 'Package']</v>
      </c>
      <c r="D1227" s="3">
        <v>1.0</v>
      </c>
    </row>
    <row r="1228" ht="15.75" customHeight="1">
      <c r="A1228" s="1">
        <v>1226.0</v>
      </c>
      <c r="B1228" s="3" t="s">
        <v>1229</v>
      </c>
      <c r="C1228" s="3" t="str">
        <f>IFERROR(__xludf.DUMMYFUNCTION("GOOGLETRANSLATE(B1228,""id"",""en"")"),"['Satisfied', 'Promos',' Latest ',' Combo ',' Sakti ',' Promo ',' Luckle ',' Save ',' Expenditure ',' Buy ',' Package ',' month ',' Anyway ',' Mantul ',' Thankyou ',' Telkomsel ',' Your ',' Always', 'Heart']")</f>
        <v>['Satisfied', 'Promos',' Latest ',' Combo ',' Sakti ',' Promo ',' Luckle ',' Save ',' Expenditure ',' Buy ',' Package ',' month ',' Anyway ',' Mantul ',' Thankyou ',' Telkomsel ',' Your ',' Always', 'Heart']</v>
      </c>
      <c r="D1228" s="3">
        <v>5.0</v>
      </c>
    </row>
    <row r="1229" ht="15.75" customHeight="1">
      <c r="A1229" s="1">
        <v>1227.0</v>
      </c>
      <c r="B1229" s="3" t="s">
        <v>1230</v>
      </c>
      <c r="C1229" s="3" t="str">
        <f>IFERROR(__xludf.DUMMYFUNCTION("GOOGLETRANSLATE(B1229,""id"",""en"")"),"['Open', 'Sajanyg', 'Feeling', 'Customer', 'Disappointed', 'Please', 'Fix', 'System', 'Comment', 'Containing', '']")</f>
        <v>['Open', 'Sajanyg', 'Feeling', 'Customer', 'Disappointed', 'Please', 'Fix', 'System', 'Comment', 'Containing', '']</v>
      </c>
      <c r="D1229" s="3">
        <v>1.0</v>
      </c>
    </row>
    <row r="1230" ht="15.75" customHeight="1">
      <c r="A1230" s="1">
        <v>1228.0</v>
      </c>
      <c r="B1230" s="3" t="s">
        <v>1231</v>
      </c>
      <c r="C1230" s="3" t="str">
        <f>IFERROR(__xludf.DUMMYFUNCTION("GOOGLETRANSLATE(B1230,""id"",""en"")"),"['', 'clock', 'date', 'until', 'clock', 'date', 'network', 'stabilse', 'huh', 'open', 'youtube', 'normal', 'open ',' Google ',' web ',' slow ',' research ',' mode ',' plane ',' research ',' APN ',' TTP ',' slow ',' what ',' huh ', 'dizziness', 'cave', 'gi"&amp;"ni', 'fast', 'down', 'padaha', 'make', 'wifi', 'fast', 'huh', 'dizzy', 'cave']")</f>
        <v>['', 'clock', 'date', 'until', 'clock', 'date', 'network', 'stabilse', 'huh', 'open', 'youtube', 'normal', 'open ',' Google ',' web ',' slow ',' research ',' mode ',' plane ',' research ',' APN ',' TTP ',' slow ',' what ',' huh ', 'dizziness', 'cave', 'gini', 'fast', 'down', 'padaha', 'make', 'wifi', 'fast', 'huh', 'dizzy', 'cave']</v>
      </c>
      <c r="D1230" s="3">
        <v>1.0</v>
      </c>
    </row>
    <row r="1231" ht="15.75" customHeight="1">
      <c r="A1231" s="1">
        <v>1229.0</v>
      </c>
      <c r="B1231" s="3" t="s">
        <v>1232</v>
      </c>
      <c r="C1231" s="3" t="str">
        <f>IFERROR(__xludf.DUMMYFUNCTION("GOOGLETRANSLATE(B1231,""id"",""en"")"),"['Login', 'told', 'Update', 'Try', 'Update', 'Namu', 'All Day', 'Update', 'Loading', 'Try', 'Uninstall', 'APK', ' Install ',' re-install ',' Install ',' MOVER ',' Wear ',' APK ',' Disappointed ',' Company ',' Disappointed ',' Network ',' Use ',' WiFi ',' "&amp;"Data ' , 'cellular', 'disappointing']")</f>
        <v>['Login', 'told', 'Update', 'Try', 'Update', 'Namu', 'All Day', 'Update', 'Loading', 'Try', 'Uninstall', 'APK', ' Install ',' re-install ',' Install ',' MOVER ',' Wear ',' APK ',' Disappointed ',' Company ',' Disappointed ',' Network ',' Use ',' WiFi ',' Data ' , 'cellular', 'disappointing']</v>
      </c>
      <c r="D1231" s="3">
        <v>1.0</v>
      </c>
    </row>
    <row r="1232" ht="15.75" customHeight="1">
      <c r="A1232" s="1">
        <v>1230.0</v>
      </c>
      <c r="B1232" s="3" t="s">
        <v>1233</v>
      </c>
      <c r="C1232" s="3" t="str">
        <f>IFERROR(__xludf.DUMMYFUNCTION("GOOGLETRANSLATE(B1232,""id"",""en"")"),"['Likes', 'Application', 'Nengok', '']")</f>
        <v>['Likes', 'Application', 'Nengok', '']</v>
      </c>
      <c r="D1232" s="3">
        <v>5.0</v>
      </c>
    </row>
    <row r="1233" ht="15.75" customHeight="1">
      <c r="A1233" s="1">
        <v>1231.0</v>
      </c>
      <c r="B1233" s="3" t="s">
        <v>1234</v>
      </c>
      <c r="C1233" s="3" t="str">
        <f>IFERROR(__xludf.DUMMYFUNCTION("GOOGLETRANSLATE(B1233,""id"",""en"")"),"['Please', 'Telkomsel', 'Quota', 'Learning', 'Opens',' Application ',' WhatsApp ',' Road ',' Teacher ',' Task ',' Material ',' Info ',' Schools', 'students',' experience ',' difficulty ',' learn ', ""]")</f>
        <v>['Please', 'Telkomsel', 'Quota', 'Learning', 'Opens',' Application ',' WhatsApp ',' Road ',' Teacher ',' Task ',' Material ',' Info ',' Schools', 'students',' experience ',' difficulty ',' learn ', "]</v>
      </c>
      <c r="D1233" s="3">
        <v>3.0</v>
      </c>
    </row>
    <row r="1234" ht="15.75" customHeight="1">
      <c r="A1234" s="1">
        <v>1232.0</v>
      </c>
      <c r="B1234" s="3" t="s">
        <v>1235</v>
      </c>
      <c r="C1234" s="3" t="str">
        <f>IFERROR(__xludf.DUMMYFUNCTION("GOOGLETRANSLATE(B1234,""id"",""en"")"),"['understand', 'complaints', 'your customer', 'response', 'as soon as possible,' finish ',' complete ',' hatur ',' nuhun ',' hopefully ',' MyTelkomsel ',' best ',' ']")</f>
        <v>['understand', 'complaints', 'your customer', 'response', 'as soon as possible,' finish ',' complete ',' hatur ',' nuhun ',' hopefully ',' MyTelkomsel ',' best ',' ']</v>
      </c>
      <c r="D1234" s="3">
        <v>5.0</v>
      </c>
    </row>
    <row r="1235" ht="15.75" customHeight="1">
      <c r="A1235" s="1">
        <v>1233.0</v>
      </c>
      <c r="B1235" s="3" t="s">
        <v>1236</v>
      </c>
      <c r="C1235" s="3" t="str">
        <f>IFERROR(__xludf.DUMMYFUNCTION("GOOGLETRANSLATE(B1235,""id"",""en"")"),"['use', 'card', 'expensive', 'package', 'lottery', 'Telkomsel', 'Perna', 'win', 'abis',' pulses', 'million', 'stingy', ' Ama ',' Hadia ']")</f>
        <v>['use', 'card', 'expensive', 'package', 'lottery', 'Telkomsel', 'Perna', 'win', 'abis',' pulses', 'million', 'stingy', ' Ama ',' Hadia ']</v>
      </c>
      <c r="D1235" s="3">
        <v>5.0</v>
      </c>
    </row>
    <row r="1236" ht="15.75" customHeight="1">
      <c r="A1236" s="1">
        <v>1234.0</v>
      </c>
      <c r="B1236" s="3" t="s">
        <v>1237</v>
      </c>
      <c r="C1236" s="3" t="str">
        <f>IFERROR(__xludf.DUMMYFUNCTION("GOOGLETRANSLATE(B1236,""id"",""en"")"),"['Telkomsel', 'POS', 'Dead', 'in hand', 'person', 'deposit', 'person', 'buy', 'package', 'call', 'at the time', 'money', ' right ',' package ',' enter ',' call ',' told ',' wait ',' work ',' WFK ',' licker ',' thief ',' Where ',' ']")</f>
        <v>['Telkomsel', 'POS', 'Dead', 'in hand', 'person', 'deposit', 'person', 'buy', 'package', 'call', 'at the time', 'money', ' right ',' package ',' enter ',' call ',' told ',' wait ',' work ',' WFK ',' licker ',' thief ',' Where ',' ']</v>
      </c>
      <c r="D1236" s="3">
        <v>1.0</v>
      </c>
    </row>
    <row r="1237" ht="15.75" customHeight="1">
      <c r="A1237" s="1">
        <v>1235.0</v>
      </c>
      <c r="B1237" s="3" t="s">
        <v>1238</v>
      </c>
      <c r="C1237" s="3" t="str">
        <f>IFERROR(__xludf.DUMMYFUNCTION("GOOGLETRANSLATE(B1237,""id"",""en"")"),"['how', 'signal', 'full', 'maximum', 'youtube', 'slow', 'no', 'road', 'open', 'crash', 'play', 'game', ' already ',' buy ',' package ',' expensive ',' pulp ',' gini ',' mending ',' operator ',' kmaren ',' ']")</f>
        <v>['how', 'signal', 'full', 'maximum', 'youtube', 'slow', 'no', 'road', 'open', 'crash', 'play', 'game', ' already ',' buy ',' package ',' expensive ',' pulp ',' gini ',' mending ',' operator ',' kmaren ',' ']</v>
      </c>
      <c r="D1237" s="3">
        <v>1.0</v>
      </c>
    </row>
    <row r="1238" ht="15.75" customHeight="1">
      <c r="A1238" s="1">
        <v>1236.0</v>
      </c>
      <c r="B1238" s="3" t="s">
        <v>1239</v>
      </c>
      <c r="C1238" s="3" t="str">
        <f>IFERROR(__xludf.DUMMYFUNCTION("GOOGLETRANSLATE(B1238,""id"",""en"")"),"['Hadeh', 'quota', 'unlimited', 'max', 'tetep', 'ngeleg', 'how', 'teer', 'kek', 'gini', 'ngeeleg', 'buy', ' unlimited ',' max ',' no ',' stable ',' signal ',' no ',' really ',' oath ',' buy ',' quota ',' unlimax ',' quota ',' main ' , 'already', 'run out'"&amp;", 'ngeleg', 'lag', 'forced', 'move', 'card', 'gini', 'his business']")</f>
        <v>['Hadeh', 'quota', 'unlimited', 'max', 'tetep', 'ngeleg', 'how', 'teer', 'kek', 'gini', 'ngeeleg', 'buy', ' unlimited ',' max ',' no ',' stable ',' signal ',' no ',' really ',' oath ',' buy ',' quota ',' unlimax ',' quota ',' main ' , 'already', 'run out', 'ngeleg', 'lag', 'forced', 'move', 'card', 'gini', 'his business']</v>
      </c>
      <c r="D1238" s="3">
        <v>1.0</v>
      </c>
    </row>
    <row r="1239" ht="15.75" customHeight="1">
      <c r="A1239" s="1">
        <v>1237.0</v>
      </c>
      <c r="B1239" s="3" t="s">
        <v>1240</v>
      </c>
      <c r="C1239" s="3" t="str">
        <f>IFERROR(__xludf.DUMMYFUNCTION("GOOGLETRANSLATE(B1239,""id"",""en"")"),"['network', 'fix', 'love', 'star', 'dlu', 'karna', 'cellphone', 'support', 'disappointed', 'Telkomsel', 'many years',' TPI ',' "", 'Nyman', 'Kasian', 'cellphone', 'supports', 'or', 'Please', 'his attention']")</f>
        <v>['network', 'fix', 'love', 'star', 'dlu', 'karna', 'cellphone', 'support', 'disappointed', 'Telkomsel', 'many years',' TPI ',' ", 'Nyman', 'Kasian', 'cellphone', 'supports', 'or', 'Please', 'his attention']</v>
      </c>
      <c r="D1239" s="3">
        <v>1.0</v>
      </c>
    </row>
    <row r="1240" ht="15.75" customHeight="1">
      <c r="A1240" s="1">
        <v>1238.0</v>
      </c>
      <c r="B1240" s="3" t="s">
        <v>1241</v>
      </c>
      <c r="C1240" s="3" t="str">
        <f>IFERROR(__xludf.DUMMYFUNCTION("GOOGLETRANSLATE(B1240,""id"",""en"")"),"['Network', 'knp', 'min', 'maybe', 'ugly', 'kmar', 'good', 'npa', 'jdi', 'ugly', 'really', 'signal', ' maybe ',' TPI ',' tile ',' please ',' min ',' fix ',' as fast ',' jngan ',' disappointed ',' pelnggan ']")</f>
        <v>['Network', 'knp', 'min', 'maybe', 'ugly', 'kmar', 'good', 'npa', 'jdi', 'ugly', 'really', 'signal', ' maybe ',' TPI ',' tile ',' please ',' min ',' fix ',' as fast ',' jngan ',' disappointed ',' pelnggan ']</v>
      </c>
      <c r="D1240" s="3">
        <v>1.0</v>
      </c>
    </row>
    <row r="1241" ht="15.75" customHeight="1">
      <c r="A1241" s="1">
        <v>1239.0</v>
      </c>
      <c r="B1241" s="3" t="s">
        <v>1242</v>
      </c>
      <c r="C1241" s="3" t="str">
        <f>IFERROR(__xludf.DUMMYFUNCTION("GOOGLETRANSLATE(B1241,""id"",""en"")"),"['Package', 'Boster', 'Missing', 'HRUS', 'Consistent', 'Min', 'Delete', 'Economics',' Medium ',' Down ',' Heavy ',' Choice ',' Package ',' Data ',' Telkomsel ',' Sekarng ',' Tlong ',' Benahin ',' List ',' PKET ',' Affordable ',' Economy ',' Medium ',' dow"&amp;"n ',' Thank ' , 'Krna', 'KTA', 'Customer', 'Setia', 'Telkomsel']")</f>
        <v>['Package', 'Boster', 'Missing', 'HRUS', 'Consistent', 'Min', 'Delete', 'Economics',' Medium ',' Down ',' Heavy ',' Choice ',' Package ',' Data ',' Telkomsel ',' Sekarng ',' Tlong ',' Benahin ',' List ',' PKET ',' Affordable ',' Economy ',' Medium ',' down ',' Thank ' , 'Krna', 'KTA', 'Customer', 'Setia', 'Telkomsel']</v>
      </c>
      <c r="D1241" s="3">
        <v>1.0</v>
      </c>
    </row>
    <row r="1242" ht="15.75" customHeight="1">
      <c r="A1242" s="1">
        <v>1240.0</v>
      </c>
      <c r="B1242" s="3" t="s">
        <v>1243</v>
      </c>
      <c r="C1242" s="3" t="str">
        <f>IFERROR(__xludf.DUMMYFUNCTION("GOOGLETRANSLATE(B1242,""id"",""en"")"),"['okay', 'criticism', 'Telkomsel', 'package', 'data', 'expensive', 'quality', 'network', 'stable', 'calculate', 'mode', 'plane', ' ',' Network ',' recover ',' Sometimes', 'Kilobyte', 'Show', 'Data', 'Disappointed', 'Telkomsel', 'Please', 'Fix', 'Listen', "&amp;"'complained' , 'Kisah', 'consumers', 'disappointing', '']")</f>
        <v>['okay', 'criticism', 'Telkomsel', 'package', 'data', 'expensive', 'quality', 'network', 'stable', 'calculate', 'mode', 'plane', ' ',' Network ',' recover ',' Sometimes', 'Kilobyte', 'Show', 'Data', 'Disappointed', 'Telkomsel', 'Please', 'Fix', 'Listen', 'complained' , 'Kisah', 'consumers', 'disappointing', '']</v>
      </c>
      <c r="D1242" s="3">
        <v>2.0</v>
      </c>
    </row>
    <row r="1243" ht="15.75" customHeight="1">
      <c r="A1243" s="1">
        <v>1241.0</v>
      </c>
      <c r="B1243" s="3" t="s">
        <v>1244</v>
      </c>
      <c r="C1243" s="3" t="str">
        <f>IFERROR(__xludf.DUMMYFUNCTION("GOOGLETRANSLATE(B1243,""id"",""en"")"),"['actually', 'donlod', 'network', 'good', 'tower', 'stand', 'side', 'home', 'TPI', 'sinya', 'ilang', 'network', ' ugly ',' ehhh ',' crash ',' that's', 'boute', 'Benerin', 'tmbah', 'mentang', 'village', 'meek', 'signal', 'then', 'delicious' , 'Mending', 'G"&amp;"ausah', 'Dinkasih', 'Signal', 'PHP']")</f>
        <v>['actually', 'donlod', 'network', 'good', 'tower', 'stand', 'side', 'home', 'TPI', 'sinya', 'ilang', 'network', ' ugly ',' ehhh ',' crash ',' that's', 'boute', 'Benerin', 'tmbah', 'mentang', 'village', 'meek', 'signal', 'then', 'delicious' , 'Mending', 'Gausah', 'Dinkasih', 'Signal', 'PHP']</v>
      </c>
      <c r="D1243" s="3">
        <v>1.0</v>
      </c>
    </row>
    <row r="1244" ht="15.75" customHeight="1">
      <c r="A1244" s="1">
        <v>1242.0</v>
      </c>
      <c r="B1244" s="3" t="s">
        <v>1245</v>
      </c>
      <c r="C1244" s="3" t="str">
        <f>IFERROR(__xludf.DUMMYFUNCTION("GOOGLETRANSLATE(B1244,""id"",""en"")"),"['family', 'born', 'already', 'card', 'Telkomsel', 'times',' experiencing ',' obstacles', 'signal', 'slow', 'slow', 'slow', ' troublesome ',' tuk ',' access', 'application', 'see', 'comment', 'complaints',' signal ',' kalina ',' what 'do', 'work', 'kyiasa"&amp;"n', 'what' do ' , 'already', 'buy', 'Package', 'Telkomsel', 'expensive', 'card', 'Telkomsel', 'expensive', 'then', 'signal', 'lose', 'cheap', ' ']")</f>
        <v>['family', 'born', 'already', 'card', 'Telkomsel', 'times',' experiencing ',' obstacles', 'signal', 'slow', 'slow', 'slow', ' troublesome ',' tuk ',' access', 'application', 'see', 'comment', 'complaints',' signal ',' kalina ',' what 'do', 'work', 'kyiasan', 'what' do ' , 'already', 'buy', 'Package', 'Telkomsel', 'expensive', 'card', 'Telkomsel', 'expensive', 'then', 'signal', 'lose', 'cheap', ' ']</v>
      </c>
      <c r="D1244" s="3">
        <v>1.0</v>
      </c>
    </row>
    <row r="1245" ht="15.75" customHeight="1">
      <c r="A1245" s="1">
        <v>1243.0</v>
      </c>
      <c r="B1245" s="3" t="s">
        <v>1246</v>
      </c>
      <c r="C1245" s="3" t="str">
        <f>IFERROR(__xludf.DUMMYFUNCTION("GOOGLETRANSLATE(B1245,""id"",""en"")"),"['really', 'Mulia', 'MyTelkomsel', 'Application', 'use it', 'download', 'Oppo', 'version', 'Android', 'DPT', 'download', 'application', ' updute ',' comment ',' Sya ',' disappointed ',' KPD ',' Pihat ',' MyTelkomsel ']")</f>
        <v>['really', 'Mulia', 'MyTelkomsel', 'Application', 'use it', 'download', 'Oppo', 'version', 'Android', 'DPT', 'download', 'application', ' updute ',' comment ',' Sya ',' disappointed ',' KPD ',' Pihat ',' MyTelkomsel ']</v>
      </c>
      <c r="D1245" s="3">
        <v>1.0</v>
      </c>
    </row>
    <row r="1246" ht="15.75" customHeight="1">
      <c r="A1246" s="1">
        <v>1244.0</v>
      </c>
      <c r="B1246" s="3" t="s">
        <v>1247</v>
      </c>
      <c r="C1246" s="3" t="str">
        <f>IFERROR(__xludf.DUMMYFUNCTION("GOOGLETRANSLATE(B1246,""id"",""en"")"),"['Disappointed', 'Very', 'Speed', 'Internet', 'Bener', 'Strangled', 'Very', 'Unlimited', 'Open', 'Application', 'Gabisa', 'So The slow ',' ']")</f>
        <v>['Disappointed', 'Very', 'Speed', 'Internet', 'Bener', 'Strangled', 'Very', 'Unlimited', 'Open', 'Application', 'Gabisa', 'So The slow ',' ']</v>
      </c>
      <c r="D1246" s="3">
        <v>1.0</v>
      </c>
    </row>
    <row r="1247" ht="15.75" customHeight="1">
      <c r="A1247" s="1">
        <v>1245.0</v>
      </c>
      <c r="B1247" s="3" t="s">
        <v>1248</v>
      </c>
      <c r="C1247" s="3" t="str">
        <f>IFERROR(__xludf.DUMMYFUNCTION("GOOGLETRANSLATE(B1247,""id"",""en"")"),"['Please', 'fix', 'signal', 'nihh', 'feel', 'comfortable', 'play', 'game', 'online', 'contents',' package ',' per month ',' expensive ',' confused ',' friend ',' contents', 'package', 'cheap', 'price', 'different', 'different', 'price', 'clear', 'nihh', '"&amp;"']")</f>
        <v>['Please', 'fix', 'signal', 'nihh', 'feel', 'comfortable', 'play', 'game', 'online', 'contents',' package ',' per month ',' expensive ',' confused ',' friend ',' contents', 'package', 'cheap', 'price', 'different', 'different', 'price', 'clear', 'nihh', '']</v>
      </c>
      <c r="D1247" s="3">
        <v>1.0</v>
      </c>
    </row>
    <row r="1248" ht="15.75" customHeight="1">
      <c r="A1248" s="1">
        <v>1246.0</v>
      </c>
      <c r="B1248" s="3" t="s">
        <v>1249</v>
      </c>
      <c r="C1248" s="3" t="str">
        <f>IFERROR(__xludf.DUMMYFUNCTION("GOOGLETRANSLATE(B1248,""id"",""en"")"),"['Update', 'Agritual', 'Change', 'Card', 'Hello', 'Regarding', 'Telkomsel', 'Serving', 'Purchase', 'Focer', 'Buy', 'Direct', ' replaced ',' just ',' card ',' hello ',' authoritarian ',' directed ',' card ',' hello ',' seat ',' rich ',' profider ',' emang "&amp;"',' already ' , 'abandoned', 'moved', 'provider', '']")</f>
        <v>['Update', 'Agritual', 'Change', 'Card', 'Hello', 'Regarding', 'Telkomsel', 'Serving', 'Purchase', 'Focer', 'Buy', 'Direct', ' replaced ',' just ',' card ',' hello ',' authoritarian ',' directed ',' card ',' hello ',' seat ',' rich ',' profider ',' emang ',' already ' , 'abandoned', 'moved', 'provider', '']</v>
      </c>
      <c r="D1248" s="3">
        <v>1.0</v>
      </c>
    </row>
    <row r="1249" ht="15.75" customHeight="1">
      <c r="A1249" s="1">
        <v>1247.0</v>
      </c>
      <c r="B1249" s="3" t="s">
        <v>1250</v>
      </c>
      <c r="C1249" s="3" t="str">
        <f>IFERROR(__xludf.DUMMYFUNCTION("GOOGLETRANSLATE(B1249,""id"",""en"")"),"['information', 'quota', 'accurate', 'slow', 'really', 'already', 'little', 'check', 'quota', 'like', 'sucked', 'pulseku', ' Stars', 'Gedeg', 'pulses',' Sumpot ',' counted ',' buy ',' quota ',' Tetep ',' Telkomsel ',' number ',' already ',' Try ',' number"&amp;" ' , 'already', 'replace', 'Need', 'Value', 'Elu', 'Nipples', 'Cave', 'first', 'Hadehh']")</f>
        <v>['information', 'quota', 'accurate', 'slow', 'really', 'already', 'little', 'check', 'quota', 'like', 'sucked', 'pulseku', ' Stars', 'Gedeg', 'pulses',' Sumpot ',' counted ',' buy ',' quota ',' Tetep ',' Telkomsel ',' number ',' already ',' Try ',' number ' , 'already', 'replace', 'Need', 'Value', 'Elu', 'Nipples', 'Cave', 'first', 'Hadehh']</v>
      </c>
      <c r="D1249" s="3">
        <v>1.0</v>
      </c>
    </row>
    <row r="1250" ht="15.75" customHeight="1">
      <c r="A1250" s="1">
        <v>1248.0</v>
      </c>
      <c r="B1250" s="3" t="s">
        <v>1251</v>
      </c>
      <c r="C1250" s="3" t="str">
        <f>IFERROR(__xludf.DUMMYFUNCTION("GOOGLETRANSLATE(B1250,""id"",""en"")"),"['Telkomsel', 'stable', 'erratically', 'provider', 'main', 'disorder', 'ngelag', 'play', 'game', 'confused', 'Telkomsel', 'already', ' Prices', 'offered', 'Not bad', 'expensive', 'service', 'in the area', 'cross',' ship ',' stone ',' coals', 'network', 's"&amp;"table', ""]")</f>
        <v>['Telkomsel', 'stable', 'erratically', 'provider', 'main', 'disorder', 'ngelag', 'play', 'game', 'confused', 'Telkomsel', 'already', ' Prices', 'offered', 'Not bad', 'expensive', 'service', 'in the area', 'cross',' ship ',' stone ',' coals', 'network', 'stable', "]</v>
      </c>
      <c r="D1250" s="3">
        <v>1.0</v>
      </c>
    </row>
    <row r="1251" ht="15.75" customHeight="1">
      <c r="A1251" s="1">
        <v>1249.0</v>
      </c>
      <c r="B1251" s="3" t="s">
        <v>1252</v>
      </c>
      <c r="C1251" s="3" t="str">
        <f>IFERROR(__xludf.DUMMYFUNCTION("GOOGLETRANSLATE(B1251,""id"",""en"")"),"['Please', 'network', 'Telkomsel', 'fix', 'buy', 'package', 'internet', 'expensive', 'responsible', 'really', 'regret', 'cave', ' Use ',' Telkomsel ',' Taikk ', ""]")</f>
        <v>['Please', 'network', 'Telkomsel', 'fix', 'buy', 'package', 'internet', 'expensive', 'responsible', 'really', 'regret', 'cave', ' Use ',' Telkomsel ',' Taikk ', "]</v>
      </c>
      <c r="D1251" s="3">
        <v>1.0</v>
      </c>
    </row>
    <row r="1252" ht="15.75" customHeight="1">
      <c r="A1252" s="1">
        <v>1250.0</v>
      </c>
      <c r="B1252" s="3" t="s">
        <v>1253</v>
      </c>
      <c r="C1252" s="3" t="str">
        <f>IFERROR(__xludf.DUMMYFUNCTION("GOOGLETRANSLATE(B1252,""id"",""en"")"),"['Telkomsel', 'area', 'signal', 'internet', 'difficult', 'times',' sometimes', 'call', 'signal', 'evenly', 'Ginih', 'please', ' Donk ',' Expand ',' Reach ',' Signal ',' Special ',' Region ',' Bandar ',' Meriah ',' Sunggal ',' Tanks', 'Telkom', 'Network', "&amp;"'Hard' ]")</f>
        <v>['Telkomsel', 'area', 'signal', 'internet', 'difficult', 'times',' sometimes', 'call', 'signal', 'evenly', 'Ginih', 'please', ' Donk ',' Expand ',' Reach ',' Signal ',' Special ',' Region ',' Bandar ',' Meriah ',' Sunggal ',' Tanks', 'Telkom', 'Network', 'Hard' ]</v>
      </c>
      <c r="D1252" s="3">
        <v>1.0</v>
      </c>
    </row>
    <row r="1253" ht="15.75" customHeight="1">
      <c r="A1253" s="1">
        <v>1251.0</v>
      </c>
      <c r="B1253" s="3" t="s">
        <v>1254</v>
      </c>
      <c r="C1253" s="3" t="str">
        <f>IFERROR(__xludf.DUMMYFUNCTION("GOOGLETRANSLATE(B1253,""id"",""en"")"),"['Date', 'Fill', 'Credit', 'Cut', 'Kerena', 'Buy', 'Package', 'date', 'Pay', 'Pay', 'Content', 'pulse', ' Receiving ',' SMS ',' Not yetuned ',' Remnants', 'thousand', 'Credit', 'Loss',' Fill ',' Credit ',' Please ',' Fix ',' System ',' Stakholder ' , 'Tel"&amp;"komsel', 'continues', 'petition', 'President', '']")</f>
        <v>['Date', 'Fill', 'Credit', 'Cut', 'Kerena', 'Buy', 'Package', 'date', 'Pay', 'Pay', 'Content', 'pulse', ' Receiving ',' SMS ',' Not yetuned ',' Remnants', 'thousand', 'Credit', 'Loss',' Fill ',' Credit ',' Please ',' Fix ',' System ',' Stakholder ' , 'Telkomsel', 'continues', 'petition', 'President', '']</v>
      </c>
      <c r="D1253" s="3">
        <v>1.0</v>
      </c>
    </row>
    <row r="1254" ht="15.75" customHeight="1">
      <c r="A1254" s="1">
        <v>1252.0</v>
      </c>
      <c r="B1254" s="3" t="s">
        <v>1255</v>
      </c>
      <c r="C1254" s="3" t="str">
        <f>IFERROR(__xludf.DUMMYFUNCTION("GOOGLETRANSLATE(B1254,""id"",""en"")"),"['Honest', 'regret', 'Telkomsel', 'skrg', 'because', 'SIM', 'provider', 'SIM', 'priority', 'already', 'replace', 'it seems',' price ',' expensive ',' quality ',' ugly ',' signal ',' stable ',' gaming ',' moba ',' game ',' lag ',' severe ',' download ',' s"&amp;"low ' , 'Forgot', 'Punching', 'Data', 'seconds',' Credit ',' Direct ',' ilang ',' extortion ',' realized ',' Top ',' pulse ',' rot ',' rotten ',' rotten ']")</f>
        <v>['Honest', 'regret', 'Telkomsel', 'skrg', 'because', 'SIM', 'provider', 'SIM', 'priority', 'already', 'replace', 'it seems',' price ',' expensive ',' quality ',' ugly ',' signal ',' stable ',' gaming ',' moba ',' game ',' lag ',' severe ',' download ',' slow ' , 'Forgot', 'Punching', 'Data', 'seconds',' Credit ',' Direct ',' ilang ',' extortion ',' realized ',' Top ',' pulse ',' rot ',' rotten ',' rotten ']</v>
      </c>
      <c r="D1254" s="3">
        <v>1.0</v>
      </c>
    </row>
    <row r="1255" ht="15.75" customHeight="1">
      <c r="A1255" s="1">
        <v>1253.0</v>
      </c>
      <c r="B1255" s="3" t="s">
        <v>1256</v>
      </c>
      <c r="C1255" s="3" t="str">
        <f>IFERROR(__xludf.DUMMYFUNCTION("GOOGLETRANSLATE(B1255,""id"",""en"")"),"['fill', 'credit', 'ooo', 'missing', 'data', 'life', 'missing', 'error', 'connection', 'Please', 'follow', 'continue', ' Need ',' stable ',' LAN ',' Internet ',' fluency ',' Please ',' Action ',' ']")</f>
        <v>['fill', 'credit', 'ooo', 'missing', 'data', 'life', 'missing', 'error', 'connection', 'Please', 'follow', 'continue', ' Need ',' stable ',' LAN ',' Internet ',' fluency ',' Please ',' Action ',' ']</v>
      </c>
      <c r="D1255" s="3">
        <v>1.0</v>
      </c>
    </row>
    <row r="1256" ht="15.75" customHeight="1">
      <c r="A1256" s="1">
        <v>1254.0</v>
      </c>
      <c r="B1256" s="3" t="s">
        <v>1257</v>
      </c>
      <c r="C1256" s="3" t="str">
        <f>IFERROR(__xludf.DUMMYFUNCTION("GOOGLETRANSLATE(B1256,""id"",""en"")"),"['Cellword', 'Card', 'Telkomsel', 'Kart', 'Hello', 'Costumer', 'Explanation', 'Convenience', 'Quota', 'Unlimited', 'Unlimited', 'Use', ' Tiktok ',' chat ',' watsapp ',' watsapp ',' use ',' nlpn ',' chat ',' different ',' package ',' unlimited ',' telkomse"&amp;"l ',' sympathy ',' card ' , '']")</f>
        <v>['Cellword', 'Card', 'Telkomsel', 'Kart', 'Hello', 'Costumer', 'Explanation', 'Convenience', 'Quota', 'Unlimited', 'Unlimited', 'Use', ' Tiktok ',' chat ',' watsapp ',' watsapp ',' use ',' nlpn ',' chat ',' different ',' package ',' unlimited ',' telkomsel ',' sympathy ',' card ' , '']</v>
      </c>
      <c r="D1256" s="3">
        <v>1.0</v>
      </c>
    </row>
    <row r="1257" ht="15.75" customHeight="1">
      <c r="A1257" s="1">
        <v>1255.0</v>
      </c>
      <c r="B1257" s="3" t="s">
        <v>1258</v>
      </c>
      <c r="C1257" s="3" t="str">
        <f>IFERROR(__xludf.DUMMYFUNCTION("GOOGLETRANSLATE(B1257,""id"",""en"")"),"['Please', 'network', 'fix', 'times',' play ',' game ',' mentally ',' support ',' TPI ',' gini ',' emang ',' ugly ',' sweet ',' TPI ',' Pakkan ',' Bad ']")</f>
        <v>['Please', 'network', 'fix', 'times',' play ',' game ',' mentally ',' support ',' TPI ',' gini ',' emang ',' ugly ',' sweet ',' TPI ',' Pakkan ',' Bad ']</v>
      </c>
      <c r="D1257" s="3">
        <v>1.0</v>
      </c>
    </row>
    <row r="1258" ht="15.75" customHeight="1">
      <c r="A1258" s="1">
        <v>1256.0</v>
      </c>
      <c r="B1258" s="3" t="s">
        <v>1259</v>
      </c>
      <c r="C1258" s="3" t="str">
        <f>IFERROR(__xludf.DUMMYFUNCTION("GOOGLETRANSLATE(B1258,""id"",""en"")"),"['already', 'maketin', 'pulse', 'quota', 'learn', 'gabisa', 'network', 'slow', 'price', 'expensive', 'Gasesai', 'price', ' Maketin ',' pulse ',' pulse ',' nnya ',' follow ',' run out ',' already ',' bought ',' gabisa ',' learn ',' disappointed ',' please "&amp;"',' lined ' , 'Network', 'Nya', 'disappointed', 'already', 'bought', 'gabisa', 'kek', 'gini', 'mending', 'gausah', 'maketin', ""]")</f>
        <v>['already', 'maketin', 'pulse', 'quota', 'learn', 'gabisa', 'network', 'slow', 'price', 'expensive', 'Gasesai', 'price', ' Maketin ',' pulse ',' pulse ',' nnya ',' follow ',' run out ',' already ',' bought ',' gabisa ',' learn ',' disappointed ',' please ',' lined ' , 'Network', 'Nya', 'disappointed', 'already', 'bought', 'gabisa', 'kek', 'gini', 'mending', 'gausah', 'maketin', "]</v>
      </c>
      <c r="D1258" s="3">
        <v>1.0</v>
      </c>
    </row>
    <row r="1259" ht="15.75" customHeight="1">
      <c r="A1259" s="1">
        <v>1257.0</v>
      </c>
      <c r="B1259" s="3" t="s">
        <v>1260</v>
      </c>
      <c r="C1259" s="3" t="str">
        <f>IFERROR(__xludf.DUMMYFUNCTION("GOOGLETRANSLATE(B1259,""id"",""en"")"),"['University', 'DEV', 'game', 'name', 'famous',' ehh ',' provider ',' defective ',' btw ',' emg ',' provider ',' mending ',' company ',' hanger ',' key ',' defective ']")</f>
        <v>['University', 'DEV', 'game', 'name', 'famous',' ehh ',' provider ',' defective ',' btw ',' emg ',' provider ',' mending ',' company ',' hanger ',' key ',' defective ']</v>
      </c>
      <c r="D1259" s="3">
        <v>1.0</v>
      </c>
    </row>
    <row r="1260" ht="15.75" customHeight="1">
      <c r="A1260" s="1">
        <v>1258.0</v>
      </c>
      <c r="B1260" s="3" t="s">
        <v>1261</v>
      </c>
      <c r="C1260" s="3" t="str">
        <f>IFERROR(__xludf.DUMMYFUNCTION("GOOGLETRANSLATE(B1260,""id"",""en"")"),"['bar', 'network', 'full', 'quality', 'network', 'slow', 'log', 'quality', 'ugly', 'work', 'technician', 'Telkomsel', ' quality ',' network ',' internet ',' ugly ',' how ',' lead ',' service ',' quality ',' ugly ',' let ',' fix ',' evaluation ',' complain"&amp;"t ' , 'Consumers', '']")</f>
        <v>['bar', 'network', 'full', 'quality', 'network', 'slow', 'log', 'quality', 'ugly', 'work', 'technician', 'Telkomsel', ' quality ',' network ',' internet ',' ugly ',' how ',' lead ',' service ',' quality ',' ugly ',' let ',' fix ',' evaluation ',' complaint ' , 'Consumers', '']</v>
      </c>
      <c r="D1260" s="3">
        <v>1.0</v>
      </c>
    </row>
    <row r="1261" ht="15.75" customHeight="1">
      <c r="A1261" s="1">
        <v>1259.0</v>
      </c>
      <c r="B1261" s="3" t="s">
        <v>1262</v>
      </c>
      <c r="C1261" s="3" t="str">
        <f>IFERROR(__xludf.DUMMYFUNCTION("GOOGLETRANSLATE(B1261,""id"",""en"")"),"['ISI', 'PUZA', 'PUZA', 'Clock', 'then', 'check', 'Pulza', 'stay', 'confused', 'Where', 'Pulza', 'explanation', ' Telkomsel ',' Not bad ',' annoyed ',' said ',' so ',' thank ',' love ', ""]")</f>
        <v>['ISI', 'PUZA', 'PUZA', 'Clock', 'then', 'check', 'Pulza', 'stay', 'confused', 'Where', 'Pulza', 'explanation', ' Telkomsel ',' Not bad ',' annoyed ',' said ',' so ',' thank ',' love ', "]</v>
      </c>
      <c r="D1261" s="3">
        <v>2.0</v>
      </c>
    </row>
    <row r="1262" ht="15.75" customHeight="1">
      <c r="A1262" s="1">
        <v>1260.0</v>
      </c>
      <c r="B1262" s="3" t="s">
        <v>1263</v>
      </c>
      <c r="C1262" s="3" t="str">
        <f>IFERROR(__xludf.DUMMYFUNCTION("GOOGLETRANSLATE(B1262,""id"",""en"")"),"['Telkomsel', 'Internet', 'Severe', 'Abis',' PDHL ',' I ',' Live ',' Depok ',' Javanese ',' West ',' Many ',' times', ' TLP ',' Change ',' network ',' The widest ',' Fastest ',' Lying ',' Many ',' Kali ',' I ',' TANUT ',' Click ',' Link ',' Sent ' , 'Telk"&amp;"omsel', 'Link', 'click', 'enter', 'google', 'play', 'stupid', 'robot', 'kayak']")</f>
        <v>['Telkomsel', 'Internet', 'Severe', 'Abis',' PDHL ',' I ',' Live ',' Depok ',' Javanese ',' West ',' Many ',' times', ' TLP ',' Change ',' network ',' The widest ',' Fastest ',' Lying ',' Many ',' Kali ',' I ',' TANUT ',' Click ',' Link ',' Sent ' , 'Telkomsel', 'Link', 'click', 'enter', 'google', 'play', 'stupid', 'robot', 'kayak']</v>
      </c>
      <c r="D1262" s="3">
        <v>1.0</v>
      </c>
    </row>
    <row r="1263" ht="15.75" customHeight="1">
      <c r="A1263" s="1">
        <v>1261.0</v>
      </c>
      <c r="B1263" s="3" t="s">
        <v>1264</v>
      </c>
      <c r="C1263" s="3" t="str">
        <f>IFERROR(__xludf.DUMMYFUNCTION("GOOGLETRANSLATE(B1263,""id"",""en"")"),"['Sorry', 'star', 'signal', 'Telkomsel', 'difficult', 'missing', 'signal', 'Telkomsel', 'sometimes',' chat ',' quota ',' internet ',' ']")</f>
        <v>['Sorry', 'star', 'signal', 'Telkomsel', 'difficult', 'missing', 'signal', 'Telkomsel', 'sometimes',' chat ',' quota ',' internet ',' ']</v>
      </c>
      <c r="D1263" s="3">
        <v>5.0</v>
      </c>
    </row>
    <row r="1264" ht="15.75" customHeight="1">
      <c r="A1264" s="1">
        <v>1262.0</v>
      </c>
      <c r="B1264" s="3" t="s">
        <v>1265</v>
      </c>
      <c r="C1264" s="3" t="str">
        <f>IFERROR(__xludf.DUMMYFUNCTION("GOOGLETRANSLATE(B1264,""id"",""en"")"),"['', 'Scrool', 'clock', 'review', 'positive', 'min', '']")</f>
        <v>['', 'Scrool', 'clock', 'review', 'positive', 'min', '']</v>
      </c>
      <c r="D1264" s="3">
        <v>3.0</v>
      </c>
    </row>
    <row r="1265" ht="15.75" customHeight="1">
      <c r="A1265" s="1">
        <v>1263.0</v>
      </c>
      <c r="B1265" s="3" t="s">
        <v>1266</v>
      </c>
      <c r="C1265" s="3" t="str">
        <f>IFERROR(__xludf.DUMMYFUNCTION("GOOGLETRANSLATE(B1265,""id"",""en"")"),"['Easy', 'hopefully', 'lucky', 'get', 'Samsung', 'pellem', 'point', 'condition', 'pandemic', 'card', 'already', 'get', ' present', '']")</f>
        <v>['Easy', 'hopefully', 'lucky', 'get', 'Samsung', 'pellem', 'point', 'condition', 'pandemic', 'card', 'already', 'get', ' present', '']</v>
      </c>
      <c r="D1265" s="3">
        <v>1.0</v>
      </c>
    </row>
    <row r="1266" ht="15.75" customHeight="1">
      <c r="A1266" s="1">
        <v>1264.0</v>
      </c>
      <c r="B1266" s="3" t="s">
        <v>1267</v>
      </c>
      <c r="C1266" s="3" t="str">
        <f>IFERROR(__xludf.DUMMYFUNCTION("GOOGLETRANSLATE(B1266,""id"",""en"")"),"['Star', 'Network', 'Internet', 'Location', 'Bad', 'Please', 'Defused', 'Repaired', 'Network', 'Internet', 'Region', 'Seindonesia', ' Beloved ',' Thank you ', ""]")</f>
        <v>['Star', 'Network', 'Internet', 'Location', 'Bad', 'Please', 'Defused', 'Repaired', 'Network', 'Internet', 'Region', 'Seindonesia', ' Beloved ',' Thank you ', "]</v>
      </c>
      <c r="D1266" s="3">
        <v>1.0</v>
      </c>
    </row>
    <row r="1267" ht="15.75" customHeight="1">
      <c r="A1267" s="1">
        <v>1265.0</v>
      </c>
      <c r="B1267" s="3" t="s">
        <v>1268</v>
      </c>
      <c r="C1267" s="3" t="str">
        <f>IFERROR(__xludf.DUMMYFUNCTION("GOOGLETRANSLATE(B1267,""id"",""en"")"),"['Telkomsel', 'how', 'TTP', 'price', 'package', 'expensive', 'card', 'Hello', 'price', 'package', 'internet', 'mahaaalll', ' haduchhh ',' work ',' difficult ',' buy ',' package ',' expensive ',' price ',' package ',' price ',' cheap ', ""]")</f>
        <v>['Telkomsel', 'how', 'TTP', 'price', 'package', 'expensive', 'card', 'Hello', 'price', 'package', 'internet', 'mahaaalll', ' haduchhh ',' work ',' difficult ',' buy ',' package ',' expensive ',' price ',' package ',' price ',' cheap ', "]</v>
      </c>
      <c r="D1267" s="3">
        <v>1.0</v>
      </c>
    </row>
    <row r="1268" ht="15.75" customHeight="1">
      <c r="A1268" s="1">
        <v>1266.0</v>
      </c>
      <c r="B1268" s="3" t="s">
        <v>1269</v>
      </c>
      <c r="C1268" s="3" t="str">
        <f>IFERROR(__xludf.DUMMYFUNCTION("GOOGLETRANSLATE(B1268,""id"",""en"")"),"['already', 'ngomng', 'poko', 'love', 'sma', 'telkomsel', 'customer', 'sympathy', 'jdi', 'move', 'heart', 'success',' Then ',' Telkomsel ',' ']")</f>
        <v>['already', 'ngomng', 'poko', 'love', 'sma', 'telkomsel', 'customer', 'sympathy', 'jdi', 'move', 'heart', 'success',' Then ',' Telkomsel ',' ']</v>
      </c>
      <c r="D1268" s="3">
        <v>5.0</v>
      </c>
    </row>
    <row r="1269" ht="15.75" customHeight="1">
      <c r="A1269" s="1">
        <v>1267.0</v>
      </c>
      <c r="B1269" s="3" t="s">
        <v>1270</v>
      </c>
      <c r="C1269" s="3" t="str">
        <f>IFERROR(__xludf.DUMMYFUNCTION("GOOGLETRANSLATE(B1269,""id"",""en"")"),"['Contents',' Credit ',' Take ',' Package ',' Turn ',' Filled ',' Stay ',' Forced ',' Buy ',' Karna ',' Rupiah ',' Bener ',' The game ',' cunning ',' leftover ',' even though ',' a little ',' ']")</f>
        <v>['Contents',' Credit ',' Take ',' Package ',' Turn ',' Filled ',' Stay ',' Forced ',' Buy ',' Karna ',' Rupiah ',' Bener ',' The game ',' cunning ',' leftover ',' even though ',' a little ',' ']</v>
      </c>
      <c r="D1269" s="3">
        <v>1.0</v>
      </c>
    </row>
    <row r="1270" ht="15.75" customHeight="1">
      <c r="A1270" s="1">
        <v>1268.0</v>
      </c>
      <c r="B1270" s="3" t="s">
        <v>1271</v>
      </c>
      <c r="C1270" s="3" t="str">
        <f>IFERROR(__xludf.DUMMYFUNCTION("GOOGLETRANSLATE(B1270,""id"",""en"")"),"['Gift', 'Telkomsel', 'Customer', 'Telkomsel', 'old', 'Belom', 'Gift', 'Surprise', 'Telkomsel']")</f>
        <v>['Gift', 'Telkomsel', 'Customer', 'Telkomsel', 'old', 'Belom', 'Gift', 'Surprise', 'Telkomsel']</v>
      </c>
      <c r="D1270" s="3">
        <v>5.0</v>
      </c>
    </row>
    <row r="1271" ht="15.75" customHeight="1">
      <c r="A1271" s="1">
        <v>1269.0</v>
      </c>
      <c r="B1271" s="3" t="s">
        <v>1272</v>
      </c>
      <c r="C1271" s="3" t="str">
        <f>IFERROR(__xludf.DUMMYFUNCTION("GOOGLETRANSLATE(B1271,""id"",""en"")"),"['price', 'expensive', 'network', 'stable', 'network', 'lag', 'really', 'brought', 'play', 'game', 'class', 'low' Strong ',' Buy ',' Package ',' Unlimited ',' Overcome ',' Make ',' Card ',' Telkom ',' Constraints', 'Network', 'Ginj']")</f>
        <v>['price', 'expensive', 'network', 'stable', 'network', 'lag', 'really', 'brought', 'play', 'game', 'class', 'low' Strong ',' Buy ',' Package ',' Unlimited ',' Overcome ',' Make ',' Card ',' Telkom ',' Constraints', 'Network', 'Ginj']</v>
      </c>
      <c r="D1271" s="3">
        <v>1.0</v>
      </c>
    </row>
    <row r="1272" ht="15.75" customHeight="1">
      <c r="A1272" s="1">
        <v>1270.0</v>
      </c>
      <c r="B1272" s="3" t="s">
        <v>1273</v>
      </c>
      <c r="C1272" s="3" t="str">
        <f>IFERROR(__xludf.DUMMYFUNCTION("GOOGLETRANSLATE(B1272,""id"",""en"")"),"['signal', 'good', 'cave', 'already', 'tired', 'tired', 'ngblulin', 'money', 'ngeleg', 'ugly', 'really', 'signalny']")</f>
        <v>['signal', 'good', 'cave', 'already', 'tired', 'tired', 'ngblulin', 'money', 'ngeleg', 'ugly', 'really', 'signalny']</v>
      </c>
      <c r="D1272" s="3">
        <v>1.0</v>
      </c>
    </row>
    <row r="1273" ht="15.75" customHeight="1">
      <c r="A1273" s="1">
        <v>1271.0</v>
      </c>
      <c r="B1273" s="3" t="s">
        <v>1274</v>
      </c>
      <c r="C1273" s="3" t="str">
        <f>IFERROR(__xludf.DUMMYFUNCTION("GOOGLETRANSLATE(B1273,""id"",""en"")"),"['Satisfied', 'Network', 'Seamless',' City ',' Plains', 'Sometimes',' Constrained ',' Weather ',' Thanks', 'Promo', 'Promo', 'Cheap', ' Telkomsel ',' wasteful ',' credit ',' Irit ',' Thanks', 'Thanks',' Thanks']")</f>
        <v>['Satisfied', 'Network', 'Seamless',' City ',' Plains', 'Sometimes',' Constrained ',' Weather ',' Thanks', 'Promo', 'Promo', 'Cheap', ' Telkomsel ',' wasteful ',' credit ',' Irit ',' Thanks', 'Thanks',' Thanks']</v>
      </c>
      <c r="D1273" s="3">
        <v>5.0</v>
      </c>
    </row>
    <row r="1274" ht="15.75" customHeight="1">
      <c r="A1274" s="1">
        <v>1272.0</v>
      </c>
      <c r="B1274" s="3" t="s">
        <v>1275</v>
      </c>
      <c r="C1274" s="3" t="str">
        <f>IFERROR(__xludf.DUMMYFUNCTION("GOOGLETRANSLATE(B1274,""id"",""en"")"),"['Package', 'unlimited', 'max', 'unlimited', 'disappointed', 'package', 'unlimited', 'max', 'quota', 'unlimited', 'media', 'social', ' Speed ​​',' kbps', 'boundary', 'usage', 'reasonable', 'limit', 'usage', 'normal', 'GB', 'speed', 'change', 'past', 'limi"&amp;"t' , 'usage', 'reasonable', 'speed', 'decreases',' kbps', 'kbps',' please ',' package ',' unlimited ',' max ',' pounded ',' hold ',' The limit ',' usage ',' Naturally ',' Thank you ']")</f>
        <v>['Package', 'unlimited', 'max', 'unlimited', 'disappointed', 'package', 'unlimited', 'max', 'quota', 'unlimited', 'media', 'social', ' Speed ​​',' kbps', 'boundary', 'usage', 'reasonable', 'limit', 'usage', 'normal', 'GB', 'speed', 'change', 'past', 'limit' , 'usage', 'reasonable', 'speed', 'decreases',' kbps', 'kbps',' please ',' package ',' unlimited ',' max ',' pounded ',' hold ',' The limit ',' usage ',' Naturally ',' Thank you ']</v>
      </c>
      <c r="D1274" s="3">
        <v>2.0</v>
      </c>
    </row>
    <row r="1275" ht="15.75" customHeight="1">
      <c r="A1275" s="1">
        <v>1273.0</v>
      </c>
      <c r="B1275" s="3" t="s">
        <v>1276</v>
      </c>
      <c r="C1275" s="3" t="str">
        <f>IFERROR(__xludf.DUMMYFUNCTION("GOOGLETRANSLATE(B1275,""id"",""en"")"),"['Telkomsel', 'Sumbin', 'Severe', 'Times',' Buy ',' Package ',' Data ',' Nda ',' PDAHAL ',' Use ',' Telkomsel ',' Cuaca ',' good ',' cloudy ',' rain ',' severe ',' take ',' luck ',' doang ',' payati ',' quality ',' network ',' city ',' remote ',' remote '"&amp;" , 'Haaa', 'gmn']")</f>
        <v>['Telkomsel', 'Sumbin', 'Severe', 'Times',' Buy ',' Package ',' Data ',' Nda ',' PDAHAL ',' Use ',' Telkomsel ',' Cuaca ',' good ',' cloudy ',' rain ',' severe ',' take ',' luck ',' doang ',' payati ',' quality ',' network ',' city ',' remote ',' remote ' , 'Haaa', 'gmn']</v>
      </c>
      <c r="D1275" s="3">
        <v>1.0</v>
      </c>
    </row>
    <row r="1276" ht="15.75" customHeight="1">
      <c r="A1276" s="1">
        <v>1274.0</v>
      </c>
      <c r="B1276" s="3" t="s">
        <v>1277</v>
      </c>
      <c r="C1276" s="3" t="str">
        <f>IFERROR(__xludf.DUMMYFUNCTION("GOOGLETRANSLATE(B1276,""id"",""en"")"),"['Disappointed', 'Telkomsel', 'Open', 'Current', 'right', 'enter', 'game', 'broken', 'broken', 'emotion', 'please', 'repaired', ' Performance ',' The network ',' Thank you ', ""]")</f>
        <v>['Disappointed', 'Telkomsel', 'Open', 'Current', 'right', 'enter', 'game', 'broken', 'broken', 'emotion', 'please', 'repaired', ' Performance ',' The network ',' Thank you ', "]</v>
      </c>
      <c r="D1276" s="3">
        <v>1.0</v>
      </c>
    </row>
    <row r="1277" ht="15.75" customHeight="1">
      <c r="A1277" s="1">
        <v>1275.0</v>
      </c>
      <c r="B1277" s="3" t="s">
        <v>1278</v>
      </c>
      <c r="C1277" s="3" t="str">
        <f>IFERROR(__xludf.DUMMYFUNCTION("GOOGLETRANSLATE(B1277,""id"",""en"")"),"['Network', 'pole', 'tower', 'Telkomsel', 'district', 'Humbang', 'Hasundutan', 'sub-district', 'Pakkatdahulu', 'survey', 'location', 'pole', ' Execution ',' ']")</f>
        <v>['Network', 'pole', 'tower', 'Telkomsel', 'district', 'Humbang', 'Hasundutan', 'sub-district', 'Pakkatdahulu', 'survey', 'location', 'pole', ' Execution ',' ']</v>
      </c>
      <c r="D1277" s="3">
        <v>4.0</v>
      </c>
    </row>
    <row r="1278" ht="15.75" customHeight="1">
      <c r="A1278" s="1">
        <v>1276.0</v>
      </c>
      <c r="B1278" s="3" t="s">
        <v>1279</v>
      </c>
      <c r="C1278" s="3" t="str">
        <f>IFERROR(__xludf.DUMMYFUNCTION("GOOGLETRANSLATE(B1278,""id"",""en"")"),"['', 'love', 'bntang', 'read', 'signal', 'good', 'knpa', 'internet', 'package', 'masi', 'pulse', 'then', 'Telkomsel ',' Mlah ',' bad ', ""]")</f>
        <v>['', 'love', 'bntang', 'read', 'signal', 'good', 'knpa', 'internet', 'package', 'masi', 'pulse', 'then', 'Telkomsel ',' Mlah ',' bad ', "]</v>
      </c>
      <c r="D1278" s="3">
        <v>5.0</v>
      </c>
    </row>
    <row r="1279" ht="15.75" customHeight="1">
      <c r="A1279" s="1">
        <v>1277.0</v>
      </c>
      <c r="B1279" s="3" t="s">
        <v>1280</v>
      </c>
      <c r="C1279" s="3" t="str">
        <f>IFERROR(__xludf.DUMMYFUNCTION("GOOGLETRANSLATE(B1279,""id"",""en"")"),"['Signal', 'sympathy', 'Telkomsel', 'bad', 'quality', 'play', 'game', 'browsing', 'lemooot', 'really', 'embarrassing', 'as',' Consumers', 'harmed', 'sad', 'deh']")</f>
        <v>['Signal', 'sympathy', 'Telkomsel', 'bad', 'quality', 'play', 'game', 'browsing', 'lemooot', 'really', 'embarrassing', 'as',' Consumers', 'harmed', 'sad', 'deh']</v>
      </c>
      <c r="D1279" s="3">
        <v>1.0</v>
      </c>
    </row>
    <row r="1280" ht="15.75" customHeight="1">
      <c r="A1280" s="1">
        <v>1278.0</v>
      </c>
      <c r="B1280" s="3" t="s">
        <v>1281</v>
      </c>
      <c r="C1280" s="3" t="str">
        <f>IFERROR(__xludf.DUMMYFUNCTION("GOOGLETRANSLATE(B1280,""id"",""en"")"),"['Update', 'Exchange', 'Points', 'Tetep', 'Telkomsel', 'Telkomsel', 'Delete', 'Points', 'Kaga', 'Cuman', 'Display', 'Points']")</f>
        <v>['Update', 'Exchange', 'Points', 'Tetep', 'Telkomsel', 'Telkomsel', 'Delete', 'Points', 'Kaga', 'Cuman', 'Display', 'Points']</v>
      </c>
      <c r="D1280" s="3">
        <v>1.0</v>
      </c>
    </row>
    <row r="1281" ht="15.75" customHeight="1">
      <c r="A1281" s="1">
        <v>1279.0</v>
      </c>
      <c r="B1281" s="3" t="s">
        <v>1282</v>
      </c>
      <c r="C1281" s="3" t="str">
        <f>IFERROR(__xludf.DUMMYFUNCTION("GOOGLETRANSLATE(B1281,""id"",""en"")"),"['buy', 'quota', 'ytb', 'unlimited', 'promo', 'lost', 'pulse', 'ngadin', 'promo', 'bnr', 'already', 'buy', ' Kaga ']")</f>
        <v>['buy', 'quota', 'ytb', 'unlimited', 'promo', 'lost', 'pulse', 'ngadin', 'promo', 'bnr', 'already', 'buy', ' Kaga ']</v>
      </c>
      <c r="D1281" s="3">
        <v>1.0</v>
      </c>
    </row>
    <row r="1282" ht="15.75" customHeight="1">
      <c r="A1282" s="1">
        <v>1280.0</v>
      </c>
      <c r="B1282" s="3" t="s">
        <v>1283</v>
      </c>
      <c r="C1282" s="3" t="str">
        <f>IFERROR(__xludf.DUMMYFUNCTION("GOOGLETRANSLATE(B1282,""id"",""en"")"),"['Telkomsel', 'as good', 'dlu', 'skrg', 'fill in', 'quota', 'wasteful', 'really', 'doang', 'suck', 'quota', 'dluu', ' rich ',' gini ',' please ',' repaired ',' Telkomsel ',' detrimental ',' person ',' skrg ', ""]")</f>
        <v>['Telkomsel', 'as good', 'dlu', 'skrg', 'fill in', 'quota', 'wasteful', 'really', 'doang', 'suck', 'quota', 'dluu', ' rich ',' gini ',' please ',' repaired ',' Telkomsel ',' detrimental ',' person ',' skrg ', "]</v>
      </c>
      <c r="D1282" s="3">
        <v>1.0</v>
      </c>
    </row>
    <row r="1283" ht="15.75" customHeight="1">
      <c r="A1283" s="1">
        <v>1281.0</v>
      </c>
      <c r="B1283" s="3" t="s">
        <v>1284</v>
      </c>
      <c r="C1283" s="3" t="str">
        <f>IFERROR(__xludf.DUMMYFUNCTION("GOOGLETRANSLATE(B1283,""id"",""en"")"),"['application', 'broken', 'run out', 'login', 'cook', 'force', 'close', 'broken', 'google', 'ngebug', 'severe', 'hang', ' network ',' stable ',' ping ',' soaring ',' play ',' connection ',' gini ',' how ',' try ',' migration ',' cook ',' gini ',' quality "&amp;"' , 'company', 'below', 'plate', 'red', 'shy', 'developer', 'game', 'private', 'essence', 'disappointed', '']")</f>
        <v>['application', 'broken', 'run out', 'login', 'cook', 'force', 'close', 'broken', 'google', 'ngebug', 'severe', 'hang', ' network ',' stable ',' ping ',' soaring ',' play ',' connection ',' gini ',' how ',' try ',' migration ',' cook ',' gini ',' quality ' , 'company', 'below', 'plate', 'red', 'shy', 'developer', 'game', 'private', 'essence', 'disappointed', '']</v>
      </c>
      <c r="D1283" s="3">
        <v>1.0</v>
      </c>
    </row>
    <row r="1284" ht="15.75" customHeight="1">
      <c r="A1284" s="1">
        <v>1282.0</v>
      </c>
      <c r="B1284" s="3" t="s">
        <v>1285</v>
      </c>
      <c r="C1284" s="3" t="str">
        <f>IFERROR(__xludf.DUMMYFUNCTION("GOOGLETRANSLATE(B1284,""id"",""en"")"),"['Install', 'open', 'nda', 'open', 'tlng', 'fix', 'subscribe', 'telkomsel', 'tens',' cook ',' hrs', 'lost', ' Trust ',' Gara ',' Mslh ',' ']")</f>
        <v>['Install', 'open', 'nda', 'open', 'tlng', 'fix', 'subscribe', 'telkomsel', 'tens',' cook ',' hrs', 'lost', ' Trust ',' Gara ',' Mslh ',' ']</v>
      </c>
      <c r="D1284" s="3">
        <v>1.0</v>
      </c>
    </row>
    <row r="1285" ht="15.75" customHeight="1">
      <c r="A1285" s="1">
        <v>1283.0</v>
      </c>
      <c r="B1285" s="3" t="s">
        <v>1286</v>
      </c>
      <c r="C1285" s="3" t="str">
        <f>IFERROR(__xludf.DUMMYFUNCTION("GOOGLETRANSLATE(B1285,""id"",""en"")"),"['Telkmsel', 'Severe', 'Kouta', 'please', 'weve', 'damage', 'tlkmsel', 'fast', 'fix', 'gini', 'tip', 'mimin', ' Telkmsel ',' Normal ',' Thank you ',' ']")</f>
        <v>['Telkmsel', 'Severe', 'Kouta', 'please', 'weve', 'damage', 'tlkmsel', 'fast', 'fix', 'gini', 'tip', 'mimin', ' Telkmsel ',' Normal ',' Thank you ',' ']</v>
      </c>
      <c r="D1285" s="3">
        <v>3.0</v>
      </c>
    </row>
    <row r="1286" ht="15.75" customHeight="1">
      <c r="A1286" s="1">
        <v>1284.0</v>
      </c>
      <c r="B1286" s="3" t="s">
        <v>1287</v>
      </c>
      <c r="C1286" s="3" t="str">
        <f>IFERROR(__xludf.DUMMYFUNCTION("GOOGLETRANSLATE(B1286,""id"",""en"")"),"['', 'quota', 'expensive', 'network', 'right', 'network', 'telkomsel', 'kayk', 'right', 'angry', 'reality', 'so', 'buy ',' GBB ',' GB ',' Network ',' Buy ',' Unlimited ',' Klok ',' Network ',' Leet ',' Mending ',' Leet ',' Leet ',' again ', '']")</f>
        <v>['', 'quota', 'expensive', 'network', 'right', 'network', 'telkomsel', 'kayk', 'right', 'angry', 'reality', 'so', 'buy ',' GBB ',' GB ',' Network ',' Buy ',' Unlimited ',' Klok ',' Network ',' Leet ',' Mending ',' Leet ',' Leet ',' again ', '']</v>
      </c>
      <c r="D1286" s="3">
        <v>1.0</v>
      </c>
    </row>
    <row r="1287" ht="15.75" customHeight="1">
      <c r="A1287" s="1">
        <v>1285.0</v>
      </c>
      <c r="B1287" s="3" t="s">
        <v>1288</v>
      </c>
      <c r="C1287" s="3" t="str">
        <f>IFERROR(__xludf.DUMMYFUNCTION("GOOGLETRANSLATE(B1287,""id"",""en"")"),"['use', 'cell', 'many years',' kli ',' confused ',' number ',' classified ',' community ',' per month ',' list ',' free ',' telephone ',' Angoota ',' community ',' TPI ',' Kmarin ',' Danftar ',' The list ',' Sukse ',' TPI ',' PKE ',' TELFON ',' Strange ',"&amp;"' Really ',' Disappointed ' , '']")</f>
        <v>['use', 'cell', 'many years',' kli ',' confused ',' number ',' classified ',' community ',' per month ',' list ',' free ',' telephone ',' Angoota ',' community ',' TPI ',' Kmarin ',' Danftar ',' The list ',' Sukse ',' TPI ',' PKE ',' TELFON ',' Strange ',' Really ',' Disappointed ' , '']</v>
      </c>
      <c r="D1287" s="3">
        <v>2.0</v>
      </c>
    </row>
    <row r="1288" ht="15.75" customHeight="1">
      <c r="A1288" s="1">
        <v>1286.0</v>
      </c>
      <c r="B1288" s="3" t="s">
        <v>1289</v>
      </c>
      <c r="C1288" s="3" t="str">
        <f>IFERROR(__xludf.DUMMYFUNCTION("GOOGLETRANSLATE(B1288,""id"",""en"")"),"['experience', 'Telkomsel', 'service', 'internet', 'Lemote', 'fast', 'like', 'subscription', 'Indihome', 'Mbps',' enter ',' Mbps', ' Pay ',' Mbps', '']")</f>
        <v>['experience', 'Telkomsel', 'service', 'internet', 'Lemote', 'fast', 'like', 'subscription', 'Indihome', 'Mbps',' enter ',' Mbps', ' Pay ',' Mbps', '']</v>
      </c>
      <c r="D1288" s="3">
        <v>2.0</v>
      </c>
    </row>
    <row r="1289" ht="15.75" customHeight="1">
      <c r="A1289" s="1">
        <v>1287.0</v>
      </c>
      <c r="B1289" s="3" t="s">
        <v>1290</v>
      </c>
      <c r="C1289" s="3" t="str">
        <f>IFERROR(__xludf.DUMMYFUNCTION("GOOGLETRANSLATE(B1289,""id"",""en"")"),"['Telkomsel', 'ppkm', 'ugly', 'signal', 'stuck', 'edge', 'lost', 'snippaid', 'home', 'village', 'until', 'ugly', ' Stia ',' Telkomsel ',' Cileat ',' Gardusaya ',' Kec ',' Cisalak ',' Kab ',' Subang ',' fast ',' fast ',' stable ']")</f>
        <v>['Telkomsel', 'ppkm', 'ugly', 'signal', 'stuck', 'edge', 'lost', 'snippaid', 'home', 'village', 'until', 'ugly', ' Stia ',' Telkomsel ',' Cileat ',' Gardusaya ',' Kec ',' Cisalak ',' Kab ',' Subang ',' fast ',' fast ',' stable ']</v>
      </c>
      <c r="D1289" s="3">
        <v>2.0</v>
      </c>
    </row>
    <row r="1290" ht="15.75" customHeight="1">
      <c r="A1290" s="1">
        <v>1288.0</v>
      </c>
      <c r="B1290" s="3" t="s">
        <v>1291</v>
      </c>
      <c r="C1290" s="3" t="str">
        <f>IFERROR(__xludf.DUMMYFUNCTION("GOOGLETRANSLATE(B1290,""id"",""en"")"),"['Telkomsel', 'here', 'improve', 'network', 'slow', 'really', 'night', 'want', 'berserk', 'rase', 'please', 'repaired', ' thanks']")</f>
        <v>['Telkomsel', 'here', 'improve', 'network', 'slow', 'really', 'night', 'want', 'berserk', 'rase', 'please', 'repaired', ' thanks']</v>
      </c>
      <c r="D1290" s="3">
        <v>2.0</v>
      </c>
    </row>
    <row r="1291" ht="15.75" customHeight="1">
      <c r="A1291" s="1">
        <v>1289.0</v>
      </c>
      <c r="B1291" s="3" t="s">
        <v>1292</v>
      </c>
      <c r="C1291" s="3" t="str">
        <f>IFERROR(__xludf.DUMMYFUNCTION("GOOGLETRANSLATE(B1291,""id"",""en"")"),"['quota', 'sell', 'quota', 'watch', 'quota', 'music', 'kepake', 'hooq', 'euro', 'ntah', 'quota', 'internet', ' Increase ',' choice ',' confused ',' buy ',' quota ',' ']")</f>
        <v>['quota', 'sell', 'quota', 'watch', 'quota', 'music', 'kepake', 'hooq', 'euro', 'ntah', 'quota', 'internet', ' Increase ',' choice ',' confused ',' buy ',' quota ',' ']</v>
      </c>
      <c r="D1291" s="3">
        <v>1.0</v>
      </c>
    </row>
    <row r="1292" ht="15.75" customHeight="1">
      <c r="A1292" s="1">
        <v>1290.0</v>
      </c>
      <c r="B1292" s="3" t="s">
        <v>1293</v>
      </c>
      <c r="C1292" s="3" t="str">
        <f>IFERROR(__xludf.DUMMYFUNCTION("GOOGLETRANSLATE(B1292,""id"",""en"")"),"['Please', 'Network', 'Distilin', 'Please', 'Very', 'Network', 'It's', 'Kek', 'gggggggggggggggggggggggggggggggggggggggggggggggggggggggggggggggggggggggggggggggggggggggggggggggggggggggggggggggggggggggggggg', 'Distabilin', ""]")</f>
        <v>['Please', 'Network', 'Distilin', 'Please', 'Very', 'Network', 'It's', 'Kek', 'gggggggggggggggggggggggggggggggggggggggggggggggggggggggggggggggggggggggggggggggggggggggggggggggggggggggggggggggggggggggggggg', 'Distabilin', "]</v>
      </c>
      <c r="D1292" s="3">
        <v>2.0</v>
      </c>
    </row>
    <row r="1293" ht="15.75" customHeight="1">
      <c r="A1293" s="1">
        <v>1291.0</v>
      </c>
      <c r="B1293" s="3" t="s">
        <v>1294</v>
      </c>
      <c r="C1293" s="3" t="str">
        <f>IFERROR(__xludf.DUMMYFUNCTION("GOOGLETRANSLATE(B1293,""id"",""en"")"),"['', 'downgrade', 'package', 'hello', 'fit', 'forgive', 'Sis',' downgrade ',' level ',' yaudah ',' Lower ',' Sorry ',' Sis ',' Member ',' Download ',' Grade ',' Ngapa ',' talk ',' Dri ',' TDI ',' Anying ', ""]")</f>
        <v>['', 'downgrade', 'package', 'hello', 'fit', 'forgive', 'Sis',' downgrade ',' level ',' yaudah ',' Lower ',' Sorry ',' Sis ',' Member ',' Download ',' Grade ',' Ngapa ',' talk ',' Dri ',' TDI ',' Anying ', "]</v>
      </c>
      <c r="D1293" s="3">
        <v>1.0</v>
      </c>
    </row>
    <row r="1294" ht="15.75" customHeight="1">
      <c r="A1294" s="1">
        <v>1292.0</v>
      </c>
      <c r="B1294" s="3" t="s">
        <v>1295</v>
      </c>
      <c r="C1294" s="3" t="str">
        <f>IFERROR(__xludf.DUMMYFUNCTION("GOOGLETRANSLATE(B1294,""id"",""en"")"),"['quality', 'connection', 'champion', 'best', 'widest', 'dimaintain', 'consumer', 'network', 'full', 'plus',' network ',' quality ',' Downhill ',' thank you ']")</f>
        <v>['quality', 'connection', 'champion', 'best', 'widest', 'dimaintain', 'consumer', 'network', 'full', 'plus',' network ',' quality ',' Downhill ',' thank you ']</v>
      </c>
      <c r="D1294" s="3">
        <v>5.0</v>
      </c>
    </row>
    <row r="1295" ht="15.75" customHeight="1">
      <c r="A1295" s="1">
        <v>1293.0</v>
      </c>
      <c r="B1295" s="3" t="s">
        <v>1296</v>
      </c>
      <c r="C1295" s="3" t="str">
        <f>IFERROR(__xludf.DUMMYFUNCTION("GOOGLETRANSLATE(B1295,""id"",""en"")"),"['', 'disappointed', 'service', 'Telkomsel', 'signal', 'disorder', 'package', 'expensive', 'pulse', 'lost', 'mysterious',' aka ',' stolen ',' Telkomsel ',' Change ',' Service ',' Change ',' Operator ',' Telkomsel ',' Destroy ',' ']")</f>
        <v>['', 'disappointed', 'service', 'Telkomsel', 'signal', 'disorder', 'package', 'expensive', 'pulse', 'lost', 'mysterious',' aka ',' stolen ',' Telkomsel ',' Change ',' Service ',' Change ',' Operator ',' Telkomsel ',' Destroy ',' ']</v>
      </c>
      <c r="D1295" s="3">
        <v>1.0</v>
      </c>
    </row>
    <row r="1296" ht="15.75" customHeight="1">
      <c r="A1296" s="1">
        <v>1294.0</v>
      </c>
      <c r="B1296" s="3" t="s">
        <v>1297</v>
      </c>
      <c r="C1296" s="3" t="str">
        <f>IFERROR(__xludf.DUMMYFUNCTION("GOOGLETRANSLATE(B1296,""id"",""en"")"),"['Telkomsel', 'signal', 'severe', 'in the city', 'ugly', 'price', 'quota', 'expensive', 'user', 'disappointed', 'gini', 'continued', ' Move ',' Next ',' Cheap ',' Signal ',' Safe ',' Thanks']")</f>
        <v>['Telkomsel', 'signal', 'severe', 'in the city', 'ugly', 'price', 'quota', 'expensive', 'user', 'disappointed', 'gini', 'continued', ' Move ',' Next ',' Cheap ',' Signal ',' Safe ',' Thanks']</v>
      </c>
      <c r="D1296" s="3">
        <v>1.0</v>
      </c>
    </row>
    <row r="1297" ht="15.75" customHeight="1">
      <c r="A1297" s="1">
        <v>1295.0</v>
      </c>
      <c r="B1297" s="3" t="s">
        <v>1298</v>
      </c>
      <c r="C1297" s="3" t="str">
        <f>IFERROR(__xludf.DUMMYFUNCTION("GOOGLETRANSLATE(B1297,""id"",""en"")"),"['infokan', 'network', 'bad', 'in place', 'skrg', 'msh', 'move', 'heart', 'information', 'card', 'telkomsel', 'msh', ' ']")</f>
        <v>['infokan', 'network', 'bad', 'in place', 'skrg', 'msh', 'move', 'heart', 'information', 'card', 'telkomsel', 'msh', ' ']</v>
      </c>
      <c r="D1297" s="3">
        <v>1.0</v>
      </c>
    </row>
    <row r="1298" ht="15.75" customHeight="1">
      <c r="A1298" s="1">
        <v>1296.0</v>
      </c>
      <c r="B1298" s="3" t="s">
        <v>1299</v>
      </c>
      <c r="C1298" s="3" t="str">
        <f>IFERROR(__xludf.DUMMYFUNCTION("GOOGLETRANSLATE(B1298,""id"",""en"")"),"['Since', 'Commissioner', 'Utamaamu', 'Change', 'Gini', 'Your Application', 'Opened', 'Change', 'Commissioner', 'Utamau', 'Ngerni', 'Technology', ' destroyed ',' trust ',' community ',' BUMN ',' Empor ',' continued ', ""]")</f>
        <v>['Since', 'Commissioner', 'Utamaamu', 'Change', 'Gini', 'Your Application', 'Opened', 'Change', 'Commissioner', 'Utamau', 'Ngerni', 'Technology', ' destroyed ',' trust ',' community ',' BUMN ',' Empor ',' continued ', "]</v>
      </c>
      <c r="D1298" s="3">
        <v>1.0</v>
      </c>
    </row>
    <row r="1299" ht="15.75" customHeight="1">
      <c r="A1299" s="1">
        <v>1297.0</v>
      </c>
      <c r="B1299" s="3" t="s">
        <v>1300</v>
      </c>
      <c r="C1299" s="3" t="str">
        <f>IFERROR(__xludf.DUMMYFUNCTION("GOOGLETRANSLATE(B1299,""id"",""en"")"),"['open', 'menu', 'Telkomsel', 'NGK', 'told', 'update', 'dummary', 'times',' try ',' puta ',' ngk ',' update ',' Please, 'Severe', 'Signal', 'Features', 'Open', '']")</f>
        <v>['open', 'menu', 'Telkomsel', 'NGK', 'told', 'update', 'dummary', 'times',' try ',' puta ',' ngk ',' update ',' Please, 'Severe', 'Signal', 'Features', 'Open', '']</v>
      </c>
      <c r="D1299" s="3">
        <v>2.0</v>
      </c>
    </row>
    <row r="1300" ht="15.75" customHeight="1">
      <c r="A1300" s="1">
        <v>1298.0</v>
      </c>
      <c r="B1300" s="3" t="s">
        <v>1301</v>
      </c>
      <c r="C1300" s="3" t="str">
        <f>IFERROR(__xludf.DUMMYFUNCTION("GOOGLETRANSLATE(B1300,""id"",""en"")"),"['', 'Telkomsel', 'NDA', 'BERES', 'Poor', 'The application', 'for a while', 'APDET', 'already', 'NDA', 'Gunain', 'Check', 'Package ',' Need ',' Nda ',' BERES ',' ']")</f>
        <v>['', 'Telkomsel', 'NDA', 'BERES', 'Poor', 'The application', 'for a while', 'APDET', 'already', 'NDA', 'Gunain', 'Check', 'Package ',' Need ',' Nda ',' BERES ',' ']</v>
      </c>
      <c r="D1300" s="3">
        <v>1.0</v>
      </c>
    </row>
    <row r="1301" ht="15.75" customHeight="1">
      <c r="A1301" s="1">
        <v>1299.0</v>
      </c>
      <c r="B1301" s="3" t="s">
        <v>1302</v>
      </c>
      <c r="C1301" s="3" t="str">
        <f>IFERROR(__xludf.DUMMYFUNCTION("GOOGLETRANSLATE(B1301,""id"",""en"")"),"['Yakn', 'Network', 'Strong', 'Service', 'Telkom', 'Provider', 'Network', 'Application', 'Send', 'Haduah', 'Nomer', 'Simpaty', ' Wife ',' Like ',' Error ',' aka ',' Toling ',' Fix ',' Service ',' Network ',' Application ',' Telkomsel ',' A Year ',' Good '"&amp;",' Decline ' , '']")</f>
        <v>['Yakn', 'Network', 'Strong', 'Service', 'Telkom', 'Provider', 'Network', 'Application', 'Send', 'Haduah', 'Nomer', 'Simpaty', ' Wife ',' Like ',' Error ',' aka ',' Toling ',' Fix ',' Service ',' Network ',' Application ',' Telkomsel ',' A Year ',' Good ',' Decline ' , '']</v>
      </c>
      <c r="D1301" s="3">
        <v>2.0</v>
      </c>
    </row>
    <row r="1302" ht="15.75" customHeight="1">
      <c r="A1302" s="1">
        <v>1300.0</v>
      </c>
      <c r="B1302" s="3" t="s">
        <v>1303</v>
      </c>
      <c r="C1302" s="3" t="str">
        <f>IFERROR(__xludf.DUMMYFUNCTION("GOOGLETRANSLATE(B1302,""id"",""en"")"),"['Yesterday', 'leftover', 'quota', 'accumulated', 'quota', 'internet', 'filled', 'run out', 'skrg', 'leftover', 'quota', 'lost', ' Filled ',' Out ',' ']")</f>
        <v>['Yesterday', 'leftover', 'quota', 'accumulated', 'quota', 'internet', 'filled', 'run out', 'skrg', 'leftover', 'quota', 'lost', ' Filled ',' Out ',' ']</v>
      </c>
      <c r="D1302" s="3">
        <v>2.0</v>
      </c>
    </row>
    <row r="1303" ht="15.75" customHeight="1">
      <c r="A1303" s="1">
        <v>1301.0</v>
      </c>
      <c r="B1303" s="3" t="s">
        <v>1304</v>
      </c>
      <c r="C1303" s="3" t="str">
        <f>IFERROR(__xludf.DUMMYFUNCTION("GOOGLETRANSLATE(B1303,""id"",""en"")"),"['signal', 'sometimes',' good ',' sometimes', 'ugly', 'depends',' where ',' position ',' help ',' activity ',' learn ',' teach ',' TRIMS ',' Telkomsel ']")</f>
        <v>['signal', 'sometimes',' good ',' sometimes', 'ugly', 'depends',' where ',' position ',' help ',' activity ',' learn ',' teach ',' TRIMS ',' Telkomsel ']</v>
      </c>
      <c r="D1303" s="3">
        <v>5.0</v>
      </c>
    </row>
    <row r="1304" ht="15.75" customHeight="1">
      <c r="A1304" s="1">
        <v>1302.0</v>
      </c>
      <c r="B1304" s="3" t="s">
        <v>1305</v>
      </c>
      <c r="C1304" s="3" t="str">
        <f>IFERROR(__xludf.DUMMYFUNCTION("GOOGLETRANSLATE(B1304,""id"",""en"")"),"['network', 'signal', 'full', 'sometimes',' watch ',' stream ',' lag ',' buffering ',' type ',' package ',' internet ',' fair ',' Expensive ',' quota ',' ']")</f>
        <v>['network', 'signal', 'full', 'sometimes',' watch ',' stream ',' lag ',' buffering ',' type ',' package ',' internet ',' fair ',' Expensive ',' quota ',' ']</v>
      </c>
      <c r="D1304" s="3">
        <v>2.0</v>
      </c>
    </row>
    <row r="1305" ht="15.75" customHeight="1">
      <c r="A1305" s="1">
        <v>1303.0</v>
      </c>
      <c r="B1305" s="3" t="s">
        <v>1306</v>
      </c>
      <c r="C1305" s="3" t="str">
        <f>IFERROR(__xludf.DUMMYFUNCTION("GOOGLETRANSLATE(B1305,""id"",""en"")"),"['Display', 'version', 'newest', 'feature', 'user', 'friendly', 'interesting', 'version', 'Tampila', 'menu', 'interesting', 'user', ' Friendly ']")</f>
        <v>['Display', 'version', 'newest', 'feature', 'user', 'friendly', 'interesting', 'version', 'Tampila', 'menu', 'interesting', 'user', ' Friendly ']</v>
      </c>
      <c r="D1305" s="3">
        <v>3.0</v>
      </c>
    </row>
    <row r="1306" ht="15.75" customHeight="1">
      <c r="A1306" s="1">
        <v>1304.0</v>
      </c>
      <c r="B1306" s="3" t="s">
        <v>1307</v>
      </c>
      <c r="C1306" s="3" t="str">
        <f>IFERROR(__xludf.DUMMYFUNCTION("GOOGLETRANSLATE(B1306,""id"",""en"")"),"['kmrn', 'buy', 'package', 'blm', 'udh', 'contents',' pulse ',' update ',' buy ',' package ',' suggestion ',' blm ',' Buy ',' Package ',' Credit ',' Filled ',' Credit ',' Appropriate ',' Price ',' Package ',' Please ',' Update ',' DLU ',' APK ',' APK ' , "&amp;"'Blm', 'update', '']")</f>
        <v>['kmrn', 'buy', 'package', 'blm', 'udh', 'contents',' pulse ',' update ',' buy ',' package ',' suggestion ',' blm ',' Buy ',' Package ',' Credit ',' Filled ',' Credit ',' Appropriate ',' Price ',' Package ',' Please ',' Update ',' DLU ',' APK ',' APK ' , 'Blm', 'update', '']</v>
      </c>
      <c r="D1306" s="3">
        <v>5.0</v>
      </c>
    </row>
    <row r="1307" ht="15.75" customHeight="1">
      <c r="A1307" s="1">
        <v>1305.0</v>
      </c>
      <c r="B1307" s="3" t="s">
        <v>1308</v>
      </c>
      <c r="C1307" s="3" t="str">
        <f>IFERROR(__xludf.DUMMYFUNCTION("GOOGLETRANSLATE(B1307,""id"",""en"")"),"['Display', 'good', 'TPI', 'Select', 'package', 'complicated', 'price', 'TPI', 'involved', 'quota', 'bought', 'press',' button ',' back ',' menu ',' main ',' jdi ',' enter ',' tlg ',' repaired ',' good ',' version ',' ']")</f>
        <v>['Display', 'good', 'TPI', 'Select', 'package', 'complicated', 'price', 'TPI', 'involved', 'quota', 'bought', 'press',' button ',' back ',' menu ',' main ',' jdi ',' enter ',' tlg ',' repaired ',' good ',' version ',' ']</v>
      </c>
      <c r="D1307" s="3">
        <v>2.0</v>
      </c>
    </row>
    <row r="1308" ht="15.75" customHeight="1">
      <c r="A1308" s="1">
        <v>1306.0</v>
      </c>
      <c r="B1308" s="3" t="s">
        <v>1309</v>
      </c>
      <c r="C1308" s="3" t="str">
        <f>IFERROR(__xludf.DUMMYFUNCTION("GOOGLETRANSLATE(B1308,""id"",""en"")"),"['complement', 'application', 'update', 'buy', 'package', 'buy', 'buy', 'nga', 'according to', 'location', 'please', 'fix', ' package ',' below ',' ugly ',' ugly ',' speed ',' network ',' slow ',' really ']")</f>
        <v>['complement', 'application', 'update', 'buy', 'package', 'buy', 'buy', 'nga', 'according to', 'location', 'please', 'fix', ' package ',' below ',' ugly ',' ugly ',' speed ',' network ',' slow ',' really ']</v>
      </c>
      <c r="D1308" s="3">
        <v>2.0</v>
      </c>
    </row>
    <row r="1309" ht="15.75" customHeight="1">
      <c r="A1309" s="1">
        <v>1307.0</v>
      </c>
      <c r="B1309" s="3" t="s">
        <v>1310</v>
      </c>
      <c r="C1309" s="3" t="str">
        <f>IFERROR(__xludf.DUMMYFUNCTION("GOOGLETRANSLATE(B1309,""id"",""en"")"),"['Application', 'Update', 'Unfortunately', 'Change', 'Please', 'Pandemic', 'Discount', 'Package', 'Price', 'Network', 'ugly', 'buy', ' expensive ',' expensive ',' points', 'use', 'exchange', 'pulse', 'quota', 'use', 'lottery', 'win', 'unfortunately', 'dis"&amp;"appointed', ""]")</f>
        <v>['Application', 'Update', 'Unfortunately', 'Change', 'Please', 'Pandemic', 'Discount', 'Package', 'Price', 'Network', 'ugly', 'buy', ' expensive ',' expensive ',' points', 'use', 'exchange', 'pulse', 'quota', 'use', 'lottery', 'win', 'unfortunately', 'disappointed', "]</v>
      </c>
      <c r="D1309" s="3">
        <v>2.0</v>
      </c>
    </row>
    <row r="1310" ht="15.75" customHeight="1">
      <c r="A1310" s="1">
        <v>1308.0</v>
      </c>
      <c r="B1310" s="3" t="s">
        <v>1311</v>
      </c>
      <c r="C1310" s="3" t="str">
        <f>IFERROR(__xludf.DUMMYFUNCTION("GOOGLETRANSLATE(B1310,""id"",""en"")"),"['Telkomsel', 'Good', 'Increases', 'The Network', 'Slow', 'Try', 'Promo', 'Interesting', 'Package', 'Popyat', ""]")</f>
        <v>['Telkomsel', 'Good', 'Increases', 'The Network', 'Slow', 'Try', 'Promo', 'Interesting', 'Package', 'Popyat', "]</v>
      </c>
      <c r="D1310" s="3">
        <v>4.0</v>
      </c>
    </row>
    <row r="1311" ht="15.75" customHeight="1">
      <c r="A1311" s="1">
        <v>1309.0</v>
      </c>
      <c r="B1311" s="3" t="s">
        <v>1312</v>
      </c>
      <c r="C1311" s="3" t="str">
        <f>IFERROR(__xludf.DUMMYFUNCTION("GOOGLETRANSLATE(B1311,""id"",""en"")"),"['Points',' Exchange ',' Credit ',' Card ',' SIM ',' Version ',' Price ',' Package ',' Expensive ',' Card ',' SIM ',' Package ',' Internet ',' cheap ',' cheap ',' ']")</f>
        <v>['Points',' Exchange ',' Credit ',' Card ',' SIM ',' Version ',' Price ',' Package ',' Expensive ',' Card ',' SIM ',' Package ',' Internet ',' cheap ',' cheap ',' ']</v>
      </c>
      <c r="D1311" s="3">
        <v>1.0</v>
      </c>
    </row>
    <row r="1312" ht="15.75" customHeight="1">
      <c r="A1312" s="1">
        <v>1310.0</v>
      </c>
      <c r="B1312" s="3" t="s">
        <v>1313</v>
      </c>
      <c r="C1312" s="3" t="str">
        <f>IFERROR(__xludf.DUMMYFUNCTION("GOOGLETRANSLATE(B1312,""id"",""en"")"),"['Satisfied', 'Telkomsel', 'Satisfied', 'Chosen', 'Winner', 'Exchange', 'Telkomsel', 'Points',' Points', 'Points',' Luckily ',' Hopefully ',' times', 'Chosen', 'Winner', 'Amin']")</f>
        <v>['Satisfied', 'Telkomsel', 'Satisfied', 'Chosen', 'Winner', 'Exchange', 'Telkomsel', 'Points',' Points', 'Points',' Luckily ',' Hopefully ',' times', 'Chosen', 'Winner', 'Amin']</v>
      </c>
      <c r="D1312" s="3">
        <v>5.0</v>
      </c>
    </row>
    <row r="1313" ht="15.75" customHeight="1">
      <c r="A1313" s="1">
        <v>1311.0</v>
      </c>
      <c r="B1313" s="3" t="s">
        <v>1314</v>
      </c>
      <c r="C1313" s="3" t="str">
        <f>IFERROR(__xludf.DUMMYFUNCTION("GOOGLETRANSLATE(B1313,""id"",""en"")"),"['Knp', 'Telkomsel', 'slow', 'really', 'Kangen', 'Telkomsel', 'signal', 'strong', 'internet', 'fast', 'disappointing', 'millions',' People ',' believe ',' Telkomsel ',' ']")</f>
        <v>['Knp', 'Telkomsel', 'slow', 'really', 'Kangen', 'Telkomsel', 'signal', 'strong', 'internet', 'fast', 'disappointing', 'millions',' People ',' believe ',' Telkomsel ',' ']</v>
      </c>
      <c r="D1313" s="3">
        <v>1.0</v>
      </c>
    </row>
    <row r="1314" ht="15.75" customHeight="1">
      <c r="A1314" s="1">
        <v>1312.0</v>
      </c>
      <c r="B1314" s="3" t="s">
        <v>1315</v>
      </c>
      <c r="C1314" s="3" t="str">
        <f>IFERROR(__xludf.DUMMYFUNCTION("GOOGLETRANSLATE(B1314,""id"",""en"")"),"['signal', 'bad', 'price', 'point', 'minus',' package ',' friendly ',' bag ',' impose ',' price ',' quality ',' minimal ',' told to ',' move ',' bow ',' card ',' hello ',' price ',' friendly ',' bag ',' disappointed ',' Telkomsel ', ""]")</f>
        <v>['signal', 'bad', 'price', 'point', 'minus',' package ',' friendly ',' bag ',' impose ',' price ',' quality ',' minimal ',' told to ',' move ',' bow ',' card ',' hello ',' price ',' friendly ',' bag ',' disappointed ',' Telkomsel ', "]</v>
      </c>
      <c r="D1314" s="3">
        <v>1.0</v>
      </c>
    </row>
    <row r="1315" ht="15.75" customHeight="1">
      <c r="A1315" s="1">
        <v>1313.0</v>
      </c>
      <c r="B1315" s="3" t="s">
        <v>1316</v>
      </c>
      <c r="C1315" s="3" t="str">
        <f>IFERROR(__xludf.DUMMYFUNCTION("GOOGLETRANSLATE(B1315,""id"",""en"")"),"['Lockdown', 'people', 'told', 'at home', 'right', 'at home', 'Maen', 'signal', 'severe', 'buy', 'data', 'expensive', ' Signal ',' Severe ',' Please ',' Telkomsel ',' Rural ',' Control ',' Strength ',' Signal ',' Buy ',' Data ',' Use ',' Money ', ""]")</f>
        <v>['Lockdown', 'people', 'told', 'at home', 'right', 'at home', 'Maen', 'signal', 'severe', 'buy', 'data', 'expensive', ' Signal ',' Severe ',' Please ',' Telkomsel ',' Rural ',' Control ',' Strength ',' Signal ',' Buy ',' Data ',' Use ',' Money ', "]</v>
      </c>
      <c r="D1315" s="3">
        <v>1.0</v>
      </c>
    </row>
    <row r="1316" ht="15.75" customHeight="1">
      <c r="A1316" s="1">
        <v>1314.0</v>
      </c>
      <c r="B1316" s="3" t="s">
        <v>1317</v>
      </c>
      <c r="C1316" s="3" t="str">
        <f>IFERROR(__xludf.DUMMYFUNCTION("GOOGLETRANSLATE(B1316,""id"",""en"")"),"['version', 'Latest', 'Send', 'Gift', 'Package', 'Internet', 'Night', 'Use', 'Bill', 'Card', 'Hello', 'Posts',' Balance ',' NOT ',' ENOUT ',' VERSION ',' GIFT ',' Package ',' Internet ',' night ']")</f>
        <v>['version', 'Latest', 'Send', 'Gift', 'Package', 'Internet', 'Night', 'Use', 'Bill', 'Card', 'Hello', 'Posts',' Balance ',' NOT ',' ENOUT ',' VERSION ',' GIFT ',' Package ',' Internet ',' night ']</v>
      </c>
      <c r="D1316" s="3">
        <v>1.0</v>
      </c>
    </row>
    <row r="1317" ht="15.75" customHeight="1">
      <c r="A1317" s="1">
        <v>1315.0</v>
      </c>
      <c r="B1317" s="3" t="s">
        <v>1318</v>
      </c>
      <c r="C1317" s="3" t="str">
        <f>IFERROR(__xludf.DUMMYFUNCTION("GOOGLETRANSLATE(B1317,""id"",""en"")"),"['Pay', 'package', 'emergency', 'name', 'package', 'emergency', 'ngisis',' trs', 'pay', 'package', 'emergency', 'please', ' Telkomsel ',' wise ',' donk ',' use ',' package ',' emergency ',' pulse ',' sumps', 'pay', 'package', 'emergency', 'please', 'fix' "&amp;", 'system', 'thank', 'love', ""]")</f>
        <v>['Pay', 'package', 'emergency', 'name', 'package', 'emergency', 'ngisis',' trs', 'pay', 'package', 'emergency', 'please', ' Telkomsel ',' wise ',' donk ',' use ',' package ',' emergency ',' pulse ',' sumps', 'pay', 'package', 'emergency', 'please', 'fix' , 'system', 'thank', 'love', "]</v>
      </c>
      <c r="D1317" s="3">
        <v>2.0</v>
      </c>
    </row>
    <row r="1318" ht="15.75" customHeight="1">
      <c r="A1318" s="1">
        <v>1316.0</v>
      </c>
      <c r="B1318" s="3" t="s">
        <v>1319</v>
      </c>
      <c r="C1318" s="3" t="str">
        <f>IFERROR(__xludf.DUMMYFUNCTION("GOOGLETRANSLATE(B1318,""id"",""en"")"),"['Please', 'Differentition', 'Package', 'Telkomsel', 'Sakti', 'expensive', 'package', 'expensive', 'package', 'cheap', 'cheap', 'sympathy', ' expensive ',' fair ',' boss']")</f>
        <v>['Please', 'Differentition', 'Package', 'Telkomsel', 'Sakti', 'expensive', 'package', 'expensive', 'package', 'cheap', 'cheap', 'sympathy', ' expensive ',' fair ',' boss']</v>
      </c>
      <c r="D1318" s="3">
        <v>4.0</v>
      </c>
    </row>
    <row r="1319" ht="15.75" customHeight="1">
      <c r="A1319" s="1">
        <v>1317.0</v>
      </c>
      <c r="B1319" s="3" t="s">
        <v>1320</v>
      </c>
      <c r="C1319" s="3" t="str">
        <f>IFERROR(__xludf.DUMMYFUNCTION("GOOGLETRANSLATE(B1319,""id"",""en"")"),"['Not bad', 'Help', 'see', 'Package', 'balance', 'Satisfied', 'Quality', 'Signal', 'Bad', 'Region', 'Sumatra', 'North', ' TKS ',' ']")</f>
        <v>['Not bad', 'Help', 'see', 'Package', 'balance', 'Satisfied', 'Quality', 'Signal', 'Bad', 'Region', 'Sumatra', 'North', ' TKS ',' ']</v>
      </c>
      <c r="D1319" s="3">
        <v>4.0</v>
      </c>
    </row>
    <row r="1320" ht="15.75" customHeight="1">
      <c r="A1320" s="1">
        <v>1318.0</v>
      </c>
      <c r="B1320" s="3" t="s">
        <v>1321</v>
      </c>
      <c r="C1320" s="3" t="str">
        <f>IFERROR(__xludf.DUMMYFUNCTION("GOOGLETRANSLATE(B1320,""id"",""en"")"),"['signal', 'network', 'internet', 'show', 'bar', 'signal', 'mean', 'conspiracy', 'udh', 'so', 'play', 'game', ' network ',' ilang ',' apasih ',' bored ',' ngilan ',' so ',' ']")</f>
        <v>['signal', 'network', 'internet', 'show', 'bar', 'signal', 'mean', 'conspiracy', 'udh', 'so', 'play', 'game', ' network ',' ilang ',' apasih ',' bored ',' ngilan ',' so ',' ']</v>
      </c>
      <c r="D1320" s="3">
        <v>2.0</v>
      </c>
    </row>
    <row r="1321" ht="15.75" customHeight="1">
      <c r="A1321" s="1">
        <v>1319.0</v>
      </c>
      <c r="B1321" s="3" t="s">
        <v>1322</v>
      </c>
      <c r="C1321" s="3" t="str">
        <f>IFERROR(__xludf.DUMMYFUNCTION("GOOGLETRANSLATE(B1321,""id"",""en"")"),"['Actually', 'network', 'good', 'disappointing', 'Please', 'price', 'fantastic', 'barengi', 'pandemic', 'appreciate', 'consumer', 'loyal', ' expensive ',' tariff ',' package ',' sanggupi ',' understand ',' askes', 'stable', 'sucked', 'pulse', 'because', '"&amp;"buy', 'rates',' package ' , 'Internet', 'leave', 'provider', 'thank', 'love']")</f>
        <v>['Actually', 'network', 'good', 'disappointing', 'Please', 'price', 'fantastic', 'barengi', 'pandemic', 'appreciate', 'consumer', 'loyal', ' expensive ',' tariff ',' package ',' sanggupi ',' understand ',' askes', 'stable', 'sucked', 'pulse', 'because', 'buy', 'rates',' package ' , 'Internet', 'leave', 'provider', 'thank', 'love']</v>
      </c>
      <c r="D1321" s="3">
        <v>1.0</v>
      </c>
    </row>
    <row r="1322" ht="15.75" customHeight="1">
      <c r="A1322" s="1">
        <v>1320.0</v>
      </c>
      <c r="B1322" s="3" t="s">
        <v>1323</v>
      </c>
      <c r="C1322" s="3" t="str">
        <f>IFERROR(__xludf.DUMMYFUNCTION("GOOGLETRANSLATE(B1322,""id"",""en"")"),"['APK', 'Easy', 'BGI', 'all', 'Customer', 'Telkomsel', 'Accessible', 'Where', 'TPI', 'Looks',' Package ',' Internet ',' internet ',' org ',' buy ',' package ',' internet ',' pket ',' internet ',' maxstream ',' GB ',' all ',' customers', 'Telkomsel', 'inte"&amp;"rest' , 'PDA', 'MaxStream', 'JDI', 'Please', 'Distinguished', 'Package', 'Internet', 'Footage', 'Ama', 'MaxStream', 'Thanks']")</f>
        <v>['APK', 'Easy', 'BGI', 'all', 'Customer', 'Telkomsel', 'Accessible', 'Where', 'TPI', 'Looks',' Package ',' Internet ',' internet ',' org ',' buy ',' package ',' internet ',' pket ',' internet ',' maxstream ',' GB ',' all ',' customers', 'Telkomsel', 'interest' , 'PDA', 'MaxStream', 'JDI', 'Please', 'Distinguished', 'Package', 'Internet', 'Footage', 'Ama', 'MaxStream', 'Thanks']</v>
      </c>
      <c r="D1322" s="3">
        <v>1.0</v>
      </c>
    </row>
    <row r="1323" ht="15.75" customHeight="1">
      <c r="A1323" s="1">
        <v>1321.0</v>
      </c>
      <c r="B1323" s="3" t="s">
        <v>1324</v>
      </c>
      <c r="C1323" s="3" t="str">
        <f>IFERROR(__xludf.DUMMYFUNCTION("GOOGLETRANSLATE(B1323,""id"",""en"")"),"['Price', 'Package', 'Unlimitied', 'WhatsApp', 'Returned', 'Cheap', 'Lahhh', 'Mahalin', 'Fill', 'Credit', 'Gara', 'Gara', ' The price ',' expenditure ',' increases', 'pandemic', 'price', 'package', 'internet', 'cheap', 'help', 'in the past', 'covid', 'min"&amp;"', 'so' , 'Suggestion', 'thank', 'love', 'Wassalam', '']")</f>
        <v>['Price', 'Package', 'Unlimitied', 'WhatsApp', 'Returned', 'Cheap', 'Lahhh', 'Mahalin', 'Fill', 'Credit', 'Gara', 'Gara', ' The price ',' expenditure ',' increases', 'pandemic', 'price', 'package', 'internet', 'cheap', 'help', 'in the past', 'covid', 'min', 'so' , 'Suggestion', 'thank', 'love', 'Wassalam', '']</v>
      </c>
      <c r="D1323" s="3">
        <v>4.0</v>
      </c>
    </row>
    <row r="1324" ht="15.75" customHeight="1">
      <c r="A1324" s="1">
        <v>1322.0</v>
      </c>
      <c r="B1324" s="3" t="s">
        <v>1325</v>
      </c>
      <c r="C1324" s="3" t="str">
        <f>IFERROR(__xludf.DUMMYFUNCTION("GOOGLETRANSLATE(B1324,""id"",""en"")"),"['disappointed', 'network', 'bad', 'data', 'geratis',' ugly ',' really ',' network ',' please ',' repaired ',' network ',' stable ',' Thanks', 'change', 'satisfying', 'forced', 'moved', 'home', 'comfortable']")</f>
        <v>['disappointed', 'network', 'bad', 'data', 'geratis',' ugly ',' really ',' network ',' please ',' repaired ',' network ',' stable ',' Thanks', 'change', 'satisfying', 'forced', 'moved', 'home', 'comfortable']</v>
      </c>
      <c r="D1324" s="3">
        <v>1.0</v>
      </c>
    </row>
    <row r="1325" ht="15.75" customHeight="1">
      <c r="A1325" s="1">
        <v>1323.0</v>
      </c>
      <c r="B1325" s="3" t="s">
        <v>1326</v>
      </c>
      <c r="C1325" s="3" t="str">
        <f>IFERROR(__xludf.DUMMYFUNCTION("GOOGLETRANSLATE(B1325,""id"",""en"")"),"['garbage', 'already', 'update', 'opened', 'update', 'click', 'update', 'request', 'update', 'playstore', 'ngaco', 'application', ' Gini ',' application ',' NGASAL ',' JD ',' Abal ', ""]")</f>
        <v>['garbage', 'already', 'update', 'opened', 'update', 'click', 'update', 'request', 'update', 'playstore', 'ngaco', 'application', ' Gini ',' application ',' NGASAL ',' JD ',' Abal ', "]</v>
      </c>
      <c r="D1325" s="3">
        <v>1.0</v>
      </c>
    </row>
    <row r="1326" ht="15.75" customHeight="1">
      <c r="A1326" s="1">
        <v>1324.0</v>
      </c>
      <c r="B1326" s="3" t="s">
        <v>1327</v>
      </c>
      <c r="C1326" s="3" t="str">
        <f>IFERROR(__xludf.DUMMYFUNCTION("GOOGLETRANSLATE(B1326,""id"",""en"")"),"['Audah', 'signal', 'sympathy', 'ugly', 'please', 'fix', 'signal', 'sympathy', 'play', 'game', 'ngeeleg', 'then', ' Open ',' JGA ',' Loading ',' user ',' sympathy ',' times ',' Bener ',' Disappointed ',' Signal ',' sympathy ',' please ',' as soon as possi"&amp;"ble, 'fix' , '']")</f>
        <v>['Audah', 'signal', 'sympathy', 'ugly', 'please', 'fix', 'signal', 'sympathy', 'play', 'game', 'ngeeleg', 'then', ' Open ',' JGA ',' Loading ',' user ',' sympathy ',' times ',' Bener ',' Disappointed ',' Signal ',' sympathy ',' please ',' as soon as possible, 'fix' , '']</v>
      </c>
      <c r="D1326" s="3">
        <v>2.0</v>
      </c>
    </row>
    <row r="1327" ht="15.75" customHeight="1">
      <c r="A1327" s="1">
        <v>1325.0</v>
      </c>
      <c r="B1327" s="3" t="s">
        <v>1328</v>
      </c>
      <c r="C1327" s="3" t="str">
        <f>IFERROR(__xludf.DUMMYFUNCTION("GOOGLETRANSLATE(B1327,""id"",""en"")"),"['Signal', 'Telkomsel', 'Troubled', 'Package', 'GB', 'Disappointed', 'Telkomsel', 'Please', 'Improvement', 'Telkomsel', 'Region', 'Wringanagung', ' Jombang ',' Jember ',' Jatim ', ""]")</f>
        <v>['Signal', 'Telkomsel', 'Troubled', 'Package', 'GB', 'Disappointed', 'Telkomsel', 'Please', 'Improvement', 'Telkomsel', 'Region', 'Wringanagung', ' Jombang ',' Jember ',' Jatim ', "]</v>
      </c>
      <c r="D1327" s="3">
        <v>1.0</v>
      </c>
    </row>
    <row r="1328" ht="15.75" customHeight="1">
      <c r="A1328" s="1">
        <v>1326.0</v>
      </c>
      <c r="B1328" s="3" t="s">
        <v>1329</v>
      </c>
      <c r="C1328" s="3" t="str">
        <f>IFERROR(__xludf.DUMMYFUNCTION("GOOGLETRANSLATE(B1328,""id"",""en"")"),"['contents',' check ',' pulse ',' enter ',' dipemberive ',' buy ',' package ',' internet ',' balance ',' sufficient ',' auto ',' shocked ',' Where ',' pulseku ',' contents', 'in front', 'shop', 'pulse', 'Telkomsel', 'strange', 'really', 'detrimental', '']")</f>
        <v>['contents',' check ',' pulse ',' enter ',' dipemberive ',' buy ',' package ',' internet ',' balance ',' sufficient ',' auto ',' shocked ',' Where ',' pulseku ',' contents', 'in front', 'shop', 'pulse', 'Telkomsel', 'strange', 'really', 'detrimental', '']</v>
      </c>
      <c r="D1328" s="3">
        <v>1.0</v>
      </c>
    </row>
    <row r="1329" ht="15.75" customHeight="1">
      <c r="A1329" s="1">
        <v>1327.0</v>
      </c>
      <c r="B1329" s="3" t="s">
        <v>1330</v>
      </c>
      <c r="C1329" s="3" t="str">
        <f>IFERROR(__xludf.DUMMYFUNCTION("GOOGLETRANSLATE(B1329,""id"",""en"")"),"['Suck', 'quota', 'internet', 'ajh', 'kenceng', 'really', 'signal', 'maen', 'game', 'signal', 'broken', 'ping it', ' ijo ',' yellow ',' red ',' game ',' turn ',' open ',' yutup ',' smooth ',' jaya ',' suck ',' quota ',' amjinc ',' really ' , '']")</f>
        <v>['Suck', 'quota', 'internet', 'ajh', 'kenceng', 'really', 'signal', 'maen', 'game', 'signal', 'broken', 'ping it', ' ijo ',' yellow ',' red ',' game ',' turn ',' open ',' yutup ',' smooth ',' jaya ',' suck ',' quota ',' amjinc ',' really ' , '']</v>
      </c>
      <c r="D1329" s="3">
        <v>1.0</v>
      </c>
    </row>
    <row r="1330" ht="15.75" customHeight="1">
      <c r="A1330" s="1">
        <v>1328.0</v>
      </c>
      <c r="B1330" s="3" t="s">
        <v>1331</v>
      </c>
      <c r="C1330" s="3" t="str">
        <f>IFERROR(__xludf.DUMMYFUNCTION("GOOGLETRANSLATE(B1330,""id"",""en"")"),"['Network', 'Telkomsel', 'City', 'Hanconsr', 'already', 'expensive', 'slow', 'compete', 'network', 'change', 'fix', 'deh', ' neighbor', '']")</f>
        <v>['Network', 'Telkomsel', 'City', 'Hanconsr', 'already', 'expensive', 'slow', 'compete', 'network', 'change', 'fix', 'deh', ' neighbor', '']</v>
      </c>
      <c r="D1330" s="3">
        <v>2.0</v>
      </c>
    </row>
    <row r="1331" ht="15.75" customHeight="1">
      <c r="A1331" s="1">
        <v>1329.0</v>
      </c>
      <c r="B1331" s="3" t="s">
        <v>1332</v>
      </c>
      <c r="C1331" s="3" t="str">
        <f>IFERROR(__xludf.DUMMYFUNCTION("GOOGLETRANSLATE(B1331,""id"",""en"")"),"['The application', 'good', 'service', 'good', 'sad', 'bills',' monthly ',' expensive ',' usage ',' rare ',' Telkomsel ',' operator ',' Sayang ',' Lamar ',' work ',' etc. ',' bills ',' expensive ',' dlu ',' work ',' feels ',' already ',' income ',' since "&amp;"'covid' , 'Taste', 'bills', 'expensive', 'appeal', 'operator', 'God', 'forgive', 'already', 'Discuss', 'Telkomsel', ""]")</f>
        <v>['The application', 'good', 'service', 'good', 'sad', 'bills',' monthly ',' expensive ',' usage ',' rare ',' Telkomsel ',' operator ',' Sayang ',' Lamar ',' work ',' etc. ',' bills ',' expensive ',' dlu ',' work ',' feels ',' already ',' income ',' since 'covid' , 'Taste', 'bills', 'expensive', 'appeal', 'operator', 'God', 'forgive', 'already', 'Discuss', 'Telkomsel', "]</v>
      </c>
      <c r="D1331" s="3">
        <v>2.0</v>
      </c>
    </row>
    <row r="1332" ht="15.75" customHeight="1">
      <c r="A1332" s="1">
        <v>1330.0</v>
      </c>
      <c r="B1332" s="3" t="s">
        <v>1333</v>
      </c>
      <c r="C1332" s="3" t="str">
        <f>IFERROR(__xludf.DUMMYFUNCTION("GOOGLETRANSLATE(B1332,""id"",""en"")"),"['disappointed', 'credit', 'cut', 'active', 'package', 'active', 'package', 'active', 'then', 'complain', 'center', 'help', ' Veronica ',' slow ',' response ',' solution ',' ngemis', 'ngemis',' rating ',' good ',' chaotic ',' telkomsel ']")</f>
        <v>['disappointed', 'credit', 'cut', 'active', 'package', 'active', 'package', 'active', 'then', 'complain', 'center', 'help', ' Veronica ',' slow ',' response ',' solution ',' ngemis', 'ngemis',' rating ',' good ',' chaotic ',' telkomsel ']</v>
      </c>
      <c r="D1332" s="3">
        <v>1.0</v>
      </c>
    </row>
    <row r="1333" ht="15.75" customHeight="1">
      <c r="A1333" s="1">
        <v>1331.0</v>
      </c>
      <c r="B1333" s="3" t="s">
        <v>1334</v>
      </c>
      <c r="C1333" s="3" t="str">
        <f>IFERROR(__xludf.DUMMYFUNCTION("GOOGLETRANSLATE(B1333,""id"",""en"")"),"['logo', 'ugly', 'characteristics',' typical ',' Telkomsel ',' area ',' network ',' internet ',' bad ',' ugly ',' strong ',' access', ' Internet ',' open ',' YouTube ',' Lodinh ',' users', 'in the past', 'Pandemic', 'User', 'Increases',' Location ',' Vill"&amp;"age ',' Island ',' Sengkilo ' , 'Kec', 'blouse', 'kab', 'indragiri', 'upstream', 'Please', 'check', 'tower', 'min', 'device', 'replace', 'crash', ' Sad ',' customers', 'Telkomsel', 'Thank you', ""]")</f>
        <v>['logo', 'ugly', 'characteristics',' typical ',' Telkomsel ',' area ',' network ',' internet ',' bad ',' ugly ',' strong ',' access', ' Internet ',' open ',' YouTube ',' Lodinh ',' users', 'in the past', 'Pandemic', 'User', 'Increases',' Location ',' Village ',' Island ',' Sengkilo ' , 'Kec', 'blouse', 'kab', 'indragiri', 'upstream', 'Please', 'check', 'tower', 'min', 'device', 'replace', 'crash', ' Sad ',' customers', 'Telkomsel', 'Thank you', "]</v>
      </c>
      <c r="D1333" s="3">
        <v>3.0</v>
      </c>
    </row>
    <row r="1334" ht="15.75" customHeight="1">
      <c r="A1334" s="1">
        <v>1332.0</v>
      </c>
      <c r="B1334" s="3" t="s">
        <v>1335</v>
      </c>
      <c r="C1334" s="3" t="str">
        <f>IFERROR(__xludf.DUMMYFUNCTION("GOOGLETRANSLATE(B1334,""id"",""en"")"),"['Heh', 'package', 'price', 'changed', 'price', 'Asi', 'price', 'slow', 'aware', 'hey', 'aware', 'NOT' Stable ',' down ',' ping ']")</f>
        <v>['Heh', 'package', 'price', 'changed', 'price', 'Asi', 'price', 'slow', 'aware', 'hey', 'aware', 'NOT' Stable ',' down ',' ping ']</v>
      </c>
      <c r="D1334" s="3">
        <v>1.0</v>
      </c>
    </row>
    <row r="1335" ht="15.75" customHeight="1">
      <c r="A1335" s="1">
        <v>1333.0</v>
      </c>
      <c r="B1335" s="3" t="s">
        <v>1336</v>
      </c>
      <c r="C1335" s="3" t="str">
        <f>IFERROR(__xludf.DUMMYFUNCTION("GOOGLETRANSLATE(B1335,""id"",""en"")"),"['', 'Telkomsel', 'difficulty', 'open', 'the application', 'NOT', 'service', 'bad', ""]")</f>
        <v>['', 'Telkomsel', 'difficulty', 'open', 'the application', 'NOT', 'service', 'bad', "]</v>
      </c>
      <c r="D1335" s="3">
        <v>1.0</v>
      </c>
    </row>
    <row r="1336" ht="15.75" customHeight="1">
      <c r="A1336" s="1">
        <v>1334.0</v>
      </c>
      <c r="B1336" s="3" t="s">
        <v>1337</v>
      </c>
      <c r="C1336" s="3" t="str">
        <f>IFERROR(__xludf.DUMMYFUNCTION("GOOGLETRANSLATE(B1336,""id"",""en"")"),"['Disappointed', 'Ama', 'Telkomsel', 'Open', 'Application', 'Gabisa', 'Data', 'Axis',' Package ',' AXIS ',' Watch ',' Open ',' Twitter ',' open ',' Telkomsel ',' gabisa ',' bought ',' enter ',' Telkomsel ',' position ',' quota ',' telkom ',' abis', 'buy',"&amp;" 'quota' , 'Axis',' cheap ',' buy ',' Telkomsel ',' gabisa ',' login ',' axis', 'pulse', 'galucu', 'pokonya', 'disappointed', 'love', ' star', '']")</f>
        <v>['Disappointed', 'Ama', 'Telkomsel', 'Open', 'Application', 'Gabisa', 'Data', 'Axis',' Package ',' AXIS ',' Watch ',' Open ',' Twitter ',' open ',' Telkomsel ',' gabisa ',' bought ',' enter ',' Telkomsel ',' position ',' quota ',' telkom ',' abis', 'buy', 'quota' , 'Axis',' cheap ',' buy ',' Telkomsel ',' gabisa ',' login ',' axis', 'pulse', 'galucu', 'pokonya', 'disappointed', 'love', ' star', '']</v>
      </c>
      <c r="D1336" s="3">
        <v>1.0</v>
      </c>
    </row>
    <row r="1337" ht="15.75" customHeight="1">
      <c r="A1337" s="1">
        <v>1335.0</v>
      </c>
      <c r="B1337" s="3" t="s">
        <v>1338</v>
      </c>
      <c r="C1337" s="3" t="str">
        <f>IFERROR(__xludf.DUMMYFUNCTION("GOOGLETRANSLATE(B1337,""id"",""en"")"),"['Error', 'Ajah', 'Telkomsel', 'Network', 'Kek', 'Bad', 'Package', 'Expensive', 'Code', 'Package', 'Card', 'Asemmm']")</f>
        <v>['Error', 'Ajah', 'Telkomsel', 'Network', 'Kek', 'Bad', 'Package', 'Expensive', 'Code', 'Package', 'Card', 'Asemmm']</v>
      </c>
      <c r="D1337" s="3">
        <v>1.0</v>
      </c>
    </row>
    <row r="1338" ht="15.75" customHeight="1">
      <c r="A1338" s="1">
        <v>1336.0</v>
      </c>
      <c r="B1338" s="3" t="s">
        <v>1339</v>
      </c>
      <c r="C1338" s="3" t="str">
        <f>IFERROR(__xludf.DUMMYFUNCTION("GOOGLETRANSLATE(B1338,""id"",""en"")"),"['Sorry', 'buy', 'quota', 'mytelkomsel', 'quota', 'like', 'dipake', 'kirakira', 'like', 'notification', 'payment', 'fail', ' Credit ',' Cut ',' ']")</f>
        <v>['Sorry', 'buy', 'quota', 'mytelkomsel', 'quota', 'like', 'dipake', 'kirakira', 'like', 'notification', 'payment', 'fail', ' Credit ',' Cut ',' ']</v>
      </c>
      <c r="D1338" s="3">
        <v>3.0</v>
      </c>
    </row>
    <row r="1339" ht="15.75" customHeight="1">
      <c r="A1339" s="1">
        <v>1337.0</v>
      </c>
      <c r="B1339" s="3" t="s">
        <v>1340</v>
      </c>
      <c r="C1339" s="3" t="str">
        <f>IFERROR(__xludf.DUMMYFUNCTION("GOOGLETRANSLATE(B1339,""id"",""en"")"),"['quota', 'tranquility', 'Instagram', 'description', 'written', 'unlimited', 'limit', 'speed', 'use', 'MB', 'already', 'Notif', ' the limit ',' usage ',' reasonable ',' run out ',' speed ',' adjust ',' already ',' used ',' slow ',' naudzubillah ',' use ',"&amp;"' cheat ',' so ' , 'Napkau', 'said', 'unlimited', 'unlimited', 'use', 'MB', 'already', 'used', 'boro', 'boro', 'see', 'vidio', ' Instagram ',' Open ',' Picture ',' Plong ',' Blank ',' Nipu ', ""]")</f>
        <v>['quota', 'tranquility', 'Instagram', 'description', 'written', 'unlimited', 'limit', 'speed', 'use', 'MB', 'already', 'Notif', ' the limit ',' usage ',' reasonable ',' run out ',' speed ',' adjust ',' already ',' used ',' slow ',' naudzubillah ',' use ',' cheat ',' so ' , 'Napkau', 'said', 'unlimited', 'unlimited', 'use', 'MB', 'already', 'used', 'boro', 'boro', 'see', 'vidio', ' Instagram ',' Open ',' Picture ',' Plong ',' Blank ',' Nipu ', "]</v>
      </c>
      <c r="D1339" s="3">
        <v>1.0</v>
      </c>
    </row>
    <row r="1340" ht="15.75" customHeight="1">
      <c r="A1340" s="1">
        <v>1338.0</v>
      </c>
      <c r="B1340" s="3" t="s">
        <v>1341</v>
      </c>
      <c r="C1340" s="3" t="str">
        <f>IFERROR(__xludf.DUMMYFUNCTION("GOOGLETRANSLATE(B1340,""id"",""en"")"),"['Helpful', 'makes it easier', 'transaction', 'promo', 'interesting', 'suggestion', 'mytelkomsel', 'try', 'promo', 'economical', 'society', 'inside', ' Pandemic ',' Thank you ',' Telkomsel ']")</f>
        <v>['Helpful', 'makes it easier', 'transaction', 'promo', 'interesting', 'suggestion', 'mytelkomsel', 'try', 'promo', 'economical', 'society', 'inside', ' Pandemic ',' Thank you ',' Telkomsel ']</v>
      </c>
      <c r="D1340" s="3">
        <v>5.0</v>
      </c>
    </row>
    <row r="1341" ht="15.75" customHeight="1">
      <c r="A1341" s="1">
        <v>1339.0</v>
      </c>
      <c r="B1341" s="3" t="s">
        <v>1342</v>
      </c>
      <c r="C1341" s="3" t="str">
        <f>IFERROR(__xludf.DUMMYFUNCTION("GOOGLETRANSLATE(B1341,""id"",""en"")"),"['application', 'already', 'comfortable', 'network', 'Telkomsel', 'problematic', 'slow', 'according to', 'price', 'buy', 'klau', 'already', ' Fix ',' Network ',' Star ']")</f>
        <v>['application', 'already', 'comfortable', 'network', 'Telkomsel', 'problematic', 'slow', 'according to', 'price', 'buy', 'klau', 'already', ' Fix ',' Network ',' Star ']</v>
      </c>
      <c r="D1341" s="3">
        <v>3.0</v>
      </c>
    </row>
    <row r="1342" ht="15.75" customHeight="1">
      <c r="A1342" s="1">
        <v>1340.0</v>
      </c>
      <c r="B1342" s="3" t="s">
        <v>1343</v>
      </c>
      <c r="C1342" s="3" t="str">
        <f>IFERROR(__xludf.DUMMYFUNCTION("GOOGLETRANSLATE(B1342,""id"",""en"")"),"['Sorry', 'Star', 'Rules',' Consumption ',' Package ',' Telkomsel ',' Changed ',' Consume ',' Package ',' Active ',' Survives', 'Untung', ' Think ',' convenience ',' user ',' buy ',' package ',' unlimited ',' daily ',' run out ',' package ',' internet ','"&amp;" local ',' unlimited ',' unlimited ' , 'used', 'it hurts', 'package', 'unlimited', 'consumed', '']")</f>
        <v>['Sorry', 'Star', 'Rules',' Consumption ',' Package ',' Telkomsel ',' Changed ',' Consume ',' Package ',' Active ',' Survives', 'Untung', ' Think ',' convenience ',' user ',' buy ',' package ',' unlimited ',' daily ',' run out ',' package ',' internet ',' local ',' unlimited ',' unlimited ' , 'used', 'it hurts', 'package', 'unlimited', 'consumed', '']</v>
      </c>
      <c r="D1342" s="3">
        <v>1.0</v>
      </c>
    </row>
    <row r="1343" ht="15.75" customHeight="1">
      <c r="A1343" s="1">
        <v>1341.0</v>
      </c>
      <c r="B1343" s="3" t="s">
        <v>1344</v>
      </c>
      <c r="C1343" s="3" t="str">
        <f>IFERROR(__xludf.DUMMYFUNCTION("GOOGLETRANSLATE(B1343,""id"",""en"")"),"['Ngeprank', 'already', 'contents',' pulse ',' extend ',' package ',' package ',' Available ',' promo ',' August ',' Telkomsel ',' like ',' Taeiiii ',' ']")</f>
        <v>['Ngeprank', 'already', 'contents',' pulse ',' extend ',' package ',' package ',' Available ',' promo ',' August ',' Telkomsel ',' like ',' Taeiiii ',' ']</v>
      </c>
      <c r="D1343" s="3">
        <v>1.0</v>
      </c>
    </row>
    <row r="1344" ht="15.75" customHeight="1">
      <c r="A1344" s="1">
        <v>1342.0</v>
      </c>
      <c r="B1344" s="3" t="s">
        <v>1345</v>
      </c>
      <c r="C1344" s="3" t="str">
        <f>IFERROR(__xludf.DUMMYFUNCTION("GOOGLETRANSLATE(B1344,""id"",""en"")"),"['Star', 'true', 'Customer', 'Telkomsel', 'intend', 'buy', 'quota', 'internet', 'condition', 'pulse', 'pucet', 'buy', ' package ',' internet ',' pulse ',' truncated ',' automatic ',' buy ',' quota ',' internet ',' rates', 'normal', 'pulses',' run out ',' "&amp;"quota ' , 'internet', 'suggestion', 'try', 'fix', 'system', 'community', 'ppkm', 'help', 'pulses', ""]")</f>
        <v>['Star', 'true', 'Customer', 'Telkomsel', 'intend', 'buy', 'quota', 'internet', 'condition', 'pulse', 'pucet', 'buy', ' package ',' internet ',' pulse ',' truncated ',' automatic ',' buy ',' quota ',' internet ',' rates', 'normal', 'pulses',' run out ',' quota ' , 'internet', 'suggestion', 'try', 'fix', 'system', 'community', 'ppkm', 'help', 'pulses', "]</v>
      </c>
      <c r="D1344" s="3">
        <v>1.0</v>
      </c>
    </row>
    <row r="1345" ht="15.75" customHeight="1">
      <c r="A1345" s="1">
        <v>1343.0</v>
      </c>
      <c r="B1345" s="3" t="s">
        <v>1346</v>
      </c>
      <c r="C1345" s="3" t="str">
        <f>IFERROR(__xludf.DUMMYFUNCTION("GOOGLETRANSLATE(B1345,""id"",""en"")"),"['', 'knapa', 'application', 'rich', 'abal', 'open', 'app', 'forced', 'download', 'version', 'newest', 'after' update ',' Kaga ',' Open ',' Application ',' Developer ',' Ride ',' Quality ',' App ',' Bro ', ""]")</f>
        <v>['', 'knapa', 'application', 'rich', 'abal', 'open', 'app', 'forced', 'download', 'version', 'newest', 'after' update ',' Kaga ',' Open ',' Application ',' Developer ',' Ride ',' Quality ',' App ',' Bro ', "]</v>
      </c>
      <c r="D1345" s="3">
        <v>1.0</v>
      </c>
    </row>
    <row r="1346" ht="15.75" customHeight="1">
      <c r="A1346" s="1">
        <v>1344.0</v>
      </c>
      <c r="B1346" s="3" t="s">
        <v>1347</v>
      </c>
      <c r="C1346" s="3" t="str">
        <f>IFERROR(__xludf.DUMMYFUNCTION("GOOGLETRANSLATE(B1346,""id"",""en"")"),"['update', 'the latest', 'right', 'open', 'the application', 'told', 'update', 'press',' enter ',' Play ',' Store ',' updated ',' Dipentied ',' Open ',' ']")</f>
        <v>['update', 'the latest', 'right', 'open', 'the application', 'told', 'update', 'press',' enter ',' Play ',' Store ',' updated ',' Dipentied ',' Open ',' ']</v>
      </c>
      <c r="D1346" s="3">
        <v>3.0</v>
      </c>
    </row>
    <row r="1347" ht="15.75" customHeight="1">
      <c r="A1347" s="1">
        <v>1345.0</v>
      </c>
      <c r="B1347" s="3" t="s">
        <v>1348</v>
      </c>
      <c r="C1347" s="3" t="str">
        <f>IFERROR(__xludf.DUMMYFUNCTION("GOOGLETRANSLATE(B1347,""id"",""en"")"),"['road', 'signal', 'destroyed', 'price', 'package', 'data', 'most expensive', 'intention', 'serving', 'customer', 'disband', ""]")</f>
        <v>['road', 'signal', 'destroyed', 'price', 'package', 'data', 'most expensive', 'intention', 'serving', 'customer', 'disband', "]</v>
      </c>
      <c r="D1347" s="3">
        <v>1.0</v>
      </c>
    </row>
    <row r="1348" ht="15.75" customHeight="1">
      <c r="A1348" s="1">
        <v>1346.0</v>
      </c>
      <c r="B1348" s="3" t="s">
        <v>1349</v>
      </c>
      <c r="C1348" s="3" t="str">
        <f>IFERROR(__xludf.DUMMYFUNCTION("GOOGLETRANSLATE(B1348,""id"",""en"")"),"['system', 'business',' Telkomsel ',' cheating ',' barokah ',' fraud ',' dikamuflage ',' cut ',' pulse ',' haram ',' use ',' backup ',' Sometimes', 'Doly Hula', '']")</f>
        <v>['system', 'business',' Telkomsel ',' cheating ',' barokah ',' fraud ',' dikamuflage ',' cut ',' pulse ',' haram ',' use ',' backup ',' Sometimes', 'Doly Hula', '']</v>
      </c>
      <c r="D1348" s="3">
        <v>1.0</v>
      </c>
    </row>
    <row r="1349" ht="15.75" customHeight="1">
      <c r="A1349" s="1">
        <v>1347.0</v>
      </c>
      <c r="B1349" s="3" t="s">
        <v>1350</v>
      </c>
      <c r="C1349" s="3" t="str">
        <f>IFERROR(__xludf.DUMMYFUNCTION("GOOGLETRANSLATE(B1349,""id"",""en"")"),"['', 'Update', 'open', 'Open', 'Application', 'appears',' Link ',' Update ',' Enter ',' Play ',' Store ',' updated ',' Click ',' Open ',' Kya ',' That's', 'Doank', '']")</f>
        <v>['', 'Update', 'open', 'Open', 'Application', 'appears',' Link ',' Update ',' Enter ',' Play ',' Store ',' updated ',' Click ',' Open ',' Kya ',' That's', 'Doank', '']</v>
      </c>
      <c r="D1349" s="3">
        <v>1.0</v>
      </c>
    </row>
    <row r="1350" ht="15.75" customHeight="1">
      <c r="A1350" s="1">
        <v>1348.0</v>
      </c>
      <c r="B1350" s="3" t="s">
        <v>1351</v>
      </c>
      <c r="C1350" s="3" t="str">
        <f>IFERROR(__xludf.DUMMYFUNCTION("GOOGLETRANSLATE(B1350,""id"",""en"")"),"['What', 'update', 'tapnya', 'open', 'the application', 'network', 'internet', 'disruption', 'service', 'ugly']")</f>
        <v>['What', 'update', 'tapnya', 'open', 'the application', 'network', 'internet', 'disruption', 'service', 'ugly']</v>
      </c>
      <c r="D1350" s="3">
        <v>1.0</v>
      </c>
    </row>
    <row r="1351" ht="15.75" customHeight="1">
      <c r="A1351" s="1">
        <v>1349.0</v>
      </c>
      <c r="B1351" s="3" t="s">
        <v>1352</v>
      </c>
      <c r="C1351" s="3" t="str">
        <f>IFERROR(__xludf.DUMMYFUNCTION("GOOGLETRANSLATE(B1351,""id"",""en"")"),"['Changing', 'oprator', 'Telkomsel', 'times',' Really ',' Disappointed ',' Telkomsel ',' Exchange ',' Point ',' Swinger ',' Point ',' Point ',' Telkomsel ',' sikukupi ',' times', 'Please', 'Fix', 'Harm', 'People', ""]")</f>
        <v>['Changing', 'oprator', 'Telkomsel', 'times',' Really ',' Disappointed ',' Telkomsel ',' Exchange ',' Point ',' Swinger ',' Point ',' Point ',' Telkomsel ',' sikukupi ',' times', 'Please', 'Fix', 'Harm', 'People', "]</v>
      </c>
      <c r="D1351" s="3">
        <v>1.0</v>
      </c>
    </row>
    <row r="1352" ht="15.75" customHeight="1">
      <c r="A1352" s="1">
        <v>1350.0</v>
      </c>
      <c r="B1352" s="3" t="s">
        <v>1353</v>
      </c>
      <c r="C1352" s="3" t="str">
        <f>IFERROR(__xludf.DUMMYFUNCTION("GOOGLETRANSLATE(B1352,""id"",""en"")"),"['How', 'buy', 'Package', 'KOMBO', 'SAKTI', 'Get', 'Internet', 'GB', 'Multi', 'Media', 'Dipake', 'YouTuban', ' Shame ',' Package ',' Internet ',' Application ',' YouTube ',' Package ',' Multimedia ',' whole ',' Gazebo ', ""]")</f>
        <v>['How', 'buy', 'Package', 'KOMBO', 'SAKTI', 'Get', 'Internet', 'GB', 'Multi', 'Media', 'Dipake', 'YouTuban', ' Shame ',' Package ',' Internet ',' Application ',' YouTube ',' Package ',' Multimedia ',' whole ',' Gazebo ', "]</v>
      </c>
      <c r="D1352" s="3">
        <v>1.0</v>
      </c>
    </row>
    <row r="1353" ht="15.75" customHeight="1">
      <c r="A1353" s="1">
        <v>1351.0</v>
      </c>
      <c r="B1353" s="3" t="s">
        <v>1354</v>
      </c>
      <c r="C1353" s="3" t="str">
        <f>IFERROR(__xludf.DUMMYFUNCTION("GOOGLETRANSLATE(B1353,""id"",""en"")"),"['Strong', 'Netting', 'Network', 'Network', 'Tsel', 'Dumerant', 'Tsel', 'Service', 'Network', 'As',' Tsel ',' Weak ',' connection ',' its web ',' user ',' Indonesia ',' complain ',' service ',' tsel ',' please ',' fix ',' level ',' service ',' connection "&amp;"',' its internet ' , 'understand']")</f>
        <v>['Strong', 'Netting', 'Network', 'Network', 'Tsel', 'Dumerant', 'Tsel', 'Service', 'Network', 'As',' Tsel ',' Weak ',' connection ',' its web ',' user ',' Indonesia ',' complain ',' service ',' tsel ',' please ',' fix ',' level ',' service ',' connection ',' its internet ' , 'understand']</v>
      </c>
      <c r="D1353" s="3">
        <v>1.0</v>
      </c>
    </row>
    <row r="1354" ht="15.75" customHeight="1">
      <c r="A1354" s="1">
        <v>1352.0</v>
      </c>
      <c r="B1354" s="3" t="s">
        <v>1355</v>
      </c>
      <c r="C1354" s="3" t="str">
        <f>IFERROR(__xludf.DUMMYFUNCTION("GOOGLETRANSLATE(B1354,""id"",""en"")"),"['application', 'good', 'min', 'sometimes',' obstacle ',' buy ',' package ',' promo ',' active ',' really ',' sometimes', 'active', ' active ',' buy ',' package ',' package ',' promo ',' quota ',' direct ',' active ',' thank you ', ""]")</f>
        <v>['application', 'good', 'min', 'sometimes',' obstacle ',' buy ',' package ',' promo ',' active ',' really ',' sometimes', 'active', ' active ',' buy ',' package ',' package ',' promo ',' quota ',' direct ',' active ',' thank you ', "]</v>
      </c>
      <c r="D1354" s="3">
        <v>5.0</v>
      </c>
    </row>
    <row r="1355" ht="15.75" customHeight="1">
      <c r="A1355" s="1">
        <v>1353.0</v>
      </c>
      <c r="B1355" s="3" t="s">
        <v>1356</v>
      </c>
      <c r="C1355" s="3" t="str">
        <f>IFERROR(__xludf.DUMMYFUNCTION("GOOGLETRANSLATE(B1355,""id"",""en"")"),"['Please', 'Fix', 'Network', 'Kutai', 'West', 'Network', 'ugly', 'Dsini', 'Cuman', 'Telkomsel', 'Indosat', 'PSTI', ' Select ',' Indosat ',' Cheap ',' Telkomsel ',' Rates', 'Expensive', 'Service', 'Jelekkk']")</f>
        <v>['Please', 'Fix', 'Network', 'Kutai', 'West', 'Network', 'ugly', 'Dsini', 'Cuman', 'Telkomsel', 'Indosat', 'PSTI', ' Select ',' Indosat ',' Cheap ',' Telkomsel ',' Rates', 'Expensive', 'Service', 'Jelekkk']</v>
      </c>
      <c r="D1355" s="3">
        <v>1.0</v>
      </c>
    </row>
    <row r="1356" ht="15.75" customHeight="1">
      <c r="A1356" s="1">
        <v>1354.0</v>
      </c>
      <c r="B1356" s="3" t="s">
        <v>1357</v>
      </c>
      <c r="C1356" s="3" t="str">
        <f>IFERROR(__xludf.DUMMYFUNCTION("GOOGLETRANSLATE(B1356,""id"",""en"")"),"['Telkomsel', 'fierce', 'open', 'internet', 'download', 'youtube', 'play', 'game', 'online', 'like', 'red', 'trs',' City ',' Mantul ',' Beranan ',' Bye ',' ']")</f>
        <v>['Telkomsel', 'fierce', 'open', 'internet', 'download', 'youtube', 'play', 'game', 'online', 'like', 'red', 'trs',' City ',' Mantul ',' Beranan ',' Bye ',' ']</v>
      </c>
      <c r="D1356" s="3">
        <v>2.0</v>
      </c>
    </row>
    <row r="1357" ht="15.75" customHeight="1">
      <c r="A1357" s="1">
        <v>1355.0</v>
      </c>
      <c r="B1357" s="3" t="s">
        <v>1358</v>
      </c>
      <c r="C1357" s="3" t="str">
        <f>IFERROR(__xludf.DUMMYFUNCTION("GOOGLETRANSLATE(B1357,""id"",""en"")"),"['Appearance', 'Home', 'Application', 'Symbol', 'Telkomsel', 'Bagus',' Elegant ',' Pas', 'Mendahuri', 'Mendahuri', 'Rich', 'Strange', ' oath ',' see ',' tasty ',' how ',' Teaa ',' network ',' steady ',' betulll ',' ngeleg ',' ngeeleg ',' device ',' networ"&amp;"k ',' Indonesia ' , 'Brapo', 'Love', 'Telkomsel', ""]")</f>
        <v>['Appearance', 'Home', 'Application', 'Symbol', 'Telkomsel', 'Bagus',' Elegant ',' Pas', 'Mendahuri', 'Mendahuri', 'Rich', 'Strange', ' oath ',' see ',' tasty ',' how ',' Teaa ',' network ',' steady ',' betulll ',' ngeleg ',' ngeeleg ',' device ',' network ',' Indonesia ' , 'Brapo', 'Love', 'Telkomsel', "]</v>
      </c>
      <c r="D1357" s="3">
        <v>5.0</v>
      </c>
    </row>
    <row r="1358" ht="15.75" customHeight="1">
      <c r="A1358" s="1">
        <v>1356.0</v>
      </c>
      <c r="B1358" s="3" t="s">
        <v>1359</v>
      </c>
      <c r="C1358" s="3" t="str">
        <f>IFERROR(__xludf.DUMMYFUNCTION("GOOGLETRANSLATE(B1358,""id"",""en"")"),"['Sorry', 'pull out', 'star', 'limited', 'because', 'kuta', 'stengah', 'run out', 'minutes',' strange ',' really ',' greet ',' cards', 'laen', 'Not bad', 'durable', 'moved', 'laen', 'fix', '']")</f>
        <v>['Sorry', 'pull out', 'star', 'limited', 'because', 'kuta', 'stengah', 'run out', 'minutes',' strange ',' really ',' greet ',' cards', 'laen', 'Not bad', 'durable', 'moved', 'laen', 'fix', '']</v>
      </c>
      <c r="D1358" s="3">
        <v>1.0</v>
      </c>
    </row>
    <row r="1359" ht="15.75" customHeight="1">
      <c r="A1359" s="1">
        <v>1357.0</v>
      </c>
      <c r="B1359" s="3" t="s">
        <v>1360</v>
      </c>
      <c r="C1359" s="3" t="str">
        <f>IFERROR(__xludf.DUMMYFUNCTION("GOOGLETRANSLATE(B1359,""id"",""en"")"),"['just', 'open', 'application', 'TRS', 'told', 'update', 'right', 'already', 'finished', 'updated', 'told', 'update', ' Click ',' Mumpit ',' Play ',' Store ',' The writing ',' Stay ',' Open ',' Pas', 'Opened', 'Appear', 'Have', 'Update', 'Please' , 'repai"&amp;"red', 'muter', 'muter', 'trs']")</f>
        <v>['just', 'open', 'application', 'TRS', 'told', 'update', 'right', 'already', 'finished', 'updated', 'told', 'update', ' Click ',' Mumpit ',' Play ',' Store ',' The writing ',' Stay ',' Open ',' Pas', 'Opened', 'Appear', 'Have', 'Update', 'Please' , 'repaired', 'muter', 'muter', 'trs']</v>
      </c>
      <c r="D1359" s="3">
        <v>1.0</v>
      </c>
    </row>
    <row r="1360" ht="15.75" customHeight="1">
      <c r="A1360" s="1">
        <v>1358.0</v>
      </c>
      <c r="B1360" s="3" t="s">
        <v>1361</v>
      </c>
      <c r="C1360" s="3" t="str">
        <f>IFERROR(__xludf.DUMMYFUNCTION("GOOGLETRANSLATE(B1360,""id"",""en"")"),"['update', 'open', 'update', 'ehhh', 'already', 'update', 'opened', 'what']")</f>
        <v>['update', 'open', 'update', 'ehhh', 'already', 'update', 'opened', 'what']</v>
      </c>
      <c r="D1360" s="3">
        <v>1.0</v>
      </c>
    </row>
    <row r="1361" ht="15.75" customHeight="1">
      <c r="A1361" s="1">
        <v>1359.0</v>
      </c>
      <c r="B1361" s="3" t="s">
        <v>1362</v>
      </c>
      <c r="C1361" s="3" t="str">
        <f>IFERROR(__xludf.DUMMYFUNCTION("GOOGLETRANSLATE(B1361,""id"",""en"")"),"['already', 'Telkomsel', 'TPI', 'times',' comfortable ',' because ',' like ',' ngilance ',' network ',' jdi ',' divergers', 'play', ' Game ',' Please ',' Policy ',' Admin ',' Thank you ']")</f>
        <v>['already', 'Telkomsel', 'TPI', 'times',' comfortable ',' because ',' like ',' ngilance ',' network ',' jdi ',' divergers', 'play', ' Game ',' Please ',' Policy ',' Admin ',' Thank you ']</v>
      </c>
      <c r="D1361" s="3">
        <v>5.0</v>
      </c>
    </row>
    <row r="1362" ht="15.75" customHeight="1">
      <c r="A1362" s="1">
        <v>1360.0</v>
      </c>
      <c r="B1362" s="3" t="s">
        <v>1363</v>
      </c>
      <c r="C1362" s="3" t="str">
        <f>IFERROR(__xludf.DUMMYFUNCTION("GOOGLETRANSLATE(B1362,""id"",""en"")"),"['The network', 'stabilized', 'sya', 'play', 'game', 'network', 'open', 'application', 'network', 'please', 'stabilized', 'network', ' Gara ',' Network ',' Sya ',' Lost ',' Play ',' Game ',' Canal ',' Sya ',' Use ',' Operator ']")</f>
        <v>['The network', 'stabilized', 'sya', 'play', 'game', 'network', 'open', 'application', 'network', 'please', 'stabilized', 'network', ' Gara ',' Network ',' Sya ',' Lost ',' Play ',' Game ',' Canal ',' Sya ',' Use ',' Operator ']</v>
      </c>
      <c r="D1362" s="3">
        <v>3.0</v>
      </c>
    </row>
    <row r="1363" ht="15.75" customHeight="1">
      <c r="A1363" s="1">
        <v>1361.0</v>
      </c>
      <c r="B1363" s="3" t="s">
        <v>1364</v>
      </c>
      <c r="C1363" s="3" t="str">
        <f>IFERROR(__xludf.DUMMYFUNCTION("GOOGLETRANSLATE(B1363,""id"",""en"")"),"['expensive', 'really', 'internet', 'told', 'update', 'switch', 'wifi', 'ttp', 'buy', 'internet', 'karnw', 'wifi', ' kagak ',' sung ',' plump ',' repaired ',' update ',' mulu ',' kasian ',' internet ',' losing ',' update ',' application ',' mulu ',' inter"&amp;"net ' , 'pulled', 'bwt', 'update', 'App', 'Gedew', 'network', 'sometimes',' likes', 'error', 'pulkam', 'sometimes',' like ',' Nge ',' Leg ',' Accustomed ',' City ',' Kampung ',' Begin ',' Switch ', ""]")</f>
        <v>['expensive', 'really', 'internet', 'told', 'update', 'switch', 'wifi', 'ttp', 'buy', 'internet', 'karnw', 'wifi', ' kagak ',' sung ',' plump ',' repaired ',' update ',' mulu ',' kasian ',' internet ',' losing ',' update ',' application ',' mulu ',' internet ' , 'pulled', 'bwt', 'update', 'App', 'Gedew', 'network', 'sometimes',' likes', 'error', 'pulkam', 'sometimes',' like ',' Nge ',' Leg ',' Accustomed ',' City ',' Kampung ',' Begin ',' Switch ', "]</v>
      </c>
      <c r="D1363" s="3">
        <v>2.0</v>
      </c>
    </row>
    <row r="1364" ht="15.75" customHeight="1">
      <c r="A1364" s="1">
        <v>1362.0</v>
      </c>
      <c r="B1364" s="3" t="s">
        <v>1365</v>
      </c>
      <c r="C1364" s="3" t="str">
        <f>IFERROR(__xludf.DUMMYFUNCTION("GOOGLETRANSLATE(B1364,""id"",""en"")"),"['The use', 'package', 'unlimited', 'max', 'already', 'buy', 'eaten', 'quota', 'main', 'quota', 'unlimited', 'kepake', ' Mending ',' Indosat ',' Cheap ',' No ',' Nipu ',' Suggestion ',' Mending ',' Change ',' Technology ',' Dismat ',' Line ',' Marketing '"&amp;",' Lying ' , 'quota', 'unlimited']")</f>
        <v>['The use', 'package', 'unlimited', 'max', 'already', 'buy', 'eaten', 'quota', 'main', 'quota', 'unlimited', 'kepake', ' Mending ',' Indosat ',' Cheap ',' No ',' Nipu ',' Suggestion ',' Mending ',' Change ',' Technology ',' Dismat ',' Line ',' Marketing ',' Lying ' , 'quota', 'unlimited']</v>
      </c>
      <c r="D1364" s="3">
        <v>1.0</v>
      </c>
    </row>
    <row r="1365" ht="15.75" customHeight="1">
      <c r="A1365" s="1">
        <v>1363.0</v>
      </c>
      <c r="B1365" s="3" t="s">
        <v>1366</v>
      </c>
      <c r="C1365" s="3" t="str">
        <f>IFERROR(__xludf.DUMMYFUNCTION("GOOGLETRANSLATE(B1365,""id"",""en"")"),"['BGKE', 'number', 'DPT', 'Gift', 'Terms',' Fill ',' Credit ',' Nmor ',' Custemer ',' What's', 'Delicious',' Gatherin ',' Point ',' Telkomsel ',' Network ',' Kek ',' BGKE ',' LEGK ',' Basic ',' BGKE ',' Credit ',' Package ',' Data ',' Doang ',' expensive "&amp;"' , 'service', 'quality', 'low', 'bgkee']")</f>
        <v>['BGKE', 'number', 'DPT', 'Gift', 'Terms',' Fill ',' Credit ',' Nmor ',' Custemer ',' What's', 'Delicious',' Gatherin ',' Point ',' Telkomsel ',' Network ',' Kek ',' BGKE ',' LEGK ',' Basic ',' BGKE ',' Credit ',' Package ',' Data ',' Doang ',' expensive ' , 'service', 'quality', 'low', 'bgkee']</v>
      </c>
      <c r="D1365" s="3">
        <v>1.0</v>
      </c>
    </row>
    <row r="1366" ht="15.75" customHeight="1">
      <c r="A1366" s="1">
        <v>1364.0</v>
      </c>
      <c r="B1366" s="3" t="s">
        <v>1367</v>
      </c>
      <c r="C1366" s="3" t="str">
        <f>IFERROR(__xludf.DUMMYFUNCTION("GOOGLETRANSLATE(B1366,""id"",""en"")"),"['Appilakasi', 'Telkomsel', 'Easy', 'Information', 'Card', 'Telkomsel', 'Hopefully', 'level "",' Waiter ',' Network ']")</f>
        <v>['Appilakasi', 'Telkomsel', 'Easy', 'Information', 'Card', 'Telkomsel', 'Hopefully', 'level ",' Waiter ',' Network ']</v>
      </c>
      <c r="D1366" s="3">
        <v>4.0</v>
      </c>
    </row>
    <row r="1367" ht="15.75" customHeight="1">
      <c r="A1367" s="1">
        <v>1365.0</v>
      </c>
      <c r="B1367" s="3" t="s">
        <v>1368</v>
      </c>
      <c r="C1367" s="3" t="str">
        <f>IFERROR(__xludf.DUMMYFUNCTION("GOOGLETRANSLATE(B1367,""id"",""en"")"),"['quota', 'run out', 'automatically', 'pulse', 'sucked', 'pulse', 'squeezed', 'turn on', 'data', 'appears',' notif ',' udh ',' angus', 'then', 'kmren', 'quota', 'abis',' malem ',' right ',' lgi ',' sleep ',' wake up ',' already ',' abis', 'pulses' , 'Syst"&amp;"em', 'garbage', 'Gaguna', 'Search', 'Cuan']")</f>
        <v>['quota', 'run out', 'automatically', 'pulse', 'sucked', 'pulse', 'squeezed', 'turn on', 'data', 'appears',' notif ',' udh ',' angus', 'then', 'kmren', 'quota', 'abis',' malem ',' right ',' lgi ',' sleep ',' wake up ',' already ',' abis', 'pulses' , 'System', 'garbage', 'Gaguna', 'Search', 'Cuan']</v>
      </c>
      <c r="D1367" s="3">
        <v>1.0</v>
      </c>
    </row>
    <row r="1368" ht="15.75" customHeight="1">
      <c r="A1368" s="1">
        <v>1366.0</v>
      </c>
      <c r="B1368" s="3" t="s">
        <v>1369</v>
      </c>
      <c r="C1368" s="3" t="str">
        <f>IFERROR(__xludf.DUMMYFUNCTION("GOOGLETRANSLATE(B1368,""id"",""en"")"),"['', 'star', 'number', 'no', 'package', 'internet', 'wouuuww', 'sick', 'heart', 'see', 'number', 'tsel', 'friend ',' The package ',' cheap ',' quota ',' abundant ',' tsel ',' out ',' package ',' number ',' different ',' money ',' different ',' value ', ''"&amp;"]")</f>
        <v>['', 'star', 'number', 'no', 'package', 'internet', 'wouuuww', 'sick', 'heart', 'see', 'number', 'tsel', 'friend ',' The package ',' cheap ',' quota ',' abundant ',' tsel ',' out ',' package ',' number ',' different ',' money ',' different ',' value ', '']</v>
      </c>
      <c r="D1368" s="3">
        <v>1.0</v>
      </c>
    </row>
    <row r="1369" ht="15.75" customHeight="1">
      <c r="A1369" s="1">
        <v>1367.0</v>
      </c>
      <c r="B1369" s="3" t="s">
        <v>1370</v>
      </c>
      <c r="C1369" s="3" t="str">
        <f>IFERROR(__xludf.DUMMYFUNCTION("GOOGLETRANSLATE(B1369,""id"",""en"")"),"['Telkom', 'pig', 'emg', 'Telkomsel', 'like', 'lag', 'pig', 'emg', 'angry', 'you', 'tasty', 'lag', ' Try ',' lag ',' hey ',' Benerin ',' Network ',' kntle ']")</f>
        <v>['Telkom', 'pig', 'emg', 'Telkomsel', 'like', 'lag', 'pig', 'emg', 'angry', 'you', 'tasty', 'lag', ' Try ',' lag ',' hey ',' Benerin ',' Network ',' kntle ']</v>
      </c>
      <c r="D1369" s="3">
        <v>1.0</v>
      </c>
    </row>
    <row r="1370" ht="15.75" customHeight="1">
      <c r="A1370" s="1">
        <v>1368.0</v>
      </c>
      <c r="B1370" s="3" t="s">
        <v>1371</v>
      </c>
      <c r="C1370" s="3" t="str">
        <f>IFERROR(__xludf.DUMMYFUNCTION("GOOGLETRANSLATE(B1370,""id"",""en"")"),"['After', 'GNTI', 'Card', 'Hello', 'MLH', 'Loss',' KT ',' STLH ',' Quota ',' Main ',' Hbis', 'Unlimited', ' btasi ',' GB ',' Doang ',' fraudsters', 'non', 'actfkkan', 'pketnya', 'kt', 'sruh', 'gnti', 'nomer', 'bru', 'skrg' , 'BNYK', 'Connect', 'APP', 'ATM"&amp;"', 'Ribet', 'Gnti', 'Nomer', 'GTU', 'right', 'GraPARI', 'Ternya', 'BNTU', ' Krna ',' DFTRNY ',' LWT ',' Service ',' Center ',' Ribet ',' MLS ',' PKE ',' TELKOM ', ""]")</f>
        <v>['After', 'GNTI', 'Card', 'Hello', 'MLH', 'Loss',' KT ',' STLH ',' Quota ',' Main ',' Hbis', 'Unlimited', ' btasi ',' GB ',' Doang ',' fraudsters', 'non', 'actfkkan', 'pketnya', 'kt', 'sruh', 'gnti', 'nomer', 'bru', 'skrg' , 'BNYK', 'Connect', 'APP', 'ATM', 'Ribet', 'Gnti', 'Nomer', 'GTU', 'right', 'GraPARI', 'Ternya', 'BNTU', ' Krna ',' DFTRNY ',' LWT ',' Service ',' Center ',' Ribet ',' MLS ',' PKE ',' TELKOM ', "]</v>
      </c>
      <c r="D1370" s="3">
        <v>1.0</v>
      </c>
    </row>
    <row r="1371" ht="15.75" customHeight="1">
      <c r="A1371" s="1">
        <v>1369.0</v>
      </c>
      <c r="B1371" s="3" t="s">
        <v>1372</v>
      </c>
      <c r="C1371" s="3" t="str">
        <f>IFERROR(__xludf.DUMMYFUNCTION("GOOGLETRANSLATE(B1371,""id"",""en"")"),"['try', 'fix', 'signal', 'Nyo', 'boss',' slow ',' user ',' card ',' package ',' already ',' expensive ',' waste ',' Ngak ',' Full ',' Out ',' Divided ',' Package ',' Multimedia ',' Tomeless', 'Leet', 'Dri', 'Package', 'Regular', 'Team', 'Buy' , 'Package',"&amp;" 'expensive', 'Banyk', 'TPI', 'Half', 'Leet', 'Sarani', 'Thinking', 'Use', 'Telkomsel', 'Repair', 'Dri', ' Telkomsel ',' operator ',' cheap ',' TPI ',' according to ',' DGAN ',' The product ',' expensive ',' TPI ',' satisfying ',' thank ',' love ']")</f>
        <v>['try', 'fix', 'signal', 'Nyo', 'boss',' slow ',' user ',' card ',' package ',' already ',' expensive ',' waste ',' Ngak ',' Full ',' Out ',' Divided ',' Package ',' Multimedia ',' Tomeless', 'Leet', 'Dri', 'Package', 'Regular', 'Team', 'Buy' , 'Package', 'expensive', 'Banyk', 'TPI', 'Half', 'Leet', 'Sarani', 'Thinking', 'Use', 'Telkomsel', 'Repair', 'Dri', ' Telkomsel ',' operator ',' cheap ',' TPI ',' according to ',' DGAN ',' The product ',' expensive ',' TPI ',' satisfying ',' thank ',' love ']</v>
      </c>
      <c r="D1371" s="3">
        <v>1.0</v>
      </c>
    </row>
    <row r="1372" ht="15.75" customHeight="1">
      <c r="A1372" s="1">
        <v>1370.0</v>
      </c>
      <c r="B1372" s="3" t="s">
        <v>1373</v>
      </c>
      <c r="C1372" s="3" t="str">
        <f>IFERROR(__xludf.DUMMYFUNCTION("GOOGLETRANSLATE(B1372,""id"",""en"")"),"['Application', 'Open', 'appears',' Your ',' session ',' expired ',' blah ',' blah ',' user ',' telkomsel ',' in ',' entered ',' Thn ',' quality ',' network ',' inet ',' slow ',' quality ',' BUMN ',' ']")</f>
        <v>['Application', 'Open', 'appears',' Your ',' session ',' expired ',' blah ',' blah ',' user ',' telkomsel ',' in ',' entered ',' Thn ',' quality ',' network ',' inet ',' slow ',' quality ',' BUMN ',' ']</v>
      </c>
      <c r="D1372" s="3">
        <v>1.0</v>
      </c>
    </row>
    <row r="1373" ht="15.75" customHeight="1">
      <c r="A1373" s="1">
        <v>1371.0</v>
      </c>
      <c r="B1373" s="3" t="s">
        <v>1374</v>
      </c>
      <c r="C1373" s="3" t="str">
        <f>IFERROR(__xludf.DUMMYFUNCTION("GOOGLETRANSLATE(B1373,""id"",""en"")"),"['Kasi', 'star', 'pulse', 'ngak', 'key', 'quota', 'run out', 'direct', 'suck', 'pulse', 'repair', 'service', ' package ',' quota ',' run out ',' pulse ',' locked ',' connection ',' stop ',' sometimes', 'ngak', 'nge', 'package', 'run out', 'ngak' , 'trimak"&amp;"asi']")</f>
        <v>['Kasi', 'star', 'pulse', 'ngak', 'key', 'quota', 'run out', 'direct', 'suck', 'pulse', 'repair', 'service', ' package ',' quota ',' run out ',' pulse ',' locked ',' connection ',' stop ',' sometimes', 'ngak', 'nge', 'package', 'run out', 'ngak' , 'trimakasi']</v>
      </c>
      <c r="D1373" s="3">
        <v>3.0</v>
      </c>
    </row>
    <row r="1374" ht="15.75" customHeight="1">
      <c r="A1374" s="1">
        <v>1372.0</v>
      </c>
      <c r="B1374" s="3" t="s">
        <v>1375</v>
      </c>
      <c r="C1374" s="3" t="str">
        <f>IFERROR(__xludf.DUMMYFUNCTION("GOOGLETRANSLATE(B1374,""id"",""en"")"),"['Please', 'Fix', 'Yutub', 'smooth', 'donlod', 'smooth', 'TPI', 'Main', 'game', 'ping', 'stable', 'test', ' network ',' ping ',' comment ',' msalah ',' telkomsel ',' ktika ',' play ',' game ',' onlen ']")</f>
        <v>['Please', 'Fix', 'Yutub', 'smooth', 'donlod', 'smooth', 'TPI', 'Main', 'game', 'ping', 'stable', 'test', ' network ',' ping ',' comment ',' msalah ',' telkomsel ',' ktika ',' play ',' game ',' onlen ']</v>
      </c>
      <c r="D1374" s="3">
        <v>1.0</v>
      </c>
    </row>
    <row r="1375" ht="15.75" customHeight="1">
      <c r="A1375" s="1">
        <v>1373.0</v>
      </c>
      <c r="B1375" s="3" t="s">
        <v>1376</v>
      </c>
      <c r="C1375" s="3" t="str">
        <f>IFERROR(__xludf.DUMMYFUNCTION("GOOGLETRANSLATE(B1375,""id"",""en"")"),"['company', 'IWIP', 'Network', 'Call', 'Bad', 'Internet', 'Lalodnya', 'Forgiveness',' Expected ',' Telkomsel ',' Strength ',' Network ',' The internet ',' Thank ',' Love ', ""]")</f>
        <v>['company', 'IWIP', 'Network', 'Call', 'Bad', 'Internet', 'Lalodnya', 'Forgiveness',' Expected ',' Telkomsel ',' Strength ',' Network ',' The internet ',' Thank ',' Love ', "]</v>
      </c>
      <c r="D1375" s="3">
        <v>2.0</v>
      </c>
    </row>
    <row r="1376" ht="15.75" customHeight="1">
      <c r="A1376" s="1">
        <v>1374.0</v>
      </c>
      <c r="B1376" s="3" t="s">
        <v>1377</v>
      </c>
      <c r="C1376" s="3" t="str">
        <f>IFERROR(__xludf.DUMMYFUNCTION("GOOGLETRANSLATE(B1376,""id"",""en"")"),"['signal', 'bad', 'class',' Telkomsel ',' stay ',' city ',' guarantee ',' internet ',' smooth ',' slow ',' really ',' packetan ',' Severe ',' want ',' Move ',' Haluan ']")</f>
        <v>['signal', 'bad', 'class',' Telkomsel ',' stay ',' city ',' guarantee ',' internet ',' smooth ',' slow ',' really ',' packetan ',' Severe ',' want ',' Move ',' Haluan ']</v>
      </c>
      <c r="D1376" s="3">
        <v>1.0</v>
      </c>
    </row>
    <row r="1377" ht="15.75" customHeight="1">
      <c r="A1377" s="1">
        <v>1375.0</v>
      </c>
      <c r="B1377" s="3" t="s">
        <v>1378</v>
      </c>
      <c r="C1377" s="3" t="str">
        <f>IFERROR(__xludf.DUMMYFUNCTION("GOOGLETRANSLATE(B1377,""id"",""en"")"),"['buy', 'package', 'mytelkosel', 'pay', 'use', 'ovo', 'package', 'sent', 'already', 'already', 'confirm', 'ovo', ' Payment ',' Successful ',' told ',' confirm ',' Telkomsel ',' related ',' already ',' contact ',' chat ',' messager ',' told ',' wait ',' ho"&amp;"ur ' , 'already', 'wait', 'confirm', 'send', 'email', 'telkomsel', 'told', 'wait', 'work', 'essence', 'disappointed', 'Telkomsel', ' "", 'User', 'Doskan', 'Thank you',""]")</f>
        <v>['buy', 'package', 'mytelkosel', 'pay', 'use', 'ovo', 'package', 'sent', 'already', 'already', 'confirm', 'ovo', ' Payment ',' Successful ',' told ',' confirm ',' Telkomsel ',' related ',' already ',' contact ',' chat ',' messager ',' told ',' wait ',' hour ' , 'already', 'wait', 'confirm', 'send', 'email', 'telkomsel', 'told', 'wait', 'work', 'essence', 'disappointed', 'Telkomsel', ' ", 'User', 'Doskan', 'Thank you',"]</v>
      </c>
      <c r="D1377" s="3">
        <v>1.0</v>
      </c>
    </row>
    <row r="1378" ht="15.75" customHeight="1">
      <c r="A1378" s="1">
        <v>1376.0</v>
      </c>
      <c r="B1378" s="3" t="s">
        <v>1379</v>
      </c>
      <c r="C1378" s="3" t="str">
        <f>IFERROR(__xludf.DUMMYFUNCTION("GOOGLETRANSLATE(B1378,""id"",""en"")"),"['expensive', 'internet', 'please', 'application', 'restricted', 'taking', 'quota', 'youtube', 'snexvidio', 'tiktok', 'facebook', 'etc.', ' the story ',' outside ',' country ',' contents', 'pulse', 'internet', 'one hundred', 'thousand', 'a month', 'clock'"&amp;", 'please', 'note', 'people' , 'Enjoy', 'internet', 'thank you']")</f>
        <v>['expensive', 'internet', 'please', 'application', 'restricted', 'taking', 'quota', 'youtube', 'snexvidio', 'tiktok', 'facebook', 'etc.', ' the story ',' outside ',' country ',' contents', 'pulse', 'internet', 'one hundred', 'thousand', 'a month', 'clock', 'please', 'note', 'people' , 'Enjoy', 'internet', 'thank you']</v>
      </c>
      <c r="D1378" s="3">
        <v>2.0</v>
      </c>
    </row>
    <row r="1379" ht="15.75" customHeight="1">
      <c r="A1379" s="1">
        <v>1377.0</v>
      </c>
      <c r="B1379" s="3" t="s">
        <v>1380</v>
      </c>
      <c r="C1379" s="3" t="str">
        <f>IFERROR(__xludf.DUMMYFUNCTION("GOOGLETRANSLATE(B1379,""id"",""en"")"),"['Telkomsel', 'KNP', 'Difficult', 'Network', 'Telkomsel', 'LTE', 'Exact', 'Sumsel', 'Oki', 'Merak', 'Telkomsel', 'Delicious',' Ntah ',' knp ',' difficult ',' please ',' fix ',' change ',' mind ']")</f>
        <v>['Telkomsel', 'KNP', 'Difficult', 'Network', 'Telkomsel', 'LTE', 'Exact', 'Sumsel', 'Oki', 'Merak', 'Telkomsel', 'Delicious',' Ntah ',' knp ',' difficult ',' please ',' fix ',' change ',' mind ']</v>
      </c>
      <c r="D1379" s="3">
        <v>1.0</v>
      </c>
    </row>
    <row r="1380" ht="15.75" customHeight="1">
      <c r="A1380" s="1">
        <v>1378.0</v>
      </c>
      <c r="B1380" s="3" t="s">
        <v>1381</v>
      </c>
      <c r="C1380" s="3" t="str">
        <f>IFERROR(__xludf.DUMMYFUNCTION("GOOGLETRANSLATE(B1380,""id"",""en"")"),"['MuaaahaAll', 'Package', 'Cheap', 'Select', 'Select', 'Location', 'Unlimited', 'FUP', 'HOAAAXX', 'UnlimitedD', 'Mari', 'Flocking' ""Moving ',' Kartuuuu ',' Balesan ',' just ',' please ',' Contact ',' Mimin ',' BLA ',' BLA ',' BLAA ',' BLAAA ',' ']")</f>
        <v>['MuaaahaAll', 'Package', 'Cheap', 'Select', 'Select', 'Location', 'Unlimited', 'FUP', 'HOAAAXX', 'UnlimitedD', 'Mari', 'Flocking' "Moving ',' Kartuuuu ',' Balesan ',' just ',' please ',' Contact ',' Mimin ',' BLA ',' BLA ',' BLAA ',' BLAAA ',' ']</v>
      </c>
      <c r="D1380" s="3">
        <v>1.0</v>
      </c>
    </row>
    <row r="1381" ht="15.75" customHeight="1">
      <c r="A1381" s="1">
        <v>1379.0</v>
      </c>
      <c r="B1381" s="3" t="s">
        <v>1382</v>
      </c>
      <c r="C1381" s="3" t="str">
        <f>IFERROR(__xludf.DUMMYFUNCTION("GOOGLETRANSLATE(B1381,""id"",""en"")"),"['Telkomsel', 'best', 'network', 'remote', 'remote', 'country', 'need', 'internet', 'need', 'network', 'telephone', 'forward', ' spirit', '']")</f>
        <v>['Telkomsel', 'best', 'network', 'remote', 'remote', 'country', 'need', 'internet', 'need', 'network', 'telephone', 'forward', ' spirit', '']</v>
      </c>
      <c r="D1381" s="3">
        <v>5.0</v>
      </c>
    </row>
    <row r="1382" ht="15.75" customHeight="1">
      <c r="A1382" s="1">
        <v>1380.0</v>
      </c>
      <c r="B1382" s="3" t="s">
        <v>1383</v>
      </c>
      <c r="C1382" s="3" t="str">
        <f>IFERROR(__xludf.DUMMYFUNCTION("GOOGLETRANSLATE(B1382,""id"",""en"")"),"['buy', 'package', 'unlimited', 'max', 'package', 'internet', 'fast', 'run out', 'durable', 'really', 'addin', 'quota', ' Tetep ',' Fast ',' Abis', 'Use', 'Naturally']")</f>
        <v>['buy', 'package', 'unlimited', 'max', 'package', 'internet', 'fast', 'run out', 'durable', 'really', 'addin', 'quota', ' Tetep ',' Fast ',' Abis', 'Use', 'Naturally']</v>
      </c>
      <c r="D1382" s="3">
        <v>5.0</v>
      </c>
    </row>
    <row r="1383" ht="15.75" customHeight="1">
      <c r="A1383" s="1">
        <v>1381.0</v>
      </c>
      <c r="B1383" s="3" t="s">
        <v>1384</v>
      </c>
      <c r="C1383" s="3" t="str">
        <f>IFERROR(__xludf.DUMMYFUNCTION("GOOGLETRANSLATE(B1383,""id"",""en"")"),"['buy', 'quota', 'unlimited', 'youtube', 'week', 'right', 'open', 'youtube', 'packagein', 'quota', 'tiktok', 'right', ' open ',' apk ',' tiktok ',' buy ',' quota ',' that way ',' valuable ',' times', 'nipu', 'so', 'already', 'complain', 'response' , 'anno"&amp;"ying', 'really']")</f>
        <v>['buy', 'quota', 'unlimited', 'youtube', 'week', 'right', 'open', 'youtube', 'packagein', 'quota', 'tiktok', 'right', ' open ',' apk ',' tiktok ',' buy ',' quota ',' that way ',' valuable ',' times', 'nipu', 'so', 'already', 'complain', 'response' , 'annoying', 'really']</v>
      </c>
      <c r="D1383" s="3">
        <v>1.0</v>
      </c>
    </row>
    <row r="1384" ht="15.75" customHeight="1">
      <c r="A1384" s="1">
        <v>1382.0</v>
      </c>
      <c r="B1384" s="3" t="s">
        <v>1385</v>
      </c>
      <c r="C1384" s="3" t="str">
        <f>IFERROR(__xludf.DUMMYFUNCTION("GOOGLETRANSLATE(B1384,""id"",""en"")"),"['sorry', 'signal', 'telkey', 'home', 'slow', 'game', 'smooth', 'love', 'star', ""]")</f>
        <v>['sorry', 'signal', 'telkey', 'home', 'slow', 'game', 'smooth', 'love', 'star', "]</v>
      </c>
      <c r="D1384" s="3">
        <v>2.0</v>
      </c>
    </row>
    <row r="1385" ht="15.75" customHeight="1">
      <c r="A1385" s="1">
        <v>1383.0</v>
      </c>
      <c r="B1385" s="3" t="s">
        <v>1386</v>
      </c>
      <c r="C1385" s="3" t="str">
        <f>IFERROR(__xludf.DUMMYFUNCTION("GOOGLETRANSLATE(B1385,""id"",""en"")"),"['Telkomsel', 'Network', 'bad', 'signal', 'like', 'missing', 'no', 'service', 'please', 'Telkomsel', 'repaired', 'the network', ' Online ',' difficult ',' right ',' right ',' no ',' bar ',' network ',' already ',' network ',' Telkomsel ',' bad ',' already"&amp;" ',' Dengalah ' , 'ngalain', 'axis', 'ugly', 'please', 'Telkomsel', 'noticed', 'kayak', 'gini', 'thank you', ""]")</f>
        <v>['Telkomsel', 'Network', 'bad', 'signal', 'like', 'missing', 'no', 'service', 'please', 'Telkomsel', 'repaired', 'the network', ' Online ',' difficult ',' right ',' right ',' no ',' bar ',' network ',' already ',' network ',' Telkomsel ',' bad ',' already ',' Dengalah ' , 'ngalain', 'axis', 'ugly', 'please', 'Telkomsel', 'noticed', 'kayak', 'gini', 'thank you', "]</v>
      </c>
      <c r="D1385" s="3">
        <v>1.0</v>
      </c>
    </row>
    <row r="1386" ht="15.75" customHeight="1">
      <c r="A1386" s="1">
        <v>1384.0</v>
      </c>
      <c r="B1386" s="3" t="s">
        <v>1387</v>
      </c>
      <c r="C1386" s="3" t="str">
        <f>IFERROR(__xludf.DUMMYFUNCTION("GOOGLETRANSLATE(B1386,""id"",""en"")"),"['emng', 'times',' Telkomsel ',' example ',' sms', 'maxut', 'package', 'combo', 'magic', 'price', 'rb', 'quota', ' GB ',' Internet ',' Call ',' SMS ',' Check ',' Telkomsel ',' Buy ',' Dikonter ',' Nearest ',' SKB ']")</f>
        <v>['emng', 'times',' Telkomsel ',' example ',' sms', 'maxut', 'package', 'combo', 'magic', 'price', 'rb', 'quota', ' GB ',' Internet ',' Call ',' SMS ',' Check ',' Telkomsel ',' Buy ',' Dikonter ',' Nearest ',' SKB ']</v>
      </c>
      <c r="D1386" s="3">
        <v>1.0</v>
      </c>
    </row>
    <row r="1387" ht="15.75" customHeight="1">
      <c r="A1387" s="1">
        <v>1385.0</v>
      </c>
      <c r="B1387" s="3" t="s">
        <v>1388</v>
      </c>
      <c r="C1387" s="3" t="str">
        <f>IFERROR(__xludf.DUMMYFUNCTION("GOOGLETRANSLATE(B1387,""id"",""en"")"),"['Customer', 'Hello', 'Corporate', 'Date', 'Service', 'Love', 'Gift', 'Saying', 'Pay', 'User', 'Corporate', 'Limite', ' Monthly ',' ']")</f>
        <v>['Customer', 'Hello', 'Corporate', 'Date', 'Service', 'Love', 'Gift', 'Saying', 'Pay', 'User', 'Corporate', 'Limite', ' Monthly ',' ']</v>
      </c>
      <c r="D1387" s="3">
        <v>5.0</v>
      </c>
    </row>
    <row r="1388" ht="15.75" customHeight="1">
      <c r="A1388" s="1">
        <v>1386.0</v>
      </c>
      <c r="B1388" s="3" t="s">
        <v>1389</v>
      </c>
      <c r="C1388" s="3" t="str">
        <f>IFERROR(__xludf.DUMMYFUNCTION("GOOGLETRANSLATE(B1388,""id"",""en"")"),"['Please', 'repaired', 'feels',' stay ',' forest ',' use ',' Telkomsel ',' network ',' ampunnn ',' send ',' difficult ',' application ',' fill out ',' reset ',' update ',' contents', 'balance', 'Please', 'complaints',' repaired ',' experience ',' trimakas"&amp;"ih ']")</f>
        <v>['Please', 'repaired', 'feels',' stay ',' forest ',' use ',' Telkomsel ',' network ',' ampunnn ',' send ',' difficult ',' application ',' fill out ',' reset ',' update ',' contents', 'balance', 'Please', 'complaints',' repaired ',' experience ',' trimakasih ']</v>
      </c>
      <c r="D1388" s="3">
        <v>1.0</v>
      </c>
    </row>
    <row r="1389" ht="15.75" customHeight="1">
      <c r="A1389" s="1">
        <v>1387.0</v>
      </c>
      <c r="B1389" s="3" t="s">
        <v>1390</v>
      </c>
      <c r="C1389" s="3" t="str">
        <f>IFERROR(__xludf.DUMMYFUNCTION("GOOGLETRANSLATE(B1389,""id"",""en"")"),"['Package', 'expensive', 'wasted', 'vain', 'vain', 'emang', 'provider', 'intention', 'mnding', 'leave', 'Telkomsel', 'network', ' SLLU ',' Lost ',' Full ',' Tower ',' Function ',' Card ',' Network ',' Best ',' ']")</f>
        <v>['Package', 'expensive', 'wasted', 'vain', 'vain', 'emang', 'provider', 'intention', 'mnding', 'leave', 'Telkomsel', 'network', ' SLLU ',' Lost ',' Full ',' Tower ',' Function ',' Card ',' Network ',' Best ',' ']</v>
      </c>
      <c r="D1389" s="3">
        <v>1.0</v>
      </c>
    </row>
    <row r="1390" ht="15.75" customHeight="1">
      <c r="A1390" s="1">
        <v>1388.0</v>
      </c>
      <c r="B1390" s="3" t="s">
        <v>1391</v>
      </c>
      <c r="C1390" s="3" t="str">
        <f>IFERROR(__xludf.DUMMYFUNCTION("GOOGLETRANSLATE(B1390,""id"",""en"")"),"['quota', 'expensive', 'network', 'bad', 'morning', 'network', 'right', 'night', 'network', 'stay', 'city', 'ploll "" Sok ',' Severe ',' The Network ',' ']")</f>
        <v>['quota', 'expensive', 'network', 'bad', 'morning', 'network', 'right', 'night', 'network', 'stay', 'city', 'ploll " Sok ',' Severe ',' The Network ',' ']</v>
      </c>
      <c r="D1390" s="3">
        <v>1.0</v>
      </c>
    </row>
    <row r="1391" ht="15.75" customHeight="1">
      <c r="A1391" s="1">
        <v>1389.0</v>
      </c>
      <c r="B1391" s="3" t="s">
        <v>1392</v>
      </c>
      <c r="C1391" s="3" t="str">
        <f>IFERROR(__xludf.DUMMYFUNCTION("GOOGLETRANSLATE(B1391,""id"",""en"")"),"['Hmm', 'hope', 'updait', 'please', 'updait', 'kayak', 'gini', 'mending', ""]")</f>
        <v>['Hmm', 'hope', 'updait', 'please', 'updait', 'kayak', 'gini', 'mending', "]</v>
      </c>
      <c r="D1391" s="3">
        <v>3.0</v>
      </c>
    </row>
    <row r="1392" ht="15.75" customHeight="1">
      <c r="A1392" s="1">
        <v>1390.0</v>
      </c>
      <c r="B1392" s="3" t="s">
        <v>1393</v>
      </c>
      <c r="C1392" s="3" t="str">
        <f>IFERROR(__xludf.DUMMYFUNCTION("GOOGLETRANSLATE(B1392,""id"",""en"")"),"['Application', 'Burikkk', 'Ong', ""]")</f>
        <v>['Application', 'Burikkk', 'Ong', "]</v>
      </c>
      <c r="D1392" s="3">
        <v>5.0</v>
      </c>
    </row>
    <row r="1393" ht="15.75" customHeight="1">
      <c r="A1393" s="1">
        <v>1391.0</v>
      </c>
      <c r="B1393" s="3" t="s">
        <v>1394</v>
      </c>
      <c r="C1393" s="3" t="str">
        <f>IFERROR(__xludf.DUMMYFUNCTION("GOOGLETRANSLATE(B1393,""id"",""en"")"),"['', 'Telkomsel', 'Severe', 'Open', 'The application', 'Yesterday', 'already', 'Try', 'Open', 'Please', 'Min', ""]")</f>
        <v>['', 'Telkomsel', 'Severe', 'Open', 'The application', 'Yesterday', 'already', 'Try', 'Open', 'Please', 'Min', "]</v>
      </c>
      <c r="D1393" s="3">
        <v>2.0</v>
      </c>
    </row>
    <row r="1394" ht="15.75" customHeight="1">
      <c r="A1394" s="1">
        <v>1392.0</v>
      </c>
      <c r="B1394" s="3" t="s">
        <v>1395</v>
      </c>
      <c r="C1394" s="3" t="str">
        <f>IFERROR(__xludf.DUMMYFUNCTION("GOOGLETRANSLATE(B1394,""id"",""en"")"),"['Update', 'Application', 'MyTelkomsel', 'version', 'Latest', 'Menu', 'Package', 'Combo', 'Sakti', 'Lost', 'Available', 'Paketan', ' Combo ',' Sakti ',' Where ',' Disappointed ',' Package ',' Data ',' Quota ',' Combo ',' Sakti ',' Expensive ',' Fast ',' O"&amp;"ut ',' There ' , 'menu', 'workers',' need ',' package ',' data ',' quota ',' watch ',' Disney ',' what's', 'another', 'hope', 'comment', ' Read ',' repairs', '']")</f>
        <v>['Update', 'Application', 'MyTelkomsel', 'version', 'Latest', 'Menu', 'Package', 'Combo', 'Sakti', 'Lost', 'Available', 'Paketan', ' Combo ',' Sakti ',' Where ',' Disappointed ',' Package ',' Data ',' Quota ',' Combo ',' Sakti ',' Expensive ',' Fast ',' Out ',' There ' , 'menu', 'workers',' need ',' package ',' data ',' quota ',' watch ',' Disney ',' what's', 'another', 'hope', 'comment', ' Read ',' repairs', '']</v>
      </c>
      <c r="D1394" s="3">
        <v>5.0</v>
      </c>
    </row>
    <row r="1395" ht="15.75" customHeight="1">
      <c r="A1395" s="1">
        <v>1393.0</v>
      </c>
      <c r="B1395" s="3" t="s">
        <v>1396</v>
      </c>
      <c r="C1395" s="3" t="str">
        <f>IFERROR(__xludf.DUMMYFUNCTION("GOOGLETRANSLATE(B1395,""id"",""en"")"),"['Telkomsel', 'Please', 'Features',' NgeKeki ',' Credit ',' Kayak ',' Application ',' Next to ',' Emotion ',' Credit ',' Out ',' Package ',' Please, 'please', 'bangeeettttt']")</f>
        <v>['Telkomsel', 'Please', 'Features',' NgeKeki ',' Credit ',' Kayak ',' Application ',' Next to ',' Emotion ',' Credit ',' Out ',' Package ',' Please, 'please', 'bangeeettttt']</v>
      </c>
      <c r="D1395" s="3">
        <v>4.0</v>
      </c>
    </row>
    <row r="1396" ht="15.75" customHeight="1">
      <c r="A1396" s="1">
        <v>1394.0</v>
      </c>
      <c r="B1396" s="3" t="s">
        <v>1397</v>
      </c>
      <c r="C1396" s="3" t="str">
        <f>IFERROR(__xludf.DUMMYFUNCTION("GOOGLETRANSLATE(B1396,""id"",""en"")"),"['Tekomsel', 'mask', 'quality', 'network', 'slow', 'slow', 'star', 'Come', 'migration', 'provider', 'next door', 'copy', ' Paste ',' wkwkkwk ',' creative ',' mah ',' ']")</f>
        <v>['Tekomsel', 'mask', 'quality', 'network', 'slow', 'slow', 'star', 'Come', 'migration', 'provider', 'next door', 'copy', ' Paste ',' wkwkkwk ',' creative ',' mah ',' ']</v>
      </c>
      <c r="D1396" s="3">
        <v>1.0</v>
      </c>
    </row>
    <row r="1397" ht="15.75" customHeight="1">
      <c r="A1397" s="1">
        <v>1395.0</v>
      </c>
      <c r="B1397" s="3" t="s">
        <v>1398</v>
      </c>
      <c r="C1397" s="3" t="str">
        <f>IFERROR(__xludf.DUMMYFUNCTION("GOOGLETRANSLATE(B1397,""id"",""en"")"),"['Disappointed', 'really', 'package', 'data', 'unlimited', 'expensive', 'July', 'increase', 'price', 'basics',' already ',' disappointed ',' Use ',' Telkomsel ',' Package ',' Data ',' Reworkkkkkkkk ',' ']")</f>
        <v>['Disappointed', 'really', 'package', 'data', 'unlimited', 'expensive', 'July', 'increase', 'price', 'basics',' already ',' disappointed ',' Use ',' Telkomsel ',' Package ',' Data ',' Reworkkkkkkkk ',' ']</v>
      </c>
      <c r="D1397" s="3">
        <v>1.0</v>
      </c>
    </row>
    <row r="1398" ht="15.75" customHeight="1">
      <c r="A1398" s="1">
        <v>1396.0</v>
      </c>
      <c r="B1398" s="3" t="s">
        <v>1399</v>
      </c>
      <c r="C1398" s="3" t="str">
        <f>IFERROR(__xludf.DUMMYFUNCTION("GOOGLETRANSLATE(B1398,""id"",""en"")"),"['pulse', 'suck', 'package', 'data', 'active', 'responsibility', 'company', 'service', 'thief', 'pulse', 'people', 'difficult', ' solution']")</f>
        <v>['pulse', 'suck', 'package', 'data', 'active', 'responsibility', 'company', 'service', 'thief', 'pulse', 'people', 'difficult', ' solution']</v>
      </c>
      <c r="D1398" s="3">
        <v>1.0</v>
      </c>
    </row>
    <row r="1399" ht="15.75" customHeight="1">
      <c r="A1399" s="1">
        <v>1397.0</v>
      </c>
      <c r="B1399" s="3" t="s">
        <v>1400</v>
      </c>
      <c r="C1399" s="3" t="str">
        <f>IFERROR(__xludf.DUMMYFUNCTION("GOOGLETRANSLATE(B1399,""id"",""en"")"),"['pandemic', 'July', 'network', 'internet', 'smooth', 'in the area', 'package', 'internet', 'buy', 'quota', 'to' mb ',' Quota ',' Malem ',' GB ',' Please ',' Developer ',' Telkomsel ',' Price ',' Return ',' Emulaa ',' Wear ',' Buy ',' Package ',' Quota ' "&amp;", 'people', 'rich', 'pandemic', 'broo', ""]")</f>
        <v>['pandemic', 'July', 'network', 'internet', 'smooth', 'in the area', 'package', 'internet', 'buy', 'quota', 'to' mb ',' Quota ',' Malem ',' GB ',' Please ',' Developer ',' Telkomsel ',' Price ',' Return ',' Emulaa ',' Wear ',' Buy ',' Package ',' Quota ' , 'people', 'rich', 'pandemic', 'broo', "]</v>
      </c>
      <c r="D1399" s="3">
        <v>2.0</v>
      </c>
    </row>
    <row r="1400" ht="15.75" customHeight="1">
      <c r="A1400" s="1">
        <v>1398.0</v>
      </c>
      <c r="B1400" s="3" t="s">
        <v>1401</v>
      </c>
      <c r="C1400" s="3" t="str">
        <f>IFERROR(__xludf.DUMMYFUNCTION("GOOGLETRANSLATE(B1400,""id"",""en"")"),"['buy', 'product', 'SMS', 'Telkomsel', 'enter', 'read', 'unlimited', 'max', 'quota', 'GB', 'hrg', 'thousand', ' Satisfied ',' chat ',' sosmed ',' watch ',' video ',' Activate ',' MyTelkomsel ',' outlet ',' GraPARI ',' SKB ',' Kouta ',' sosmed ',' Ornament"&amp;" ' , 'Doang', 'Since', 'Cave', 'Males',' Buy ',' Package ',' Unlimited ',' Unlimited ',' Different ',' Ama ',' DLU ',' Satisfying ',' Customers', 'unlimited', 'UDH', 'bounds',' sorry ',' massive ']")</f>
        <v>['buy', 'product', 'SMS', 'Telkomsel', 'enter', 'read', 'unlimited', 'max', 'quota', 'GB', 'hrg', 'thousand', ' Satisfied ',' chat ',' sosmed ',' watch ',' video ',' Activate ',' MyTelkomsel ',' outlet ',' GraPARI ',' SKB ',' Kouta ',' sosmed ',' Ornament ' , 'Doang', 'Since', 'Cave', 'Males',' Buy ',' Package ',' Unlimited ',' Unlimited ',' Different ',' Ama ',' DLU ',' Satisfying ',' Customers', 'unlimited', 'UDH', 'bounds',' sorry ',' massive ']</v>
      </c>
      <c r="D1400" s="3">
        <v>1.0</v>
      </c>
    </row>
    <row r="1401" ht="15.75" customHeight="1">
      <c r="A1401" s="1">
        <v>1399.0</v>
      </c>
      <c r="B1401" s="3" t="s">
        <v>1402</v>
      </c>
      <c r="C1401" s="3" t="str">
        <f>IFERROR(__xludf.DUMMYFUNCTION("GOOGLETRANSLATE(B1401,""id"",""en"")"),"['apk', 'bad', 'oath', 'click', 'borrow', 'GB', 'system', 'error', 'biarin', 'hose', 'hour', 'buy', ' Credit ',' directly ',' COK ',' Barengan ',' cutting ',' pulses', 'get', 'SMS', 'essence', 'congratulations',' package ',' GB ',' active ' , 'automatic',"&amp;" 'pulse', 'Cut', '']")</f>
        <v>['apk', 'bad', 'oath', 'click', 'borrow', 'GB', 'system', 'error', 'biarin', 'hose', 'hour', 'buy', ' Credit ',' directly ',' COK ',' Barengan ',' cutting ',' pulses', 'get', 'SMS', 'essence', 'congratulations',' package ',' GB ',' active ' , 'automatic', 'pulse', 'Cut', '']</v>
      </c>
      <c r="D1401" s="3">
        <v>1.0</v>
      </c>
    </row>
    <row r="1402" ht="15.75" customHeight="1">
      <c r="A1402" s="1">
        <v>1400.0</v>
      </c>
      <c r="B1402" s="3" t="s">
        <v>1403</v>
      </c>
      <c r="C1402" s="3" t="str">
        <f>IFERROR(__xludf.DUMMYFUNCTION("GOOGLETRANSLATE(B1402,""id"",""en"")"),"['users',' Telkomsel ',' Disappointed ',' Network ',' Quota ',' Internet ',' Unlimited ',' Social ',' Media ',' Package ',' Data ',' Favorite ',' The date ',' printed ',' quota ',' unlimited ',' social ',' media ',' apply ', ""]")</f>
        <v>['users',' Telkomsel ',' Disappointed ',' Network ',' Quota ',' Internet ',' Unlimited ',' Social ',' Media ',' Package ',' Data ',' Favorite ',' The date ',' printed ',' quota ',' unlimited ',' social ',' media ',' apply ', "]</v>
      </c>
      <c r="D1402" s="3">
        <v>3.0</v>
      </c>
    </row>
    <row r="1403" ht="15.75" customHeight="1">
      <c r="A1403" s="1">
        <v>1401.0</v>
      </c>
      <c r="B1403" s="3" t="s">
        <v>1404</v>
      </c>
      <c r="C1403" s="3" t="str">
        <f>IFERROR(__xludf.DUMMYFUNCTION("GOOGLETRANSLATE(B1403,""id"",""en"")"),"['price', 'quota', 'expensive', 'quality', 'signal', 'dilapidated', 'gausah', 'pretentious',' switch ',' sorted ',' handy ',' mending ',' Switch ',' ']")</f>
        <v>['price', 'quota', 'expensive', 'quality', 'signal', 'dilapidated', 'gausah', 'pretentious',' switch ',' sorted ',' handy ',' mending ',' Switch ',' ']</v>
      </c>
      <c r="D1403" s="3">
        <v>1.0</v>
      </c>
    </row>
    <row r="1404" ht="15.75" customHeight="1">
      <c r="A1404" s="1">
        <v>1402.0</v>
      </c>
      <c r="B1404" s="3" t="s">
        <v>1405</v>
      </c>
      <c r="C1404" s="3" t="str">
        <f>IFERROR(__xludf.DUMMYFUNCTION("GOOGLETRANSLATE(B1404,""id"",""en"")"),"['Telkomsel', 'Wrong', 'TEL', 'Ecommunications',' Kom ',' Ersil ',' cell ',' Alu ',' Signal ',' Bad ',' Jagonya ',' buffering ',' rates', 'sultan', 'promo', 'promise', 'kayak', 'sales',' medicine ',' search ',' profit ',' provider ',' bad ',' fixed ',' ga"&amp;"mau ' , 'complaints', 'users', '']")</f>
        <v>['Telkomsel', 'Wrong', 'TEL', 'Ecommunications',' Kom ',' Ersil ',' cell ',' Alu ',' Signal ',' Bad ',' Jagonya ',' buffering ',' rates', 'sultan', 'promo', 'promise', 'kayak', 'sales',' medicine ',' search ',' profit ',' provider ',' bad ',' fixed ',' gamau ' , 'complaints', 'users', '']</v>
      </c>
      <c r="D1404" s="3">
        <v>1.0</v>
      </c>
    </row>
    <row r="1405" ht="15.75" customHeight="1">
      <c r="A1405" s="1">
        <v>1403.0</v>
      </c>
      <c r="B1405" s="3" t="s">
        <v>1406</v>
      </c>
      <c r="C1405" s="3" t="str">
        <f>IFERROR(__xludf.DUMMYFUNCTION("GOOGLETRANSLATE(B1405,""id"",""en"")"),"['Combo', 'Sakti', 'Unlimited', 'Telkomsel', 'Masap', 'Packed', 'Multimedian', 'Applies',' Application ',' YouTube ',' Twitter ',' Given ',' Recommended ',' application ',' Byk ',' use ',' ']")</f>
        <v>['Combo', 'Sakti', 'Unlimited', 'Telkomsel', 'Masap', 'Packed', 'Multimedian', 'Applies',' Application ',' YouTube ',' Twitter ',' Given ',' Recommended ',' application ',' Byk ',' use ',' ']</v>
      </c>
      <c r="D1405" s="3">
        <v>4.0</v>
      </c>
    </row>
    <row r="1406" ht="15.75" customHeight="1">
      <c r="A1406" s="1">
        <v>1404.0</v>
      </c>
      <c r="B1406" s="3" t="s">
        <v>1407</v>
      </c>
      <c r="C1406" s="3" t="str">
        <f>IFERROR(__xludf.DUMMYFUNCTION("GOOGLETRANSLATE(B1406,""id"",""en"")"),"['Network', 'network', 'already', 'ppkm', 'signal', 'full', 'stay', 'point', 'ngelag', 'forgiveness',' please ',' fix ',' ']")</f>
        <v>['Network', 'network', 'already', 'ppkm', 'signal', 'full', 'stay', 'point', 'ngelag', 'forgiveness',' please ',' fix ',' ']</v>
      </c>
      <c r="D1406" s="3">
        <v>1.0</v>
      </c>
    </row>
    <row r="1407" ht="15.75" customHeight="1">
      <c r="A1407" s="1">
        <v>1405.0</v>
      </c>
      <c r="B1407" s="3" t="s">
        <v>1408</v>
      </c>
      <c r="C1407" s="3" t="str">
        <f>IFERROR(__xludf.DUMMYFUNCTION("GOOGLETRANSLATE(B1407,""id"",""en"")"),"['Love', 'Review', 'Satisfied', 'Bintang', 'TPI', 'Provider', 'Telkomsel', 'As if', 'Paying', 'For Him', 'Love', 'Review', ' Good ',' TPI ',' subscribe ',' buy ',' Paketannya ',' Telkomsel ',' Care ',' Bintang ',' Review ',' Example ',' hahahahahaha ',' U"&amp;"nfortunately ',' Telkomsel ' , 'trade', '']")</f>
        <v>['Love', 'Review', 'Satisfied', 'Bintang', 'TPI', 'Provider', 'Telkomsel', 'As if', 'Paying', 'For Him', 'Love', 'Review', ' Good ',' TPI ',' subscribe ',' buy ',' Paketannya ',' Telkomsel ',' Care ',' Bintang ',' Review ',' Example ',' hahahahahaha ',' Unfortunately ',' Telkomsel ' , 'trade', '']</v>
      </c>
      <c r="D1407" s="3">
        <v>1.0</v>
      </c>
    </row>
    <row r="1408" ht="15.75" customHeight="1">
      <c r="A1408" s="1">
        <v>1406.0</v>
      </c>
      <c r="B1408" s="3" t="s">
        <v>1409</v>
      </c>
      <c r="C1408" s="3" t="str">
        <f>IFERROR(__xludf.DUMMYFUNCTION("GOOGLETRANSLATE(B1408,""id"",""en"")"),"['', 'choice', 'buy', 'quota', 'family', 'extension', 'quota', 'family', 'explanation', 'many "",' tried ',' error ',' Mending ',' Success', 'turn', 'update', 'error']")</f>
        <v>['', 'choice', 'buy', 'quota', 'family', 'extension', 'quota', 'family', 'explanation', 'many ",' tried ',' error ',' Mending ',' Success', 'turn', 'update', 'error']</v>
      </c>
      <c r="D1408" s="3">
        <v>1.0</v>
      </c>
    </row>
    <row r="1409" ht="15.75" customHeight="1">
      <c r="A1409" s="1">
        <v>1407.0</v>
      </c>
      <c r="B1409" s="3" t="s">
        <v>1410</v>
      </c>
      <c r="C1409" s="3" t="str">
        <f>IFERROR(__xludf.DUMMYFUNCTION("GOOGLETRANSLATE(B1409,""id"",""en"")"),"['Here', 'Telkom', 'Threat', 'Good', 'Please', 'Fix', 'Quality', 'Network', 'Nge', 'Game', 'Bnget', 'Lag', ' Esmosi ',' ajj ']")</f>
        <v>['Here', 'Telkom', 'Threat', 'Good', 'Please', 'Fix', 'Quality', 'Network', 'Nge', 'Game', 'Bnget', 'Lag', ' Esmosi ',' ajj ']</v>
      </c>
      <c r="D1409" s="3">
        <v>1.0</v>
      </c>
    </row>
    <row r="1410" ht="15.75" customHeight="1">
      <c r="A1410" s="1">
        <v>1408.0</v>
      </c>
      <c r="B1410" s="3" t="s">
        <v>1411</v>
      </c>
      <c r="C1410" s="3" t="str">
        <f>IFERROR(__xludf.DUMMYFUNCTION("GOOGLETRANSLATE(B1410,""id"",""en"")"),"['Min', 'Faham', 'Languages',' English ',' Change ',' Language ',' Indonesia ',' MyTelkomsel ',' Full ',' Language ',' English ',' Please ',' Help ',' Settings', 'See', 'Find', 'Choice', 'Language', '']")</f>
        <v>['Min', 'Faham', 'Languages',' English ',' Change ',' Language ',' Indonesia ',' MyTelkomsel ',' Full ',' Language ',' English ',' Please ',' Help ',' Settings', 'See', 'Find', 'Choice', 'Language', '']</v>
      </c>
      <c r="D1410" s="3">
        <v>2.0</v>
      </c>
    </row>
    <row r="1411" ht="15.75" customHeight="1">
      <c r="A1411" s="1">
        <v>1409.0</v>
      </c>
      <c r="B1411" s="3" t="s">
        <v>1412</v>
      </c>
      <c r="C1411" s="3" t="str">
        <f>IFERROR(__xludf.DUMMYFUNCTION("GOOGLETRANSLATE(B1411,""id"",""en"")"),"['Application', 'Help', 'Easy', 'Simple', 'Lost', 'Switch', 'Point', 'Lucky', 'Bring', 'Go Home', 'Prizes',' Thank you ',' Telkomsel ',' Greetings', 'Child', 'Village', 'Timur', '']")</f>
        <v>['Application', 'Help', 'Easy', 'Simple', 'Lost', 'Switch', 'Point', 'Lucky', 'Bring', 'Go Home', 'Prizes',' Thank you ',' Telkomsel ',' Greetings', 'Child', 'Village', 'Timur', '']</v>
      </c>
      <c r="D1411" s="3">
        <v>1.0</v>
      </c>
    </row>
    <row r="1412" ht="15.75" customHeight="1">
      <c r="A1412" s="1">
        <v>1410.0</v>
      </c>
      <c r="B1412" s="3" t="s">
        <v>1413</v>
      </c>
      <c r="C1412" s="3" t="str">
        <f>IFERROR(__xludf.DUMMYFUNCTION("GOOGLETRANSLATE(B1412,""id"",""en"")"),"['please', 'developer', 'love', 'network', 'area', 'area', 'city', 'user', 'suggest', 'expand', 'connection', 'in various',' Movers', 'Regions',' improve ',' communication ',' in the area ',' remote ',' remote ',' village ',' Sike ',' thank ',' Kasih ',' "&amp;"Keep ',' Health ' , 'friend', 'opponent', 'covid', 'style', 'life', 'healthy', 'obedient', 'protocok', 'health', 'forget', 'wear', 'mask', ' Gathering ',' Keep ',' ']")</f>
        <v>['please', 'developer', 'love', 'network', 'area', 'area', 'city', 'user', 'suggest', 'expand', 'connection', 'in various',' Movers', 'Regions',' improve ',' communication ',' in the area ',' remote ',' remote ',' village ',' Sike ',' thank ',' Kasih ',' Keep ',' Health ' , 'friend', 'opponent', 'covid', 'style', 'life', 'healthy', 'obedient', 'protocok', 'health', 'forget', 'wear', 'mask', ' Gathering ',' Keep ',' ']</v>
      </c>
      <c r="D1412" s="3">
        <v>5.0</v>
      </c>
    </row>
    <row r="1413" ht="15.75" customHeight="1">
      <c r="A1413" s="1">
        <v>1411.0</v>
      </c>
      <c r="B1413" s="3" t="s">
        <v>1414</v>
      </c>
      <c r="C1413" s="3" t="str">
        <f>IFERROR(__xludf.DUMMYFUNCTION("GOOGLETRANSLATE(B1413,""id"",""en"")"),"['signal', 'rotten', 'chat', 'whatsap', 'pending', 'disappointed', 'telephone', 'quality', 'bad']")</f>
        <v>['signal', 'rotten', 'chat', 'whatsap', 'pending', 'disappointed', 'telephone', 'quality', 'bad']</v>
      </c>
      <c r="D1413" s="3">
        <v>1.0</v>
      </c>
    </row>
    <row r="1414" ht="15.75" customHeight="1">
      <c r="A1414" s="1">
        <v>1412.0</v>
      </c>
      <c r="B1414" s="3" t="s">
        <v>1415</v>
      </c>
      <c r="C1414" s="3" t="str">
        <f>IFERROR(__xludf.DUMMYFUNCTION("GOOGLETRANSLATE(B1414,""id"",""en"")"),"['oath', 'network', 'sympathy', 'ugly', 'severe', 'meek', 'connection', 'price', 'decent', 'expensive', 'balanced', 'connection', ' loyal ',' use ',' sympathy ',' think ',' error ',' buy ',' please ',' being exchanged ',' customer ',' disappointed ',' tha"&amp;"nk you ']")</f>
        <v>['oath', 'network', 'sympathy', 'ugly', 'severe', 'meek', 'connection', 'price', 'decent', 'expensive', 'balanced', 'connection', ' loyal ',' use ',' sympathy ',' think ',' error ',' buy ',' please ',' being exchanged ',' customer ',' disappointed ',' thank you ']</v>
      </c>
      <c r="D1414" s="3">
        <v>2.0</v>
      </c>
    </row>
    <row r="1415" ht="15.75" customHeight="1">
      <c r="A1415" s="1">
        <v>1413.0</v>
      </c>
      <c r="B1415" s="3" t="s">
        <v>1416</v>
      </c>
      <c r="C1415" s="3" t="str">
        <f>IFERROR(__xludf.DUMMYFUNCTION("GOOGLETRANSLATE(B1415,""id"",""en"")"),"['love', 'rating', 'good', 'logo', 'dlu', 'quota', 'expensive', 'how', 'child', 'college', 'quota', 'expensive', ' automatically ',' replace ',' card ',' operator ',' beg ',' help ', ""]")</f>
        <v>['love', 'rating', 'good', 'logo', 'dlu', 'quota', 'expensive', 'how', 'child', 'college', 'quota', 'expensive', ' automatically ',' replace ',' card ',' operator ',' beg ',' help ', "]</v>
      </c>
      <c r="D1415" s="3">
        <v>2.0</v>
      </c>
    </row>
    <row r="1416" ht="15.75" customHeight="1">
      <c r="A1416" s="1">
        <v>1414.0</v>
      </c>
      <c r="B1416" s="3" t="s">
        <v>1417</v>
      </c>
      <c r="C1416" s="3" t="str">
        <f>IFERROR(__xludf.DUMMYFUNCTION("GOOGLETRANSLATE(B1416,""id"",""en"")"),"['No', 'login', 'application', 'at the time', 'send', 'notification', 'no', 'directly', 'enter', 'click', 'time', 'notification', ' enter', '']")</f>
        <v>['No', 'login', 'application', 'at the time', 'send', 'notification', 'no', 'directly', 'enter', 'click', 'time', 'notification', ' enter', '']</v>
      </c>
      <c r="D1416" s="3">
        <v>2.0</v>
      </c>
    </row>
    <row r="1417" ht="15.75" customHeight="1">
      <c r="A1417" s="1">
        <v>1415.0</v>
      </c>
      <c r="B1417" s="3" t="s">
        <v>1418</v>
      </c>
      <c r="C1417" s="3" t="str">
        <f>IFERROR(__xludf.DUMMYFUNCTION("GOOGLETRANSLATE(B1417,""id"",""en"")"),"['Price', 'Package', 'Data', 'Teuna', 'Telkomsel', 'Justice', 'Social', 'Folk', 'Indonesia', 'Fair', 'Business', ""]")</f>
        <v>['Price', 'Package', 'Data', 'Teuna', 'Telkomsel', 'Justice', 'Social', 'Folk', 'Indonesia', 'Fair', 'Business', "]</v>
      </c>
      <c r="D1417" s="3">
        <v>1.0</v>
      </c>
    </row>
    <row r="1418" ht="15.75" customHeight="1">
      <c r="A1418" s="1">
        <v>1416.0</v>
      </c>
      <c r="B1418" s="3" t="s">
        <v>1419</v>
      </c>
      <c r="C1418" s="3" t="str">
        <f>IFERROR(__xludf.DUMMYFUNCTION("GOOGLETRANSLATE(B1418,""id"",""en"")"),"['card', 'expensive', 'network', 'broke', 'please', 'baikki', 'area', 'kecamatan', 'somba', 'opu', 'kelurahan', 'tamarunang', ' Regency ',' Gowa ',' Network ',' Telkomsel ',' Perna ',' Destroyed ',' Disconnect ',' Network ',' Please ',' Pengaikki ',' Area"&amp;" ',' Jangkaux ', ""]")</f>
        <v>['card', 'expensive', 'network', 'broke', 'please', 'baikki', 'area', 'kecamatan', 'somba', 'opu', 'kelurahan', 'tamarunang', ' Regency ',' Gowa ',' Network ',' Telkomsel ',' Perna ',' Destroyed ',' Disconnect ',' Network ',' Please ',' Pengaikki ',' Area ',' Jangkaux ', "]</v>
      </c>
      <c r="D1418" s="3">
        <v>1.0</v>
      </c>
    </row>
    <row r="1419" ht="15.75" customHeight="1">
      <c r="A1419" s="1">
        <v>1417.0</v>
      </c>
      <c r="B1419" s="3" t="s">
        <v>1420</v>
      </c>
      <c r="C1419" s="3" t="str">
        <f>IFERROR(__xludf.DUMMYFUNCTION("GOOGLETRANSLATE(B1419,""id"",""en"")"),"['', 'slow', 'network', 'Telkomsel', 'deliberate', 'dilemotin', 'product', 'sell', 'gimick', 'rich', 'change', 'name', 'doang ',' Network ',' Truekah ',' Min ',' Severe ',' Bener ',' mah ']")</f>
        <v>['', 'slow', 'network', 'Telkomsel', 'deliberate', 'dilemotin', 'product', 'sell', 'gimick', 'rich', 'change', 'name', 'doang ',' Network ',' Truekah ',' Min ',' Severe ',' Bener ',' mah ']</v>
      </c>
      <c r="D1419" s="3">
        <v>1.0</v>
      </c>
    </row>
    <row r="1420" ht="15.75" customHeight="1">
      <c r="A1420" s="1">
        <v>1418.0</v>
      </c>
      <c r="B1420" s="3" t="s">
        <v>1421</v>
      </c>
      <c r="C1420" s="3" t="str">
        <f>IFERROR(__xludf.DUMMYFUNCTION("GOOGLETRANSLATE(B1420,""id"",""en"")"),"['Telkomsel', 'slumped', 'signal', 'bad', 'think', 'buy', 'package', 'Telkomsel', 'network', 'missing', 'embossed', 'fraud', ' Telkomsel ',' Region ',' Week ',' Tri ',' Mantap ',' Bonus', 'Abal', 'Buy', 'Package', 'Bonus',' Credit ',' A Day ',' Tlpn ' , '"&amp;"Commit', 'crazy', 'Bener', '']")</f>
        <v>['Telkomsel', 'slumped', 'signal', 'bad', 'think', 'buy', 'package', 'Telkomsel', 'network', 'missing', 'embossed', 'fraud', ' Telkomsel ',' Region ',' Week ',' Tri ',' Mantap ',' Bonus', 'Abal', 'Buy', 'Package', 'Bonus',' Credit ',' A Day ',' Tlpn ' , 'Commit', 'crazy', 'Bener', '']</v>
      </c>
      <c r="D1420" s="3">
        <v>1.0</v>
      </c>
    </row>
    <row r="1421" ht="15.75" customHeight="1">
      <c r="A1421" s="1">
        <v>1419.0</v>
      </c>
      <c r="B1421" s="3" t="s">
        <v>1422</v>
      </c>
      <c r="C1421" s="3" t="str">
        <f>IFERROR(__xludf.DUMMYFUNCTION("GOOGLETRANSLATE(B1421,""id"",""en"")"),"['Date', 'difficult', 'heavy', 'need', 'space', 'most', 'content', 'promo', 'difficult', 'opened', 'update', 'many' Looks', 'Severe', '']")</f>
        <v>['Date', 'difficult', 'heavy', 'need', 'space', 'most', 'content', 'promo', 'difficult', 'opened', 'update', 'many' Looks', 'Severe', '']</v>
      </c>
      <c r="D1421" s="3">
        <v>1.0</v>
      </c>
    </row>
    <row r="1422" ht="15.75" customHeight="1">
      <c r="A1422" s="1">
        <v>1420.0</v>
      </c>
      <c r="B1422" s="3" t="s">
        <v>1423</v>
      </c>
      <c r="C1422" s="3" t="str">
        <f>IFERROR(__xludf.DUMMYFUNCTION("GOOGLETRANSLATE(B1422,""id"",""en"")"),"['user', 'loyal', 'card', 'sympathy', 'card', 'sympathy', 'unfortunately', 'sympathy', 'sell', 'expensive', 'quota', 'package', ' Internet ',' Most expensive ',' card ',' Indonesia ',' ']")</f>
        <v>['user', 'loyal', 'card', 'sympathy', 'card', 'sympathy', 'unfortunately', 'sympathy', 'sell', 'expensive', 'quota', 'package', ' Internet ',' Most expensive ',' card ',' Indonesia ',' ']</v>
      </c>
      <c r="D1422" s="3">
        <v>4.0</v>
      </c>
    </row>
    <row r="1423" ht="15.75" customHeight="1">
      <c r="A1423" s="1">
        <v>1421.0</v>
      </c>
      <c r="B1423" s="3" t="s">
        <v>1424</v>
      </c>
      <c r="C1423" s="3" t="str">
        <f>IFERROR(__xludf.DUMMYFUNCTION("GOOGLETRANSLATE(B1423,""id"",""en"")"),"['Credit', 'Sumpot', 'Credit', 'Rb', 'Open', 'Telkomsel', 'right', 'check', 'Rp', 'please', 'explanation', 'Telkomsel']")</f>
        <v>['Credit', 'Sumpot', 'Credit', 'Rb', 'Open', 'Telkomsel', 'right', 'check', 'Rp', 'please', 'explanation', 'Telkomsel']</v>
      </c>
      <c r="D1423" s="3">
        <v>1.0</v>
      </c>
    </row>
    <row r="1424" ht="15.75" customHeight="1">
      <c r="A1424" s="1">
        <v>1422.0</v>
      </c>
      <c r="B1424" s="3" t="s">
        <v>1425</v>
      </c>
      <c r="C1424" s="3" t="str">
        <f>IFERROR(__xludf.DUMMYFUNCTION("GOOGLETRANSLATE(B1424,""id"",""en"")"),"['Telkomsel', 'strange', 'knapa', 'contents', 'pulse', 'ptotong', 'keeps', 'reasons', 'because' worn ',' cost ',' quota ',' internet ',' non ',' package ',' package ',' nge ',' bug ',' then ',' try ',' change ',' number ',' then ',' number ',' result ' , "&amp;"'pulses',' ilang ',' annoyed ',' annoyed ',' eager ',' worn ',' fees', 'non', 'package', 'love', 'notification', 'donk', ' Gini ',' Fear ',' Fill ',' Credit ', ""]")</f>
        <v>['Telkomsel', 'strange', 'knapa', 'contents', 'pulse', 'ptotong', 'keeps', 'reasons', 'because' worn ',' cost ',' quota ',' internet ',' non ',' package ',' package ',' nge ',' bug ',' then ',' try ',' change ',' number ',' then ',' number ',' result ' , 'pulses',' ilang ',' annoyed ',' annoyed ',' eager ',' worn ',' fees', 'non', 'package', 'love', 'notification', 'donk', ' Gini ',' Fear ',' Fill ',' Credit ', "]</v>
      </c>
      <c r="D1424" s="3">
        <v>1.0</v>
      </c>
    </row>
    <row r="1425" ht="15.75" customHeight="1">
      <c r="A1425" s="1">
        <v>1423.0</v>
      </c>
      <c r="B1425" s="3" t="s">
        <v>1426</v>
      </c>
      <c r="C1425" s="3" t="str">
        <f>IFERROR(__xludf.DUMMYFUNCTION("GOOGLETRANSLATE(B1425,""id"",""en"")"),"['Quality', 'Speed', 'Internet', 'Really', 'Sharp', 'Region', 'I', 'Speed', 'Original', 'Bener', 'Belonging "",' Clock ',' Really ',' Banted ',' Dipake ',' Supporting ',' work ',' WFH ',' Really ',' mwmbagongan ', ""]")</f>
        <v>['Quality', 'Speed', 'Internet', 'Really', 'Sharp', 'Region', 'I', 'Speed', 'Original', 'Bener', 'Belonging ",' Clock ',' Really ',' Banted ',' Dipake ',' Supporting ',' work ',' WFH ',' Really ',' mwmbagongan ', "]</v>
      </c>
      <c r="D1425" s="3">
        <v>1.0</v>
      </c>
    </row>
    <row r="1426" ht="15.75" customHeight="1">
      <c r="A1426" s="1">
        <v>1424.0</v>
      </c>
      <c r="B1426" s="3" t="s">
        <v>1427</v>
      </c>
      <c r="C1426" s="3" t="str">
        <f>IFERROR(__xludf.DUMMYFUNCTION("GOOGLETRANSLATE(B1426,""id"",""en"")"),"['package', 'data', 'expensive', 'month', 'GB', 'price', 'rb', 'rb', 'signal', 'weak', 'Surabaya', 'center', ' Maximum ',' line ',' signal ',' data ',' rare ',' KB ',' GRAPARI ',' BBR ',' TIME ',' Solution ',' Explanation ',' Quality ',' Network ' , 'Telk"&amp;"omsel', 'bad', 'tens', 'use', 'Telkomsel', 'signal', 'good', 'BBR', 'bad', ""]")</f>
        <v>['package', 'data', 'expensive', 'month', 'GB', 'price', 'rb', 'rb', 'signal', 'weak', 'Surabaya', 'center', ' Maximum ',' line ',' signal ',' data ',' rare ',' KB ',' GRAPARI ',' BBR ',' TIME ',' Solution ',' Explanation ',' Quality ',' Network ' , 'Telkomsel', 'bad', 'tens', 'use', 'Telkomsel', 'signal', 'good', 'BBR', 'bad', "]</v>
      </c>
      <c r="D1426" s="3">
        <v>1.0</v>
      </c>
    </row>
    <row r="1427" ht="15.75" customHeight="1">
      <c r="A1427" s="1">
        <v>1425.0</v>
      </c>
      <c r="B1427" s="3" t="s">
        <v>1428</v>
      </c>
      <c r="C1427" s="3" t="str">
        <f>IFERROR(__xludf.DUMMYFUNCTION("GOOGLETRANSLATE(B1427,""id"",""en"")"),"['Bener', 'price', 'monthly', 'expensive', 'network', 'destroyed', 'name', 'artificial', 'human', 'perfect', 'hopefully', 'in the future', ' Telkomsel ']")</f>
        <v>['Bener', 'price', 'monthly', 'expensive', 'network', 'destroyed', 'name', 'artificial', 'human', 'perfect', 'hopefully', 'in the future', ' Telkomsel ']</v>
      </c>
      <c r="D1427" s="3">
        <v>5.0</v>
      </c>
    </row>
    <row r="1428" ht="15.75" customHeight="1">
      <c r="A1428" s="1">
        <v>1426.0</v>
      </c>
      <c r="B1428" s="3" t="s">
        <v>1429</v>
      </c>
      <c r="C1428" s="3" t="str">
        <f>IFERROR(__xludf.DUMMYFUNCTION("GOOGLETRANSLATE(B1428,""id"",""en"")"),"['ugly', 'really', 'njir', 'telkomsel', 'here', 'tasty', 'expensive', 'package', 'unlimited', 'masi', 'dipake', 'Instagram', ' high school ',' Facebook ',' gabisa ',' road ',' package ',' unlimited ',' doang ',' please ',' repair ',' already ',' expensive"&amp;" ',' ugly ',' already ' , 'report', 'times',' TTEP ',' Gaaada ',' progress', 'package', 'unlimited', 'gabisa', 'road', 'Hadeh', 'chao', 'mending', ' Change ',' Telkomsel ',' ']")</f>
        <v>['ugly', 'really', 'njir', 'telkomsel', 'here', 'tasty', 'expensive', 'package', 'unlimited', 'masi', 'dipake', 'Instagram', ' high school ',' Facebook ',' gabisa ',' road ',' package ',' unlimited ',' doang ',' please ',' repair ',' already ',' expensive ',' ugly ',' already ' , 'report', 'times',' TTEP ',' Gaaada ',' progress', 'package', 'unlimited', 'gabisa', 'road', 'Hadeh', 'chao', 'mending', ' Change ',' Telkomsel ',' ']</v>
      </c>
      <c r="D1428" s="3">
        <v>1.0</v>
      </c>
    </row>
    <row r="1429" ht="15.75" customHeight="1">
      <c r="A1429" s="1">
        <v>1427.0</v>
      </c>
      <c r="B1429" s="3" t="s">
        <v>1430</v>
      </c>
      <c r="C1429" s="3" t="str">
        <f>IFERROR(__xludf.DUMMYFUNCTION("GOOGLETRANSLATE(B1429,""id"",""en"")"),"['Dadahh', 'Time', 'Telkom', 'Network', 'Worst', 'Price', 'Most expensive', 'Buy', 'Data', 'Open', 'Google', 'Sampe', ' minutes', 'minutes',' blum ',' open ',' essence ',' price ',' expensive ',' suits', 'network', 'mending', 'operator', 'kayak', 'haaa' ,"&amp;" 'Ngeleg', 'truss', 'its network', 'Ahhh', 'pokonya', 'worst']")</f>
        <v>['Dadahh', 'Time', 'Telkom', 'Network', 'Worst', 'Price', 'Most expensive', 'Buy', 'Data', 'Open', 'Google', 'Sampe', ' minutes', 'minutes',' blum ',' open ',' essence ',' price ',' expensive ',' suits', 'network', 'mending', 'operator', 'kayak', 'haaa' , 'Ngeleg', 'truss', 'its network', 'Ahhh', 'pokonya', 'worst']</v>
      </c>
      <c r="D1429" s="3">
        <v>1.0</v>
      </c>
    </row>
    <row r="1430" ht="15.75" customHeight="1">
      <c r="A1430" s="1">
        <v>1428.0</v>
      </c>
      <c r="B1430" s="3" t="s">
        <v>1431</v>
      </c>
      <c r="C1430" s="3" t="str">
        <f>IFERROR(__xludf.DUMMYFUNCTION("GOOGLETRANSLATE(B1430,""id"",""en"")"),"['Telkomsel', 'slow', 'expensive', 'Try', 'Compare', 'Ama', 'Provider', 'miss',' Come ',' Kriatip ',' a little ',' Telkomsel ',' ']")</f>
        <v>['Telkomsel', 'slow', 'expensive', 'Try', 'Compare', 'Ama', 'Provider', 'miss',' Come ',' Kriatip ',' a little ',' Telkomsel ',' ']</v>
      </c>
      <c r="D1430" s="3">
        <v>2.0</v>
      </c>
    </row>
    <row r="1431" ht="15.75" customHeight="1">
      <c r="A1431" s="1">
        <v>1429.0</v>
      </c>
      <c r="B1431" s="3" t="s">
        <v>1432</v>
      </c>
      <c r="C1431" s="3" t="str">
        <f>IFERROR(__xludf.DUMMYFUNCTION("GOOGLETRANSLATE(B1431,""id"",""en"")"),"['expensive', 'Package', 'Game', 'Mobile', 'Legend', 'Game', 'pub', 'Open', 'Package', 'Thinking', 'YouTube', 'Open', ' package ',' main ',' please ',' kasian ',' area ',' remote ',' signal ',' telkomsel ',' mbok ',' package ',' according to ',' ability '"&amp;",' org ' , 'Plissss', 'help', 'org', 'medium', '']")</f>
        <v>['expensive', 'Package', 'Game', 'Mobile', 'Legend', 'Game', 'pub', 'Open', 'Package', 'Thinking', 'YouTube', 'Open', ' package ',' main ',' please ',' kasian ',' area ',' remote ',' signal ',' telkomsel ',' mbok ',' package ',' according to ',' ability ',' org ' , 'Plissss', 'help', 'org', 'medium', '']</v>
      </c>
      <c r="D1431" s="3">
        <v>1.0</v>
      </c>
    </row>
    <row r="1432" ht="15.75" customHeight="1">
      <c r="A1432" s="1">
        <v>1430.0</v>
      </c>
      <c r="B1432" s="3" t="s">
        <v>1433</v>
      </c>
      <c r="C1432" s="3" t="str">
        <f>IFERROR(__xludf.DUMMYFUNCTION("GOOGLETRANSLATE(B1432,""id"",""en"")"),"['Telkomsel', 'Live', 'Tangerang', 'Network', 'Bad', 'Telkomsel', 'Network', 'Current', 'Walaw', 'Mahak', 'Appeal', 'get', ' Error ',' Sampe ',' ']")</f>
        <v>['Telkomsel', 'Live', 'Tangerang', 'Network', 'Bad', 'Telkomsel', 'Network', 'Current', 'Walaw', 'Mahak', 'Appeal', 'get', ' Error ',' Sampe ',' ']</v>
      </c>
      <c r="D1432" s="3">
        <v>2.0</v>
      </c>
    </row>
    <row r="1433" ht="15.75" customHeight="1">
      <c r="A1433" s="1">
        <v>1431.0</v>
      </c>
      <c r="B1433" s="3" t="s">
        <v>1434</v>
      </c>
      <c r="C1433" s="3" t="str">
        <f>IFERROR(__xludf.DUMMYFUNCTION("GOOGLETRANSLATE(B1433,""id"",""en"")"),"['morning', 'contents',' pulse ',' pket ',' call ',' leftover ',' malem ',' pulse ',' dipake ',' connection ',' ugly ',' really ',' Dangangang ',' Package ',' Internet ',' Expensive ',' Quality ',' Internet ',' Bad ',' Disappointed ',' Bagusan ',' Use ','"&amp;" Provider ',' Rip ',' Telkomsel ' , '']")</f>
        <v>['morning', 'contents',' pulse ',' pket ',' call ',' leftover ',' malem ',' pulse ',' dipake ',' connection ',' ugly ',' really ',' Dangangang ',' Package ',' Internet ',' Expensive ',' Quality ',' Internet ',' Bad ',' Disappointed ',' Bagusan ',' Use ',' Provider ',' Rip ',' Telkomsel ' , '']</v>
      </c>
      <c r="D1433" s="3">
        <v>1.0</v>
      </c>
    </row>
    <row r="1434" ht="15.75" customHeight="1">
      <c r="A1434" s="1">
        <v>1432.0</v>
      </c>
      <c r="B1434" s="3" t="s">
        <v>1435</v>
      </c>
      <c r="C1434" s="3" t="str">
        <f>IFERROR(__xludf.DUMMYFUNCTION("GOOGLETRANSLATE(B1434,""id"",""en"")"),"['Network', 'defective', 'already', 'morning', 'noon', 'night', 'network', 'bad', 'expensive', 'doamg', 'sympathy', 'the network', ' Rich ',' tri ',' sympathy ',' disappointed ',' complaints', 'network', 'heard', 'networknta', 'move', 'bow']")</f>
        <v>['Network', 'defective', 'already', 'morning', 'noon', 'night', 'network', 'bad', 'expensive', 'doamg', 'sympathy', 'the network', ' Rich ',' tri ',' sympathy ',' disappointed ',' complaints', 'network', 'heard', 'networknta', 'move', 'bow']</v>
      </c>
      <c r="D1434" s="3">
        <v>1.0</v>
      </c>
    </row>
    <row r="1435" ht="15.75" customHeight="1">
      <c r="A1435" s="1">
        <v>1433.0</v>
      </c>
      <c r="B1435" s="3" t="s">
        <v>1436</v>
      </c>
      <c r="C1435" s="3" t="str">
        <f>IFERROR(__xludf.DUMMYFUNCTION("GOOGLETRANSLATE(B1435,""id"",""en"")"),"['run out', 'package', 'pulse', 'sucked', 'fast', 'detrimental', 'price', 'package', 'pulse', 'sucked', 'many', 'times',' Folding ',' pulse ',' sucked ',' byk ',' complaints', 'kenp', 'repaired', 'service', 'Please', 'noticed', ""]")</f>
        <v>['run out', 'package', 'pulse', 'sucked', 'fast', 'detrimental', 'price', 'package', 'pulse', 'sucked', 'many', 'times',' Folding ',' pulse ',' sucked ',' byk ',' complaints', 'kenp', 'repaired', 'service', 'Please', 'noticed', "]</v>
      </c>
      <c r="D1435" s="3">
        <v>1.0</v>
      </c>
    </row>
    <row r="1436" ht="15.75" customHeight="1">
      <c r="A1436" s="1">
        <v>1434.0</v>
      </c>
      <c r="B1436" s="3" t="s">
        <v>1437</v>
      </c>
      <c r="C1436" s="3" t="str">
        <f>IFERROR(__xludf.DUMMYFUNCTION("GOOGLETRANSLATE(B1436,""id"",""en"")"),"['application', 'easy', 'purchase', 'package', 'data', 'easy', 'check', 'package', 'data', 'remaining', 'pulse', 'card', ' SIM ']")</f>
        <v>['application', 'easy', 'purchase', 'package', 'data', 'easy', 'check', 'package', 'data', 'remaining', 'pulse', 'card', ' SIM ']</v>
      </c>
      <c r="D1436" s="3">
        <v>5.0</v>
      </c>
    </row>
    <row r="1437" ht="15.75" customHeight="1">
      <c r="A1437" s="1">
        <v>1435.0</v>
      </c>
      <c r="B1437" s="3" t="s">
        <v>1438</v>
      </c>
      <c r="C1437" s="3" t="str">
        <f>IFERROR(__xludf.DUMMYFUNCTION("GOOGLETRANSLATE(B1437,""id"",""en"")"),"['promo', 'package', 'data', 'promo', 'cheap', 'compared', 'provider', 'price', 'package', 'data', 'said', 'expensive']")</f>
        <v>['promo', 'package', 'data', 'promo', 'cheap', 'compared', 'provider', 'price', 'package', 'data', 'said', 'expensive']</v>
      </c>
      <c r="D1437" s="3">
        <v>4.0</v>
      </c>
    </row>
    <row r="1438" ht="15.75" customHeight="1">
      <c r="A1438" s="1">
        <v>1436.0</v>
      </c>
      <c r="B1438" s="3" t="s">
        <v>1439</v>
      </c>
      <c r="C1438" s="3" t="str">
        <f>IFERROR(__xludf.DUMMYFUNCTION("GOOGLETRANSLATE(B1438,""id"",""en"")"),"['Telkomsel', 'plis',' ride ',' price ',' package ',' signal ',' please ',' perudis', 'lgi', 'play', 'game', 'mlh', ' network ',' Mawar ',' good ',' please ',' love ',' star ',' tasty ',' thank ',' love ', ""]")</f>
        <v>['Telkomsel', 'plis',' ride ',' price ',' package ',' signal ',' please ',' perudis', 'lgi', 'play', 'game', 'mlh', ' network ',' Mawar ',' good ',' please ',' love ',' star ',' tasty ',' thank ',' love ', "]</v>
      </c>
      <c r="D1438" s="3">
        <v>2.0</v>
      </c>
    </row>
    <row r="1439" ht="15.75" customHeight="1">
      <c r="A1439" s="1">
        <v>1437.0</v>
      </c>
      <c r="B1439" s="3" t="s">
        <v>1440</v>
      </c>
      <c r="C1439" s="3" t="str">
        <f>IFERROR(__xludf.DUMMYFUNCTION("GOOGLETRANSLATE(B1439,""id"",""en"")"),"['Package', 'expensive', 'Hello', 'sympathy', 'belongs',' Telkomsel ',' expensive ',' package ',' complaints', 'ugly', 'signal', 'telephone', ' response', '']")</f>
        <v>['Package', 'expensive', 'Hello', 'sympathy', 'belongs',' Telkomsel ',' expensive ',' package ',' complaints', 'ugly', 'signal', 'telephone', ' response', '']</v>
      </c>
      <c r="D1439" s="3">
        <v>2.0</v>
      </c>
    </row>
    <row r="1440" ht="15.75" customHeight="1">
      <c r="A1440" s="1">
        <v>1438.0</v>
      </c>
      <c r="B1440" s="3" t="s">
        <v>1441</v>
      </c>
      <c r="C1440" s="3" t="str">
        <f>IFERROR(__xludf.DUMMYFUNCTION("GOOGLETRANSLATE(B1440,""id"",""en"")"),"['Tuker', 'Points',' GB ',' Points', 'then', 'Credit', 'Cut', 'Turns',' Credit ',' That's', 'Buy', 'Quota', ' rb ',' reduced ',' pulse ',' buy ',' quota ',' taii ',' luh ']")</f>
        <v>['Tuker', 'Points',' GB ',' Points', 'then', 'Credit', 'Cut', 'Turns',' Credit ',' That's', 'Buy', 'Quota', ' rb ',' reduced ',' pulse ',' buy ',' quota ',' taii ',' luh ']</v>
      </c>
      <c r="D1440" s="3">
        <v>1.0</v>
      </c>
    </row>
    <row r="1441" ht="15.75" customHeight="1">
      <c r="A1441" s="1">
        <v>1439.0</v>
      </c>
      <c r="B1441" s="3" t="s">
        <v>1442</v>
      </c>
      <c r="C1441" s="3" t="str">
        <f>IFERROR(__xludf.DUMMYFUNCTION("GOOGLETRANSLATE(B1441,""id"",""en"")"),"['sorry', 'update', 'open', 'application', 'how', 'update', 'network', 'slow', 'already', ""]")</f>
        <v>['sorry', 'update', 'open', 'application', 'how', 'update', 'network', 'slow', 'already', "]</v>
      </c>
      <c r="D1441" s="3">
        <v>1.0</v>
      </c>
    </row>
    <row r="1442" ht="15.75" customHeight="1">
      <c r="A1442" s="1">
        <v>1440.0</v>
      </c>
      <c r="B1442" s="3" t="s">
        <v>1443</v>
      </c>
      <c r="C1442" s="3" t="str">
        <f>IFERROR(__xludf.DUMMYFUNCTION("GOOGLETRANSLATE(B1442,""id"",""en"")"),"['many years',' users', 'provider', 'Telkomsel', 'signal', 'Telkomsel', 'steady', 'honest', 'disappointed', 'quality', 'connection', 'Telkomsel', ' Bad ',' Connection ',' Network ',' Bad ',' Activity ',' World ',' Online ',' Disappointing ',' People ',' '"&amp;"]")</f>
        <v>['many years',' users', 'provider', 'Telkomsel', 'signal', 'Telkomsel', 'steady', 'honest', 'disappointed', 'quality', 'connection', 'Telkomsel', ' Bad ',' Connection ',' Network ',' Bad ',' Activity ',' World ',' Online ',' Disappointing ',' People ',' ']</v>
      </c>
      <c r="D1442" s="3">
        <v>1.0</v>
      </c>
    </row>
    <row r="1443" ht="15.75" customHeight="1">
      <c r="A1443" s="1">
        <v>1441.0</v>
      </c>
      <c r="B1443" s="3" t="s">
        <v>1444</v>
      </c>
      <c r="C1443" s="3" t="str">
        <f>IFERROR(__xludf.DUMMYFUNCTION("GOOGLETRANSLATE(B1443,""id"",""en"")"),"['Severe', 'gave', 'star', 'fix', 'delete it', ""]")</f>
        <v>['Severe', 'gave', 'star', 'fix', 'delete it', "]</v>
      </c>
      <c r="D1443" s="3">
        <v>1.0</v>
      </c>
    </row>
    <row r="1444" ht="15.75" customHeight="1">
      <c r="A1444" s="1">
        <v>1442.0</v>
      </c>
      <c r="B1444" s="3" t="s">
        <v>1445</v>
      </c>
      <c r="C1444" s="3" t="str">
        <f>IFERROR(__xludf.DUMMYFUNCTION("GOOGLETRANSLATE(B1444,""id"",""en"")"),"['Provider', 'service', 'Worst', 'Package', 'Multimedia', 'I', 'Package', 'Booster', 'Lost', 'Network', 'Stable', 'Disconnect', ' Disconnect ',' Kasih ',' Solution ',' Haduhh ',' I ',' Disappointed ',' Telkom ',' See ',' View ',' weigh ',' weigh ',' Telko"&amp;"m ']")</f>
        <v>['Provider', 'service', 'Worst', 'Package', 'Multimedia', 'I', 'Package', 'Booster', 'Lost', 'Network', 'Stable', 'Disconnect', ' Disconnect ',' Kasih ',' Solution ',' Haduhh ',' I ',' Disappointed ',' Telkom ',' See ',' View ',' weigh ',' weigh ',' Telkom ']</v>
      </c>
      <c r="D1444" s="3">
        <v>1.0</v>
      </c>
    </row>
    <row r="1445" ht="15.75" customHeight="1">
      <c r="A1445" s="1">
        <v>1443.0</v>
      </c>
      <c r="B1445" s="3" t="s">
        <v>1446</v>
      </c>
      <c r="C1445" s="3" t="str">
        <f>IFERROR(__xludf.DUMMYFUNCTION("GOOGLETRANSLATE(B1445,""id"",""en"")"),"['Tower', 'Telkomsel', 'multiplied', 'bonus',' pulse ',' Ditnyk ',' like ',' package ',' combo ',' Sakti ',' fan ',' Telkomsel ',' Package ',' Combo ',' Sakti ',' SJA ',' Calculated ',' On ',' Out ',' Remnant ',' Credit ',' Lost ']")</f>
        <v>['Tower', 'Telkomsel', 'multiplied', 'bonus',' pulse ',' Ditnyk ',' like ',' package ',' combo ',' Sakti ',' fan ',' Telkomsel ',' Package ',' Combo ',' Sakti ',' SJA ',' Calculated ',' On ',' Out ',' Remnant ',' Credit ',' Lost ']</v>
      </c>
      <c r="D1445" s="3">
        <v>5.0</v>
      </c>
    </row>
    <row r="1446" ht="15.75" customHeight="1">
      <c r="A1446" s="1">
        <v>1444.0</v>
      </c>
      <c r="B1446" s="3" t="s">
        <v>1447</v>
      </c>
      <c r="C1446" s="3" t="str">
        <f>IFERROR(__xludf.DUMMYFUNCTION("GOOGLETRANSLATE(B1446,""id"",""en"")"),"['Telkomsel', 'Network', 'worst', 'late', 'package', 'internet', 'expensive', 'according to', 'price', 'network', 'test', 'Indosat', ' Tri ',' Good ',' Indosat ',' Tri ',' Speed ​​',' The Network ',' Folding ',' Telkomsel ']")</f>
        <v>['Telkomsel', 'Network', 'worst', 'late', 'package', 'internet', 'expensive', 'according to', 'price', 'network', 'test', 'Indosat', ' Tri ',' Good ',' Indosat ',' Tri ',' Speed ​​',' The Network ',' Folding ',' Telkomsel ']</v>
      </c>
      <c r="D1446" s="3">
        <v>1.0</v>
      </c>
    </row>
    <row r="1447" ht="15.75" customHeight="1">
      <c r="A1447" s="1">
        <v>1445.0</v>
      </c>
      <c r="B1447" s="3" t="s">
        <v>1448</v>
      </c>
      <c r="C1447" s="3" t="str">
        <f>IFERROR(__xludf.DUMMYFUNCTION("GOOGLETRANSLATE(B1447,""id"",""en"")"),"['Telkomsel', 'sinynyal', 'ngak', 'rich', 'class',' Telkomsel ',' company ',' here ',' ugly ',' good ',' number ',' telephone ',' Already ',' Change ',' ']")</f>
        <v>['Telkomsel', 'sinynyal', 'ngak', 'rich', 'class',' Telkomsel ',' company ',' here ',' ugly ',' good ',' number ',' telephone ',' Already ',' Change ',' ']</v>
      </c>
      <c r="D1447" s="3">
        <v>1.0</v>
      </c>
    </row>
    <row r="1448" ht="15.75" customHeight="1">
      <c r="A1448" s="1">
        <v>1446.0</v>
      </c>
      <c r="B1448" s="3" t="s">
        <v>1449</v>
      </c>
      <c r="C1448" s="3" t="str">
        <f>IFERROR(__xludf.DUMMYFUNCTION("GOOGLETRANSLATE(B1448,""id"",""en"")"),"['Yayel', 'ihhh', 'error', 'system', 'continued', 'please', 'benerin', 'already', 'top', 'pulse', 'gabisa', 'buy', ' The quota is', 'that's',' pay ',' method ',' choice ',' annoyed ', ""]")</f>
        <v>['Yayel', 'ihhh', 'error', 'system', 'continued', 'please', 'benerin', 'already', 'top', 'pulse', 'gabisa', 'buy', ' The quota is', 'that's',' pay ',' method ',' choice ',' annoyed ', "]</v>
      </c>
      <c r="D1448" s="3">
        <v>2.0</v>
      </c>
    </row>
    <row r="1449" ht="15.75" customHeight="1">
      <c r="A1449" s="1">
        <v>1447.0</v>
      </c>
      <c r="B1449" s="3" t="s">
        <v>1450</v>
      </c>
      <c r="C1449" s="3" t="str">
        <f>IFERROR(__xludf.DUMMYFUNCTION("GOOGLETRANSLATE(B1449,""id"",""en"")"),"['Sinyal', 'Severe', 'really', 'skrg', 'lazy', 'packagein', 'missing', 'connection', 'internet', 'slow', 'mending', 'provider', ' cheap ',' quality ',' signal ',' Bagus', 'Please', 'Fix', 'UDH', 'Disappointed', 'Quality', 'Telkomsel', 'Seketanggukan', 'Th"&amp;"ank you']")</f>
        <v>['Sinyal', 'Severe', 'really', 'skrg', 'lazy', 'packagein', 'missing', 'connection', 'internet', 'slow', 'mending', 'provider', ' cheap ',' quality ',' signal ',' Bagus', 'Please', 'Fix', 'UDH', 'Disappointed', 'Quality', 'Telkomsel', 'Seketanggukan', 'Thank you']</v>
      </c>
      <c r="D1449" s="3">
        <v>1.0</v>
      </c>
    </row>
    <row r="1450" ht="15.75" customHeight="1">
      <c r="A1450" s="1">
        <v>1448.0</v>
      </c>
      <c r="B1450" s="3" t="s">
        <v>1451</v>
      </c>
      <c r="C1450" s="3" t="str">
        <f>IFERROR(__xludf.DUMMYFUNCTION("GOOGLETRANSLATE(B1450,""id"",""en"")"),"['Knp', 'Contents', 'Credit', 'Cut', 'Buy', 'Cut', 'Credit', 'Knp', 'That's', 'Get', 'Believe', 'Telkomsel']")</f>
        <v>['Knp', 'Contents', 'Credit', 'Cut', 'Buy', 'Cut', 'Credit', 'Knp', 'That's', 'Get', 'Believe', 'Telkomsel']</v>
      </c>
      <c r="D1450" s="3">
        <v>1.0</v>
      </c>
    </row>
    <row r="1451" ht="15.75" customHeight="1">
      <c r="A1451" s="1">
        <v>1449.0</v>
      </c>
      <c r="B1451" s="3" t="s">
        <v>1452</v>
      </c>
      <c r="C1451" s="3" t="str">
        <f>IFERROR(__xludf.DUMMYFUNCTION("GOOGLETRANSLATE(B1451,""id"",""en"")"),"['Card', 'Telkomsel', 'card', 'sympathy', 'card', 'Sakti', 'card', 'sympathy', 'number', 'number', 'telephone', 'data' There ',' Affordable ',' Package ',' Price ',' Soar ',' Expensive ',' Karuan ',' Card ',' Select ',' Card ',' Sakti ',' Package ',' Chea"&amp;"p ' , 'sympathy', 'compared to', 'Providen', 'expensive', 'special', 'data', 'sympathy', 'maintained', 'number', 'relatives',' brother ',' business partners', '']")</f>
        <v>['Card', 'Telkomsel', 'card', 'sympathy', 'card', 'Sakti', 'card', 'sympathy', 'number', 'number', 'telephone', 'data' There ',' Affordable ',' Package ',' Price ',' Soar ',' Expensive ',' Karuan ',' Card ',' Select ',' Card ',' Sakti ',' Package ',' Cheap ' , 'sympathy', 'compared to', 'Providen', 'expensive', 'special', 'data', 'sympathy', 'maintained', 'number', 'relatives',' brother ',' business partners', '']</v>
      </c>
      <c r="D1451" s="3">
        <v>2.0</v>
      </c>
    </row>
    <row r="1452" ht="15.75" customHeight="1">
      <c r="A1452" s="1">
        <v>1450.0</v>
      </c>
      <c r="B1452" s="3" t="s">
        <v>1453</v>
      </c>
      <c r="C1452" s="3" t="str">
        <f>IFERROR(__xludf.DUMMYFUNCTION("GOOGLETRANSLATE(B1452,""id"",""en"")"),"['Telkomsel', 'expensive', 'Alhamdllh', 'can', 'promo', 'quality', 'network', 'dependent', 'area', 'Telkomsel', 'network', 'anti', ' Storm ',' Rain ',' Lightning ',' Shakards', 'Signal', '']")</f>
        <v>['Telkomsel', 'expensive', 'Alhamdllh', 'can', 'promo', 'quality', 'network', 'dependent', 'area', 'Telkomsel', 'network', 'anti', ' Storm ',' Rain ',' Lightning ',' Shakards', 'Signal', '']</v>
      </c>
      <c r="D1452" s="3">
        <v>4.0</v>
      </c>
    </row>
    <row r="1453" ht="15.75" customHeight="1">
      <c r="A1453" s="1">
        <v>1451.0</v>
      </c>
      <c r="B1453" s="3" t="s">
        <v>1454</v>
      </c>
      <c r="C1453" s="3" t="str">
        <f>IFERROR(__xludf.DUMMYFUNCTION("GOOGLETRANSLATE(B1453,""id"",""en"")"),"['Dear', 'Scurity', 'Telkom', 'Indonesia', 'Please', 'Select', 'Appearance', 'Support', 'Event', 'Telkom', 'Enter', 'Loading', ' Different ',' in ',' users', 'Telkomsel', 'era', 'belom', 'android', 'select', 'appearance', 'belom', 'clothes',' neat ',' his"&amp;" intention ' , 'eat', 'rice', 'choose', '']")</f>
        <v>['Dear', 'Scurity', 'Telkom', 'Indonesia', 'Please', 'Select', 'Appearance', 'Support', 'Event', 'Telkom', 'Enter', 'Loading', ' Different ',' in ',' users', 'Telkomsel', 'era', 'belom', 'android', 'select', 'appearance', 'belom', 'clothes',' neat ',' his intention ' , 'eat', 'rice', 'choose', '']</v>
      </c>
      <c r="D1453" s="3">
        <v>1.0</v>
      </c>
    </row>
    <row r="1454" ht="15.75" customHeight="1">
      <c r="A1454" s="1">
        <v>1452.0</v>
      </c>
      <c r="B1454" s="3" t="s">
        <v>1455</v>
      </c>
      <c r="C1454" s="3" t="str">
        <f>IFERROR(__xludf.DUMMYFUNCTION("GOOGLETRANSLATE(B1454,""id"",""en"")"),"['Try', 'Telkomsel', 'Strengthen', 'Sousal', 'Glooms',' Price ',' Package ',' Internet ',' Shy ',' Tower ',' The Network ',' Lemot ',' expensive ',' what ',' Indonesia ',' advanced ',' signal ',' package ',' expensive ',' Indonesia ',' Most ',' Telkomsel "&amp;"',' groups', 'medium', 'lose' , 'Network', 'next door', '']")</f>
        <v>['Try', 'Telkomsel', 'Strengthen', 'Sousal', 'Glooms',' Price ',' Package ',' Internet ',' Shy ',' Tower ',' The Network ',' Lemot ',' expensive ',' what ',' Indonesia ',' advanced ',' signal ',' package ',' expensive ',' Indonesia ',' Most ',' Telkomsel ',' groups', 'medium', 'lose' , 'Network', 'next door', '']</v>
      </c>
      <c r="D1454" s="3">
        <v>1.0</v>
      </c>
    </row>
    <row r="1455" ht="15.75" customHeight="1">
      <c r="A1455" s="1">
        <v>1453.0</v>
      </c>
      <c r="B1455" s="3" t="s">
        <v>1456</v>
      </c>
      <c r="C1455" s="3" t="str">
        <f>IFERROR(__xludf.DUMMYFUNCTION("GOOGLETRANSLATE(B1455,""id"",""en"")"),"['price', 'package', 'expensive', 'network', 'ugly', 'try', 'network', 'card', 'already', 'moved', 'Telkomsel', ""]")</f>
        <v>['price', 'package', 'expensive', 'network', 'ugly', 'try', 'network', 'card', 'already', 'moved', 'Telkomsel', "]</v>
      </c>
      <c r="D1455" s="3">
        <v>2.0</v>
      </c>
    </row>
    <row r="1456" ht="15.75" customHeight="1">
      <c r="A1456" s="1">
        <v>1454.0</v>
      </c>
      <c r="B1456" s="3" t="s">
        <v>1457</v>
      </c>
      <c r="C1456" s="3" t="str">
        <f>IFERROR(__xludf.DUMMYFUNCTION("GOOGLETRANSLATE(B1456,""id"",""en"")"),"['take', 'pulse', 'careless', 'The reason', 'package', 'emergency', 'what', 'package', 'emergency', 'take', 'beloved']")</f>
        <v>['take', 'pulse', 'careless', 'The reason', 'package', 'emergency', 'what', 'package', 'emergency', 'take', 'beloved']</v>
      </c>
      <c r="D1456" s="3">
        <v>1.0</v>
      </c>
    </row>
    <row r="1457" ht="15.75" customHeight="1">
      <c r="A1457" s="1">
        <v>1455.0</v>
      </c>
      <c r="B1457" s="3" t="s">
        <v>1458</v>
      </c>
      <c r="C1457" s="3" t="str">
        <f>IFERROR(__xludf.DUMMYFUNCTION("GOOGLETRANSLATE(B1457,""id"",""en"")"),"['', 'Telkomsel', 'buy', 'package', 'recommendation', 'failed', 'interesting', 'attention', 'what', 'Please', 'repaired', 'thank you', "" ]")</f>
        <v>['', 'Telkomsel', 'buy', 'package', 'recommendation', 'failed', 'interesting', 'attention', 'what', 'Please', 'repaired', 'thank you', " ]</v>
      </c>
      <c r="D1457" s="3">
        <v>2.0</v>
      </c>
    </row>
    <row r="1458" ht="15.75" customHeight="1">
      <c r="A1458" s="1">
        <v>1456.0</v>
      </c>
      <c r="B1458" s="3" t="s">
        <v>1459</v>
      </c>
      <c r="C1458" s="3" t="str">
        <f>IFERROR(__xludf.DUMMYFUNCTION("GOOGLETRANSLATE(B1458,""id"",""en"")"),"['Telkomsel', 'Pig', 'Haram', 'Suck', 'Credit', 'Rp', 'Sampe', 'Nyedot', 'Operator', 'Damn', 'Brain', 'Animal', ' network ',' internet ',' slow ',' hope ',' die ', ""]")</f>
        <v>['Telkomsel', 'Pig', 'Haram', 'Suck', 'Credit', 'Rp', 'Sampe', 'Nyedot', 'Operator', 'Damn', 'Brain', 'Animal', ' network ',' internet ',' slow ',' hope ',' die ', "]</v>
      </c>
      <c r="D1458" s="3">
        <v>1.0</v>
      </c>
    </row>
    <row r="1459" ht="15.75" customHeight="1">
      <c r="A1459" s="1">
        <v>1457.0</v>
      </c>
      <c r="B1459" s="3" t="s">
        <v>1460</v>
      </c>
      <c r="C1459" s="3" t="str">
        <f>IFERROR(__xludf.DUMMYFUNCTION("GOOGLETRANSLATE(B1459,""id"",""en"")"),"['system', 'dilapidated', 'pulse', 'sucked', 'contents',' pulse ',' no ',' list ',' package ',' right ',' check ',' transaction ',' Access', 'internet', 'use', 'rates',' normal ',' helooooowwwwww ',' package ',' data ',' turned off ',' know ',' wifi ',' u"&amp;"sually ',' access' , 'Internet', 'rates',' normal ',' aka ',' pulse ',' mode ',' buy ',' pulse ',' no ',' pandemic ',' like ',' gini ',' Woy ',' Dzolim ',' really ',' disappointing ',' ']")</f>
        <v>['system', 'dilapidated', 'pulse', 'sucked', 'contents',' pulse ',' no ',' list ',' package ',' right ',' check ',' transaction ',' Access', 'internet', 'use', 'rates',' normal ',' helooooowwwwww ',' package ',' data ',' turned off ',' know ',' wifi ',' usually ',' access' , 'Internet', 'rates',' normal ',' aka ',' pulse ',' mode ',' buy ',' pulse ',' no ',' pandemic ',' like ',' gini ',' Woy ',' Dzolim ',' really ',' disappointing ',' ']</v>
      </c>
      <c r="D1459" s="3">
        <v>1.0</v>
      </c>
    </row>
    <row r="1460" ht="15.75" customHeight="1">
      <c r="A1460" s="1">
        <v>1458.0</v>
      </c>
      <c r="B1460" s="3" t="s">
        <v>1461</v>
      </c>
      <c r="C1460" s="3" t="str">
        <f>IFERROR(__xludf.DUMMYFUNCTION("GOOGLETRANSLATE(B1460,""id"",""en"")"),"['buy', 'package', 'data', 'TLP', 'have', 'choice', 'buy', 'package', 'expensive', 'choice', 'cheap', 'different', ' Class', 'Customer', 'Buy', 'Tekomsel', 'Dicounter', 'Minimarket', 'Choice', 'Package', 'Cheap', 'Disconnect', 'Buy', 'Package', 'Expensive"&amp;"' , 'coercion', 'discrimination', 'Telkomsel', '']")</f>
        <v>['buy', 'package', 'data', 'TLP', 'have', 'choice', 'buy', 'package', 'expensive', 'choice', 'cheap', 'different', ' Class', 'Customer', 'Buy', 'Tekomsel', 'Dicounter', 'Minimarket', 'Choice', 'Package', 'Cheap', 'Disconnect', 'Buy', 'Package', 'Expensive' , 'coercion', 'discrimination', 'Telkomsel', '']</v>
      </c>
      <c r="D1460" s="3">
        <v>3.0</v>
      </c>
    </row>
    <row r="1461" ht="15.75" customHeight="1">
      <c r="A1461" s="1">
        <v>1459.0</v>
      </c>
      <c r="B1461" s="3" t="s">
        <v>1462</v>
      </c>
      <c r="C1461" s="3" t="str">
        <f>IFERROR(__xludf.DUMMYFUNCTION("GOOGLETRANSLATE(B1461,""id"",""en"")"),"['bintag', 'pull', 'the application', 'out', 'playstore', 'nontiftic', 'package', 'data', 'run out', 'contents',' the application ',' NGK ',' fraudsters', 'coercion', 'sorry', 'star', 'pull', 'tell', 'contents',' package ',' data ',' clock ',' the applica"&amp;"tion ',' abal ',' abal ' , 'nich', 'klau', 'forced', 'dislodial', 'installation', '']")</f>
        <v>['bintag', 'pull', 'the application', 'out', 'playstore', 'nontiftic', 'package', 'data', 'run out', 'contents',' the application ',' NGK ',' fraudsters', 'coercion', 'sorry', 'star', 'pull', 'tell', 'contents',' package ',' data ',' clock ',' the application ',' abal ',' abal ' , 'nich', 'klau', 'forced', 'dislodial', 'installation', '']</v>
      </c>
      <c r="D1461" s="3">
        <v>1.0</v>
      </c>
    </row>
    <row r="1462" ht="15.75" customHeight="1">
      <c r="A1462" s="1">
        <v>1460.0</v>
      </c>
      <c r="B1462" s="3" t="s">
        <v>1463</v>
      </c>
      <c r="C1462" s="3" t="str">
        <f>IFERROR(__xludf.DUMMYFUNCTION("GOOGLETRANSLATE(B1462,""id"",""en"")"),"['faithful', 'service', 'really', 'disappointed', 'oath', 'signal', 'Telkomsel', 'slow', 'signal', 'like', 'lost', 'sudden', ' Apunnnn ',' dehhh ',' please ',' fix ',' service ',' signal ',' Telkomsel ',' loyal ',' Telkomsel ',' please ',' customer ',' di"&amp;"sappointed ',' continuous' , 'buy', 'package', 'that's',' expensive ',' signal ',' kayak ',' gini ',' udh ',' many ',' times', 'think', 'move', ' Services', 'loyal', 'service', 'Please', 'repaired', ""]")</f>
        <v>['faithful', 'service', 'really', 'disappointed', 'oath', 'signal', 'Telkomsel', 'slow', 'signal', 'like', 'lost', 'sudden', ' Apunnnn ',' dehhh ',' please ',' fix ',' service ',' signal ',' Telkomsel ',' loyal ',' Telkomsel ',' please ',' customer ',' disappointed ',' continuous' , 'buy', 'package', 'that's',' expensive ',' signal ',' kayak ',' gini ',' udh ',' many ',' times', 'think', 'move', ' Services', 'loyal', 'service', 'Please', 'repaired', "]</v>
      </c>
      <c r="D1462" s="3">
        <v>1.0</v>
      </c>
    </row>
    <row r="1463" ht="15.75" customHeight="1">
      <c r="A1463" s="1">
        <v>1461.0</v>
      </c>
      <c r="B1463" s="3" t="s">
        <v>1464</v>
      </c>
      <c r="C1463" s="3" t="str">
        <f>IFERROR(__xludf.DUMMYFUNCTION("GOOGLETRANSLATE(B1463,""id"",""en"")"),"['Contents',' Credit ',' Cut ',' Used ',' Call ',' Example ',' Yesterday ',' Content ',' Credit ',' Live ',' Use ',' Phone ',' Internet ',' Telkomsel ',' disappointing ',' name ',' detrimental ',' consume ',' lazy ',' contents', 'pulse', 'Telkomsel', 'con"&amp;"tents',' chick ']")</f>
        <v>['Contents',' Credit ',' Cut ',' Used ',' Call ',' Example ',' Yesterday ',' Content ',' Credit ',' Live ',' Use ',' Phone ',' Internet ',' Telkomsel ',' disappointing ',' name ',' detrimental ',' consume ',' lazy ',' contents', 'pulse', 'Telkomsel', 'contents',' chick ']</v>
      </c>
      <c r="D1463" s="3">
        <v>1.0</v>
      </c>
    </row>
    <row r="1464" ht="15.75" customHeight="1">
      <c r="A1464" s="1">
        <v>1462.0</v>
      </c>
      <c r="B1464" s="3" t="s">
        <v>1465</v>
      </c>
      <c r="C1464" s="3" t="str">
        <f>IFERROR(__xludf.DUMMYFUNCTION("GOOGLETRANSLATE(B1464,""id"",""en"")"),"['Byk', 'complaints',' network ',' stable ',' use ',' package ',' data ',' wifi ',' complaints', 'network', 'telkom', 'night', ' dawn ',' stable ',' please ',' Telkomsel ',' network ',' fix ',' Costumer ',' happy ', ""]")</f>
        <v>['Byk', 'complaints',' network ',' stable ',' use ',' package ',' data ',' wifi ',' complaints', 'network', 'telkom', 'night', ' dawn ',' stable ',' please ',' Telkomsel ',' network ',' fix ',' Costumer ',' happy ', "]</v>
      </c>
      <c r="D1464" s="3">
        <v>1.0</v>
      </c>
    </row>
    <row r="1465" ht="15.75" customHeight="1">
      <c r="A1465" s="1">
        <v>1463.0</v>
      </c>
      <c r="B1465" s="3" t="s">
        <v>1466</v>
      </c>
      <c r="C1465" s="3" t="str">
        <f>IFERROR(__xludf.DUMMYFUNCTION("GOOGLETRANSLATE(B1465,""id"",""en"")"),"['Tissue', 'Telkomsel', 'Weakening', 'Network', 'Telkomsel', 'Superior', 'Compare', 'IM', 'IXAS', 'Honest', 'as',' User ',' Faithful ',' Telkomsel ',' Disappointed ']")</f>
        <v>['Tissue', 'Telkomsel', 'Weakening', 'Network', 'Telkomsel', 'Superior', 'Compare', 'IM', 'IXAS', 'Honest', 'as',' User ',' Faithful ',' Telkomsel ',' Disappointed ']</v>
      </c>
      <c r="D1465" s="3">
        <v>1.0</v>
      </c>
    </row>
    <row r="1466" ht="15.75" customHeight="1">
      <c r="A1466" s="1">
        <v>1464.0</v>
      </c>
      <c r="B1466" s="3" t="s">
        <v>1467</v>
      </c>
      <c r="C1466" s="3" t="str">
        <f>IFERROR(__xludf.DUMMYFUNCTION("GOOGLETRANSLATE(B1466,""id"",""en"")"),"['Please', 'Network', 'Internet', 'Unlimited', 'Fix', 'Karna', 'Quota', 'Internet', 'Out', 'Remaining', 'Quota', 'Unlimited', ' Chat ',' Music ',' Game ',' Sosmed ',' You ',' Tube ',' Network ',' Bad ',' Trukadang ',' Brjalan ',' Disappointed ',' Dangan '"&amp;",' Service ' , 'Network', 'Tlkomsel', 'buy', 'card', 'package', 'expensive', 'satisfying', 'pelangan', 'loyal', 'knp', 'skrng', 'disappointed', ' Please ',' Fix ',' Trimksh ',' Telkomsel ']")</f>
        <v>['Please', 'Network', 'Internet', 'Unlimited', 'Fix', 'Karna', 'Quota', 'Internet', 'Out', 'Remaining', 'Quota', 'Unlimited', ' Chat ',' Music ',' Game ',' Sosmed ',' You ',' Tube ',' Network ',' Bad ',' Trukadang ',' Brjalan ',' Disappointed ',' Dangan ',' Service ' , 'Network', 'Tlkomsel', 'buy', 'card', 'package', 'expensive', 'satisfying', 'pelangan', 'loyal', 'knp', 'skrng', 'disappointed', ' Please ',' Fix ',' Trimksh ',' Telkomsel ']</v>
      </c>
      <c r="D1466" s="3">
        <v>1.0</v>
      </c>
    </row>
    <row r="1467" ht="15.75" customHeight="1">
      <c r="A1467" s="1">
        <v>1465.0</v>
      </c>
      <c r="B1467" s="3" t="s">
        <v>1468</v>
      </c>
      <c r="C1467" s="3" t="str">
        <f>IFERROR(__xludf.DUMMYFUNCTION("GOOGLETRANSLATE(B1467,""id"",""en"")"),"['Price', 'Package', 'Data', 'Network', 'Telkom', 'Sometimes', 'Lost', 'Safe', 'Telkom', ""]")</f>
        <v>['Price', 'Package', 'Data', 'Network', 'Telkom', 'Sometimes', 'Lost', 'Safe', 'Telkom', "]</v>
      </c>
      <c r="D1467" s="3">
        <v>2.0</v>
      </c>
    </row>
    <row r="1468" ht="15.75" customHeight="1">
      <c r="A1468" s="1">
        <v>1466.0</v>
      </c>
      <c r="B1468" s="3" t="s">
        <v>1469</v>
      </c>
      <c r="C1468" s="3" t="str">
        <f>IFERROR(__xludf.DUMMYFUNCTION("GOOGLETRANSLATE(B1468,""id"",""en"")"),"['disappointed', 'buy', 'package', 'internet', 'combo', 'quota', 'internet', 'telphone', 'all', 'operator', 'pulse', 'regular', ' Cutting ',' pulses', 'telphone', 'all', 'operator', '']")</f>
        <v>['disappointed', 'buy', 'package', 'internet', 'combo', 'quota', 'internet', 'telphone', 'all', 'operator', 'pulse', 'regular', ' Cutting ',' pulses', 'telphone', 'all', 'operator', '']</v>
      </c>
      <c r="D1468" s="3">
        <v>1.0</v>
      </c>
    </row>
    <row r="1469" ht="15.75" customHeight="1">
      <c r="A1469" s="1">
        <v>1467.0</v>
      </c>
      <c r="B1469" s="3" t="s">
        <v>1470</v>
      </c>
      <c r="C1469" s="3" t="str">
        <f>IFERROR(__xludf.DUMMYFUNCTION("GOOGLETRANSLATE(B1469,""id"",""en"")"),"['Telkomsel', 'Suitable', 'really', 'The area', 'hilly', 'Bukit', 'Telkomsel', 'Sousal', 'Sangaaaa', 'Strong', 'Telkomsel', 'pampering', ' its customers', 'gifts',' gifts', 'free', 'for example', 'check out', 'daily', 'thank you', 'Telkomsel', '']")</f>
        <v>['Telkomsel', 'Suitable', 'really', 'The area', 'hilly', 'Bukit', 'Telkomsel', 'Sousal', 'Sangaaaa', 'Strong', 'Telkomsel', 'pampering', ' its customers', 'gifts',' gifts', 'free', 'for example', 'check out', 'daily', 'thank you', 'Telkomsel', '']</v>
      </c>
      <c r="D1469" s="3">
        <v>5.0</v>
      </c>
    </row>
    <row r="1470" ht="15.75" customHeight="1">
      <c r="A1470" s="1">
        <v>1468.0</v>
      </c>
      <c r="B1470" s="3" t="s">
        <v>1471</v>
      </c>
      <c r="C1470" s="3" t="str">
        <f>IFERROR(__xludf.DUMMYFUNCTION("GOOGLETRANSLATE(B1470,""id"",""en"")"),"['Mas',' Mbak ',' confused ',' right ',' Telkomsel ',' smooth ',' smooth ',' likes', 'slow', 'tissue', 'area', 'Sidoarjo', ' Please, 'repaired', 'Online', '']")</f>
        <v>['Mas',' Mbak ',' confused ',' right ',' Telkomsel ',' smooth ',' smooth ',' likes', 'slow', 'tissue', 'area', 'Sidoarjo', ' Please, 'repaired', 'Online', '']</v>
      </c>
      <c r="D1470" s="3">
        <v>4.0</v>
      </c>
    </row>
    <row r="1471" ht="15.75" customHeight="1">
      <c r="A1471" s="1">
        <v>1469.0</v>
      </c>
      <c r="B1471" s="3" t="s">
        <v>1472</v>
      </c>
      <c r="C1471" s="3" t="str">
        <f>IFERROR(__xludf.DUMMYFUNCTION("GOOGLETRANSLATE(B1471,""id"",""en"")"),"['Please', 'Admin', 'Listen', 'Love', 'Star', 'Lower', 'Bintang', 'Buy', 'Package', 'Quota', 'Entering', 'Process',' late ',' sometimes', 'cut', 'pulse', 'package', 'bought', 'visits',' enter ']")</f>
        <v>['Please', 'Admin', 'Listen', 'Love', 'Star', 'Lower', 'Bintang', 'Buy', 'Package', 'Quota', 'Entering', 'Process',' late ',' sometimes', 'cut', 'pulse', 'package', 'bought', 'visits',' enter ']</v>
      </c>
      <c r="D1471" s="3">
        <v>1.0</v>
      </c>
    </row>
    <row r="1472" ht="15.75" customHeight="1">
      <c r="A1472" s="1">
        <v>1470.0</v>
      </c>
      <c r="B1472" s="3" t="s">
        <v>1473</v>
      </c>
      <c r="C1472" s="3" t="str">
        <f>IFERROR(__xludf.DUMMYFUNCTION("GOOGLETRANSLATE(B1472,""id"",""en"")"),"['Please', 'Unreg', 'Package', 'What', 'Package', 'Registered', 'Buy', 'Unreg', 'Gabisa', 'Credit', 'Buy', 'Direct', ' Ludes']")</f>
        <v>['Please', 'Unreg', 'Package', 'What', 'Package', 'Registered', 'Buy', 'Unreg', 'Gabisa', 'Credit', 'Buy', 'Direct', ' Ludes']</v>
      </c>
      <c r="D1472" s="3">
        <v>1.0</v>
      </c>
    </row>
    <row r="1473" ht="15.75" customHeight="1">
      <c r="A1473" s="1">
        <v>1471.0</v>
      </c>
      <c r="B1473" s="3" t="s">
        <v>1474</v>
      </c>
      <c r="C1473" s="3" t="str">
        <f>IFERROR(__xludf.DUMMYFUNCTION("GOOGLETRANSLATE(B1473,""id"",""en"")"),"['', 'upgrade', 'jdi', 'tmbh', 'ugly', 'move', 'number', 'number', 'number', 'verification', 'number', 'installed', 'dianena ',' yeah ',' down ',' tile ',' kacauu ']")</f>
        <v>['', 'upgrade', 'jdi', 'tmbh', 'ugly', 'move', 'number', 'number', 'number', 'verification', 'number', 'installed', 'dianena ',' yeah ',' down ',' tile ',' kacauu ']</v>
      </c>
      <c r="D1473" s="3">
        <v>1.0</v>
      </c>
    </row>
    <row r="1474" ht="15.75" customHeight="1">
      <c r="A1474" s="1">
        <v>1472.0</v>
      </c>
      <c r="B1474" s="3" t="s">
        <v>1475</v>
      </c>
      <c r="C1474" s="3" t="str">
        <f>IFERROR(__xludf.DUMMYFUNCTION("GOOGLETRANSLATE(B1474,""id"",""en"")"),"['Sorry', 'Telkomsel', 'Love', 'Star', 'Karna', 'Customer', 'Telkomsel', 'loyal', 'disappointed', 'renewal', 'satisfying', 'network', ' stable ',' lost ',' purchase ',' package ',' quota ',' internet ',' already ',' Please ',' action ',' optimal ', ""]")</f>
        <v>['Sorry', 'Telkomsel', 'Love', 'Star', 'Karna', 'Customer', 'Telkomsel', 'loyal', 'disappointed', 'renewal', 'satisfying', 'network', ' stable ',' lost ',' purchase ',' package ',' quota ',' internet ',' already ',' Please ',' action ',' optimal ', "]</v>
      </c>
      <c r="D1474" s="3">
        <v>1.0</v>
      </c>
    </row>
    <row r="1475" ht="15.75" customHeight="1">
      <c r="A1475" s="1">
        <v>1473.0</v>
      </c>
      <c r="B1475" s="3" t="s">
        <v>1476</v>
      </c>
      <c r="C1475" s="3" t="str">
        <f>IFERROR(__xludf.DUMMYFUNCTION("GOOGLETRANSLATE(B1475,""id"",""en"")"),"['quota', 'quota', 'internet', 'multimedia', 'youtube', 'turn', 'open', 'youtube', 'reduced', 'quota', 'internet', 'quota', ' Multimedia ',' Telkomsel ',' Relief ',' Customers', 'Karna', 'Customer', 'Sleep', 'sounds',' because ',' Customer ',' Leech ',' p"&amp;"ain ',' no ' , 'feels', 'blood', 'drained', '']")</f>
        <v>['quota', 'quota', 'internet', 'multimedia', 'youtube', 'turn', 'open', 'youtube', 'reduced', 'quota', 'internet', 'quota', ' Multimedia ',' Telkomsel ',' Relief ',' Customers', 'Karna', 'Customer', 'Sleep', 'sounds',' because ',' Customer ',' Leech ',' pain ',' no ' , 'feels', 'blood', 'drained', '']</v>
      </c>
      <c r="D1475" s="3">
        <v>1.0</v>
      </c>
    </row>
    <row r="1476" ht="15.75" customHeight="1">
      <c r="A1476" s="1">
        <v>1474.0</v>
      </c>
      <c r="B1476" s="3" t="s">
        <v>1477</v>
      </c>
      <c r="C1476" s="3" t="str">
        <f>IFERROR(__xludf.DUMMYFUNCTION("GOOGLETRANSLATE(B1476,""id"",""en"")"),"['quota', 'expensive', 'use', 'separated', 'quota', 'local', 'quota', 'national', 'please', 'BUMN', 'siden', 'Kepda', ' community ',' modalin ',' use ',' money ',' people ',' money ',' boss', '']")</f>
        <v>['quota', 'expensive', 'use', 'separated', 'quota', 'local', 'quota', 'national', 'please', 'BUMN', 'siden', 'Kepda', ' community ',' modalin ',' use ',' money ',' people ',' money ',' boss', '']</v>
      </c>
      <c r="D1476" s="3">
        <v>1.0</v>
      </c>
    </row>
    <row r="1477" ht="15.75" customHeight="1">
      <c r="A1477" s="1">
        <v>1475.0</v>
      </c>
      <c r="B1477" s="3" t="s">
        <v>1478</v>
      </c>
      <c r="C1477" s="3" t="str">
        <f>IFERROR(__xludf.DUMMYFUNCTION("GOOGLETRANSLATE(B1477,""id"",""en"")"),"['network', 'Telkomsel', 'ugly', 'really', 'that's',' cave ',' ngepush ',' network ',' ilang ',' mulu ',' gypull ',' different ',' really ',' rich ',' disappointing ',' ']")</f>
        <v>['network', 'Telkomsel', 'ugly', 'really', 'that's',' cave ',' ngepush ',' network ',' ilang ',' mulu ',' gypull ',' different ',' really ',' rich ',' disappointing ',' ']</v>
      </c>
      <c r="D1477" s="3">
        <v>1.0</v>
      </c>
    </row>
    <row r="1478" ht="15.75" customHeight="1">
      <c r="A1478" s="1">
        <v>1476.0</v>
      </c>
      <c r="B1478" s="3" t="s">
        <v>1479</v>
      </c>
      <c r="C1478" s="3" t="str">
        <f>IFERROR(__xludf.DUMMYFUNCTION("GOOGLETRANSLATE(B1478,""id"",""en"")"),"['The network', 'Slow', 'Abis',' Sampe ',' Season ',' The Network ',' Best ',' Sskarang ',' Worst ',' Compared to ',' Operator ',' Already ',' price ',' quota ',' expensive ',' compared to ',' network ',' stable ',' perfect ',' ']")</f>
        <v>['The network', 'Slow', 'Abis',' Sampe ',' Season ',' The Network ',' Best ',' Sskarang ',' Worst ',' Compared to ',' Operator ',' Already ',' price ',' quota ',' expensive ',' compared to ',' network ',' stable ',' perfect ',' ']</v>
      </c>
      <c r="D1478" s="3">
        <v>1.0</v>
      </c>
    </row>
    <row r="1479" ht="15.75" customHeight="1">
      <c r="A1479" s="1">
        <v>1477.0</v>
      </c>
      <c r="B1479" s="3" t="s">
        <v>1480</v>
      </c>
      <c r="C1479" s="3" t="str">
        <f>IFERROR(__xludf.DUMMYFUNCTION("GOOGLETRANSLATE(B1479,""id"",""en"")"),"['signal', 'bad', 'stable', 'package', 'expensive', 'jakarta', 'stable', 'service', 'recommended', 'solution', 'chat', 'app', ' already ',' then ',' change ',' signal ',' recommended ',' expensive ',' doang ']")</f>
        <v>['signal', 'bad', 'stable', 'package', 'expensive', 'jakarta', 'stable', 'service', 'recommended', 'solution', 'chat', 'app', ' already ',' then ',' change ',' signal ',' recommended ',' expensive ',' doang ']</v>
      </c>
      <c r="D1479" s="3">
        <v>1.0</v>
      </c>
    </row>
    <row r="1480" ht="15.75" customHeight="1">
      <c r="A1480" s="1">
        <v>1478.0</v>
      </c>
      <c r="B1480" s="3" t="s">
        <v>1481</v>
      </c>
      <c r="C1480" s="3" t="str">
        <f>IFERROR(__xludf.DUMMYFUNCTION("GOOGLETRANSLATE(B1480,""id"",""en"")"),"['package', 'internet', 'lost', 'expensive', 'user', 'lose', 'competitors', 'price', 'relative', 'cheap', 'package', 'internet']")</f>
        <v>['package', 'internet', 'lost', 'expensive', 'user', 'lose', 'competitors', 'price', 'relative', 'cheap', 'package', 'internet']</v>
      </c>
      <c r="D1480" s="3">
        <v>1.0</v>
      </c>
    </row>
    <row r="1481" ht="15.75" customHeight="1">
      <c r="A1481" s="1">
        <v>1479.0</v>
      </c>
      <c r="B1481" s="3" t="s">
        <v>1482</v>
      </c>
      <c r="C1481" s="3" t="str">
        <f>IFERROR(__xludf.DUMMYFUNCTION("GOOGLETRANSLATE(B1481,""id"",""en"")"),"['Use', 'use', 'SERES', 'SYNY', 'Good', 'sinya', 'card', 'cheap', 'Please', 'Murah', 'signal', 'its network']")</f>
        <v>['Use', 'use', 'SERES', 'SYNY', 'Good', 'sinya', 'card', 'cheap', 'Please', 'Murah', 'signal', 'its network']</v>
      </c>
      <c r="D1481" s="3">
        <v>1.0</v>
      </c>
    </row>
    <row r="1482" ht="15.75" customHeight="1">
      <c r="A1482" s="1">
        <v>1480.0</v>
      </c>
      <c r="B1482" s="3" t="s">
        <v>1483</v>
      </c>
      <c r="C1482" s="3" t="str">
        <f>IFERROR(__xludf.DUMMYFUNCTION("GOOGLETRANSLATE(B1482,""id"",""en"")"),"['date', 'June', 'clock', 'credit', 'buy', 'via', 'gopay', 'rb', 'disappear', 'lost', 'pdhl', 'gopay', ' Transfer ',' proof ',' Scrnsht ',' how ',' Telkomsel ',' YTH ',' ']")</f>
        <v>['date', 'June', 'clock', 'credit', 'buy', 'via', 'gopay', 'rb', 'disappear', 'lost', 'pdhl', 'gopay', ' Transfer ',' proof ',' Scrnsht ',' how ',' Telkomsel ',' YTH ',' ']</v>
      </c>
      <c r="D1482" s="3">
        <v>1.0</v>
      </c>
    </row>
    <row r="1483" ht="15.75" customHeight="1">
      <c r="A1483" s="1">
        <v>1481.0</v>
      </c>
      <c r="B1483" s="3" t="s">
        <v>1484</v>
      </c>
      <c r="C1483" s="3" t="str">
        <f>IFERROR(__xludf.DUMMYFUNCTION("GOOGLETRANSLATE(B1483,""id"",""en"")"),"['', 'Different', 'progress',' setbacks', 'signal', 'down', 'signal', 'Ohh', 'quality', 'BUMN', 'Kyk', 'Gini', 'It's hard ',' People ',' loss', 'Urnders',' Sampe ',' abandoned ',' thought out ',' users', 'Telkom', 'disturbed', 'quality', 'open', 'difficul"&amp;"t', 'web', 'stengah', 'dead', 'please', 'understand', 'need', 'signal', 'buy', 'package', 'date', '']")</f>
        <v>['', 'Different', 'progress',' setbacks', 'signal', 'down', 'signal', 'Ohh', 'quality', 'BUMN', 'Kyk', 'Gini', 'It's hard ',' People ',' loss', 'Urnders',' Sampe ',' abandoned ',' thought out ',' users', 'Telkom', 'disturbed', 'quality', 'open', 'difficult', 'web', 'stengah', 'dead', 'please', 'understand', 'need', 'signal', 'buy', 'package', 'date', '']</v>
      </c>
      <c r="D1483" s="3">
        <v>1.0</v>
      </c>
    </row>
    <row r="1484" ht="15.75" customHeight="1">
      <c r="A1484" s="1">
        <v>1482.0</v>
      </c>
      <c r="B1484" s="3" t="s">
        <v>1485</v>
      </c>
      <c r="C1484" s="3" t="str">
        <f>IFERROR(__xludf.DUMMYFUNCTION("GOOGLETRANSLATE(B1484,""id"",""en"")"),"['Actually', 'customers',' Telkomsel ',' slow ',' severe ',' contents', 'quota', 'price', 'already', 'lemoot', 'moved', 'Haluan', ' Kenceng ',' internet ',' ']")</f>
        <v>['Actually', 'customers',' Telkomsel ',' slow ',' severe ',' contents', 'quota', 'price', 'already', 'lemoot', 'moved', 'Haluan', ' Kenceng ',' internet ',' ']</v>
      </c>
      <c r="D1484" s="3">
        <v>1.0</v>
      </c>
    </row>
    <row r="1485" ht="15.75" customHeight="1">
      <c r="A1485" s="1">
        <v>1483.0</v>
      </c>
      <c r="B1485" s="3" t="s">
        <v>1486</v>
      </c>
      <c r="C1485" s="3" t="str">
        <f>IFERROR(__xludf.DUMMYFUNCTION("GOOGLETRANSLATE(B1485,""id"",""en"")"),"['quota', 'pulse', 'internet', 'dipake', 'pandemic', 'tsel', 'complaints',' times', 'report', 'internet', 'use', 'dri', ' Date ',' to ',' date ',' follow-up ',' suggestion ',' UDH ',' Try ',' told ',' Try ',' Divice ',' TTEP ',' Used ',' internet ' , 'Dis"&amp;"appointed', 'Very', 'Telkomsel', 'work', 'maximine', 'trusted', 'selected', 'search', 'best', 'until', 'second', 'forced', ' Provider ',' Tsel ',' Dipake ',' Samsek ']")</f>
        <v>['quota', 'pulse', 'internet', 'dipake', 'pandemic', 'tsel', 'complaints',' times', 'report', 'internet', 'use', 'dri', ' Date ',' to ',' date ',' follow-up ',' suggestion ',' UDH ',' Try ',' told ',' Try ',' Divice ',' TTEP ',' Used ',' internet ' , 'Disappointed', 'Very', 'Telkomsel', 'work', 'maximine', 'trusted', 'selected', 'search', 'best', 'until', 'second', 'forced', ' Provider ',' Tsel ',' Dipake ',' Samsek ']</v>
      </c>
      <c r="D1485" s="3">
        <v>1.0</v>
      </c>
    </row>
    <row r="1486" ht="15.75" customHeight="1">
      <c r="A1486" s="1">
        <v>1484.0</v>
      </c>
      <c r="B1486" s="3" t="s">
        <v>1487</v>
      </c>
      <c r="C1486" s="3" t="str">
        <f>IFERROR(__xludf.DUMMYFUNCTION("GOOGLETRANSLATE(B1486,""id"",""en"")"),"['', 'Ouch', 'crazy', 'Severe', 'Jga', 'buy', 'quota', 'expensive', 'until', 'scorched', 'barean', 'in', 'upgrade ',' card ',' hello ',' network ',' like ',' that's', 'person', 'thought', 'quota', 'rb', 'until', 'rb', 'dipake', 'Package', 'card', 'Hello',"&amp;" 'RB', 'Dipake', 'Auto', 'confused', 'complaint', 'Tanggepin', 'quota', 'CMA', 'Display', "" ]")</f>
        <v>['', 'Ouch', 'crazy', 'Severe', 'Jga', 'buy', 'quota', 'expensive', 'until', 'scorched', 'barean', 'in', 'upgrade ',' card ',' hello ',' network ',' like ',' that's', 'person', 'thought', 'quota', 'rb', 'until', 'rb', 'dipake', 'Package', 'card', 'Hello', 'RB', 'Dipake', 'Auto', 'confused', 'complaint', 'Tanggepin', 'quota', 'CMA', 'Display', " ]</v>
      </c>
      <c r="D1486" s="3">
        <v>1.0</v>
      </c>
    </row>
    <row r="1487" ht="15.75" customHeight="1">
      <c r="A1487" s="1">
        <v>1485.0</v>
      </c>
      <c r="B1487" s="3" t="s">
        <v>1488</v>
      </c>
      <c r="C1487" s="3" t="str">
        <f>IFERROR(__xludf.DUMMYFUNCTION("GOOGLETRANSLATE(B1487,""id"",""en"")"),"['Please', 'signal', 'fix', 'price', 'package', 'good', 'signal', 'ugly', 'skrng', 'date', 'July', 'signal', ' slow ',' really ',' watch ',' youtube ',' muter ',' please ',' fix ',' ']")</f>
        <v>['Please', 'signal', 'fix', 'price', 'package', 'good', 'signal', 'ugly', 'skrng', 'date', 'July', 'signal', ' slow ',' really ',' watch ',' youtube ',' muter ',' please ',' fix ',' ']</v>
      </c>
      <c r="D1487" s="3">
        <v>1.0</v>
      </c>
    </row>
    <row r="1488" ht="15.75" customHeight="1">
      <c r="A1488" s="1">
        <v>1486.0</v>
      </c>
      <c r="B1488" s="3" t="s">
        <v>1489</v>
      </c>
      <c r="C1488" s="3" t="str">
        <f>IFERROR(__xludf.DUMMYFUNCTION("GOOGLETRANSLATE(B1488,""id"",""en"")"),"['signal', 'buy', 'price', 'quota', 'expensive', 'guard', 'consumers', 'scared', 'customer', 'switch', '']")</f>
        <v>['signal', 'buy', 'price', 'quota', 'expensive', 'guard', 'consumers', 'scared', 'customer', 'switch', '']</v>
      </c>
      <c r="D1488" s="3">
        <v>1.0</v>
      </c>
    </row>
    <row r="1489" ht="15.75" customHeight="1">
      <c r="A1489" s="1">
        <v>1487.0</v>
      </c>
      <c r="B1489" s="3" t="s">
        <v>1490</v>
      </c>
      <c r="C1489" s="3" t="str">
        <f>IFERROR(__xludf.DUMMYFUNCTION("GOOGLETRANSLATE(B1489,""id"",""en"")"),"['just', 'Package', 'Disney', 'Hostar', 'Chat', 'Social', 'Media', 'Watch', 'Tiktok', ""]")</f>
        <v>['just', 'Package', 'Disney', 'Hostar', 'Chat', 'Social', 'Media', 'Watch', 'Tiktok', "]</v>
      </c>
      <c r="D1489" s="3">
        <v>3.0</v>
      </c>
    </row>
    <row r="1490" ht="15.75" customHeight="1">
      <c r="A1490" s="1">
        <v>1488.0</v>
      </c>
      <c r="B1490" s="3" t="s">
        <v>1491</v>
      </c>
      <c r="C1490" s="3" t="str">
        <f>IFERROR(__xludf.DUMMYFUNCTION("GOOGLETRANSLATE(B1490,""id"",""en"")"),"['company', 'Torggolong', 'application', 'classified', 'can', 'can', 'application', 'heavy', 'loading', 'open', 'application', 'display', ' Addition ',' Login ',' Virification ',' SMS ',' Visit ',' Login ',' Login ',' Lag ',' Login ',' Login ',' Ribet ','"&amp;" Application ',' Rempong ' , '']")</f>
        <v>['company', 'Torggolong', 'application', 'classified', 'can', 'can', 'application', 'heavy', 'loading', 'open', 'application', 'display', ' Addition ',' Login ',' Virification ',' SMS ',' Visit ',' Login ',' Login ',' Lag ',' Login ',' Login ',' Ribet ',' Application ',' Rempong ' , '']</v>
      </c>
      <c r="D1490" s="3">
        <v>1.0</v>
      </c>
    </row>
    <row r="1491" ht="15.75" customHeight="1">
      <c r="A1491" s="1">
        <v>1489.0</v>
      </c>
      <c r="B1491" s="3" t="s">
        <v>1492</v>
      </c>
      <c r="C1491" s="3" t="str">
        <f>IFERROR(__xludf.DUMMYFUNCTION("GOOGLETRANSLATE(B1491,""id"",""en"")"),"['Slalu', 'Telkomsel', 'Ahir', 'Ahir', 'his soy', 'stable', 'signal', 'good', 'home', 'signal', 'slow', 'sometimes',' The bar ',' SJA ',' Please ',' Fix ',' Internenity ',' Lemot ',' Sekarqng ', ""]")</f>
        <v>['Slalu', 'Telkomsel', 'Ahir', 'Ahir', 'his soy', 'stable', 'signal', 'good', 'home', 'signal', 'slow', 'sometimes',' The bar ',' SJA ',' Please ',' Fix ',' Internenity ',' Lemot ',' Sekarqng ', "]</v>
      </c>
      <c r="D1491" s="3">
        <v>3.0</v>
      </c>
    </row>
    <row r="1492" ht="15.75" customHeight="1">
      <c r="A1492" s="1">
        <v>1490.0</v>
      </c>
      <c r="B1492" s="3" t="s">
        <v>1493</v>
      </c>
      <c r="C1492" s="3" t="str">
        <f>IFERROR(__xludf.DUMMYFUNCTION("GOOGLETRANSLATE(B1492,""id"",""en"")"),"['Please', 'Telkomsel', 'subscribe', 'Dri', 'knpa', 'signal', 'difficult', 'bngt', 'reach', 'zoom', 'metting', 'pdhl', ' Position ',' Jakarta ',' package ',' expensive ',' draw ',' network ']")</f>
        <v>['Please', 'Telkomsel', 'subscribe', 'Dri', 'knpa', 'signal', 'difficult', 'bngt', 'reach', 'zoom', 'metting', 'pdhl', ' Position ',' Jakarta ',' package ',' expensive ',' draw ',' network ']</v>
      </c>
      <c r="D1492" s="3">
        <v>2.0</v>
      </c>
    </row>
    <row r="1493" ht="15.75" customHeight="1">
      <c r="A1493" s="1">
        <v>1491.0</v>
      </c>
      <c r="B1493" s="3" t="s">
        <v>1494</v>
      </c>
      <c r="C1493" s="3" t="str">
        <f>IFERROR(__xludf.DUMMYFUNCTION("GOOGLETRANSLATE(B1493,""id"",""en"")"),"['Haloo', 'min', 'network', 'Telkomsel', 'lost', 'yaa', 'about', 'troubled', 'net', 'stable', 'Please', 'assisted', ' Min ',' because ',' used ',' used ',' loss', 'buy', 'package', 'provider', 'kirain', 'right', 'change', 'thank you', 'Please' , 'response"&amp;"', 'min']")</f>
        <v>['Haloo', 'min', 'network', 'Telkomsel', 'lost', 'yaa', 'about', 'troubled', 'net', 'stable', 'Please', 'assisted', ' Min ',' because ',' used ',' used ',' loss', 'buy', 'package', 'provider', 'kirain', 'right', 'change', 'thank you', 'Please' , 'response', 'min']</v>
      </c>
      <c r="D1493" s="3">
        <v>2.0</v>
      </c>
    </row>
    <row r="1494" ht="15.75" customHeight="1">
      <c r="A1494" s="1">
        <v>1492.0</v>
      </c>
      <c r="B1494" s="3" t="s">
        <v>1495</v>
      </c>
      <c r="C1494" s="3" t="str">
        <f>IFERROR(__xludf.DUMMYFUNCTION("GOOGLETRANSLATE(B1494,""id"",""en"")"),"['nyesel', 'bnget', 'buy', 'quota', 'sympathy', 'already', 'price', 'then', 'slow', 'bnget', 'play', 'game', ' Oath ',' Come on ',' really ',' ']")</f>
        <v>['nyesel', 'bnget', 'buy', 'quota', 'sympathy', 'already', 'price', 'then', 'slow', 'bnget', 'play', 'game', ' Oath ',' Come on ',' really ',' ']</v>
      </c>
      <c r="D1494" s="3">
        <v>1.0</v>
      </c>
    </row>
    <row r="1495" ht="15.75" customHeight="1">
      <c r="A1495" s="1">
        <v>1493.0</v>
      </c>
      <c r="B1495" s="3" t="s">
        <v>1496</v>
      </c>
      <c r="C1495" s="3" t="str">
        <f>IFERROR(__xludf.DUMMYFUNCTION("GOOGLETRANSLATE(B1495,""id"",""en"")"),"['Wonder', 'update', 'yesterday', 'gabisa', 'log', 'fit', 'entry', 'update', 'pdhal', 'already', 'update', 'playstore', ' Already ',' updae ',' his writing ',' open ',' like ',' logo ',' Telkomsel ',' already ',' update ',' strange ',' characteristic ',' "&amp;"typical ',' Telkomsel ' , '']")</f>
        <v>['Wonder', 'update', 'yesterday', 'gabisa', 'log', 'fit', 'entry', 'update', 'pdhal', 'already', 'update', 'playstore', ' Already ',' updae ',' his writing ',' open ',' like ',' logo ',' Telkomsel ',' already ',' update ',' strange ',' characteristic ',' typical ',' Telkomsel ' , '']</v>
      </c>
      <c r="D1495" s="3">
        <v>2.0</v>
      </c>
    </row>
    <row r="1496" ht="15.75" customHeight="1">
      <c r="A1496" s="1">
        <v>1494.0</v>
      </c>
      <c r="B1496" s="3" t="s">
        <v>1497</v>
      </c>
      <c r="C1496" s="3" t="str">
        <f>IFERROR(__xludf.DUMMYFUNCTION("GOOGLETRANSLATE(B1496,""id"",""en"")"),"['cave', 'buy', 'package', 'quota', 'unlimited', 'list', 'application', 'telkomsel', 'update', 'right', 'severe', 'really', ' package ',' education ',' malem ',' need ',' kyk ',' so ',' it's needed ',' unlimited ',' wooii ']")</f>
        <v>['cave', 'buy', 'package', 'quota', 'unlimited', 'list', 'application', 'telkomsel', 'update', 'right', 'severe', 'really', ' package ',' education ',' malem ',' need ',' kyk ',' so ',' it's needed ',' unlimited ',' wooii ']</v>
      </c>
      <c r="D1496" s="3">
        <v>1.0</v>
      </c>
    </row>
    <row r="1497" ht="15.75" customHeight="1">
      <c r="A1497" s="1">
        <v>1495.0</v>
      </c>
      <c r="B1497" s="3" t="s">
        <v>1498</v>
      </c>
      <c r="C1497" s="3" t="str">
        <f>IFERROR(__xludf.DUMMYFUNCTION("GOOGLETRANSLATE(B1497,""id"",""en"")"),"['encouraging', 'package', 'quota', 'internet', 'expensive', 'then', 'network', 'super', 'slow', 'switch', 'logo', 'apk', ' Disappointing ',' price ',' quota ',' expensive ',' ']")</f>
        <v>['encouraging', 'package', 'quota', 'internet', 'expensive', 'then', 'network', 'super', 'slow', 'switch', 'logo', 'apk', ' Disappointing ',' price ',' quota ',' expensive ',' ']</v>
      </c>
      <c r="D1497" s="3">
        <v>1.0</v>
      </c>
    </row>
    <row r="1498" ht="15.75" customHeight="1">
      <c r="A1498" s="1">
        <v>1496.0</v>
      </c>
      <c r="B1498" s="3" t="s">
        <v>1499</v>
      </c>
      <c r="C1498" s="3" t="str">
        <f>IFERROR(__xludf.DUMMYFUNCTION("GOOGLETRANSLATE(B1498,""id"",""en"")"),"['poor', 'Telkomsel', 'network', 'slow', 'really', 'rich', 'fix', 'boss',' already ',' subscription ',' tens', 'disappointed', ' Really ',' fix ',' boss', 'pliiis',' ']")</f>
        <v>['poor', 'Telkomsel', 'network', 'slow', 'really', 'rich', 'fix', 'boss',' already ',' subscription ',' tens', 'disappointed', ' Really ',' fix ',' boss', 'pliiis',' ']</v>
      </c>
      <c r="D1498" s="3">
        <v>1.0</v>
      </c>
    </row>
    <row r="1499" ht="15.75" customHeight="1">
      <c r="A1499" s="1">
        <v>1497.0</v>
      </c>
      <c r="B1499" s="3" t="s">
        <v>1500</v>
      </c>
      <c r="C1499" s="3" t="str">
        <f>IFERROR(__xludf.DUMMYFUNCTION("GOOGLETRANSLATE(B1499,""id"",""en"")"),"['Credit', 'Cut', 'thousand', 'already', 'thousand', 'quota', 'that's',' access', 'internet', 'tariff', 'non', 'package', ' quota ',' internet ',' Sebel ',' really ']")</f>
        <v>['Credit', 'Cut', 'thousand', 'already', 'thousand', 'quota', 'that's',' access', 'internet', 'tariff', 'non', 'package', ' quota ',' internet ',' Sebel ',' really ']</v>
      </c>
      <c r="D1499" s="3">
        <v>1.0</v>
      </c>
    </row>
    <row r="1500" ht="15.75" customHeight="1">
      <c r="A1500" s="1">
        <v>1498.0</v>
      </c>
      <c r="B1500" s="3" t="s">
        <v>1501</v>
      </c>
      <c r="C1500" s="3" t="str">
        <f>IFERROR(__xludf.DUMMYFUNCTION("GOOGLETRANSLATE(B1500,""id"",""en"")"),"['Hello', 'Sorry', 'annoying', 'buy', 'package', 'GB', 'Note', 'package', 'run out', 'check', 'package', 'buy', ' Note ',' Please ',' Tell it ',' ']")</f>
        <v>['Hello', 'Sorry', 'annoying', 'buy', 'package', 'GB', 'Note', 'package', 'run out', 'check', 'package', 'buy', ' Note ',' Please ',' Tell it ',' ']</v>
      </c>
      <c r="D1500" s="3">
        <v>2.0</v>
      </c>
    </row>
    <row r="1501" ht="15.75" customHeight="1">
      <c r="A1501" s="1">
        <v>1499.0</v>
      </c>
      <c r="B1501" s="3" t="s">
        <v>1502</v>
      </c>
      <c r="C1501" s="3" t="str">
        <f>IFERROR(__xludf.DUMMYFUNCTION("GOOGLETRANSLATE(B1501,""id"",""en"")"),"['Please', 'The network', 'repaired', 'cook', 'die', 'lights',' network ',' missing ',' pulseku ',' truncated ',' right ',' Call ',' free ',' phone ',' kagak ',' fear ',' billed ',' end ',' ']")</f>
        <v>['Please', 'The network', 'repaired', 'cook', 'die', 'lights',' network ',' missing ',' pulseku ',' truncated ',' right ',' Call ',' free ',' phone ',' kagak ',' fear ',' billed ',' end ',' ']</v>
      </c>
      <c r="D1501" s="3">
        <v>1.0</v>
      </c>
    </row>
    <row r="1502" ht="15.75" customHeight="1">
      <c r="A1502" s="1">
        <v>1500.0</v>
      </c>
      <c r="B1502" s="3" t="s">
        <v>1503</v>
      </c>
      <c r="C1502" s="3" t="str">
        <f>IFERROR(__xludf.DUMMYFUNCTION("GOOGLETRANSLATE(B1502,""id"",""en"")"),"['', 'Bener', 'Telkomsel', 'skarang', 'already', 'buy', 'expensive', 'netting', 'stable', 'ngeleg', 'life', 'city', 'already ',' rich ',' life ',' forest ',' please ',' Telkomsel ',' emng ',' fix ',' jaringn ',' cheap ',' price ', ""]")</f>
        <v>['', 'Bener', 'Telkomsel', 'skarang', 'already', 'buy', 'expensive', 'netting', 'stable', 'ngeleg', 'life', 'city', 'already ',' rich ',' life ',' forest ',' please ',' Telkomsel ',' emng ',' fix ',' jaringn ',' cheap ',' price ', "]</v>
      </c>
      <c r="D1502" s="3">
        <v>1.0</v>
      </c>
    </row>
    <row r="1503" ht="15.75" customHeight="1">
      <c r="A1503" s="1">
        <v>1501.0</v>
      </c>
      <c r="B1503" s="3" t="s">
        <v>1504</v>
      </c>
      <c r="C1503" s="3" t="str">
        <f>IFERROR(__xludf.DUMMYFUNCTION("GOOGLETRANSLATE(B1503,""id"",""en"")"),"['Hi', 'Telkomsel', 'Dear', 'educated', 'service', 'disappointment', 'service', 'Why', 'just' just 'buy', 'package', 'internet', ' Combo ',' thousand ',' quota ',' internet ',' GB ',' quota ',' social ',' chat ',' term ',' buy ',' why ',' why read ' , 'Ac"&amp;"tive', 'application', 'MyTelkomsel', 'active', 'active', 'August', 'Hran', 'buy', 'date', 'July', 'yangka', 'date', ' ']")</f>
        <v>['Hi', 'Telkomsel', 'Dear', 'educated', 'service', 'disappointment', 'service', 'Why', 'just' just 'buy', 'package', 'internet', ' Combo ',' thousand ',' quota ',' internet ',' GB ',' quota ',' social ',' chat ',' term ',' buy ',' why ',' why read ' , 'Active', 'application', 'MyTelkomsel', 'active', 'active', 'August', 'Hran', 'buy', 'date', 'July', 'yangka', 'date', ' ']</v>
      </c>
      <c r="D1503" s="3">
        <v>1.0</v>
      </c>
    </row>
    <row r="1504" ht="15.75" customHeight="1">
      <c r="A1504" s="1">
        <v>1502.0</v>
      </c>
      <c r="B1504" s="3" t="s">
        <v>1505</v>
      </c>
      <c r="C1504" s="3" t="str">
        <f>IFERROR(__xludf.DUMMYFUNCTION("GOOGLETRANSLATE(B1504,""id"",""en"")"),"['network', 'Telkomsel', 'stable', 'open', 'Instagram', 'picture', 'go', 'please', 'action', 'continue', 'pelpa', 'card', ' Telkomsel ',' SMK ']")</f>
        <v>['network', 'Telkomsel', 'stable', 'open', 'Instagram', 'picture', 'go', 'please', 'action', 'continue', 'pelpa', 'card', ' Telkomsel ',' SMK ']</v>
      </c>
      <c r="D1504" s="3">
        <v>4.0</v>
      </c>
    </row>
    <row r="1505" ht="15.75" customHeight="1">
      <c r="A1505" s="1">
        <v>1503.0</v>
      </c>
      <c r="B1505" s="3" t="s">
        <v>1506</v>
      </c>
      <c r="C1505" s="3" t="str">
        <f>IFERROR(__xludf.DUMMYFUNCTION("GOOGLETRANSLATE(B1505,""id"",""en"")"),"['buy', 'pulse', 'credit', 'in', 'reduced', 'contents',' reset ',' pulse ',' leftover ',' pulse ',' nakya ',' increase ',' lost', '']")</f>
        <v>['buy', 'pulse', 'credit', 'in', 'reduced', 'contents',' reset ',' pulse ',' leftover ',' pulse ',' nakya ',' increase ',' lost', '']</v>
      </c>
      <c r="D1505" s="3">
        <v>1.0</v>
      </c>
    </row>
    <row r="1506" ht="15.75" customHeight="1">
      <c r="A1506" s="1">
        <v>1504.0</v>
      </c>
      <c r="B1506" s="3" t="s">
        <v>1507</v>
      </c>
      <c r="C1506" s="3" t="str">
        <f>IFERROR(__xludf.DUMMYFUNCTION("GOOGLETRANSLATE(B1506,""id"",""en"")"),"['Fraudster', 'thief', 'liar', 'expensive', 'like', 'lost', 'leftover', 'pulse', 'yesterday', 'balance', 'simsalabim', 'disappear', ' shame ',' Telkomsel ',' send ',' message ',' promo ',' think ',' provider ',' sun ',' please ',' take ',' garbage ',' car"&amp;"d ',' sympathy ' ]")</f>
        <v>['Fraudster', 'thief', 'liar', 'expensive', 'like', 'lost', 'leftover', 'pulse', 'yesterday', 'balance', 'simsalabim', 'disappear', ' shame ',' Telkomsel ',' send ',' message ',' promo ',' think ',' provider ',' sun ',' please ',' take ',' garbage ',' card ',' sympathy ' ]</v>
      </c>
      <c r="D1506" s="3">
        <v>1.0</v>
      </c>
    </row>
    <row r="1507" ht="15.75" customHeight="1">
      <c r="A1507" s="1">
        <v>1505.0</v>
      </c>
      <c r="B1507" s="3" t="s">
        <v>1508</v>
      </c>
      <c r="C1507" s="3" t="str">
        <f>IFERROR(__xludf.DUMMYFUNCTION("GOOGLETRANSLATE(B1507,""id"",""en"")"),"['steady', 'function', 'buy', 'speed', 'internet', 'card', 'Telkomsel', 'front', 'thank you']")</f>
        <v>['steady', 'function', 'buy', 'speed', 'internet', 'card', 'Telkomsel', 'front', 'thank you']</v>
      </c>
      <c r="D1507" s="3">
        <v>4.0</v>
      </c>
    </row>
    <row r="1508" ht="15.75" customHeight="1">
      <c r="A1508" s="1">
        <v>1506.0</v>
      </c>
      <c r="B1508" s="3" t="s">
        <v>1509</v>
      </c>
      <c r="C1508" s="3" t="str">
        <f>IFERROR(__xludf.DUMMYFUNCTION("GOOGLETRANSLATE(B1508,""id"",""en"")"),"['update', 'weve', 'already', 'application', 'Telkomsel', 'mean', 'what', 'understand', 'direction', 'type', 'nmor', 'cellphone', ' already ',' type ',' failed ',' buy ',' pulse ',' money ',' results', 'sweat', 'boss',' person ',' disappointed ',' please "&amp;"',' fix ' , 'application', '']")</f>
        <v>['update', 'weve', 'already', 'application', 'Telkomsel', 'mean', 'what', 'understand', 'direction', 'type', 'nmor', 'cellphone', ' already ',' type ',' failed ',' buy ',' pulse ',' money ',' results', 'sweat', 'boss',' person ',' disappointed ',' please ',' fix ' , 'application', '']</v>
      </c>
      <c r="D1508" s="3">
        <v>2.0</v>
      </c>
    </row>
    <row r="1509" ht="15.75" customHeight="1">
      <c r="A1509" s="1">
        <v>1507.0</v>
      </c>
      <c r="B1509" s="3" t="s">
        <v>1510</v>
      </c>
      <c r="C1509" s="3" t="str">
        <f>IFERROR(__xludf.DUMMYFUNCTION("GOOGLETRANSLATE(B1509,""id"",""en"")"),"['Telkomsel', 'a month', 'signal', 'buy', 'quota', 'application', 'Telkomsel', 'GB', 'used', 'signal']")</f>
        <v>['Telkomsel', 'a month', 'signal', 'buy', 'quota', 'application', 'Telkomsel', 'GB', 'used', 'signal']</v>
      </c>
      <c r="D1509" s="3">
        <v>1.0</v>
      </c>
    </row>
    <row r="1510" ht="15.75" customHeight="1">
      <c r="A1510" s="1">
        <v>1508.0</v>
      </c>
      <c r="B1510" s="3" t="s">
        <v>1511</v>
      </c>
      <c r="C1510" s="3" t="str">
        <f>IFERROR(__xludf.DUMMYFUNCTION("GOOGLETRANSLATE(B1510,""id"",""en"")"),"['admin', 'Please', 'Network', 'Telkomsel', 'Disast', 'UDH', 'Card', 'Telkomsel', 'Especially', 'Ank', 'School', 'Network', ' slow ',' times', 'suggestion', 'please', 'network', 'Increase', 'Please', 'Time', 'Telkom', 'Please', 'Increase', 'Network', 'Tha"&amp;"nk you' , '']")</f>
        <v>['admin', 'Please', 'Network', 'Telkomsel', 'Disast', 'UDH', 'Card', 'Telkomsel', 'Especially', 'Ank', 'School', 'Network', ' slow ',' times', 'suggestion', 'please', 'network', 'Increase', 'Please', 'Time', 'Telkom', 'Please', 'Increase', 'Network', 'Thank you' , '']</v>
      </c>
      <c r="D1510" s="3">
        <v>5.0</v>
      </c>
    </row>
    <row r="1511" ht="15.75" customHeight="1">
      <c r="A1511" s="1">
        <v>1509.0</v>
      </c>
      <c r="B1511" s="3" t="s">
        <v>1512</v>
      </c>
      <c r="C1511" s="3" t="str">
        <f>IFERROR(__xludf.DUMMYFUNCTION("GOOGLETRANSLATE(B1511,""id"",""en"")"),"['pulse', 'thousand', 'contents',' quota ',' price ',' pulse ',' thousand ',' notif ',' pulse ',' sufficient ',' Telkomsel ',' please ',' Opty ']")</f>
        <v>['pulse', 'thousand', 'contents',' quota ',' price ',' pulse ',' thousand ',' notif ',' pulse ',' sufficient ',' Telkomsel ',' please ',' Opty ']</v>
      </c>
      <c r="D1511" s="3">
        <v>1.0</v>
      </c>
    </row>
    <row r="1512" ht="15.75" customHeight="1">
      <c r="A1512" s="1">
        <v>1510.0</v>
      </c>
      <c r="B1512" s="3" t="s">
        <v>1513</v>
      </c>
      <c r="C1512" s="3" t="str">
        <f>IFERROR(__xludf.DUMMYFUNCTION("GOOGLETRANSLATE(B1512,""id"",""en"")"),"['Buy', 'Paketan', 'Unlimited', 'YouTube', 'Fraud', 'Lakuin', 'Provider', 'Gede', 'Kirain', 'Gada', 'Fraud', 'Raying', ' Selebrate ',' Telkomsel ']")</f>
        <v>['Buy', 'Paketan', 'Unlimited', 'YouTube', 'Fraud', 'Lakuin', 'Provider', 'Gede', 'Kirain', 'Gada', 'Fraud', 'Raying', ' Selebrate ',' Telkomsel ']</v>
      </c>
      <c r="D1512" s="3">
        <v>1.0</v>
      </c>
    </row>
    <row r="1513" ht="15.75" customHeight="1">
      <c r="A1513" s="1">
        <v>1511.0</v>
      </c>
      <c r="B1513" s="3" t="s">
        <v>1514</v>
      </c>
      <c r="C1513" s="3" t="str">
        <f>IFERROR(__xludf.DUMMYFUNCTION("GOOGLETRANSLATE(B1513,""id"",""en"")"),"['signal', 'okay', 'good', 'ngegame', 'ngellag', 'mulu', 'quota', 'expensive', 'kek', 'gini', 'satisfied', 'customer', ' Benerin ',' min ',' expensive ',' price ',' Hadehh ',' Hopefully ',' fast ',' respond ',' fix ']")</f>
        <v>['signal', 'okay', 'good', 'ngegame', 'ngellag', 'mulu', 'quota', 'expensive', 'kek', 'gini', 'satisfied', 'customer', ' Benerin ',' min ',' expensive ',' price ',' Hadehh ',' Hopefully ',' fast ',' respond ',' fix ']</v>
      </c>
      <c r="D1513" s="3">
        <v>1.0</v>
      </c>
    </row>
    <row r="1514" ht="15.75" customHeight="1">
      <c r="A1514" s="1">
        <v>1512.0</v>
      </c>
      <c r="B1514" s="3" t="s">
        <v>1515</v>
      </c>
      <c r="C1514" s="3" t="str">
        <f>IFERROR(__xludf.DUMMYFUNCTION("GOOGLETRANSLATE(B1514,""id"",""en"")"),"['Telkomsel', 'bad', 'intentionally', 'replace', 'Telkomsel', 'teacher', 'subsidies', 'quota', 'foundation', 'moved', 'Telkomsel', 'yes' Change ',' already ',' run out ',' active ',' a week ',' maximum ',' used ',' teacher ',' card ',' Indosat ',' toloooo"&amp;"ooooooong ',' ']")</f>
        <v>['Telkomsel', 'bad', 'intentionally', 'replace', 'Telkomsel', 'teacher', 'subsidies', 'quota', 'foundation', 'moved', 'Telkomsel', 'yes' Change ',' already ',' run out ',' active ',' a week ',' maximum ',' used ',' teacher ',' card ',' Indosat ',' tolooooooooooong ',' ']</v>
      </c>
      <c r="D1514" s="3">
        <v>1.0</v>
      </c>
    </row>
    <row r="1515" ht="15.75" customHeight="1">
      <c r="A1515" s="1">
        <v>1513.0</v>
      </c>
      <c r="B1515" s="3" t="s">
        <v>1516</v>
      </c>
      <c r="C1515" s="3" t="str">
        <f>IFERROR(__xludf.DUMMYFUNCTION("GOOGLETRANSLATE(B1515,""id"",""en"")"),"['repeat', 'times', 'update', 'slow', 'ngak', 'reduced', 'application', 'kah', '']")</f>
        <v>['repeat', 'times', 'update', 'slow', 'ngak', 'reduced', 'application', 'kah', '']</v>
      </c>
      <c r="D1515" s="3">
        <v>1.0</v>
      </c>
    </row>
    <row r="1516" ht="15.75" customHeight="1">
      <c r="A1516" s="1">
        <v>1514.0</v>
      </c>
      <c r="B1516" s="3" t="s">
        <v>1517</v>
      </c>
      <c r="C1516" s="3" t="str">
        <f>IFERROR(__xludf.DUMMYFUNCTION("GOOGLETRANSLATE(B1516,""id"",""en"")"),"['signal', 'deterioration', 'open', 'app', 'Telkomsel', 'update', 'updated', 'request', 'update', 'sorry', 'turn', 'provider', ' Hopefully ',' in the future ',' quality ',' ']")</f>
        <v>['signal', 'deterioration', 'open', 'app', 'Telkomsel', 'update', 'updated', 'request', 'update', 'sorry', 'turn', 'provider', ' Hopefully ',' in the future ',' quality ',' ']</v>
      </c>
      <c r="D1516" s="3">
        <v>2.0</v>
      </c>
    </row>
    <row r="1517" ht="15.75" customHeight="1">
      <c r="A1517" s="1">
        <v>1515.0</v>
      </c>
      <c r="B1517" s="3" t="s">
        <v>1518</v>
      </c>
      <c r="C1517" s="3" t="str">
        <f>IFERROR(__xludf.DUMMYFUNCTION("GOOGLETRANSLATE(B1517,""id"",""en"")"),"['Telkomsel', 'Provider', 'The widest', 'Sekasan', 'Extraord', 'Power', 'Browse', 'Down', 'Field', 'Cobain', 'Signal', 'Where', ' Strong ',' strong ',' improve ',' addin ',' pole ',' pole ',' ad ',' doang ',' dihaih ',' good ',' price ',' doang ',' DISHAH"&amp;" ' , 'Mahalin', 'loyal', 'Telkomsel', 'Taun', 'easy', 'improvement', '']")</f>
        <v>['Telkomsel', 'Provider', 'The widest', 'Sekasan', 'Extraord', 'Power', 'Browse', 'Down', 'Field', 'Cobain', 'Signal', 'Where', ' Strong ',' strong ',' improve ',' addin ',' pole ',' pole ',' ad ',' doang ',' dihaih ',' good ',' price ',' doang ',' DISHAH ' , 'Mahalin', 'loyal', 'Telkomsel', 'Taun', 'easy', 'improvement', '']</v>
      </c>
      <c r="D1517" s="3">
        <v>1.0</v>
      </c>
    </row>
    <row r="1518" ht="15.75" customHeight="1">
      <c r="A1518" s="1">
        <v>1516.0</v>
      </c>
      <c r="B1518" s="3" t="s">
        <v>1519</v>
      </c>
      <c r="C1518" s="3" t="str">
        <f>IFERROR(__xludf.DUMMYFUNCTION("GOOGLETRANSLATE(B1518,""id"",""en"")"),"['Network', 'Internet', 'stable', 'disappointing', 'Please', 'improvement', 'network', 'accelerated', 'in the area', 'kab', 'deli', 'serdang', ' Kec ',' Sharge ',' Silver ',' Thank you ']")</f>
        <v>['Network', 'Internet', 'stable', 'disappointing', 'Please', 'improvement', 'network', 'accelerated', 'in the area', 'kab', 'deli', 'serdang', ' Kec ',' Sharge ',' Silver ',' Thank you ']</v>
      </c>
      <c r="D1518" s="3">
        <v>2.0</v>
      </c>
    </row>
    <row r="1519" ht="15.75" customHeight="1">
      <c r="A1519" s="1">
        <v>1517.0</v>
      </c>
      <c r="B1519" s="3" t="s">
        <v>1520</v>
      </c>
      <c r="C1519" s="3" t="str">
        <f>IFERROR(__xludf.DUMMYFUNCTION("GOOGLETRANSLATE(B1519,""id"",""en"")"),"['Network', 'Telkomsel', 'ugly', 'village', 'Not bad', 'smooth', 'road', 'please', 'fix', 'package', 'data', 'expensive', ' counter ',' expensive ',' network ',' bad ',' please ']")</f>
        <v>['Network', 'Telkomsel', 'ugly', 'village', 'Not bad', 'smooth', 'road', 'please', 'fix', 'package', 'data', 'expensive', ' counter ',' expensive ',' network ',' bad ',' please ']</v>
      </c>
      <c r="D1519" s="3">
        <v>2.0</v>
      </c>
    </row>
    <row r="1520" ht="15.75" customHeight="1">
      <c r="A1520" s="1">
        <v>1518.0</v>
      </c>
      <c r="B1520" s="3" t="s">
        <v>1521</v>
      </c>
      <c r="C1520" s="3" t="str">
        <f>IFERROR(__xludf.DUMMYFUNCTION("GOOGLETRANSLATE(B1520,""id"",""en"")"),"['APK', 'HBS', 'Pribarui', 'Good', 'Mlah', 'blank', 'White', 'then', 'JYGA', 'PAS', 'MAKE', 'APK', ' Login ',' then ',' Krna ',' Exp ',' Login ',' Naon ',' Tah ',' APK ',' Heh ',' signal ',' LEG ',' Weh ',' Benerin ' , 'Min', 'Anyway', ""]")</f>
        <v>['APK', 'HBS', 'Pribarui', 'Good', 'Mlah', 'blank', 'White', 'then', 'JYGA', 'PAS', 'MAKE', 'APK', ' Login ',' then ',' Krna ',' Exp ',' Login ',' Naon ',' Tah ',' APK ',' Heh ',' signal ',' LEG ',' Weh ',' Benerin ' , 'Min', 'Anyway', "]</v>
      </c>
      <c r="D1520" s="3">
        <v>1.0</v>
      </c>
    </row>
    <row r="1521" ht="15.75" customHeight="1">
      <c r="A1521" s="1">
        <v>1519.0</v>
      </c>
      <c r="B1521" s="3" t="s">
        <v>1522</v>
      </c>
      <c r="C1521" s="3" t="str">
        <f>IFERROR(__xludf.DUMMYFUNCTION("GOOGLETRANSLATE(B1521,""id"",""en"")"),"['Signal', 'Sukodono', 'Sidoarjo', 'Java', 'East', 'combo', 'Sakti', 'taste', 'his magic', 'gini', 'no', 'signal', ' Terms', 'Telkomsel', '']")</f>
        <v>['Signal', 'Sukodono', 'Sidoarjo', 'Java', 'East', 'combo', 'Sakti', 'taste', 'his magic', 'gini', 'no', 'signal', ' Terms', 'Telkomsel', '']</v>
      </c>
      <c r="D1521" s="3">
        <v>1.0</v>
      </c>
    </row>
    <row r="1522" ht="15.75" customHeight="1">
      <c r="A1522" s="1">
        <v>1520.0</v>
      </c>
      <c r="B1522" s="3" t="s">
        <v>1523</v>
      </c>
      <c r="C1522" s="3" t="str">
        <f>IFERROR(__xludf.DUMMYFUNCTION("GOOGLETRANSLATE(B1522,""id"",""en"")"),"['Credit', 'Take', 'Contents', 'She', 'Abis', 'Subscribe', 'Please', 'Repaired', 'Fill', 'Credit', 'Trus', 'Abis']")</f>
        <v>['Credit', 'Take', 'Contents', 'She', 'Abis', 'Subscribe', 'Please', 'Repaired', 'Fill', 'Credit', 'Trus', 'Abis']</v>
      </c>
      <c r="D1522" s="3">
        <v>3.0</v>
      </c>
    </row>
    <row r="1523" ht="15.75" customHeight="1">
      <c r="A1523" s="1">
        <v>1521.0</v>
      </c>
      <c r="B1523" s="3" t="s">
        <v>1524</v>
      </c>
      <c r="C1523" s="3" t="str">
        <f>IFERROR(__xludf.DUMMYFUNCTION("GOOGLETRANSLATE(B1523,""id"",""en"")"),"['Bright', 'Telkomsel', 'The network', 'slow', 'expensive', 'network', 'broke', 'Connect', 'please', 'Telkomsel', 'consistent', 'the network', ' Use ',' Telkomsel ',' Network ',' Strong ',' Jakarta ',' PPKM ',' Network ',' PPKM ', ""]")</f>
        <v>['Bright', 'Telkomsel', 'The network', 'slow', 'expensive', 'network', 'broke', 'Connect', 'please', 'Telkomsel', 'consistent', 'the network', ' Use ',' Telkomsel ',' Network ',' Strong ',' Jakarta ',' PPKM ',' Network ',' PPKM ', "]</v>
      </c>
      <c r="D1523" s="3">
        <v>1.0</v>
      </c>
    </row>
    <row r="1524" ht="15.75" customHeight="1">
      <c r="A1524" s="1">
        <v>1522.0</v>
      </c>
      <c r="B1524" s="3" t="s">
        <v>1525</v>
      </c>
      <c r="C1524" s="3" t="str">
        <f>IFERROR(__xludf.DUMMYFUNCTION("GOOGLETRANSLATE(B1524,""id"",""en"")"),"['Telkomsel', 'buy', 'package', 'data', 'expensive', 'expensive', 'signal', 'zonk', 'slow', 'really', 'swear', 'please', ' Fix ',' signal ',' Telkomsel ',' already ',' buy ',' expensive ',' expensive ',' disappointing ',' signal ',' tekomsell ',' already "&amp;"',' no ',' Andel ' , 'Masalh', 'signal', 'expensive', 'Doang', 'TPI', 'Sinyall', 'LEG', 'KEK', 'Snail']")</f>
        <v>['Telkomsel', 'buy', 'package', 'data', 'expensive', 'expensive', 'signal', 'zonk', 'slow', 'really', 'swear', 'please', ' Fix ',' signal ',' Telkomsel ',' already ',' buy ',' expensive ',' expensive ',' disappointing ',' signal ',' tekomsell ',' already ',' no ',' Andel ' , 'Masalh', 'signal', 'expensive', 'Doang', 'TPI', 'Sinyall', 'LEG', 'KEK', 'Snail']</v>
      </c>
      <c r="D1524" s="3">
        <v>1.0</v>
      </c>
    </row>
    <row r="1525" ht="15.75" customHeight="1">
      <c r="A1525" s="1">
        <v>1523.0</v>
      </c>
      <c r="B1525" s="3" t="s">
        <v>1526</v>
      </c>
      <c r="C1525" s="3" t="str">
        <f>IFERROR(__xludf.DUMMYFUNCTION("GOOGLETRANSLATE(B1525,""id"",""en"")"),"['', 'Bener', 'aje', 'already', 'sucked', 'pulses',' kayak ',' vampire ',' kaga ',' eat ',' century ',' claim ',' internet ',' DREFUD ',' Point ',' Telkomsel ',' Doang ',' I ',' Forgot ',' Masang ',' Paketan ',' Internet ',' fast ',' really ',' sucked ', "&amp;"'Credit', 'connection', 'really', 'Jatoh', 'right', 'download', 'severe', 'gopay', 'already', 'truncated', 'package', 'internet', 'entered ']")</f>
        <v>['', 'Bener', 'aje', 'already', 'sucked', 'pulses',' kayak ',' vampire ',' kaga ',' eat ',' century ',' claim ',' internet ',' DREFUD ',' Point ',' Telkomsel ',' Doang ',' I ',' Forgot ',' Masang ',' Paketan ',' Internet ',' fast ',' really ',' sucked ', 'Credit', 'connection', 'really', 'Jatoh', 'right', 'download', 'severe', 'gopay', 'already', 'truncated', 'package', 'internet', 'entered ']</v>
      </c>
      <c r="D1525" s="3">
        <v>1.0</v>
      </c>
    </row>
    <row r="1526" ht="15.75" customHeight="1">
      <c r="A1526" s="1">
        <v>1524.0</v>
      </c>
      <c r="B1526" s="3" t="s">
        <v>1527</v>
      </c>
      <c r="C1526" s="3" t="str">
        <f>IFERROR(__xludf.DUMMYFUNCTION("GOOGLETRANSLATE(B1526,""id"",""en"")"),"['Purchase', 'Package', 'Data', 'Application', 'Constraints', 'Connection', 'Disconnected', 'Ngelag', 'Responsive', 'Repeat', 'Times']")</f>
        <v>['Purchase', 'Package', 'Data', 'Application', 'Constraints', 'Connection', 'Disconnected', 'Ngelag', 'Responsive', 'Repeat', 'Times']</v>
      </c>
      <c r="D1526" s="3">
        <v>2.0</v>
      </c>
    </row>
    <row r="1527" ht="15.75" customHeight="1">
      <c r="A1527" s="1">
        <v>1525.0</v>
      </c>
      <c r="B1527" s="3" t="s">
        <v>1528</v>
      </c>
      <c r="C1527" s="3" t="str">
        <f>IFERROR(__xludf.DUMMYFUNCTION("GOOGLETRANSLATE(B1527,""id"",""en"")"),"['', 'Buy', 'Package', 'Unlimited', 'Sosmed', 'YouTube', 'Game', 'Knp', 'Terakes',' just ',' GB ',' Unlimited ',' no ',' Yesterday ',' buy ',' free ',' unlimited ',' please ',' lahhh ',' Telkomsel ',' expensive ',' bei ',' thousand ',' can ',' just ',' ju"&amp;"st ', 'GB', 'menu', 'quota', 'written', 'unlimited', 'disappointed', 'bangetttttt', 'Telkomsel']")</f>
        <v>['', 'Buy', 'Package', 'Unlimited', 'Sosmed', 'YouTube', 'Game', 'Knp', 'Terakes',' just ',' GB ',' Unlimited ',' no ',' Yesterday ',' buy ',' free ',' unlimited ',' please ',' lahhh ',' Telkomsel ',' expensive ',' bei ',' thousand ',' can ',' just ',' just ', 'GB', 'menu', 'quota', 'written', 'unlimited', 'disappointed', 'bangetttttt', 'Telkomsel']</v>
      </c>
      <c r="D1527" s="3">
        <v>5.0</v>
      </c>
    </row>
    <row r="1528" ht="15.75" customHeight="1">
      <c r="A1528" s="1">
        <v>1526.0</v>
      </c>
      <c r="B1528" s="3" t="s">
        <v>1529</v>
      </c>
      <c r="C1528" s="3" t="str">
        <f>IFERROR(__xludf.DUMMYFUNCTION("GOOGLETRANSLATE(B1528,""id"",""en"")"),"['Complain', 'Network', 'Internet', 'Stay', 'Islands',' Not bad ',' Extensive ',' Tower ',' Telkomsel ',' Network ',' Stable ',' Lost ',' update ',' application ',' Need ',' Minute ', ""]")</f>
        <v>['Complain', 'Network', 'Internet', 'Stay', 'Islands',' Not bad ',' Extensive ',' Tower ',' Telkomsel ',' Network ',' Stable ',' Lost ',' update ',' application ',' Need ',' Minute ', "]</v>
      </c>
      <c r="D1528" s="3">
        <v>2.0</v>
      </c>
    </row>
    <row r="1529" ht="15.75" customHeight="1">
      <c r="A1529" s="1">
        <v>1527.0</v>
      </c>
      <c r="B1529" s="3" t="s">
        <v>1530</v>
      </c>
      <c r="C1529" s="3" t="str">
        <f>IFERROR(__xludf.DUMMYFUNCTION("GOOGLETRANSLATE(B1529,""id"",""en"")"),"['Please', 'buy', 'package', 'signal', 'bad', 'use', 'sign', 'please', 'fix', '']")</f>
        <v>['Please', 'buy', 'package', 'signal', 'bad', 'use', 'sign', 'please', 'fix', '']</v>
      </c>
      <c r="D1529" s="3">
        <v>2.0</v>
      </c>
    </row>
    <row r="1530" ht="15.75" customHeight="1">
      <c r="A1530" s="1">
        <v>1528.0</v>
      </c>
      <c r="B1530" s="3" t="s">
        <v>1531</v>
      </c>
      <c r="C1530" s="3" t="str">
        <f>IFERROR(__xludf.DUMMYFUNCTION("GOOGLETRANSLATE(B1530,""id"",""en"")"),"['disappointing', 'aspect', 'anything', 'comment', 'replied', 'replied', 'template', 'plate', 'red', 'Ambyar', '']")</f>
        <v>['disappointing', 'aspect', 'anything', 'comment', 'replied', 'replied', 'template', 'plate', 'red', 'Ambyar', '']</v>
      </c>
      <c r="D1530" s="3">
        <v>1.0</v>
      </c>
    </row>
    <row r="1531" ht="15.75" customHeight="1">
      <c r="A1531" s="1">
        <v>1529.0</v>
      </c>
      <c r="B1531" s="3" t="s">
        <v>1532</v>
      </c>
      <c r="C1531" s="3" t="str">
        <f>IFERROR(__xludf.DUMMYFUNCTION("GOOGLETRANSLATE(B1531,""id"",""en"")"),"['YTH', 'Telkomsel', 'Pliss',' Mentang ',' Telkomsel ',' users', 'reward', 'rules',' as you're ',' Pliss', 'Daily', 'check', ' Prizes', 'main', 'quota', 'GB', 'Save', 'Sometimes',' Sllu ',' Check ',' A Day ',' Too ',' Already ',' Prizes', 'CMN' , 'my area"&amp;"', 'already', 'moved', 'network', 'stay', 'thinking', 'hope', 'developer', 'read', 'thank you', ""]")</f>
        <v>['YTH', 'Telkomsel', 'Pliss',' Mentang ',' Telkomsel ',' users', 'reward', 'rules',' as you're ',' Pliss', 'Daily', 'check', ' Prizes', 'main', 'quota', 'GB', 'Save', 'Sometimes',' Sllu ',' Check ',' A Day ',' Too ',' Already ',' Prizes', 'CMN' , 'my area', 'already', 'moved', 'network', 'stay', 'thinking', 'hope', 'developer', 'read', 'thank you', "]</v>
      </c>
      <c r="D1531" s="3">
        <v>3.0</v>
      </c>
    </row>
    <row r="1532" ht="15.75" customHeight="1">
      <c r="A1532" s="1">
        <v>1530.0</v>
      </c>
      <c r="B1532" s="3" t="s">
        <v>1533</v>
      </c>
      <c r="C1532" s="3" t="str">
        <f>IFERROR(__xludf.DUMMYFUNCTION("GOOGLETRANSLATE(B1532,""id"",""en"")"),"['quota', 'nya', 'paalinggg', 'mahaal', 'add', 'expensive', 'no', 'below', 'students',' waste ',' really ',' dipake ',' Sekola ',' online ',' Sis', 'Please', 'Sis',' Price ',' Quota ',' Nya ',' Collapin ',' a little ',' Pandemic ',' Kek ',' Gini ' , 'Diff"&amp;"icult', 'Search', 'Money', '']")</f>
        <v>['quota', 'nya', 'paalinggg', 'mahaal', 'add', 'expensive', 'no', 'below', 'students',' waste ',' really ',' dipake ',' Sekola ',' online ',' Sis', 'Please', 'Sis',' Price ',' Quota ',' Nya ',' Collapin ',' a little ',' Pandemic ',' Kek ',' Gini ' , 'Difficult', 'Search', 'Money', '']</v>
      </c>
      <c r="D1532" s="3">
        <v>1.0</v>
      </c>
    </row>
    <row r="1533" ht="15.75" customHeight="1">
      <c r="A1533" s="1">
        <v>1531.0</v>
      </c>
      <c r="B1533" s="3" t="s">
        <v>1534</v>
      </c>
      <c r="C1533" s="3" t="str">
        <f>IFERROR(__xludf.DUMMYFUNCTION("GOOGLETRANSLATE(B1533,""id"",""en"")"),"['Please', 'Sorry', 'buy', 'quota', 'application', 'Telkomsel', 'quota', 'missing', 'entry', 'obstacle', 'bug', 'transaction', ' fund', '']")</f>
        <v>['Please', 'Sorry', 'buy', 'quota', 'application', 'Telkomsel', 'quota', 'missing', 'entry', 'obstacle', 'bug', 'transaction', ' fund', '']</v>
      </c>
      <c r="D1533" s="3">
        <v>2.0</v>
      </c>
    </row>
    <row r="1534" ht="15.75" customHeight="1">
      <c r="A1534" s="1">
        <v>1532.0</v>
      </c>
      <c r="B1534" s="3" t="s">
        <v>1535</v>
      </c>
      <c r="C1534" s="3" t="str">
        <f>IFERROR(__xludf.DUMMYFUNCTION("GOOGLETRANSLATE(B1534,""id"",""en"")"),"['Please', 'fix', 'paketan', 'chat', 'music', 'sosmed', 'game', 'package', 'use', 'quota', 'main', 'run out', ' That is all and thank you', '']")</f>
        <v>['Please', 'fix', 'paketan', 'chat', 'music', 'sosmed', 'game', 'package', 'use', 'quota', 'main', 'run out', ' That is all and thank you', '']</v>
      </c>
      <c r="D1534" s="3">
        <v>1.0</v>
      </c>
    </row>
    <row r="1535" ht="15.75" customHeight="1">
      <c r="A1535" s="1">
        <v>1533.0</v>
      </c>
      <c r="B1535" s="3" t="s">
        <v>1536</v>
      </c>
      <c r="C1535" s="3" t="str">
        <f>IFERROR(__xludf.DUMMYFUNCTION("GOOGLETRANSLATE(B1535,""id"",""en"")"),"['pulse', 'sucked', 'melk', 'use', 'pulse', 'internet', 'internet', 'thank', '']")</f>
        <v>['pulse', 'sucked', 'melk', 'use', 'pulse', 'internet', 'internet', 'thank', '']</v>
      </c>
      <c r="D1535" s="3">
        <v>1.0</v>
      </c>
    </row>
    <row r="1536" ht="15.75" customHeight="1">
      <c r="A1536" s="1">
        <v>1534.0</v>
      </c>
      <c r="B1536" s="3" t="s">
        <v>1537</v>
      </c>
      <c r="C1536" s="3" t="str">
        <f>IFERROR(__xludf.DUMMYFUNCTION("GOOGLETRANSLATE(B1536,""id"",""en"")"),"['wasteful', 'really', 'package', 'Telkomsel', 'already', 'price', 'expensive', 'got', 'then', 'unlimited', 'Rbu', 'crazy', ' GTU ',' Times', 'Save', 'Matiin', 'Sosmed', 'Mainin', 'WhatsApp']")</f>
        <v>['wasteful', 'really', 'package', 'Telkomsel', 'already', 'price', 'expensive', 'got', 'then', 'unlimited', 'Rbu', 'crazy', ' GTU ',' Times', 'Save', 'Matiin', 'Sosmed', 'Mainin', 'WhatsApp']</v>
      </c>
      <c r="D1536" s="3">
        <v>3.0</v>
      </c>
    </row>
    <row r="1537" ht="15.75" customHeight="1">
      <c r="A1537" s="1">
        <v>1535.0</v>
      </c>
      <c r="B1537" s="3" t="s">
        <v>1538</v>
      </c>
      <c r="C1537" s="3" t="str">
        <f>IFERROR(__xludf.DUMMYFUNCTION("GOOGLETRANSLATE(B1537,""id"",""en"")"),"['Update', 'The application', 'heavy', 'opened', 'Sempet', 'Package', 'Published', 'Package', 'Internet', 'GB', 'Buy', 'Package', ' network ',' internet ',' bad ',' beg ',' repaired ',' thank ',' love ', ""]")</f>
        <v>['Update', 'The application', 'heavy', 'opened', 'Sempet', 'Package', 'Published', 'Package', 'Internet', 'GB', 'Buy', 'Package', ' network ',' internet ',' bad ',' beg ',' repaired ',' thank ',' love ', "]</v>
      </c>
      <c r="D1537" s="3">
        <v>2.0</v>
      </c>
    </row>
    <row r="1538" ht="15.75" customHeight="1">
      <c r="A1538" s="1">
        <v>1536.0</v>
      </c>
      <c r="B1538" s="3" t="s">
        <v>1539</v>
      </c>
      <c r="C1538" s="3" t="str">
        <f>IFERROR(__xludf.DUMMYFUNCTION("GOOGLETRANSLATE(B1538,""id"",""en"")"),"['Sorry', 'sefulum', 'quality', 'network', 'cellular', 'internet', 'Telkomsel', 'drastic', 'decreases',' satisfying ',' call ',' disorder ',' network ',' internet ',' slow ',' padal ',' cause ',' pause ',' modem ',' router ',' orbit ',' product ',' Telkom"&amp;"sel ',' facilitation ',' netting ' , 'slow', 'POSSI', 'TMPAT', 'STAY', 'SUTET', 'Tower', 'PLACE', 'Jaringn', 'Special', 'Tlkksl', 'Kalimantan', 'des',' taringen ']")</f>
        <v>['Sorry', 'sefulum', 'quality', 'network', 'cellular', 'internet', 'Telkomsel', 'drastic', 'decreases',' satisfying ',' call ',' disorder ',' network ',' internet ',' slow ',' padal ',' cause ',' pause ',' modem ',' router ',' orbit ',' product ',' Telkomsel ',' facilitation ',' netting ' , 'slow', 'POSSI', 'TMPAT', 'STAY', 'SUTET', 'Tower', 'PLACE', 'Jaringn', 'Special', 'Tlkksl', 'Kalimantan', 'des',' taringen ']</v>
      </c>
      <c r="D1538" s="3">
        <v>1.0</v>
      </c>
    </row>
    <row r="1539" ht="15.75" customHeight="1">
      <c r="A1539" s="1">
        <v>1537.0</v>
      </c>
      <c r="B1539" s="3" t="s">
        <v>1540</v>
      </c>
      <c r="C1539" s="3" t="str">
        <f>IFERROR(__xludf.DUMMYFUNCTION("GOOGLETRANSLATE(B1539,""id"",""en"")"),"['please', 'justice', 'Telkomsel', 'user', 'loyal', 'card', 'purchase', 'package', 'reasonable', 'busy', 'thinking', 'expansion', ' Think ',' Loyalty ',' Be patient ',' Please ',' Attention ',' Hopefully ',' Company ',' Lead ',' Success', 'Jaya', ""]")</f>
        <v>['please', 'justice', 'Telkomsel', 'user', 'loyal', 'card', 'purchase', 'package', 'reasonable', 'busy', 'thinking', 'expansion', ' Think ',' Loyalty ',' Be patient ',' Please ',' Attention ',' Hopefully ',' Company ',' Lead ',' Success', 'Jaya', "]</v>
      </c>
      <c r="D1539" s="3">
        <v>1.0</v>
      </c>
    </row>
    <row r="1540" ht="15.75" customHeight="1">
      <c r="A1540" s="1">
        <v>1538.0</v>
      </c>
      <c r="B1540" s="3" t="s">
        <v>1541</v>
      </c>
      <c r="C1540" s="3" t="str">
        <f>IFERROR(__xludf.DUMMYFUNCTION("GOOGLETRANSLATE(B1540,""id"",""en"")"),"['connection', 'please', 'ktanya', 'provider', 'the greatest', 'down', 'connection', 'hayolah', 'get', 'customer', 'comfortable', '']")</f>
        <v>['connection', 'please', 'ktanya', 'provider', 'the greatest', 'down', 'connection', 'hayolah', 'get', 'customer', 'comfortable', '']</v>
      </c>
      <c r="D1540" s="3">
        <v>1.0</v>
      </c>
    </row>
    <row r="1541" ht="15.75" customHeight="1">
      <c r="A1541" s="1">
        <v>1539.0</v>
      </c>
      <c r="B1541" s="3" t="s">
        <v>1542</v>
      </c>
      <c r="C1541" s="3" t="str">
        <f>IFERROR(__xludf.DUMMYFUNCTION("GOOGLETRANSLATE(B1541,""id"",""en"")"),"['quota', 'expensive', 'network', 'down', 'how', 'ntar', 'video', 'ngeeleg', 'life', 'bet', 'dahlah', 'lazy', ' Make ',' Telkomsel ',' Mending ',' Make ',' cheap ',' then ',' ping ',' down ',' Nge ',' game ', ""]")</f>
        <v>['quota', 'expensive', 'network', 'down', 'how', 'ntar', 'video', 'ngeeleg', 'life', 'bet', 'dahlah', 'lazy', ' Make ',' Telkomsel ',' Mending ',' Make ',' cheap ',' then ',' ping ',' down ',' Nge ',' game ', "]</v>
      </c>
      <c r="D1541" s="3">
        <v>1.0</v>
      </c>
    </row>
    <row r="1542" ht="15.75" customHeight="1">
      <c r="A1542" s="1">
        <v>1540.0</v>
      </c>
      <c r="B1542" s="3" t="s">
        <v>1543</v>
      </c>
      <c r="C1542" s="3" t="str">
        <f>IFERROR(__xludf.DUMMYFUNCTION("GOOGLETRANSLATE(B1542,""id"",""en"")"),"['After', 'update', 'the latest', 'slow', 'already', 'confirm', 'package', 'bought', 'pulse', 'reduced', 'minute', 'enter', ' PenBagnist ',' payment ',' failed ',' right ',' reset ',' that's', ""]")</f>
        <v>['After', 'update', 'the latest', 'slow', 'already', 'confirm', 'package', 'bought', 'pulse', 'reduced', 'minute', 'enter', ' PenBagnist ',' payment ',' failed ',' right ',' reset ',' that's', "]</v>
      </c>
      <c r="D1542" s="3">
        <v>1.0</v>
      </c>
    </row>
    <row r="1543" ht="15.75" customHeight="1">
      <c r="A1543" s="1">
        <v>1541.0</v>
      </c>
      <c r="B1543" s="3" t="s">
        <v>1544</v>
      </c>
      <c r="C1543" s="3" t="str">
        <f>IFERROR(__xludf.DUMMYFUNCTION("GOOGLETRANSLATE(B1543,""id"",""en"")"),"['honest', 'Telkomsel', 'already', 'ugly', 'really', 'already', 'kayak', 'package', 'data', 'already', 'sorted', 'buy', ' package ',' GB ',' GB ',' Shame ',' already ',' warning ',' quota ',' left ',' MB ',' GMNA ', ""]")</f>
        <v>['honest', 'Telkomsel', 'already', 'ugly', 'really', 'already', 'kayak', 'package', 'data', 'already', 'sorted', 'buy', ' package ',' GB ',' GB ',' Shame ',' already ',' warning ',' quota ',' left ',' MB ',' GMNA ', "]</v>
      </c>
      <c r="D1543" s="3">
        <v>5.0</v>
      </c>
    </row>
    <row r="1544" ht="15.75" customHeight="1">
      <c r="A1544" s="1">
        <v>1542.0</v>
      </c>
      <c r="B1544" s="3" t="s">
        <v>1545</v>
      </c>
      <c r="C1544" s="3" t="str">
        <f>IFERROR(__xludf.DUMMYFUNCTION("GOOGLETRANSLATE(B1544,""id"",""en"")"),"['Credit', 'Cut', 'Use', 'Tel', 'Package', 'Data', 'Use', 'Operator', 'Network', 'Telkomsel', 'Bad', 'Lemot', ' Telkomsel ',' Looking ',' Lazy ',' Lazy ',' Fill ',' Credit ',' Telkomsel ',' Disappointing ',' ']")</f>
        <v>['Credit', 'Cut', 'Use', 'Tel', 'Package', 'Data', 'Use', 'Operator', 'Network', 'Telkomsel', 'Bad', 'Lemot', ' Telkomsel ',' Looking ',' Lazy ',' Lazy ',' Fill ',' Credit ',' Telkomsel ',' Disappointing ',' ']</v>
      </c>
      <c r="D1544" s="3">
        <v>2.0</v>
      </c>
    </row>
    <row r="1545" ht="15.75" customHeight="1">
      <c r="A1545" s="1">
        <v>1543.0</v>
      </c>
      <c r="B1545" s="3" t="s">
        <v>1546</v>
      </c>
      <c r="C1545" s="3" t="str">
        <f>IFERROR(__xludf.DUMMYFUNCTION("GOOGLETRANSLATE(B1545,""id"",""en"")"),"['Telkomsel', 'signal', 'Bener', 'slow', 'rates',' internet ',' abis', 'contents',' dipae ',' yutub ',' dipake ',' download ',' Bener ',' sucked ',' Telkomsel ',' go bankrupt ',' good ',' bye ',' Telkomsel ', ""]")</f>
        <v>['Telkomsel', 'signal', 'Bener', 'slow', 'rates',' internet ',' abis', 'contents',' dipae ',' yutub ',' dipake ',' download ',' Bener ',' sucked ',' Telkomsel ',' go bankrupt ',' good ',' bye ',' Telkomsel ', "]</v>
      </c>
      <c r="D1545" s="3">
        <v>1.0</v>
      </c>
    </row>
    <row r="1546" ht="15.75" customHeight="1">
      <c r="A1546" s="1">
        <v>1544.0</v>
      </c>
      <c r="B1546" s="3" t="s">
        <v>1547</v>
      </c>
      <c r="C1546" s="3" t="str">
        <f>IFERROR(__xludf.DUMMYFUNCTION("GOOGLETRANSLATE(B1546,""id"",""en"")"),"['bad', 'network', 'Telkomsel', 'compete', 'count', 'customers', 'satisfied', 'service', 'network', 'worst', 'Telkomsel', ""]")</f>
        <v>['bad', 'network', 'Telkomsel', 'compete', 'count', 'customers', 'satisfied', 'service', 'network', 'worst', 'Telkomsel', "]</v>
      </c>
      <c r="D1546" s="3">
        <v>1.0</v>
      </c>
    </row>
    <row r="1547" ht="15.75" customHeight="1">
      <c r="A1547" s="1">
        <v>1545.0</v>
      </c>
      <c r="B1547" s="3" t="s">
        <v>1548</v>
      </c>
      <c r="C1547" s="3" t="str">
        <f>IFERROR(__xludf.DUMMYFUNCTION("GOOGLETRANSLATE(B1547,""id"",""en"")"),"['buy', 'package', 'internet', 'bought', 'notification', 'subscribe', 'automatic', 'stop', 'Telkomsel', 'app', 'search', 'Telkomsel', ' App ',' menu ',' stop ',' subscribe ',' subscribe ',' ']")</f>
        <v>['buy', 'package', 'internet', 'bought', 'notification', 'subscribe', 'automatic', 'stop', 'Telkomsel', 'app', 'search', 'Telkomsel', ' App ',' menu ',' stop ',' subscribe ',' subscribe ',' ']</v>
      </c>
      <c r="D1547" s="3">
        <v>1.0</v>
      </c>
    </row>
    <row r="1548" ht="15.75" customHeight="1">
      <c r="A1548" s="1">
        <v>1546.0</v>
      </c>
      <c r="B1548" s="3" t="s">
        <v>1549</v>
      </c>
      <c r="C1548" s="3" t="str">
        <f>IFERROR(__xludf.DUMMYFUNCTION("GOOGLETRANSLATE(B1548,""id"",""en"")"),"['signal', 'full', 'stem', 'slow', 'user', 'wonder', 'please', 'repaired', 'Telkomsel', 'you', 'hope', 'people', ' Stay ',' rural ',' because 'range', 'signal', 'Telkomsel', 'broad', 'signal', 'used', 'covid', 'uda', 'troubling', 'plus' , 'Network', 'inte"&amp;"rnet', 'slow', 'please', 'repaired', '']")</f>
        <v>['signal', 'full', 'stem', 'slow', 'user', 'wonder', 'please', 'repaired', 'Telkomsel', 'you', 'hope', 'people', ' Stay ',' rural ',' because 'range', 'signal', 'Telkomsel', 'broad', 'signal', 'used', 'covid', 'uda', 'troubling', 'plus' , 'Network', 'internet', 'slow', 'please', 'repaired', '']</v>
      </c>
      <c r="D1548" s="3">
        <v>1.0</v>
      </c>
    </row>
    <row r="1549" ht="15.75" customHeight="1">
      <c r="A1549" s="1">
        <v>1547.0</v>
      </c>
      <c r="B1549" s="3" t="s">
        <v>1550</v>
      </c>
      <c r="C1549" s="3" t="str">
        <f>IFERROR(__xludf.DUMMYFUNCTION("GOOGLETRANSLATE(B1549,""id"",""en"")"),"['Please', 'update', 'application', 'open', 'update', 'customer', 'ber', 'over', 'service', 'oprator', 'make', 'land', ' business']")</f>
        <v>['Please', 'update', 'application', 'open', 'update', 'customer', 'ber', 'over', 'service', 'oprator', 'make', 'land', ' business']</v>
      </c>
      <c r="D1549" s="3">
        <v>1.0</v>
      </c>
    </row>
    <row r="1550" ht="15.75" customHeight="1">
      <c r="A1550" s="1">
        <v>1548.0</v>
      </c>
      <c r="B1550" s="3" t="s">
        <v>1551</v>
      </c>
      <c r="C1550" s="3" t="str">
        <f>IFERROR(__xludf.DUMMYFUNCTION("GOOGLETRANSLATE(B1550,""id"",""en"")"),"['down', 'star', 'sorry', 'how', 'internet', 'progress',' package ',' tens', 'giga', 'hanging out', 'coakes',' make ',' slow ',' boong ',' please ',' repaired ',' min ',' ']")</f>
        <v>['down', 'star', 'sorry', 'how', 'internet', 'progress',' package ',' tens', 'giga', 'hanging out', 'coakes',' make ',' slow ',' boong ',' please ',' repaired ',' min ',' ']</v>
      </c>
      <c r="D1550" s="3">
        <v>2.0</v>
      </c>
    </row>
    <row r="1551" ht="15.75" customHeight="1">
      <c r="A1551" s="1">
        <v>1549.0</v>
      </c>
      <c r="B1551" s="3" t="s">
        <v>1552</v>
      </c>
      <c r="C1551" s="3" t="str">
        <f>IFERROR(__xludf.DUMMYFUNCTION("GOOGLETRANSLATE(B1551,""id"",""en"")"),"['Telkomsel', 'quality', 'JDI', 'Nurun', 'Sunday', 'internet', 'MSI', 'smooth', 'Internet', 'WhatsApp', 'Jamread', 'Satisfied', ' Pakenya ',' ']")</f>
        <v>['Telkomsel', 'quality', 'JDI', 'Nurun', 'Sunday', 'internet', 'MSI', 'smooth', 'Internet', 'WhatsApp', 'Jamread', 'Satisfied', ' Pakenya ',' ']</v>
      </c>
      <c r="D1551" s="3">
        <v>1.0</v>
      </c>
    </row>
    <row r="1552" ht="15.75" customHeight="1">
      <c r="A1552" s="1">
        <v>1550.0</v>
      </c>
      <c r="B1552" s="3" t="s">
        <v>1553</v>
      </c>
      <c r="C1552" s="3" t="str">
        <f>IFERROR(__xludf.DUMMYFUNCTION("GOOGLETRANSLATE(B1552,""id"",""en"")"),"['Click', 'Link', 'activation', 'Redmi', 'Note', 'FAILURE', 'PAS', 'clicked', 'appears',' link ',' valid ',' expiration ',' Simcard ',' card ',' application ',' MyTelkomsel ',' cellphone ',' position ',' simcard ',' already ',' moved ',' SIM ',' already '"&amp;",' reset ',' Install ' , 'reset', 'restart', 'cellphone', 'move', 'cellphone', 'Samsung', 'Galaxy', 'Tab', 'Simcard', 'application', 'MyTelkomsel', 'fail', ' ']")</f>
        <v>['Click', 'Link', 'activation', 'Redmi', 'Note', 'FAILURE', 'PAS', 'clicked', 'appears',' link ',' valid ',' expiration ',' Simcard ',' card ',' application ',' MyTelkomsel ',' cellphone ',' position ',' simcard ',' already ',' moved ',' SIM ',' already ',' reset ',' Install ' , 'reset', 'restart', 'cellphone', 'move', 'cellphone', 'Samsung', 'Galaxy', 'Tab', 'Simcard', 'application', 'MyTelkomsel', 'fail', ' ']</v>
      </c>
      <c r="D1552" s="3">
        <v>2.0</v>
      </c>
    </row>
    <row r="1553" ht="15.75" customHeight="1">
      <c r="A1553" s="1">
        <v>1551.0</v>
      </c>
      <c r="B1553" s="3" t="s">
        <v>1554</v>
      </c>
      <c r="C1553" s="3" t="str">
        <f>IFERROR(__xludf.DUMMYFUNCTION("GOOGLETRANSLATE(B1553,""id"",""en"")"),"['application', 'update', 'connection', 'ugly', 'really', 'signal', 'full', 'ohh', 'you', 'Telkomsel', 'connection', 'application', ' ']")</f>
        <v>['application', 'update', 'connection', 'ugly', 'really', 'signal', 'full', 'ohh', 'you', 'Telkomsel', 'connection', 'application', ' ']</v>
      </c>
      <c r="D1553" s="3">
        <v>1.0</v>
      </c>
    </row>
    <row r="1554" ht="15.75" customHeight="1">
      <c r="A1554" s="1">
        <v>1552.0</v>
      </c>
      <c r="B1554" s="3" t="s">
        <v>1555</v>
      </c>
      <c r="C1554" s="3" t="str">
        <f>IFERROR(__xludf.DUMMYFUNCTION("GOOGLETRANSLATE(B1554,""id"",""en"")"),"['YTH', 'Telkomsel', 'at the table', 'task', 'rampant', 'fraud', 'Make', 'Name', 'Lottery', 'Telkomsel', 'Hoping', 'Informs',' Customers', 'Telkomsel', 'Moment', 'Telkomsel', 'Lottery', 'Gifts',' Direct ',' Customers', 'Restless',' SMS ',' Via ',' Email '"&amp;",' pretext ' , 'Lottery', 'Prizes',' Hope ',' Telkomsel ',' Periodic ',' Informed ',' Customer ',' Via ',' SMS ',' Application ',' Via ',' Email ',' thank you']")</f>
        <v>['YTH', 'Telkomsel', 'at the table', 'task', 'rampant', 'fraud', 'Make', 'Name', 'Lottery', 'Telkomsel', 'Hoping', 'Informs',' Customers', 'Telkomsel', 'Moment', 'Telkomsel', 'Lottery', 'Gifts',' Direct ',' Customers', 'Restless',' SMS ',' Via ',' Email ',' pretext ' , 'Lottery', 'Prizes',' Hope ',' Telkomsel ',' Periodic ',' Informed ',' Customer ',' Via ',' SMS ',' Application ',' Via ',' Email ',' thank you']</v>
      </c>
      <c r="D1554" s="3">
        <v>5.0</v>
      </c>
    </row>
    <row r="1555" ht="15.75" customHeight="1">
      <c r="A1555" s="1">
        <v>1553.0</v>
      </c>
      <c r="B1555" s="3" t="s">
        <v>1556</v>
      </c>
      <c r="C1555" s="3" t="str">
        <f>IFERROR(__xludf.DUMMYFUNCTION("GOOGLETRANSLATE(B1555,""id"",""en"")"),"['Region', 'signal', 'Telkomsel', 'ugly', 'Full', 'TPI', 'internet', 'slow', 'crazy', 'play', 'game', 'before' Telkomsel ',' TLG ',' Fix ',' Region ',' Riwang ',' Land ',' Gerogot ',' Kalimantan ',' East ',' MHN ',' Attention ',' Region ',' Use ' , 'Telko"&amp;"msel', 'Thank', 'Love']")</f>
        <v>['Region', 'signal', 'Telkomsel', 'ugly', 'Full', 'TPI', 'internet', 'slow', 'crazy', 'play', 'game', 'before' Telkomsel ',' TLG ',' Fix ',' Region ',' Riwang ',' Land ',' Gerogot ',' Kalimantan ',' East ',' MHN ',' Attention ',' Region ',' Use ' , 'Telkomsel', 'Thank', 'Love']</v>
      </c>
      <c r="D1555" s="3">
        <v>1.0</v>
      </c>
    </row>
    <row r="1556" ht="15.75" customHeight="1">
      <c r="A1556" s="1">
        <v>1554.0</v>
      </c>
      <c r="B1556" s="3" t="s">
        <v>1557</v>
      </c>
      <c r="C1556" s="3" t="str">
        <f>IFERROR(__xludf.DUMMYFUNCTION("GOOGLETRANSLATE(B1556,""id"",""en"")"),"['here', 'dilapidated', 'signal', 'buy', 'quota', 'paid', 'provider', 'service', 'proper', 'shy', 'ama', 'provider', ' Love ',' service ',' quota ',' levih ',' cheap ',' connection ',' smooth ',' pretentious', 'sokan', 'first', 'Hadehhh', ""]")</f>
        <v>['here', 'dilapidated', 'signal', 'buy', 'quota', 'paid', 'provider', 'service', 'proper', 'shy', 'ama', 'provider', ' Love ',' service ',' quota ',' levih ',' cheap ',' connection ',' smooth ',' pretentious', 'sokan', 'first', 'Hadehhh', "]</v>
      </c>
      <c r="D1556" s="3">
        <v>1.0</v>
      </c>
    </row>
    <row r="1557" ht="15.75" customHeight="1">
      <c r="A1557" s="1">
        <v>1555.0</v>
      </c>
      <c r="B1557" s="3" t="s">
        <v>1558</v>
      </c>
      <c r="C1557" s="3" t="str">
        <f>IFERROR(__xludf.DUMMYFUNCTION("GOOGLETRANSLATE(B1557,""id"",""en"")"),"['star', 'quota', 'expensive', 'promo', 'GB', 'unlimited', 'apply', 'just', 'subscribe', 'customer', 'disappointed', 'heavy', ' Pandemic ',' Search ',' Money ',' Difficult ',' Plus', 'Price', 'Package', 'Internet', 'Soar', 'Expensive', ""]")</f>
        <v>['star', 'quota', 'expensive', 'promo', 'GB', 'unlimited', 'apply', 'just', 'subscribe', 'customer', 'disappointed', 'heavy', ' Pandemic ',' Search ',' Money ',' Difficult ',' Plus', 'Price', 'Package', 'Internet', 'Soar', 'Expensive', "]</v>
      </c>
      <c r="D1557" s="3">
        <v>1.0</v>
      </c>
    </row>
    <row r="1558" ht="15.75" customHeight="1">
      <c r="A1558" s="1">
        <v>1556.0</v>
      </c>
      <c r="B1558" s="3" t="s">
        <v>1559</v>
      </c>
      <c r="C1558" s="3" t="str">
        <f>IFERROR(__xludf.DUMMYFUNCTION("GOOGLETRANSLATE(B1558,""id"",""en"")"),"['intentionally', 'love', 'star', 'Read', 'Severe', 'Telkomsel', 'here', 'expensive', 'package', 'internet', 'crisis',' covid ',' price ',' package ',' expensive ',' mah ',' auto ',' off ',' telkomsel ',' good ',' bye ',' telkomsel ',' severe ',' ']")</f>
        <v>['intentionally', 'love', 'star', 'Read', 'Severe', 'Telkomsel', 'here', 'expensive', 'package', 'internet', 'crisis',' covid ',' price ',' package ',' expensive ',' mah ',' auto ',' off ',' telkomsel ',' good ',' bye ',' telkomsel ',' severe ',' ']</v>
      </c>
      <c r="D1558" s="3">
        <v>1.0</v>
      </c>
    </row>
    <row r="1559" ht="15.75" customHeight="1">
      <c r="A1559" s="1">
        <v>1557.0</v>
      </c>
      <c r="B1559" s="3" t="s">
        <v>1560</v>
      </c>
      <c r="C1559" s="3" t="str">
        <f>IFERROR(__xludf.DUMMYFUNCTION("GOOGLETRANSLATE(B1559,""id"",""en"")"),"['for', 'Telkomsel', 'emang', 'Telkomsel', 'Diandelin', 'Affairs',' signal ',' signal ',' down ',' Nge ',' game ',' network ',' Good ',' outside ',' cord ',' as', 'user', 'disappointed', 'signal', 'proud', 'proud', 'kayak', 'gini']")</f>
        <v>['for', 'Telkomsel', 'emang', 'Telkomsel', 'Diandelin', 'Affairs',' signal ',' signal ',' down ',' Nge ',' game ',' network ',' Good ',' outside ',' cord ',' as', 'user', 'disappointed', 'signal', 'proud', 'proud', 'kayak', 'gini']</v>
      </c>
      <c r="D1559" s="3">
        <v>1.0</v>
      </c>
    </row>
    <row r="1560" ht="15.75" customHeight="1">
      <c r="A1560" s="1">
        <v>1558.0</v>
      </c>
      <c r="B1560" s="3" t="s">
        <v>1561</v>
      </c>
      <c r="C1560" s="3" t="str">
        <f>IFERROR(__xludf.DUMMYFUNCTION("GOOGLETRANSLATE(B1560,""id"",""en"")"),"['Bener', 'signal', 'ilang', 'then', 'slow', 'pdhal', 'disappointed', 'UDH', 'Telkomsel', 'ngeecewain', 'bngt', 'tlong', ' Min ',' signal ',' fix ',' get ',' code ',' verification ',' skrng ',' mah ']")</f>
        <v>['Bener', 'signal', 'ilang', 'then', 'slow', 'pdhal', 'disappointed', 'UDH', 'Telkomsel', 'ngeecewain', 'bngt', 'tlong', ' Min ',' signal ',' fix ',' get ',' code ',' verification ',' skrng ',' mah ']</v>
      </c>
      <c r="D1560" s="3">
        <v>1.0</v>
      </c>
    </row>
    <row r="1561" ht="15.75" customHeight="1">
      <c r="A1561" s="1">
        <v>1559.0</v>
      </c>
      <c r="B1561" s="3" t="s">
        <v>1562</v>
      </c>
      <c r="C1561" s="3" t="str">
        <f>IFERROR(__xludf.DUMMYFUNCTION("GOOGLETRANSLATE(B1561,""id"",""en"")"),"['', 'eat', 'money', 'haram', 'network', 'slow', 'forgiveness',' expensive ',' expensive ',' quality ',' network ',' bad ',' Mending ',' moved ',' next door ',' pretentious', 'sokan', 'slow', 'forgiveness',' right ',' woi ',' quality ']")</f>
        <v>['', 'eat', 'money', 'haram', 'network', 'slow', 'forgiveness',' expensive ',' expensive ',' quality ',' network ',' bad ',' Mending ',' moved ',' next door ',' pretentious', 'sokan', 'slow', 'forgiveness',' right ',' woi ',' quality ']</v>
      </c>
      <c r="D1561" s="3">
        <v>1.0</v>
      </c>
    </row>
    <row r="1562" ht="15.75" customHeight="1">
      <c r="A1562" s="1">
        <v>1560.0</v>
      </c>
      <c r="B1562" s="3" t="s">
        <v>1563</v>
      </c>
      <c r="C1562" s="3" t="str">
        <f>IFERROR(__xludf.DUMMYFUNCTION("GOOGLETRANSLATE(B1562,""id"",""en"")"),"['please', 'Telkomsel', 'fix', 'network', 'like', 'stable', 'package', 'price', 'quality', 'network', 'low', 'like', ' Stable ',' Please ',' Fix ',' Fluency ',' Customer ',' Activity ',' Thank you ',' ']")</f>
        <v>['please', 'Telkomsel', 'fix', 'network', 'like', 'stable', 'package', 'price', 'quality', 'network', 'low', 'like', ' Stable ',' Please ',' Fix ',' Fluency ',' Customer ',' Activity ',' Thank you ',' ']</v>
      </c>
      <c r="D1562" s="3">
        <v>2.0</v>
      </c>
    </row>
    <row r="1563" ht="15.75" customHeight="1">
      <c r="A1563" s="1">
        <v>1561.0</v>
      </c>
      <c r="B1563" s="3" t="s">
        <v>1564</v>
      </c>
      <c r="C1563" s="3" t="str">
        <f>IFERROR(__xludf.DUMMYFUNCTION("GOOGLETRANSLATE(B1563,""id"",""en"")"),"['serene', 'promo', 'unlimit', 'just', 'promo', 'seteral', 'pick for', 'package', 'because', 'price', 'composition', 'package', ' per week ',' help ',' alone ',' thank you ']")</f>
        <v>['serene', 'promo', 'unlimit', 'just', 'promo', 'seteral', 'pick for', 'package', 'because', 'price', 'composition', 'package', ' per week ',' help ',' alone ',' thank you ']</v>
      </c>
      <c r="D1563" s="3">
        <v>4.0</v>
      </c>
    </row>
    <row r="1564" ht="15.75" customHeight="1">
      <c r="A1564" s="1">
        <v>1562.0</v>
      </c>
      <c r="B1564" s="3" t="s">
        <v>1565</v>
      </c>
      <c r="C1564" s="3" t="str">
        <f>IFERROR(__xludf.DUMMYFUNCTION("GOOGLETRANSLATE(B1564,""id"",""en"")"),"['Network', 'disappointing', 'already', 'kapok', 'card', 'network', 'Damn', 'really', 'signal', 'where', 'signal', 'kenceng', ' right ',' internet ',' slow ',' Damn ',' kapok ',' me ',' serving ',' consistent ',' consistent ',' profit ',' network ',' Indo"&amp;"nesia ',' already ' , 'damage', 'network', 'operator', '']")</f>
        <v>['Network', 'disappointing', 'already', 'kapok', 'card', 'network', 'Damn', 'really', 'signal', 'where', 'signal', 'kenceng', ' right ',' internet ',' slow ',' Damn ',' kapok ',' me ',' serving ',' consistent ',' consistent ',' profit ',' network ',' Indonesia ',' already ' , 'damage', 'network', 'operator', '']</v>
      </c>
      <c r="D1564" s="3">
        <v>1.0</v>
      </c>
    </row>
    <row r="1565" ht="15.75" customHeight="1">
      <c r="A1565" s="1">
        <v>1563.0</v>
      </c>
      <c r="B1565" s="3" t="s">
        <v>1566</v>
      </c>
      <c r="C1565" s="3" t="str">
        <f>IFERROR(__xludf.DUMMYFUNCTION("GOOGLETRANSLATE(B1565,""id"",""en"")"),"['Territory', 'Papua', 'tertipiedailah', 'in the country', 'Telkomsel', 'superior', 'compared', 'level', 'price', 'according to', 'region', 'Please', ' Telkomsel ',' Can ',' Makes', 'Comments',' Reference ',' Suggestions', 'Posotif']")</f>
        <v>['Territory', 'Papua', 'tertipiedailah', 'in the country', 'Telkomsel', 'superior', 'compared', 'level', 'price', 'according to', 'region', 'Please', ' Telkomsel ',' Can ',' Makes', 'Comments',' Reference ',' Suggestions', 'Posotif']</v>
      </c>
      <c r="D1565" s="3">
        <v>4.0</v>
      </c>
    </row>
    <row r="1566" ht="15.75" customHeight="1">
      <c r="A1566" s="1">
        <v>1564.0</v>
      </c>
      <c r="B1566" s="3" t="s">
        <v>1567</v>
      </c>
      <c r="C1566" s="3" t="str">
        <f>IFERROR(__xludf.DUMMYFUNCTION("GOOGLETRANSLATE(B1566,""id"",""en"")"),"['Network', 'fix', 'boss', 'made', 'like', 'Proceedings', 'provider', 'SPRTI', 'user', 'enjoy', 'service', 'please' Prioritize ',' quality ']")</f>
        <v>['Network', 'fix', 'boss', 'made', 'like', 'Proceedings', 'provider', 'SPRTI', 'user', 'enjoy', 'service', 'please' Prioritize ',' quality ']</v>
      </c>
      <c r="D1566" s="3">
        <v>1.0</v>
      </c>
    </row>
    <row r="1567" ht="15.75" customHeight="1">
      <c r="A1567" s="1">
        <v>1565.0</v>
      </c>
      <c r="B1567" s="3" t="s">
        <v>1568</v>
      </c>
      <c r="C1567" s="3" t="str">
        <f>IFERROR(__xludf.DUMMYFUNCTION("GOOGLETRANSLATE(B1567,""id"",""en"")"),"['Service', 'bad', 'rates',' package ',' subscribe ',' like ',' heart ',' raised ',' free ',' call ',' reduced ',' should ',' Plus', 'Rates',' Sekewalah ',' ']")</f>
        <v>['Service', 'bad', 'rates',' package ',' subscribe ',' like ',' heart ',' raised ',' free ',' call ',' reduced ',' should ',' Plus', 'Rates',' Sekewalah ',' ']</v>
      </c>
      <c r="D1567" s="3">
        <v>1.0</v>
      </c>
    </row>
    <row r="1568" ht="15.75" customHeight="1">
      <c r="A1568" s="1">
        <v>1566.0</v>
      </c>
      <c r="B1568" s="3" t="s">
        <v>1569</v>
      </c>
      <c r="C1568" s="3" t="str">
        <f>IFERROR(__xludf.DUMMYFUNCTION("GOOGLETRANSLATE(B1568,""id"",""en"")"),"['Telkomsel', 'poor', 'tariff', 'TPI', 'slow', 'open', 'page', 'shopee', 'slow', 'emotion', 'gtu', 'play', ' Cut ',' pulse ',' pdhl ',' subscribe ',' application ',' play ',' store ',' phone ',' jwban ',' satisfying ',' told ',' unreg ',' TPI ' , 'sms',' "&amp;"dri ',' cell ',' google ',' bsa ',' replay ',' pules', 'trs',' run ',' kmna ',' sebnnyk ',' tkut ',' BLN ',' Cut ',' That Sege ',' GTU ',' Application ',' Telkomsel ',' My Feature ',' Feature ',' Combo ',' Sakti ',' pnya ',' tmnku ',' rates' , 'Different'"&amp;", 'distinguish', '']")</f>
        <v>['Telkomsel', 'poor', 'tariff', 'TPI', 'slow', 'open', 'page', 'shopee', 'slow', 'emotion', 'gtu', 'play', ' Cut ',' pulse ',' pdhl ',' subscribe ',' application ',' play ',' store ',' phone ',' jwban ',' satisfying ',' told ',' unreg ',' TPI ' , 'sms',' dri ',' cell ',' google ',' bsa ',' replay ',' pules', 'trs',' run ',' kmna ',' sebnnyk ',' tkut ',' BLN ',' Cut ',' That Sege ',' GTU ',' Application ',' Telkomsel ',' My Feature ',' Feature ',' Combo ',' Sakti ',' pnya ',' tmnku ',' rates' , 'Different', 'distinguish', '']</v>
      </c>
      <c r="D1568" s="3">
        <v>1.0</v>
      </c>
    </row>
    <row r="1569" ht="15.75" customHeight="1">
      <c r="A1569" s="1">
        <v>1567.0</v>
      </c>
      <c r="B1569" s="3" t="s">
        <v>1570</v>
      </c>
      <c r="C1569" s="3" t="str">
        <f>IFERROR(__xludf.DUMMYFUNCTION("GOOGLETRANSLATE(B1569,""id"",""en"")"),"['Disappointed', 'ama', 'quality', 'network', 'proud', 'network', 'Telkomsel', 'around', 'home', 'bad', 'the network', 'shy', ' Tuk ',' recommendation ',' friend ',' ']")</f>
        <v>['Disappointed', 'ama', 'quality', 'network', 'proud', 'network', 'Telkomsel', 'around', 'home', 'bad', 'the network', 'shy', ' Tuk ',' recommendation ',' friend ',' ']</v>
      </c>
      <c r="D1569" s="3">
        <v>2.0</v>
      </c>
    </row>
    <row r="1570" ht="15.75" customHeight="1">
      <c r="A1570" s="1">
        <v>1568.0</v>
      </c>
      <c r="B1570" s="3" t="s">
        <v>1571</v>
      </c>
      <c r="C1570" s="3" t="str">
        <f>IFERROR(__xludf.DUMMYFUNCTION("GOOGLETRANSLATE(B1570,""id"",""en"")"),"['Signal', 'Telkomsel', 'Region', 'Ogan', 'Ilir', 'Sumatran', 'South', 'Bad', 'Please', 'Fix', 'Trima', 'Love', ' kek ',' gini ',' mending ',' axis', 'already', 'cheap', 'event', 'free', 'geratis',' mnt ',' pulse ',' signal ',' bagan ' , 'Axis', 'Telkomse"&amp;"l', 'era', 'begging', 'signal', 'Telkomsel', 'replace', 'card']")</f>
        <v>['Signal', 'Telkomsel', 'Region', 'Ogan', 'Ilir', 'Sumatran', 'South', 'Bad', 'Please', 'Fix', 'Trima', 'Love', ' kek ',' gini ',' mending ',' axis', 'already', 'cheap', 'event', 'free', 'geratis',' mnt ',' pulse ',' signal ',' bagan ' , 'Axis', 'Telkomsel', 'era', 'begging', 'signal', 'Telkomsel', 'replace', 'card']</v>
      </c>
      <c r="D1570" s="3">
        <v>1.0</v>
      </c>
    </row>
    <row r="1571" ht="15.75" customHeight="1">
      <c r="A1571" s="1">
        <v>1569.0</v>
      </c>
      <c r="B1571" s="3" t="s">
        <v>1572</v>
      </c>
      <c r="C1571" s="3" t="str">
        <f>IFERROR(__xludf.DUMMYFUNCTION("GOOGLETRANSLATE(B1571,""id"",""en"")"),"['connection', 'stable', 'price', 'clarity', 'already', 'yrs',' pakek ',' telkomsel ',' please ',' service ',' settlement ',' fast ',' KPD ',' Consumers', 'loyal', 'Telkomsel', 'Gini', 'already', 'Mending', 'Change', 'Card', 'Ajalah', ""]")</f>
        <v>['connection', 'stable', 'price', 'clarity', 'already', 'yrs',' pakek ',' telkomsel ',' please ',' service ',' settlement ',' fast ',' KPD ',' Consumers', 'loyal', 'Telkomsel', 'Gini', 'already', 'Mending', 'Change', 'Card', 'Ajalah', "]</v>
      </c>
      <c r="D1571" s="3">
        <v>1.0</v>
      </c>
    </row>
    <row r="1572" ht="15.75" customHeight="1">
      <c r="A1572" s="1">
        <v>1570.0</v>
      </c>
      <c r="B1572" s="3" t="s">
        <v>1573</v>
      </c>
      <c r="C1572" s="3" t="str">
        <f>IFERROR(__xludf.DUMMYFUNCTION("GOOGLETRANSLATE(B1572,""id"",""en"")"),"['Disappointed', 'Application', 'Update', 'Log', 'Enter', 'TELVON', 'Registered', 'SMS', 'Link', 'click', 'Link', 'The application', ' link ',' expiration ',' please ',' application ',' network ',' slow ',' right ',' really ',' disappointing ',' clean ','"&amp;" cache ',' clean ',' data ' , 'Forced', 'stop', 'access']")</f>
        <v>['Disappointed', 'Application', 'Update', 'Log', 'Enter', 'TELVON', 'Registered', 'SMS', 'Link', 'click', 'Link', 'The application', ' link ',' expiration ',' please ',' application ',' network ',' slow ',' right ',' really ',' disappointing ',' clean ',' cache ',' clean ',' data ' , 'Forced', 'stop', 'access']</v>
      </c>
      <c r="D1572" s="3">
        <v>1.0</v>
      </c>
    </row>
    <row r="1573" ht="15.75" customHeight="1">
      <c r="A1573" s="1">
        <v>1571.0</v>
      </c>
      <c r="B1573" s="3" t="s">
        <v>1574</v>
      </c>
      <c r="C1573" s="3" t="str">
        <f>IFERROR(__xludf.DUMMYFUNCTION("GOOGLETRANSLATE(B1573,""id"",""en"")"),"['application', 'no', 'list', 'number', 'times',' enter ',' application ',' send ',' link ',' magic ',' press', 'link', ' expiration ',' mean ',' even ',' minutes', 'link', 'expiration']")</f>
        <v>['application', 'no', 'list', 'number', 'times',' enter ',' application ',' send ',' link ',' magic ',' press', 'link', ' expiration ',' mean ',' even ',' minutes', 'link', 'expiration']</v>
      </c>
      <c r="D1573" s="3">
        <v>1.0</v>
      </c>
    </row>
    <row r="1574" ht="15.75" customHeight="1">
      <c r="A1574" s="1">
        <v>1572.0</v>
      </c>
      <c r="B1574" s="3" t="s">
        <v>1575</v>
      </c>
      <c r="C1574" s="3" t="str">
        <f>IFERROR(__xludf.DUMMYFUNCTION("GOOGLETRANSLATE(B1574,""id"",""en"")"),"['at the moment', 'Karpoin', 'busy', 'Points',' I ',' already ',' sufficient ',' pulses', 'data', 'dilayan', 'Belinlagi', 'Basic', ' useful']")</f>
        <v>['at the moment', 'Karpoin', 'busy', 'Points',' I ',' already ',' sufficient ',' pulses', 'data', 'dilayan', 'Belinlagi', 'Basic', ' useful']</v>
      </c>
      <c r="D1574" s="3">
        <v>1.0</v>
      </c>
    </row>
    <row r="1575" ht="15.75" customHeight="1">
      <c r="A1575" s="1">
        <v>1573.0</v>
      </c>
      <c r="B1575" s="3" t="s">
        <v>1576</v>
      </c>
      <c r="C1575" s="3" t="str">
        <f>IFERROR(__xludf.DUMMYFUNCTION("GOOGLETRANSLATE(B1575,""id"",""en"")"),"['Kouta', 'card', 'Hello', 'wasteful', 'download', 'conclusions',' results', 'opinions',' talk ',' please ',' repair ',' application ',' Details', 'usage', 'according to', 'kouta', 'subscribe']")</f>
        <v>['Kouta', 'card', 'Hello', 'wasteful', 'download', 'conclusions',' results', 'opinions',' talk ',' please ',' repair ',' application ',' Details', 'usage', 'according to', 'kouta', 'subscribe']</v>
      </c>
      <c r="D1575" s="3">
        <v>3.0</v>
      </c>
    </row>
    <row r="1576" ht="15.75" customHeight="1">
      <c r="A1576" s="1">
        <v>1574.0</v>
      </c>
      <c r="B1576" s="3" t="s">
        <v>1577</v>
      </c>
      <c r="C1576" s="3" t="str">
        <f>IFERROR(__xludf.DUMMYFUNCTION("GOOGLETRANSLATE(B1576,""id"",""en"")"),"['Hi', 'Telkomsel', 'Knp', 'Change', 'Logo', 'MyTelkomselku', 'Update', 'Benefit', 'Fear', 'ilang', 'It should', 'compensation', ' Extend ',' quota ',' or ',' Liay ',' comment ',' my place ',' slow ',' Dibldin ',' merana ', ""]")</f>
        <v>['Hi', 'Telkomsel', 'Knp', 'Change', 'Logo', 'MyTelkomselku', 'Update', 'Benefit', 'Fear', 'ilang', 'It should', 'compensation', ' Extend ',' quota ',' or ',' Liay ',' comment ',' my place ',' slow ',' Dibldin ',' merana ', "]</v>
      </c>
      <c r="D1576" s="3">
        <v>1.0</v>
      </c>
    </row>
    <row r="1577" ht="15.75" customHeight="1">
      <c r="A1577" s="1">
        <v>1575.0</v>
      </c>
      <c r="B1577" s="3" t="s">
        <v>1578</v>
      </c>
      <c r="C1577" s="3" t="str">
        <f>IFERROR(__xludf.DUMMYFUNCTION("GOOGLETRANSLATE(B1577,""id"",""en"")"),"['Ngeselin', 'oath', 'package', 'gatau', 'subscribe', 'already', 'buy', 'package', 'subscribe', 'contents', 'pulse', 'Toll "",' run out ',' out ',' hundreds', 'thousand', 'package', 'abis',' no ',' batalin ',' package ',' subscribe ',' need ',' pulse ',' "&amp;"stupu ' , 'Telkomsel', 'gabisa', 'verif', 'mbanking', 'purposes',' pulses', 'emotions',' already ',' month ',' package ',' subscribe ',' visits', ' Abis', 'PLIS', 'Kasih', 'Stop', 'subscription', 'Tips',' Google ',' Gaada ',' ']")</f>
        <v>['Ngeselin', 'oath', 'package', 'gatau', 'subscribe', 'already', 'buy', 'package', 'subscribe', 'contents', 'pulse', 'Toll ",' run out ',' out ',' hundreds', 'thousand', 'package', 'abis',' no ',' batalin ',' package ',' subscribe ',' need ',' pulse ',' stupu ' , 'Telkomsel', 'gabisa', 'verif', 'mbanking', 'purposes',' pulses', 'emotions',' already ',' month ',' package ',' subscribe ',' visits', ' Abis', 'PLIS', 'Kasih', 'Stop', 'subscription', 'Tips',' Google ',' Gaada ',' ']</v>
      </c>
      <c r="D1577" s="3">
        <v>1.0</v>
      </c>
    </row>
    <row r="1578" ht="15.75" customHeight="1">
      <c r="A1578" s="1">
        <v>1576.0</v>
      </c>
      <c r="B1578" s="3" t="s">
        <v>1579</v>
      </c>
      <c r="C1578" s="3" t="str">
        <f>IFERROR(__xludf.DUMMYFUNCTION("GOOGLETRANSLATE(B1578,""id"",""en"")"),"['Telkomsel', 'aware', 'sin', 'haunt you', 'cook', 'package', 'data', 'run out', 'aka', 'expired', 'pulled', 'money', ' Return ',' package ',' already ',' run out ',' Period ',' pull ',' the rest ',' money ',' consumer ',' reverse ',' according to ',' pri"&amp;"ce ',' leftover ' , 'pull', 'money', 'consumer', 'drawn', 'plus',' leftover ',' package ',' pulled ',' no ',' extend ',' run out ',' package ',' Consumers', 'Sampe', 'Millions',' Millions', 'People', 'Telkomsel']")</f>
        <v>['Telkomsel', 'aware', 'sin', 'haunt you', 'cook', 'package', 'data', 'run out', 'aka', 'expired', 'pulled', 'money', ' Return ',' package ',' already ',' run out ',' Period ',' pull ',' the rest ',' money ',' consumer ',' reverse ',' according to ',' price ',' leftover ' , 'pull', 'money', 'consumer', 'drawn', 'plus',' leftover ',' package ',' pulled ',' no ',' extend ',' run out ',' package ',' Consumers', 'Sampe', 'Millions',' Millions', 'People', 'Telkomsel']</v>
      </c>
      <c r="D1578" s="3">
        <v>5.0</v>
      </c>
    </row>
    <row r="1579" ht="15.75" customHeight="1">
      <c r="A1579" s="1">
        <v>1577.0</v>
      </c>
      <c r="B1579" s="3" t="s">
        <v>1580</v>
      </c>
      <c r="C1579" s="3" t="str">
        <f>IFERROR(__xludf.DUMMYFUNCTION("GOOGLETRANSLATE(B1579,""id"",""en"")"),"['contents',' credit ',' buy ',' package ',' price ',' hope ',' the rest ',' use ',' telponan ',' so ',' understand ',' ilang ',' Where ',' contents', 'pulse', 'buy', 'package', 'for', 'gabisa', 'error', 'mulu', 'emang', 'intention', 'customer', 'telkomny"&amp;"et' , 'fill in', 'pulse', 'sucked', 'how', '']")</f>
        <v>['contents',' credit ',' buy ',' package ',' price ',' hope ',' the rest ',' use ',' telponan ',' so ',' understand ',' ilang ',' Where ',' contents', 'pulse', 'buy', 'package', 'for', 'gabisa', 'error', 'mulu', 'emang', 'intention', 'customer', 'telkomnyet' , 'fill in', 'pulse', 'sucked', 'how', '']</v>
      </c>
      <c r="D1579" s="3">
        <v>1.0</v>
      </c>
    </row>
    <row r="1580" ht="15.75" customHeight="1">
      <c r="A1580" s="1">
        <v>1578.0</v>
      </c>
      <c r="B1580" s="3" t="s">
        <v>1581</v>
      </c>
      <c r="C1580" s="3" t="str">
        <f>IFERROR(__xludf.DUMMYFUNCTION("GOOGLETRANSLATE(B1580,""id"",""en"")"),"['Sorry', 'Restless',' Package ',' Emergency ',' Telkomsel ',' Like ',' On ',' Automatic ',' Activates', 'Filling', 'Package', 'Package', ' Out ',' It's', 'robbery', 'troubling', '']")</f>
        <v>['Sorry', 'Restless',' Package ',' Emergency ',' Telkomsel ',' Like ',' On ',' Automatic ',' Activates', 'Filling', 'Package', 'Package', ' Out ',' It's', 'robbery', 'troubling', '']</v>
      </c>
      <c r="D1580" s="3">
        <v>2.0</v>
      </c>
    </row>
    <row r="1581" ht="15.75" customHeight="1">
      <c r="A1581" s="1">
        <v>1579.0</v>
      </c>
      <c r="B1581" s="3" t="s">
        <v>1582</v>
      </c>
      <c r="C1581" s="3" t="str">
        <f>IFERROR(__xludf.DUMMYFUNCTION("GOOGLETRANSLATE(B1581,""id"",""en"")"),"['already', 'updated', 'stress',' application ',' told ',' Login ',' Login ',' Email ',' Jdi ',' Login ',' Ouch ',' Severe ',' Telkomsel ',' Network ',' Application ',' Stress', 'Ouch', 'Sorry', 'Klok', 'Rough', 'Min', 'Karna', 'Disappointed', ""]")</f>
        <v>['already', 'updated', 'stress',' application ',' told ',' Login ',' Login ',' Email ',' Jdi ',' Login ',' Ouch ',' Severe ',' Telkomsel ',' Network ',' Application ',' Stress', 'Ouch', 'Sorry', 'Klok', 'Rough', 'Min', 'Karna', 'Disappointed', "]</v>
      </c>
      <c r="D1581" s="3">
        <v>1.0</v>
      </c>
    </row>
    <row r="1582" ht="15.75" customHeight="1">
      <c r="A1582" s="1">
        <v>1580.0</v>
      </c>
      <c r="B1582" s="3" t="s">
        <v>1583</v>
      </c>
      <c r="C1582" s="3" t="str">
        <f>IFERROR(__xludf.DUMMYFUNCTION("GOOGLETRANSLATE(B1582,""id"",""en"")"),"['believe', 'card', 'because' lag ',' causing ',' I've lost ',' play ',' game ',' complaints ',' response ',' thank ',' Love ',' Waiter ',' Bad ']")</f>
        <v>['believe', 'card', 'because' lag ',' causing ',' I've lost ',' play ',' game ',' complaints ',' response ',' thank ',' Love ',' Waiter ',' Bad ']</v>
      </c>
      <c r="D1582" s="3">
        <v>1.0</v>
      </c>
    </row>
    <row r="1583" ht="15.75" customHeight="1">
      <c r="A1583" s="1">
        <v>1581.0</v>
      </c>
      <c r="B1583" s="3" t="s">
        <v>1584</v>
      </c>
      <c r="C1583" s="3" t="str">
        <f>IFERROR(__xludf.DUMMYFUNCTION("GOOGLETRANSLATE(B1583,""id"",""en"")"),"['package', 'expensive', 'connection', 'bad', 'turn', 'telephone', 'oprator', 'The reason', 'improvement', 'network', 'UDH', 'TLFN', ' Until ',' many ',' TLFN ',' The reason ',' thatuuu ',' trs', 'really', 'kapok', 'expensive', 'quality', 'plh', 'bad', ''"&amp;"]")</f>
        <v>['package', 'expensive', 'connection', 'bad', 'turn', 'telephone', 'oprator', 'The reason', 'improvement', 'network', 'UDH', 'TLFN', ' Until ',' many ',' TLFN ',' The reason ',' thatuuu ',' trs', 'really', 'kapok', 'expensive', 'quality', 'plh', 'bad', '']</v>
      </c>
      <c r="D1583" s="3">
        <v>1.0</v>
      </c>
    </row>
    <row r="1584" ht="15.75" customHeight="1">
      <c r="A1584" s="1">
        <v>1582.0</v>
      </c>
      <c r="B1584" s="3" t="s">
        <v>1585</v>
      </c>
      <c r="C1584" s="3" t="str">
        <f>IFERROR(__xludf.DUMMYFUNCTION("GOOGLETRANSLATE(B1584,""id"",""en"")"),"['Kapok', 'Make', 'Telkomsel', 'Package', 'Buy', 'Yesterday', 'GB', 'Masasekarang', 'Live', 'Quota', 'Sosmed', 'Good', ' PKE ',' Indosat ',' Network ',' Joss', 'Leet', 'Quota', 'separated', ""]")</f>
        <v>['Kapok', 'Make', 'Telkomsel', 'Package', 'Buy', 'Yesterday', 'GB', 'Masasekarang', 'Live', 'Quota', 'Sosmed', 'Good', ' PKE ',' Indosat ',' Network ',' Joss', 'Leet', 'Quota', 'separated', "]</v>
      </c>
      <c r="D1584" s="3">
        <v>1.0</v>
      </c>
    </row>
    <row r="1585" ht="15.75" customHeight="1">
      <c r="A1585" s="1">
        <v>1583.0</v>
      </c>
      <c r="B1585" s="3" t="s">
        <v>1586</v>
      </c>
      <c r="C1585" s="3" t="str">
        <f>IFERROR(__xludf.DUMMYFUNCTION("GOOGLETRANSLATE(B1585,""id"",""en"")"),"['Telkomsel', 'card', 'network', 'Sultan', 'user', 'class',' card ',' luxury ',' expensive ',' network ',' already ',' rich ',' subscribe ',' user ',' already ',' annual ',' network ',' gini ',' gini ',' mulu ',' increase ',' try ',' Telkomsel ',' lose ',"&amp;"' card ' , 'Cheap', 'smooth']")</f>
        <v>['Telkomsel', 'card', 'network', 'Sultan', 'user', 'class',' card ',' luxury ',' expensive ',' network ',' already ',' rich ',' subscribe ',' user ',' already ',' annual ',' network ',' gini ',' gini ',' mulu ',' increase ',' try ',' Telkomsel ',' lose ',' card ' , 'Cheap', 'smooth']</v>
      </c>
      <c r="D1585" s="3">
        <v>1.0</v>
      </c>
    </row>
    <row r="1586" ht="15.75" customHeight="1">
      <c r="A1586" s="1">
        <v>1584.0</v>
      </c>
      <c r="B1586" s="3" t="s">
        <v>1587</v>
      </c>
      <c r="C1586" s="3" t="str">
        <f>IFERROR(__xludf.DUMMYFUNCTION("GOOGLETRANSLATE(B1586,""id"",""en"")"),"['Kirain', 'Ngeluh', 'Signal', 'Telkomsel', 'As strong as',' Dlu ',' The victim ',' Kapok ',' Use ',' Telkomsel ',' Offered ',' Package ',' Cheap ',' Signal ',' Credit ',' Sumpot ',' Omigot ', ""]")</f>
        <v>['Kirain', 'Ngeluh', 'Signal', 'Telkomsel', 'As strong as',' Dlu ',' The victim ',' Kapok ',' Use ',' Telkomsel ',' Offered ',' Package ',' Cheap ',' Signal ',' Credit ',' Sumpot ',' Omigot ', "]</v>
      </c>
      <c r="D1586" s="3">
        <v>1.0</v>
      </c>
    </row>
    <row r="1587" ht="15.75" customHeight="1">
      <c r="A1587" s="1">
        <v>1585.0</v>
      </c>
      <c r="B1587" s="3" t="s">
        <v>1588</v>
      </c>
      <c r="C1587" s="3" t="str">
        <f>IFERROR(__xludf.DUMMYFUNCTION("GOOGLETRANSLATE(B1587,""id"",""en"")"),"['criticism', 'slow', 'severe', 'Telkomsel', 'take', 'luck', 'Doang', 'Tower', 'BTS', 'MSME', 'Scream', 'Signal', ' slow ',' Please ',' Sorry ',' Telkomsel ',' Move ',' ']")</f>
        <v>['criticism', 'slow', 'severe', 'Telkomsel', 'take', 'luck', 'Doang', 'Tower', 'BTS', 'MSME', 'Scream', 'Signal', ' slow ',' Please ',' Sorry ',' Telkomsel ',' Move ',' ']</v>
      </c>
      <c r="D1587" s="3">
        <v>1.0</v>
      </c>
    </row>
    <row r="1588" ht="15.75" customHeight="1">
      <c r="A1588" s="1">
        <v>1586.0</v>
      </c>
      <c r="B1588" s="3" t="s">
        <v>1589</v>
      </c>
      <c r="C1588" s="3" t="str">
        <f>IFERROR(__xludf.DUMMYFUNCTION("GOOGLETRANSLATE(B1588,""id"",""en"")"),"['disappointing', 'signal', 'pulses',' like ',' inedible ',' right ',' buy ',' package ',' internet ',' pulses', 'TPI', 'his information', ' pulses', 'sufficient', 'keep']")</f>
        <v>['disappointing', 'signal', 'pulses',' like ',' inedible ',' right ',' buy ',' package ',' internet ',' pulses', 'TPI', 'his information', ' pulses', 'sufficient', 'keep']</v>
      </c>
      <c r="D1588" s="3">
        <v>1.0</v>
      </c>
    </row>
    <row r="1589" ht="15.75" customHeight="1">
      <c r="A1589" s="1">
        <v>1587.0</v>
      </c>
      <c r="B1589" s="3" t="s">
        <v>1590</v>
      </c>
      <c r="C1589" s="3" t="str">
        <f>IFERROR(__xludf.DUMMYFUNCTION("GOOGLETRANSLATE(B1589,""id"",""en"")"),"['buy', 'pulse', 'tuker', 'quota', 'pulse', 'thousand', 'night', 'tomorrow', 'morning', 'lost', 'quota', 'multimedia', ' Tiktok ',' missing ',' tomorrow ',' buy ',' pulse ',' tuker ',' package ',' pulse ',' leftover ',' right ',' quota ',' already ',' abi"&amp;"s' , 'Credit', 'pulse', 'until', 'Tetep', 'buy', 'money', 'eih', 'Syedih']")</f>
        <v>['buy', 'pulse', 'tuker', 'quota', 'pulse', 'thousand', 'night', 'tomorrow', 'morning', 'lost', 'quota', 'multimedia', ' Tiktok ',' missing ',' tomorrow ',' buy ',' pulse ',' tuker ',' package ',' pulse ',' leftover ',' right ',' quota ',' already ',' abis' , 'Credit', 'pulse', 'until', 'Tetep', 'buy', 'money', 'eih', 'Syedih']</v>
      </c>
      <c r="D1589" s="3">
        <v>2.0</v>
      </c>
    </row>
    <row r="1590" ht="15.75" customHeight="1">
      <c r="A1590" s="1">
        <v>1588.0</v>
      </c>
      <c r="B1590" s="3" t="s">
        <v>1591</v>
      </c>
      <c r="C1590" s="3" t="str">
        <f>IFERROR(__xludf.DUMMYFUNCTION("GOOGLETRANSLATE(B1590,""id"",""en"")"),"['NGKE', 'buy', 'package', 'Sorry', 'experience', 'disorder', 'disorder', 'UDH', 'emng', 'GuuoooOboKkk', 'Telkomsel', ""]")</f>
        <v>['NGKE', 'buy', 'package', 'Sorry', 'experience', 'disorder', 'disorder', 'UDH', 'emng', 'GuuoooOboKkk', 'Telkomsel', "]</v>
      </c>
      <c r="D1590" s="3">
        <v>1.0</v>
      </c>
    </row>
    <row r="1591" ht="15.75" customHeight="1">
      <c r="A1591" s="1">
        <v>1589.0</v>
      </c>
      <c r="B1591" s="3" t="s">
        <v>1592</v>
      </c>
      <c r="C1591" s="3" t="str">
        <f>IFERROR(__xludf.DUMMYFUNCTION("GOOGLETRANSLATE(B1591,""id"",""en"")"),"['', 'ask', 'developer', 'emang', 'package', 'game', 'Klean', 'cave', 'play', 'ngelag', 'quota', 'main', 'smoothly ',' users', 'Telkomsel', 'disappointed', 'pretentious',' network ',' network ',' belom ',' evenly ',' area ',' base ',' quota ',' expensive "&amp;"', 'slow', 'sorry', 'rude', 'Klean', 'offended', 'please', '']")</f>
        <v>['', 'ask', 'developer', 'emang', 'package', 'game', 'Klean', 'cave', 'play', 'ngelag', 'quota', 'main', 'smoothly ',' users', 'Telkomsel', 'disappointed', 'pretentious',' network ',' network ',' belom ',' evenly ',' area ',' base ',' quota ',' expensive ', 'slow', 'sorry', 'rude', 'Klean', 'offended', 'please', '']</v>
      </c>
      <c r="D1591" s="3">
        <v>2.0</v>
      </c>
    </row>
    <row r="1592" ht="15.75" customHeight="1">
      <c r="A1592" s="1">
        <v>1590.0</v>
      </c>
      <c r="B1592" s="3" t="s">
        <v>1593</v>
      </c>
      <c r="C1592" s="3" t="str">
        <f>IFERROR(__xludf.DUMMYFUNCTION("GOOGLETRANSLATE(B1592,""id"",""en"")"),"['thank', 'love', 'opportunity', 'experience', 'Telkomsel', 'satisfied', 'makes it easy', 'needs', 'needs', 'as soon as', 'thank', 'love']")</f>
        <v>['thank', 'love', 'opportunity', 'experience', 'Telkomsel', 'satisfied', 'makes it easy', 'needs', 'needs', 'as soon as', 'thank', 'love']</v>
      </c>
      <c r="D1592" s="3">
        <v>5.0</v>
      </c>
    </row>
    <row r="1593" ht="15.75" customHeight="1">
      <c r="A1593" s="1">
        <v>1591.0</v>
      </c>
      <c r="B1593" s="3" t="s">
        <v>1594</v>
      </c>
      <c r="C1593" s="3" t="str">
        <f>IFERROR(__xludf.DUMMYFUNCTION("GOOGLETRANSLATE(B1593,""id"",""en"")"),"['cave', 'delete', 'star', 'Telkom', 'Nge', 'Lunjak', 'house', 'cave', 'tower', 'signal', 'ugly', 'then', ' Njir ',' slow ',' play ',' sometimes', 'network', 'missing', 'fix']")</f>
        <v>['cave', 'delete', 'star', 'Telkom', 'Nge', 'Lunjak', 'house', 'cave', 'tower', 'signal', 'ugly', 'then', ' Njir ',' slow ',' play ',' sometimes', 'network', 'missing', 'fix']</v>
      </c>
      <c r="D1593" s="3">
        <v>2.0</v>
      </c>
    </row>
    <row r="1594" ht="15.75" customHeight="1">
      <c r="A1594" s="1">
        <v>1592.0</v>
      </c>
      <c r="B1594" s="3" t="s">
        <v>1595</v>
      </c>
      <c r="C1594" s="3" t="str">
        <f>IFERROR(__xludf.DUMMYFUNCTION("GOOGLETRANSLATE(B1594,""id"",""en"")"),"['package', 'combo', 'saktinya', 'restrictions',' responsibility ',' week ',' already ',' dipake ',' disappointed ',' really ',' oath ',' elite ',' Telkomasel ',' Duitmya ',' How ',' Ngilak ',' Sometimes', 'Buy', 'Package', 'Expensive', 'Different', 'Diff"&amp;"icult', 'Gini', 'Nutin', 'Customer' , 'Disappointed', 'oath', ""]")</f>
        <v>['package', 'combo', 'saktinya', 'restrictions',' responsibility ',' week ',' already ',' dipake ',' disappointed ',' really ',' oath ',' elite ',' Telkomasel ',' Duitmya ',' How ',' Ngilak ',' Sometimes', 'Buy', 'Package', 'Expensive', 'Different', 'Difficult', 'Gini', 'Nutin', 'Customer' , 'Disappointed', 'oath', "]</v>
      </c>
      <c r="D1594" s="3">
        <v>1.0</v>
      </c>
    </row>
    <row r="1595" ht="15.75" customHeight="1">
      <c r="A1595" s="1">
        <v>1593.0</v>
      </c>
      <c r="B1595" s="3" t="s">
        <v>1596</v>
      </c>
      <c r="C1595" s="3" t="str">
        <f>IFERROR(__xludf.DUMMYFUNCTION("GOOGLETRANSLATE(B1595,""id"",""en"")"),"['', 'here', 'Package', 'a number', 'just', 'buy', 'already', 'missing', 'belom', 'combo', 'Sakti', 'cheap', 'festive ',' missing ',' price ',' quota ',' soar ',' rb ',' ']")</f>
        <v>['', 'here', 'Package', 'a number', 'just', 'buy', 'already', 'missing', 'belom', 'combo', 'Sakti', 'cheap', 'festive ',' missing ',' price ',' quota ',' soar ',' rb ',' ']</v>
      </c>
      <c r="D1595" s="3">
        <v>1.0</v>
      </c>
    </row>
    <row r="1596" ht="15.75" customHeight="1">
      <c r="A1596" s="1">
        <v>1594.0</v>
      </c>
      <c r="B1596" s="3" t="s">
        <v>1597</v>
      </c>
      <c r="C1596" s="3" t="str">
        <f>IFERROR(__xludf.DUMMYFUNCTION("GOOGLETRANSLATE(B1596,""id"",""en"")"),"['quota', 'special', 'sympathy', 'loop', 'lost', 'RB', 'GB', 'TAKAH', 'replaced', 'RB', 'GB', 'Purchase', ' Already ',' GB ',' Please ',' Min ',' Register ',' Quota ',' Jels', 'Change', 'Change', 'Plus',' Network ',' Please ',' Make ' , 'Tower', 'village'"&amp;", 'village', 'earth', 'kencana', 'river', 'candle', 'musi', 'banyuasin', 'sumatera', 'south', ""]")</f>
        <v>['quota', 'special', 'sympathy', 'loop', 'lost', 'RB', 'GB', 'TAKAH', 'replaced', 'RB', 'GB', 'Purchase', ' Already ',' GB ',' Please ',' Min ',' Register ',' Quota ',' Jels', 'Change', 'Change', 'Plus',' Network ',' Please ',' Make ' , 'Tower', 'village', 'village', 'earth', 'kencana', 'river', 'candle', 'musi', 'banyuasin', 'sumatera', 'south', "]</v>
      </c>
      <c r="D1596" s="3">
        <v>1.0</v>
      </c>
    </row>
    <row r="1597" ht="15.75" customHeight="1">
      <c r="A1597" s="1">
        <v>1595.0</v>
      </c>
      <c r="B1597" s="3" t="s">
        <v>1598</v>
      </c>
      <c r="C1597" s="3" t="str">
        <f>IFERROR(__xludf.DUMMYFUNCTION("GOOGLETRANSLATE(B1597,""id"",""en"")"),"['Disappointing', 'Useful', 'Sattle', 'Enter', 'told', 'Update', 'Update', 'TTP', 'Access',' Lemot ',' Bancaangeet ',' Dine ',' Useful ',' bother ',' class', 'Telkomsel', 'signal', 'slow', 'Telkomsel', 'disappointing', '']")</f>
        <v>['Disappointing', 'Useful', 'Sattle', 'Enter', 'told', 'Update', 'Update', 'TTP', 'Access',' Lemot ',' Bancaangeet ',' Dine ',' Useful ',' bother ',' class', 'Telkomsel', 'signal', 'slow', 'Telkomsel', 'disappointing', '']</v>
      </c>
      <c r="D1597" s="3">
        <v>1.0</v>
      </c>
    </row>
    <row r="1598" ht="15.75" customHeight="1">
      <c r="A1598" s="1">
        <v>1596.0</v>
      </c>
      <c r="B1598" s="3" t="s">
        <v>1599</v>
      </c>
      <c r="C1598" s="3" t="str">
        <f>IFERROR(__xludf.DUMMYFUNCTION("GOOGLETRANSLATE(B1598,""id"",""en"")"),"['Severe', 'Network', 'Telkomsel', 'Famous',' Network ',' Safe ',' Disappointed ',' Very ',' Make ',' Telkomsel ',' Times', 'Disappointed', ' network', '']")</f>
        <v>['Severe', 'Network', 'Telkomsel', 'Famous',' Network ',' Safe ',' Disappointed ',' Very ',' Make ',' Telkomsel ',' Times', 'Disappointed', ' network', '']</v>
      </c>
      <c r="D1598" s="3">
        <v>1.0</v>
      </c>
    </row>
    <row r="1599" ht="15.75" customHeight="1">
      <c r="A1599" s="1">
        <v>1597.0</v>
      </c>
      <c r="B1599" s="3" t="s">
        <v>1600</v>
      </c>
      <c r="C1599" s="3" t="str">
        <f>IFERROR(__xludf.DUMMYFUNCTION("GOOGLETRANSLATE(B1599,""id"",""en"")"),"['Simple', 'stable', 'good', 'job', 'display', 'interface', 'plain', 'colored', 'look', 'star', ""]")</f>
        <v>['Simple', 'stable', 'good', 'job', 'display', 'interface', 'plain', 'colored', 'look', 'star', "]</v>
      </c>
      <c r="D1599" s="3">
        <v>4.0</v>
      </c>
    </row>
    <row r="1600" ht="15.75" customHeight="1">
      <c r="A1600" s="1">
        <v>1598.0</v>
      </c>
      <c r="B1600" s="3" t="s">
        <v>1601</v>
      </c>
      <c r="C1600" s="3" t="str">
        <f>IFERROR(__xludf.DUMMYFUNCTION("GOOGLETRANSLATE(B1600,""id"",""en"")"),"['Disappointed', 'application', 'difficult', 'opened', 'heavy', 'slow', 'buy', 'package', 'difficult', 'error', 'trs',' wish ',' Sich ',' service ',' repaired ',' destroyed ',' loyal ',' use ',' Telkomsel ',' provider ',' thinking ',' user ',' ']")</f>
        <v>['Disappointed', 'application', 'difficult', 'opened', 'heavy', 'slow', 'buy', 'package', 'difficult', 'error', 'trs',' wish ',' Sich ',' service ',' repaired ',' destroyed ',' loyal ',' use ',' Telkomsel ',' provider ',' thinking ',' user ',' ']</v>
      </c>
      <c r="D1600" s="3">
        <v>1.0</v>
      </c>
    </row>
    <row r="1601" ht="15.75" customHeight="1">
      <c r="A1601" s="1">
        <v>1599.0</v>
      </c>
      <c r="B1601" s="3" t="s">
        <v>1602</v>
      </c>
      <c r="C1601" s="3" t="str">
        <f>IFERROR(__xludf.DUMMYFUNCTION("GOOGLETRANSLATE(B1601,""id"",""en"")"),"['steady', 'suggestion', 'is home', 'active', 'quota', 'data', 'right', 'fill in', 'pulse', 'mass',' active ',' card ',' add it ',' no ',' nyampe ',' sad ']")</f>
        <v>['steady', 'suggestion', 'is home', 'active', 'quota', 'data', 'right', 'fill in', 'pulse', 'mass',' active ',' card ',' add it ',' no ',' nyampe ',' sad ']</v>
      </c>
      <c r="D1601" s="3">
        <v>5.0</v>
      </c>
    </row>
    <row r="1602" ht="15.75" customHeight="1">
      <c r="A1602" s="1">
        <v>1600.0</v>
      </c>
      <c r="B1602" s="3" t="s">
        <v>1603</v>
      </c>
      <c r="C1602" s="3" t="str">
        <f>IFERROR(__xludf.DUMMYFUNCTION("GOOGLETRANSLATE(B1602,""id"",""en"")"),"['Down', 'Rolercoster', 'Terproof', 'blinking', 'lights',' power ',' pull ',' hell ',' teroooss', 'kek', 'kite', 'like', ' php ',' network ',' soon ',' improved ',' dizziness', 'network', 'bni', 'download', 'mb', 'hour', 'masyaallah', 'quota', 'storage' ,"&amp;" 'airy', 'network', 'seconds', 'seconds', 'until', '4 hours', 'clock', 'my fault', ""]")</f>
        <v>['Down', 'Rolercoster', 'Terproof', 'blinking', 'lights',' power ',' pull ',' hell ',' teroooss', 'kek', 'kite', 'like', ' php ',' network ',' soon ',' improved ',' dizziness', 'network', 'bni', 'download', 'mb', 'hour', 'masyaallah', 'quota', 'storage' , 'airy', 'network', 'seconds', 'seconds', 'until', '4 hours', 'clock', 'my fault', "]</v>
      </c>
      <c r="D1602" s="3">
        <v>3.0</v>
      </c>
    </row>
    <row r="1603" ht="15.75" customHeight="1">
      <c r="A1603" s="1">
        <v>1601.0</v>
      </c>
      <c r="B1603" s="3" t="s">
        <v>1604</v>
      </c>
      <c r="C1603" s="3" t="str">
        <f>IFERROR(__xludf.DUMMYFUNCTION("GOOGLETRANSLATE(B1603,""id"",""en"")"),"['', 'star', 'ilang', 'sorry', 'min', 'knp', 'package', 'combo', 'sakti', 'diapk', 'refered', 'ilang', 'Gb ',' sdgkan ',' pnya ',' husband ',' msh ',' emg ',' the difference ',' sympathy ',' provider ',' ']")</f>
        <v>['', 'star', 'ilang', 'sorry', 'min', 'knp', 'package', 'combo', 'sakti', 'diapk', 'refered', 'ilang', 'Gb ',' sdgkan ',' pnya ',' husband ',' msh ',' emg ',' the difference ',' sympathy ',' provider ',' ']</v>
      </c>
      <c r="D1603" s="3">
        <v>2.0</v>
      </c>
    </row>
    <row r="1604" ht="15.75" customHeight="1">
      <c r="A1604" s="1">
        <v>1602.0</v>
      </c>
      <c r="B1604" s="3" t="s">
        <v>1605</v>
      </c>
      <c r="C1604" s="3" t="str">
        <f>IFERROR(__xludf.DUMMYFUNCTION("GOOGLETRANSLATE(B1604,""id"",""en"")"),"['Telkomsel', 'Proveder', 'reliable', 'Reliable', 'obstacles',' network ',' quality ',' downhill ',' proveder ',' learn ',' return ',' glory ',' Telkomsel ',' Add ',' Findness', 'Extra', 'Leading']")</f>
        <v>['Telkomsel', 'Proveder', 'reliable', 'Reliable', 'obstacles',' network ',' quality ',' downhill ',' proveder ',' learn ',' return ',' glory ',' Telkomsel ',' Add ',' Findness', 'Extra', 'Leading']</v>
      </c>
      <c r="D1604" s="3">
        <v>1.0</v>
      </c>
    </row>
    <row r="1605" ht="15.75" customHeight="1">
      <c r="A1605" s="1">
        <v>1603.0</v>
      </c>
      <c r="B1605" s="3" t="s">
        <v>1606</v>
      </c>
      <c r="C1605" s="3" t="str">
        <f>IFERROR(__xludf.DUMMYFUNCTION("GOOGLETRANSLATE(B1605,""id"",""en"")"),"['gunta', 'replace', 'display', 'fix', 'bug', 'love', 'star', 'lag', 'no', 'application', 'update', 'display', ' Nambah ',' add ',' bug ']")</f>
        <v>['gunta', 'replace', 'display', 'fix', 'bug', 'love', 'star', 'lag', 'no', 'application', 'update', 'display', ' Nambah ',' add ',' bug ']</v>
      </c>
      <c r="D1605" s="3">
        <v>1.0</v>
      </c>
    </row>
    <row r="1606" ht="15.75" customHeight="1">
      <c r="A1606" s="1">
        <v>1604.0</v>
      </c>
      <c r="B1606" s="3" t="s">
        <v>1607</v>
      </c>
      <c r="C1606" s="3" t="str">
        <f>IFERROR(__xludf.DUMMYFUNCTION("GOOGLETRANSLATE(B1606,""id"",""en"")"),"['thank you', 'Telkomsel', 'card', 'Hello', 'free', 'apply', 'automatic', 'price', 'lighten', 'process',' learn ',' DRMH ',' running smoothly', '']")</f>
        <v>['thank you', 'Telkomsel', 'card', 'Hello', 'free', 'apply', 'automatic', 'price', 'lighten', 'process',' learn ',' DRMH ',' running smoothly', '']</v>
      </c>
      <c r="D1606" s="3">
        <v>4.0</v>
      </c>
    </row>
    <row r="1607" ht="15.75" customHeight="1">
      <c r="A1607" s="1">
        <v>1605.0</v>
      </c>
      <c r="B1607" s="3" t="s">
        <v>1608</v>
      </c>
      <c r="C1607" s="3" t="str">
        <f>IFERROR(__xludf.DUMMYFUNCTION("GOOGLETRANSLATE(B1607,""id"",""en"")"),"['Woyyy', 'Min', 'Yesterday', 'Telkomsel', 'Discard', 'Skrng', 'Already', 'Buy', 'Please', 'Assisted', 'Diem', 'Buy', ' Enter ',' Application ',' Telkomsel ',' Karna ',' SMS ',' Verifikasi ',' Enter ',' Enter ',' Number ',' Telkomsel ',' Fill ',' Credit '"&amp;",' replication ' , 'Telkomsel', '']")</f>
        <v>['Woyyy', 'Min', 'Yesterday', 'Telkomsel', 'Discard', 'Skrng', 'Already', 'Buy', 'Please', 'Assisted', 'Diem', 'Buy', ' Enter ',' Application ',' Telkomsel ',' Karna ',' SMS ',' Verifikasi ',' Enter ',' Enter ',' Number ',' Telkomsel ',' Fill ',' Credit ',' replication ' , 'Telkomsel', '']</v>
      </c>
      <c r="D1607" s="3">
        <v>1.0</v>
      </c>
    </row>
    <row r="1608" ht="15.75" customHeight="1">
      <c r="A1608" s="1">
        <v>1606.0</v>
      </c>
      <c r="B1608" s="3" t="s">
        <v>1609</v>
      </c>
      <c r="C1608" s="3" t="str">
        <f>IFERROR(__xludf.DUMMYFUNCTION("GOOGLETRANSLATE(B1608,""id"",""en"")"),"['Lemod', 'skrg', 'mah', 'singually', 'trs',' nelp ',' hrs', 'contents',' pulse ',' scorched ',' ration ',' nelp ',' Bonus', 'Nelp', 'Ration', 'Nelp', 'Use', 'SMS', 'Credit', 'Like', 'Cut', 'Pdhl', 'Ration', 'SMS', 'GMN' , 'skrg', 'Telkomsel', 'his lie']")</f>
        <v>['Lemod', 'skrg', 'mah', 'singually', 'trs',' nelp ',' hrs', 'contents',' pulse ',' scorched ',' ration ',' nelp ',' Bonus', 'Nelp', 'Ration', 'Nelp', 'Use', 'SMS', 'Credit', 'Like', 'Cut', 'Pdhl', 'Ration', 'SMS', 'GMN' , 'skrg', 'Telkomsel', 'his lie']</v>
      </c>
      <c r="D1608" s="3">
        <v>1.0</v>
      </c>
    </row>
    <row r="1609" ht="15.75" customHeight="1">
      <c r="A1609" s="1">
        <v>1607.0</v>
      </c>
      <c r="B1609" s="3" t="s">
        <v>1610</v>
      </c>
      <c r="C1609" s="3" t="str">
        <f>IFERROR(__xludf.DUMMYFUNCTION("GOOGLETRANSLATE(B1609,""id"",""en"")"),"['Lying', 'consumer', 'out', 'Telkomsel', 'wear it', 'disappointed', 'attached to', 'consumers', 'because', 'consumers', 'life', 'because' consumers', 'best', 'consumers',' raise ',' flag ',' white ',' thank you ',' developer ',' hope ',' read it ',' refl"&amp;"ect ']")</f>
        <v>['Lying', 'consumer', 'out', 'Telkomsel', 'wear it', 'disappointed', 'attached to', 'consumers', 'because', 'consumers', 'life', 'because' consumers', 'best', 'consumers',' raise ',' flag ',' white ',' thank you ',' developer ',' hope ',' read it ',' reflect ']</v>
      </c>
      <c r="D1609" s="3">
        <v>1.0</v>
      </c>
    </row>
    <row r="1610" ht="15.75" customHeight="1">
      <c r="A1610" s="1">
        <v>1608.0</v>
      </c>
      <c r="B1610" s="3" t="s">
        <v>1611</v>
      </c>
      <c r="C1610" s="3" t="str">
        <f>IFERROR(__xludf.DUMMYFUNCTION("GOOGLETRANSLATE(B1610,""id"",""en"")"),"['Ayahlahhh', 'class',' Telkomsel ',' salary ',' programmer ',' application ',' light ',' fast ',' network ',' provider ',' biggest ',' Indonesia ',' Revenue ',' clean ',' billions', 'shame', '']")</f>
        <v>['Ayahlahhh', 'class',' Telkomsel ',' salary ',' programmer ',' application ',' light ',' fast ',' network ',' provider ',' biggest ',' Indonesia ',' Revenue ',' clean ',' billions', 'shame', '']</v>
      </c>
      <c r="D1610" s="3">
        <v>2.0</v>
      </c>
    </row>
    <row r="1611" ht="15.75" customHeight="1">
      <c r="A1611" s="1">
        <v>1609.0</v>
      </c>
      <c r="B1611" s="3" t="s">
        <v>1612</v>
      </c>
      <c r="C1611" s="3" t="str">
        <f>IFERROR(__xludf.DUMMYFUNCTION("GOOGLETRANSLATE(B1611,""id"",""en"")"),"['Malem', 'disconnect', 'drop', 'network', 'directly', 'down', 'disconnect', 'right', 'reconnect', 'please', 'noticed', 'repaired', ' ']")</f>
        <v>['Malem', 'disconnect', 'drop', 'network', 'directly', 'down', 'disconnect', 'right', 'reconnect', 'please', 'noticed', 'repaired', ' ']</v>
      </c>
      <c r="D1611" s="3">
        <v>1.0</v>
      </c>
    </row>
    <row r="1612" ht="15.75" customHeight="1">
      <c r="A1612" s="1">
        <v>1610.0</v>
      </c>
      <c r="B1612" s="3" t="s">
        <v>1613</v>
      </c>
      <c r="C1612" s="3" t="str">
        <f>IFERROR(__xludf.DUMMYFUNCTION("GOOGLETRANSLATE(B1612,""id"",""en"")"),"['customer', 'loyal', 'Telkomsel', 'Come here', 'signal', 'Telkomsel', 'bad', 'dead', 'lights',' signal ',' lost ',' bbrpa ',' signal ',' please ',' noticed ',' Yesterday ',' Hubgi ',' center ',' repaired ',' Masi ',' SPRTI ',' Please ',' responded ',' Se"&amp;"blom ',' BBRPA ' , 'plggan', 'loyal', 'switch', 'oprtor', 'thanks', 'Telkomsel', ""]")</f>
        <v>['customer', 'loyal', 'Telkomsel', 'Come here', 'signal', 'Telkomsel', 'bad', 'dead', 'lights',' signal ',' lost ',' bbrpa ',' signal ',' please ',' noticed ',' Yesterday ',' Hubgi ',' center ',' repaired ',' Masi ',' SPRTI ',' Please ',' responded ',' Seblom ',' BBRPA ' , 'plggan', 'loyal', 'switch', 'oprtor', 'thanks', 'Telkomsel', "]</v>
      </c>
      <c r="D1612" s="3">
        <v>1.0</v>
      </c>
    </row>
    <row r="1613" ht="15.75" customHeight="1">
      <c r="A1613" s="1">
        <v>1611.0</v>
      </c>
      <c r="B1613" s="3" t="s">
        <v>1614</v>
      </c>
      <c r="C1613" s="3" t="str">
        <f>IFERROR(__xludf.DUMMYFUNCTION("GOOGLETRANSLATE(B1613,""id"",""en"")"),"['application', 'constrained', 'disappointed', 'application', 'open', 'subsequent', 'told', 'update', 'mixed', 'opened', 'obstacle', 'serve', ' Consumers', '']")</f>
        <v>['application', 'constrained', 'disappointed', 'application', 'open', 'subsequent', 'told', 'update', 'mixed', 'opened', 'obstacle', 'serve', ' Consumers', '']</v>
      </c>
      <c r="D1613" s="3">
        <v>1.0</v>
      </c>
    </row>
    <row r="1614" ht="15.75" customHeight="1">
      <c r="A1614" s="1">
        <v>1612.0</v>
      </c>
      <c r="B1614" s="3" t="s">
        <v>1615</v>
      </c>
      <c r="C1614" s="3" t="str">
        <f>IFERROR(__xludf.DUMMYFUNCTION("GOOGLETRANSLATE(B1614,""id"",""en"")"),"['type', 'quota', 'quota', 'internet', 'quota', 'chat', 'sosmed', 'games',' wear ',' apk ',' social ',' media ',' Games', 'quota', 'used', 'quota', 'internet', 'quota', 'sosmed', 'chat', 'games',' buy ',' package ',' combo ',' sakti ' , 'GB', 'thousand']")</f>
        <v>['type', 'quota', 'quota', 'internet', 'quota', 'chat', 'sosmed', 'games',' wear ',' apk ',' social ',' media ',' Games', 'quota', 'used', 'quota', 'internet', 'quota', 'sosmed', 'chat', 'games',' buy ',' package ',' combo ',' sakti ' , 'GB', 'thousand']</v>
      </c>
      <c r="D1614" s="3">
        <v>3.0</v>
      </c>
    </row>
    <row r="1615" ht="15.75" customHeight="1">
      <c r="A1615" s="1">
        <v>1613.0</v>
      </c>
      <c r="B1615" s="3" t="s">
        <v>1616</v>
      </c>
      <c r="C1615" s="3" t="str">
        <f>IFERROR(__xludf.DUMMYFUNCTION("GOOGLETRANSLATE(B1615,""id"",""en"")"),"['price', 'expensive', 'quota', 'reduced', 'quality', 'network', 'bad', 'thanks',' Telkomsel ',' love ',' replace ',' provider ',' ']")</f>
        <v>['price', 'expensive', 'quota', 'reduced', 'quality', 'network', 'bad', 'thanks',' Telkomsel ',' love ',' replace ',' provider ',' ']</v>
      </c>
      <c r="D1615" s="3">
        <v>1.0</v>
      </c>
    </row>
    <row r="1616" ht="15.75" customHeight="1">
      <c r="A1616" s="1">
        <v>1614.0</v>
      </c>
      <c r="B1616" s="3" t="s">
        <v>1617</v>
      </c>
      <c r="C1616" s="3" t="str">
        <f>IFERROR(__xludf.DUMMYFUNCTION("GOOGLETRANSLATE(B1616,""id"",""en"")"),"['Please', 'Fix', 'Quality', 'Service', 'User', 'Telkomsel', 'Satisfied', 'Quality', 'Service', 'Inet', 'Weather', 'Bad', ' thank you']")</f>
        <v>['Please', 'Fix', 'Quality', 'Service', 'User', 'Telkomsel', 'Satisfied', 'Quality', 'Service', 'Inet', 'Weather', 'Bad', ' thank you']</v>
      </c>
      <c r="D1616" s="3">
        <v>1.0</v>
      </c>
    </row>
    <row r="1617" ht="15.75" customHeight="1">
      <c r="A1617" s="1">
        <v>1615.0</v>
      </c>
      <c r="B1617" s="3" t="s">
        <v>1618</v>
      </c>
      <c r="C1617" s="3" t="str">
        <f>IFERROR(__xludf.DUMMYFUNCTION("GOOGLETRANSLATE(B1617,""id"",""en"")"),"['Age', 'number', 'already', 'gapernh', 'can', 'promo', 'price', 'quota', 'expensive', 'quality', 'network', 'rotten', ' Buy ',' Quota ',' GameSmax ',' Gabisa ',' Dipake ',' Basic ',' Fraudster ', ""]")</f>
        <v>['Age', 'number', 'already', 'gapernh', 'can', 'promo', 'price', 'quota', 'expensive', 'quality', 'network', 'rotten', ' Buy ',' Quota ',' GameSmax ',' Gabisa ',' Dipake ',' Basic ',' Fraudster ', "]</v>
      </c>
      <c r="D1617" s="3">
        <v>1.0</v>
      </c>
    </row>
    <row r="1618" ht="15.75" customHeight="1">
      <c r="A1618" s="1">
        <v>1616.0</v>
      </c>
      <c r="B1618" s="3" t="s">
        <v>1619</v>
      </c>
      <c r="C1618" s="3" t="str">
        <f>IFERROR(__xludf.DUMMYFUNCTION("GOOGLETRANSLATE(B1618,""id"",""en"")"),"['Please', 'Sorry', 'Kasi', 'Star', 'Signal', 'Severe', 'Very', 'House', 'Station', 'Train', 'Kalaw', 'right', ' train ',' signal ',' ilang ']")</f>
        <v>['Please', 'Sorry', 'Kasi', 'Star', 'Signal', 'Severe', 'Very', 'House', 'Station', 'Train', 'Kalaw', 'right', ' train ',' signal ',' ilang ']</v>
      </c>
      <c r="D1618" s="3">
        <v>1.0</v>
      </c>
    </row>
    <row r="1619" ht="15.75" customHeight="1">
      <c r="A1619" s="1">
        <v>1617.0</v>
      </c>
      <c r="B1619" s="3" t="s">
        <v>1620</v>
      </c>
      <c r="C1619" s="3" t="str">
        <f>IFERROR(__xludf.DUMMYFUNCTION("GOOGLETRANSLATE(B1619,""id"",""en"")"),"['card', 'expensive', 'network', 'according to', 'price', 'network', 'please', 'repaired', 'user', 'Telkomsel', 'moved', 'Haluan', ' network']")</f>
        <v>['card', 'expensive', 'network', 'according to', 'price', 'network', 'please', 'repaired', 'user', 'Telkomsel', 'moved', 'Haluan', ' network']</v>
      </c>
      <c r="D1619" s="3">
        <v>1.0</v>
      </c>
    </row>
    <row r="1620" ht="15.75" customHeight="1">
      <c r="A1620" s="1">
        <v>1618.0</v>
      </c>
      <c r="B1620" s="3" t="s">
        <v>1621</v>
      </c>
      <c r="C1620" s="3" t="str">
        <f>IFERROR(__xludf.DUMMYFUNCTION("GOOGLETRANSLATE(B1620,""id"",""en"")"),"['Here', 'Like', 'Card', 'Telkomsel', 'Upgrade', 'Application', 'Telkomsel', 'Over', 'Exciting', 'Redeem', 'Point', 'Change', ' gifts', 'interesting', 'wait', 'friend', 'friend', 'Mari', 'Switch', 'card', 'Telkomsel', 'user', 'dam', 'sophisticated', 'good"&amp;"' , 'Luck', 'Telkomsel', '']")</f>
        <v>['Here', 'Like', 'Card', 'Telkomsel', 'Upgrade', 'Application', 'Telkomsel', 'Over', 'Exciting', 'Redeem', 'Point', 'Change', ' gifts', 'interesting', 'wait', 'friend', 'friend', 'Mari', 'Switch', 'card', 'Telkomsel', 'user', 'dam', 'sophisticated', 'good' , 'Luck', 'Telkomsel', '']</v>
      </c>
      <c r="D1620" s="3">
        <v>5.0</v>
      </c>
    </row>
    <row r="1621" ht="15.75" customHeight="1">
      <c r="A1621" s="1">
        <v>1619.0</v>
      </c>
      <c r="B1621" s="3" t="s">
        <v>1622</v>
      </c>
      <c r="C1621" s="3" t="str">
        <f>IFERROR(__xludf.DUMMYFUNCTION("GOOGLETRANSLATE(B1621,""id"",""en"")"),"['GMN', 'Open', 'Telkomsel', 'Update', 'Update', 'Update', 'Open', 'Heloooo', 'Telkomsel', ""]")</f>
        <v>['GMN', 'Open', 'Telkomsel', 'Update', 'Update', 'Update', 'Open', 'Heloooo', 'Telkomsel', "]</v>
      </c>
      <c r="D1621" s="3">
        <v>1.0</v>
      </c>
    </row>
    <row r="1622" ht="15.75" customHeight="1">
      <c r="A1622" s="1">
        <v>1620.0</v>
      </c>
      <c r="B1622" s="3" t="s">
        <v>1623</v>
      </c>
      <c r="C1622" s="3" t="str">
        <f>IFERROR(__xludf.DUMMYFUNCTION("GOOGLETRANSLATE(B1622,""id"",""en"")"),"['application', 'Telkomsel', 'help', 'need', 'a day', 'pandemic', 'complicated', 'complicated', 'home', 'buy', 'package', 'stay', ' Select ',' Application ',' Telkomsel ',' Trima ',' Love ',' Telkomsel ',' Jaya ',' Aaaammmiinnn ',' Love ',' Star ', ""]")</f>
        <v>['application', 'Telkomsel', 'help', 'need', 'a day', 'pandemic', 'complicated', 'complicated', 'home', 'buy', 'package', 'stay', ' Select ',' Application ',' Telkomsel ',' Trima ',' Love ',' Telkomsel ',' Jaya ',' Aaaammmiinnn ',' Love ',' Star ', "]</v>
      </c>
      <c r="D1622" s="3">
        <v>5.0</v>
      </c>
    </row>
    <row r="1623" ht="15.75" customHeight="1">
      <c r="A1623" s="1">
        <v>1621.0</v>
      </c>
      <c r="B1623" s="3" t="s">
        <v>1624</v>
      </c>
      <c r="C1623" s="3" t="str">
        <f>IFERROR(__xludf.DUMMYFUNCTION("GOOGLETRANSLATE(B1623,""id"",""en"")"),"['Display', 'good', 'just', 'syg', 'contact', 'veronica', 'limited', 'menu', 'provide', 'code', 'referral', 'veronika', ' Code ',' referrals', 'ask', 'hadeuh', 'please', 'help', 'min', 'repaired', 'thanks']")</f>
        <v>['Display', 'good', 'just', 'syg', 'contact', 'veronica', 'limited', 'menu', 'provide', 'code', 'referral', 'veronika', ' Code ',' referrals', 'ask', 'hadeuh', 'please', 'help', 'min', 'repaired', 'thanks']</v>
      </c>
      <c r="D1623" s="3">
        <v>3.0</v>
      </c>
    </row>
    <row r="1624" ht="15.75" customHeight="1">
      <c r="A1624" s="1">
        <v>1622.0</v>
      </c>
      <c r="B1624" s="3" t="s">
        <v>1625</v>
      </c>
      <c r="C1624" s="3" t="str">
        <f>IFERROR(__xludf.DUMMYFUNCTION("GOOGLETRANSLATE(B1624,""id"",""en"")"),"['PGI', 'Telkomsel', 'expensive', 'pulsax', 'kuotax', 'TPI', 'network', 'Jejuh', 'Ouch', 'Telkomsel', 'cheap', 'operator', ' ']")</f>
        <v>['PGI', 'Telkomsel', 'expensive', 'pulsax', 'kuotax', 'TPI', 'network', 'Jejuh', 'Ouch', 'Telkomsel', 'cheap', 'operator', ' ']</v>
      </c>
      <c r="D1624" s="3">
        <v>2.0</v>
      </c>
    </row>
    <row r="1625" ht="15.75" customHeight="1">
      <c r="A1625" s="1">
        <v>1623.0</v>
      </c>
      <c r="B1625" s="3" t="s">
        <v>1626</v>
      </c>
      <c r="C1625" s="3" t="str">
        <f>IFERROR(__xludf.DUMMYFUNCTION("GOOGLETRANSLATE(B1625,""id"",""en"")"),"['Syhalom', 'Telkomsel', 'Zalvaro', 'Karubuy', 'Papua', 'Say', 'Thank "",' Loving ',' Lord ',' blessing ',' Telkomsel ',' Karna ',' Wear ',' apk ',' Telkomsel ',' easy ',' access', 'world', 'learning', 'it's easy', 'love', 'Telkomsel', 'thank', 'Lord', 'b"&amp;"lessing' , 'Tasks', 'residence', 'serving', 'community', 'Indonesia']")</f>
        <v>['Syhalom', 'Telkomsel', 'Zalvaro', 'Karubuy', 'Papua', 'Say', 'Thank ",' Loving ',' Lord ',' blessing ',' Telkomsel ',' Karna ',' Wear ',' apk ',' Telkomsel ',' easy ',' access', 'world', 'learning', 'it's easy', 'love', 'Telkomsel', 'thank', 'Lord', 'blessing' , 'Tasks', 'residence', 'serving', 'community', 'Indonesia']</v>
      </c>
      <c r="D1625" s="3">
        <v>5.0</v>
      </c>
    </row>
    <row r="1626" ht="15.75" customHeight="1">
      <c r="A1626" s="1">
        <v>1624.0</v>
      </c>
      <c r="B1626" s="3" t="s">
        <v>1627</v>
      </c>
      <c r="C1626" s="3" t="str">
        <f>IFERROR(__xludf.DUMMYFUNCTION("GOOGLETRANSLATE(B1626,""id"",""en"")"),"['Provider', 'the most expensive', 'Ter', 'strange', 'Package', 'signal', 'rotten', 'stay', 'village', 'jenks',' kel ',' Sugihmas', ' Kec ',' Grabag ',' Kab ',' Magelang ',' Yaa ',' Allah ',' Bener ',' Concern ',' Sinyal ',' Call ',' Emergency ',' Mulu ',"&amp;"' Please ' , 'government', 'area', 'center', 'scolds',' nie ',' provider ',' Telkomsel ',' admit ',' network ',' widest ',' network ',' limited ',' Eyes', 'indeed', 'Sanpai', 'signal', 'tree', 'tile', 'online', 'tribulation', 'please', 'yaa']")</f>
        <v>['Provider', 'the most expensive', 'Ter', 'strange', 'Package', 'signal', 'rotten', 'stay', 'village', 'jenks',' kel ',' Sugihmas', ' Kec ',' Grabag ',' Kab ',' Magelang ',' Yaa ',' Allah ',' Bener ',' Concern ',' Sinyal ',' Call ',' Emergency ',' Mulu ',' Please ' , 'government', 'area', 'center', 'scolds',' nie ',' provider ',' Telkomsel ',' admit ',' network ',' widest ',' network ',' limited ',' Eyes', 'indeed', 'Sanpai', 'signal', 'tree', 'tile', 'online', 'tribulation', 'please', 'yaa']</v>
      </c>
      <c r="D1626" s="3">
        <v>1.0</v>
      </c>
    </row>
    <row r="1627" ht="15.75" customHeight="1">
      <c r="A1627" s="1">
        <v>1625.0</v>
      </c>
      <c r="B1627" s="3" t="s">
        <v>1628</v>
      </c>
      <c r="C1627" s="3" t="str">
        <f>IFERROR(__xludf.DUMMYFUNCTION("GOOGLETRANSLATE(B1627,""id"",""en"")"),"['Knp', 'check', 'wasted', 'check', 'answer', 'check', 'failed', 'luck', 'gini', 'promo', 'right', 'base', ' Somplak ',' Gini ',' Network ',' Cheap ',' Basic ',' Somplak ']")</f>
        <v>['Knp', 'check', 'wasted', 'check', 'answer', 'check', 'failed', 'luck', 'gini', 'promo', 'right', 'base', ' Somplak ',' Gini ',' Network ',' Cheap ',' Basic ',' Somplak ']</v>
      </c>
      <c r="D1627" s="3">
        <v>1.0</v>
      </c>
    </row>
    <row r="1628" ht="15.75" customHeight="1">
      <c r="A1628" s="1">
        <v>1626.0</v>
      </c>
      <c r="B1628" s="3" t="s">
        <v>1629</v>
      </c>
      <c r="C1628" s="3" t="str">
        <f>IFERROR(__xludf.DUMMYFUNCTION("GOOGLETRANSLATE(B1628,""id"",""en"")"),"['Actually', 'gave', 'Rate', 'Star', 'Gegara', 'FUP', 'Collapse', 'Starts',' Use ',' FUP ',' Use ',' Config ',' injectors', 'disappointed', 'user', 'honest', 'yamg', 'destructive', 'given', 'fup', 'mending', 'ride', 'price', 'a little', 'unlimited' , 'Kek"&amp;"', 'Unlimax', 'Combo', 'Sakti', 'User', 'Tetep', 'Betah', 'Operator', 'Thx', 'Thx']")</f>
        <v>['Actually', 'gave', 'Rate', 'Star', 'Gegara', 'FUP', 'Collapse', 'Starts',' Use ',' FUP ',' Use ',' Config ',' injectors', 'disappointed', 'user', 'honest', 'yamg', 'destructive', 'given', 'fup', 'mending', 'ride', 'price', 'a little', 'unlimited' , 'Kek', 'Unlimax', 'Combo', 'Sakti', 'User', 'Tetep', 'Betah', 'Operator', 'Thx', 'Thx']</v>
      </c>
      <c r="D1628" s="3">
        <v>1.0</v>
      </c>
    </row>
    <row r="1629" ht="15.75" customHeight="1">
      <c r="A1629" s="1">
        <v>1627.0</v>
      </c>
      <c r="B1629" s="3" t="s">
        <v>1630</v>
      </c>
      <c r="C1629" s="3" t="str">
        <f>IFERROR(__xludf.DUMMYFUNCTION("GOOGLETRANSLATE(B1629,""id"",""en"")"),"['stop', 'subscribe', 'wrong', 'quota', 'internet', 'strange', 'stop', 'subscribe', 'contact', 'app', 'Telkomsel', 'menu', ' Stop ',' subscribe ',' emotion ']")</f>
        <v>['stop', 'subscribe', 'wrong', 'quota', 'internet', 'strange', 'stop', 'subscribe', 'contact', 'app', 'Telkomsel', 'menu', ' Stop ',' subscribe ',' emotion ']</v>
      </c>
      <c r="D1629" s="3">
        <v>3.0</v>
      </c>
    </row>
    <row r="1630" ht="15.75" customHeight="1">
      <c r="A1630" s="1">
        <v>1628.0</v>
      </c>
      <c r="B1630" s="3" t="s">
        <v>1631</v>
      </c>
      <c r="C1630" s="3" t="str">
        <f>IFERROR(__xludf.DUMMYFUNCTION("GOOGLETRANSLATE(B1630,""id"",""en"")"),"['Tariff', 'expensive', 'signal', 'internet', 'slow', 'difficult', 'lose', 'ama', 'oporator', 'rates',' cheap ',' fixed ',' Telkomsel ',' loss', 'Customer']")</f>
        <v>['Tariff', 'expensive', 'signal', 'internet', 'slow', 'difficult', 'lose', 'ama', 'oporator', 'rates',' cheap ',' fixed ',' Telkomsel ',' loss', 'Customer']</v>
      </c>
      <c r="D1630" s="3">
        <v>1.0</v>
      </c>
    </row>
    <row r="1631" ht="15.75" customHeight="1">
      <c r="A1631" s="1">
        <v>1629.0</v>
      </c>
      <c r="B1631" s="3" t="s">
        <v>1632</v>
      </c>
      <c r="C1631" s="3" t="str">
        <f>IFERROR(__xludf.DUMMYFUNCTION("GOOGLETRANSLATE(B1631,""id"",""en"")"),"['expensive', 'cheats',' quota ',' broken ',' broken ',' quota ',' national ',' quota ',' local ',' funny thing ',' already ',' buy ',' Quota ',' Local ',' Dipake ',' Change ',' Card ',' Brand ', ""]")</f>
        <v>['expensive', 'cheats',' quota ',' broken ',' broken ',' quota ',' national ',' quota ',' local ',' funny thing ',' already ',' buy ',' Quota ',' Local ',' Dipake ',' Change ',' Card ',' Brand ', "]</v>
      </c>
      <c r="D1631" s="3">
        <v>1.0</v>
      </c>
    </row>
    <row r="1632" ht="15.75" customHeight="1">
      <c r="A1632" s="1">
        <v>1630.0</v>
      </c>
      <c r="B1632" s="3" t="s">
        <v>1633</v>
      </c>
      <c r="C1632" s="3" t="str">
        <f>IFERROR(__xludf.DUMMYFUNCTION("GOOGLETRANSLATE(B1632,""id"",""en"")"),"['buy', 'signal', 'home', 'good', 'really', 'play', 'game', 'lag', 'signal', 'game', 'please', 'benerin']")</f>
        <v>['buy', 'signal', 'home', 'good', 'really', 'play', 'game', 'lag', 'signal', 'game', 'please', 'benerin']</v>
      </c>
      <c r="D1632" s="3">
        <v>1.0</v>
      </c>
    </row>
    <row r="1633" ht="15.75" customHeight="1">
      <c r="A1633" s="1">
        <v>1631.0</v>
      </c>
      <c r="B1633" s="3" t="s">
        <v>1634</v>
      </c>
      <c r="C1633" s="3" t="str">
        <f>IFERROR(__xludf.DUMMYFUNCTION("GOOGLETRANSLATE(B1633,""id"",""en"")"),"['elegant', 'version', 'newest', 'customers',' Telkomsel ',' school ',' school ',' base ',' likes', 'experience', 'application', 'MyTelkomsel', ' Kece ',' choice ',' star ',' billions', 'star', 'sky', ""]")</f>
        <v>['elegant', 'version', 'newest', 'customers',' Telkomsel ',' school ',' school ',' base ',' likes', 'experience', 'application', 'MyTelkomsel', ' Kece ',' choice ',' star ',' billions', 'star', 'sky', "]</v>
      </c>
      <c r="D1633" s="3">
        <v>5.0</v>
      </c>
    </row>
    <row r="1634" ht="15.75" customHeight="1">
      <c r="A1634" s="1">
        <v>1632.0</v>
      </c>
      <c r="B1634" s="3" t="s">
        <v>1635</v>
      </c>
      <c r="C1634" s="3" t="str">
        <f>IFERROR(__xludf.DUMMYFUNCTION("GOOGLETRANSLATE(B1634,""id"",""en"")"),"['Application', 'MyTelkomsel', 'Good', 'Ad', 'sarcastic', 'cheap', 'network', 'cheap', 'expensive', 'network', 'cheap', 'expensive', ' network ',' cheap ',' out ',' like ',' good ',' pulse ',' mahalin ',' business', 'yari', 'luck', 'kasi', 'fortuneness','"&amp;" customer ' , 'business', '']")</f>
        <v>['Application', 'MyTelkomsel', 'Good', 'Ad', 'sarcastic', 'cheap', 'network', 'cheap', 'expensive', 'network', 'cheap', 'expensive', ' network ',' cheap ',' out ',' like ',' good ',' pulse ',' mahalin ',' business', 'yari', 'luck', 'kasi', 'fortuneness',' customer ' , 'business', '']</v>
      </c>
      <c r="D1634" s="3">
        <v>1.0</v>
      </c>
    </row>
    <row r="1635" ht="15.75" customHeight="1">
      <c r="A1635" s="1">
        <v>1633.0</v>
      </c>
      <c r="B1635" s="3" t="s">
        <v>1636</v>
      </c>
      <c r="C1635" s="3" t="str">
        <f>IFERROR(__xludf.DUMMYFUNCTION("GOOGLETRANSLATE(B1635,""id"",""en"")"),"['ugly', 'service', 'quality', 'network', 'tsel', 'toraja', 'mode', 'change', 'card', 'hello', 'cheats',' promised ',' Speed ​​',' increases', 'quota', 'run out', 'speed', 'suck', 'limit', 'shopping', 'run out', 'minute', 'thousand', 'please', 'Telkomsel'"&amp;" , 'evaluation']")</f>
        <v>['ugly', 'service', 'quality', 'network', 'tsel', 'toraja', 'mode', 'change', 'card', 'hello', 'cheats',' promised ',' Speed ​​',' increases', 'quota', 'run out', 'speed', 'suck', 'limit', 'shopping', 'run out', 'minute', 'thousand', 'please', 'Telkomsel' , 'evaluation']</v>
      </c>
      <c r="D1635" s="3">
        <v>1.0</v>
      </c>
    </row>
    <row r="1636" ht="15.75" customHeight="1">
      <c r="A1636" s="1">
        <v>1634.0</v>
      </c>
      <c r="B1636" s="3" t="s">
        <v>1637</v>
      </c>
      <c r="C1636" s="3" t="str">
        <f>IFERROR(__xludf.DUMMYFUNCTION("GOOGLETRANSLATE(B1636,""id"",""en"")"),"['Telkomsel', 'please', 'connection', 'network', 'repaired', 'slow', 'down', 'the network', 'full', 'bullak', 'lives',' turn it off ',' mode ',' fly ',' sorry ']")</f>
        <v>['Telkomsel', 'please', 'connection', 'network', 'repaired', 'slow', 'down', 'the network', 'full', 'bullak', 'lives',' turn it off ',' mode ',' fly ',' sorry ']</v>
      </c>
      <c r="D1636" s="3">
        <v>1.0</v>
      </c>
    </row>
    <row r="1637" ht="15.75" customHeight="1">
      <c r="A1637" s="1">
        <v>1635.0</v>
      </c>
      <c r="B1637" s="3" t="s">
        <v>1638</v>
      </c>
      <c r="C1637" s="3" t="str">
        <f>IFERROR(__xludf.DUMMYFUNCTION("GOOGLETRANSLATE(B1637,""id"",""en"")"),"['network', 'masang', 'price', 'no', 'according to', 'performance', 'mending', 'make', 'provider', 'disruption', 'disorder', 'breakfast', ' ']")</f>
        <v>['network', 'masang', 'price', 'no', 'according to', 'performance', 'mending', 'make', 'provider', 'disruption', 'disorder', 'breakfast', ' ']</v>
      </c>
      <c r="D1637" s="3">
        <v>1.0</v>
      </c>
    </row>
    <row r="1638" ht="15.75" customHeight="1">
      <c r="A1638" s="1">
        <v>1636.0</v>
      </c>
      <c r="B1638" s="3" t="s">
        <v>1639</v>
      </c>
      <c r="C1638" s="3" t="str">
        <f>IFERROR(__xludf.DUMMYFUNCTION("GOOGLETRANSLATE(B1638,""id"",""en"")"),"['please', 'Telkomsel', 'quota', 'data', 'run out', 'direct', 'broke', 'connection', 'internet', 'diverted', 'pulse', 'replace', ' Quota ',' Data ',' Program ',' Credit ',' Safe ',' Quota ',' Out ',' Custommer ',' Comfortable ',' Provider ',' Telkomsel ',"&amp;"' Thank ',' Love ' ]")</f>
        <v>['please', 'Telkomsel', 'quota', 'data', 'run out', 'direct', 'broke', 'connection', 'internet', 'diverted', 'pulse', 'replace', ' Quota ',' Data ',' Program ',' Credit ',' Safe ',' Quota ',' Out ',' Custommer ',' Comfortable ',' Provider ',' Telkomsel ',' Thank ',' Love ' ]</v>
      </c>
      <c r="D1638" s="3">
        <v>1.0</v>
      </c>
    </row>
    <row r="1639" ht="15.75" customHeight="1">
      <c r="A1639" s="1">
        <v>1637.0</v>
      </c>
      <c r="B1639" s="3" t="s">
        <v>1640</v>
      </c>
      <c r="C1639" s="3" t="str">
        <f>IFERROR(__xludf.DUMMYFUNCTION("GOOGLETRANSLATE(B1639,""id"",""en"")"),"['Update', 'Tetep', 'Open', 'Mending', 'Uinstall', 'Disappointed', 'Application', 'Buy', 'Expensive', 'Use']")</f>
        <v>['Update', 'Tetep', 'Open', 'Mending', 'Uinstall', 'Disappointed', 'Application', 'Buy', 'Expensive', 'Use']</v>
      </c>
      <c r="D1639" s="3">
        <v>1.0</v>
      </c>
    </row>
    <row r="1640" ht="15.75" customHeight="1">
      <c r="A1640" s="1">
        <v>1638.0</v>
      </c>
      <c r="B1640" s="3" t="s">
        <v>1641</v>
      </c>
      <c r="C1640" s="3" t="str">
        <f>IFERROR(__xludf.DUMMYFUNCTION("GOOGLETRANSLATE(B1640,""id"",""en"")"),"['update', 'logo', 'Telkomsel', 'choice', 'package', 'gag', 'customer', 'love', 'facility', 'rates',' lgsg ',' told ',' pkai ',' equalized ',' package ',' data ',' sympathy ',' hello ',' etc. ',' compete ',' operator ',' thank you ']")</f>
        <v>['update', 'logo', 'Telkomsel', 'choice', 'package', 'gag', 'customer', 'love', 'facility', 'rates',' lgsg ',' told ',' pkai ',' equalized ',' package ',' data ',' sympathy ',' hello ',' etc. ',' compete ',' operator ',' thank you ']</v>
      </c>
      <c r="D1640" s="3">
        <v>1.0</v>
      </c>
    </row>
    <row r="1641" ht="15.75" customHeight="1">
      <c r="A1641" s="1">
        <v>1639.0</v>
      </c>
      <c r="B1641" s="3" t="s">
        <v>1642</v>
      </c>
      <c r="C1641" s="3" t="str">
        <f>IFERROR(__xludf.DUMMYFUNCTION("GOOGLETRANSLATE(B1641,""id"",""en"")"),"['how', 'application', 'update', 'good', 'destroyed', 'type', 'package', 'lost', 'change', 'total', 'price', 'invite', ' Does', 'descendants',' please ',' admin ',' user ',' loyal ',' Telkomsel ',' disappointed ',' heavy ',' application ',' please ',' und"&amp;"erstand ',' standard ' , 'economy', 'please', 'miserable', 'poor', 'because', 'price', 'quota', 'soar', 'Please', 'confirm', 'Telkomsel', ""]")</f>
        <v>['how', 'application', 'update', 'good', 'destroyed', 'type', 'package', 'lost', 'change', 'total', 'price', 'invite', ' Does', 'descendants',' please ',' admin ',' user ',' loyal ',' Telkomsel ',' disappointed ',' heavy ',' application ',' please ',' understand ',' standard ' , 'economy', 'please', 'miserable', 'poor', 'because', 'price', 'quota', 'soar', 'Please', 'confirm', 'Telkomsel', "]</v>
      </c>
      <c r="D1641" s="3">
        <v>1.0</v>
      </c>
    </row>
    <row r="1642" ht="15.75" customHeight="1">
      <c r="A1642" s="1">
        <v>1640.0</v>
      </c>
      <c r="B1642" s="3" t="s">
        <v>1643</v>
      </c>
      <c r="C1642" s="3" t="str">
        <f>IFERROR(__xludf.DUMMYFUNCTION("GOOGLETRANSLATE(B1642,""id"",""en"")"),"['Telkomsel', 'The', 'Best', 'Family', 'Telkomsel', 'Blom', 'Complaints', 'Enjoy', 'Enjoy', 'Jaya', 'Telkomsel', ""]")</f>
        <v>['Telkomsel', 'The', 'Best', 'Family', 'Telkomsel', 'Blom', 'Complaints', 'Enjoy', 'Enjoy', 'Jaya', 'Telkomsel', "]</v>
      </c>
      <c r="D1642" s="3">
        <v>5.0</v>
      </c>
    </row>
    <row r="1643" ht="15.75" customHeight="1">
      <c r="A1643" s="1">
        <v>1641.0</v>
      </c>
      <c r="B1643" s="3" t="s">
        <v>1644</v>
      </c>
      <c r="C1643" s="3" t="str">
        <f>IFERROR(__xludf.DUMMYFUNCTION("GOOGLETRANSLATE(B1643,""id"",""en"")"),"['Sorry', 'Telkomsel', 'complaints',' right ',' buy ',' Telkomsel ',' Disappointed ',' Karna ',' buy ',' Package ',' enter ',' Package ',' ']")</f>
        <v>['Sorry', 'Telkomsel', 'complaints',' right ',' buy ',' Telkomsel ',' Disappointed ',' Karna ',' buy ',' Package ',' enter ',' Package ',' ']</v>
      </c>
      <c r="D1643" s="3">
        <v>5.0</v>
      </c>
    </row>
    <row r="1644" ht="15.75" customHeight="1">
      <c r="A1644" s="1">
        <v>1642.0</v>
      </c>
      <c r="B1644" s="3" t="s">
        <v>1645</v>
      </c>
      <c r="C1644" s="3" t="str">
        <f>IFERROR(__xludf.DUMMYFUNCTION("GOOGLETRANSLATE(B1644,""id"",""en"")"),"['Alhamdulillah', 'network', 'resolved', 'replace', 'card', 'provider', 'wkwkwk', 'number', 'tsel', 'account', 'already', 'saved', ' Friends', 'People', 'Dear', 'Tsel', 'Thank', 'Love', 'accompany me', ""]")</f>
        <v>['Alhamdulillah', 'network', 'resolved', 'replace', 'card', 'provider', 'wkwkwk', 'number', 'tsel', 'account', 'already', 'saved', ' Friends', 'People', 'Dear', 'Tsel', 'Thank', 'Love', 'accompany me', "]</v>
      </c>
      <c r="D1644" s="3">
        <v>1.0</v>
      </c>
    </row>
    <row r="1645" ht="15.75" customHeight="1">
      <c r="A1645" s="1">
        <v>1643.0</v>
      </c>
      <c r="B1645" s="3" t="s">
        <v>1646</v>
      </c>
      <c r="C1645" s="3" t="str">
        <f>IFERROR(__xludf.DUMMYFUNCTION("GOOGLETRANSLATE(B1645,""id"",""en"")"),"['Telkomsel', 'already', 'kyk', 'dlu', 'lgi', 'tasty', 'replace', 'card', 'exciting', 'little', 'ilang', 'let', ' Response ',' approximately ',' Benerin ',' Change ',' card ',' tired ',' Wait ',' signal ',' recover ',' then ',' Response ',' admin ',' kaga"&amp;"k ' , 'Burik', 'card']")</f>
        <v>['Telkomsel', 'already', 'kyk', 'dlu', 'lgi', 'tasty', 'replace', 'card', 'exciting', 'little', 'ilang', 'let', ' Response ',' approximately ',' Benerin ',' Change ',' card ',' tired ',' Wait ',' signal ',' recover ',' then ',' Response ',' admin ',' kagak ' , 'Burik', 'card']</v>
      </c>
      <c r="D1645" s="3">
        <v>1.0</v>
      </c>
    </row>
    <row r="1646" ht="15.75" customHeight="1">
      <c r="A1646" s="1">
        <v>1644.0</v>
      </c>
      <c r="B1646" s="3" t="s">
        <v>1647</v>
      </c>
      <c r="C1646" s="3" t="str">
        <f>IFERROR(__xludf.DUMMYFUNCTION("GOOGLETRANSLATE(B1646,""id"",""en"")"),"['Hello', 'Sis', 'Login', 'OTP', 'Click', 'appears', 'Link', 'Valid', 'expiration', '']")</f>
        <v>['Hello', 'Sis', 'Login', 'OTP', 'Click', 'appears', 'Link', 'Valid', 'expiration', '']</v>
      </c>
      <c r="D1646" s="3">
        <v>2.0</v>
      </c>
    </row>
    <row r="1647" ht="15.75" customHeight="1">
      <c r="A1647" s="1">
        <v>1645.0</v>
      </c>
      <c r="B1647" s="3" t="s">
        <v>1648</v>
      </c>
      <c r="C1647" s="3" t="str">
        <f>IFERROR(__xludf.DUMMYFUNCTION("GOOGLETRANSLATE(B1647,""id"",""en"")"),"['Please', 'Network', 'Signal', 'Fix', 'Dragus',' Region ',' Kalideres', 'Jak', 'Bar', 'Warung', 'Hanging', 'Kojan', ' Please, 'Action', 'Nurse', 'Send', 'Email', 'Make', 'Customer', 'Disappointed', 'Customer', 'already', 'Pay', 'expensive', 'expensive' ,"&amp;" 'Lose', 'signal', 'provider', 'please', 'repay', 'signal', 'network']")</f>
        <v>['Please', 'Network', 'Signal', 'Fix', 'Dragus',' Region ',' Kalideres', 'Jak', 'Bar', 'Warung', 'Hanging', 'Kojan', ' Please, 'Action', 'Nurse', 'Send', 'Email', 'Make', 'Customer', 'Disappointed', 'Customer', 'already', 'Pay', 'expensive', 'expensive' , 'Lose', 'signal', 'provider', 'please', 'repay', 'signal', 'network']</v>
      </c>
      <c r="D1647" s="3">
        <v>1.0</v>
      </c>
    </row>
    <row r="1648" ht="15.75" customHeight="1">
      <c r="A1648" s="1">
        <v>1646.0</v>
      </c>
      <c r="B1648" s="3" t="s">
        <v>1649</v>
      </c>
      <c r="C1648" s="3" t="str">
        <f>IFERROR(__xludf.DUMMYFUNCTION("GOOGLETRANSLATE(B1648,""id"",""en"")"),"['', 'has',' balance ',' pulse ',' RB ',' purchase ',' internet ',' night ',' for ',' RB ',' usage ',' internet ',' above ',' hours', 'and then', 'wear', 'clock', 'access',' internet ',' accessible ',' told ',' surpass', 'usage', 'daily', 'try', 'check', "&amp;"'leftover', 'quota', 'left', 'GB', 'fill', 'GB', 'check', 'leftover', 'balance', 'pulse', 'stay', 'rb ',' Where ',' leftover ',' balance ',' Raib ',' ']")</f>
        <v>['', 'has',' balance ',' pulse ',' RB ',' purchase ',' internet ',' night ',' for ',' RB ',' usage ',' internet ',' above ',' hours', 'and then', 'wear', 'clock', 'access',' internet ',' accessible ',' told ',' surpass', 'usage', 'daily', 'try', 'check', 'leftover', 'quota', 'left', 'GB', 'fill', 'GB', 'check', 'leftover', 'balance', 'pulse', 'stay', 'rb ',' Where ',' leftover ',' balance ',' Raib ',' ']</v>
      </c>
      <c r="D1648" s="3">
        <v>1.0</v>
      </c>
    </row>
    <row r="1649" ht="15.75" customHeight="1">
      <c r="A1649" s="1">
        <v>1647.0</v>
      </c>
      <c r="B1649" s="3" t="s">
        <v>1650</v>
      </c>
      <c r="C1649" s="3" t="str">
        <f>IFERROR(__xludf.DUMMYFUNCTION("GOOGLETRANSLATE(B1649,""id"",""en"")"),"['really', 'log', 'out', 'chek', 'his writing', 'connection', 'stable', 'application', 'safe', 'price', 'quota', 'expensive', ' network ',' stable ',' please ',' update ',' repaired ',' good ',' add ',' bad ',' ']")</f>
        <v>['really', 'log', 'out', 'chek', 'his writing', 'connection', 'stable', 'application', 'safe', 'price', 'quota', 'expensive', ' network ',' stable ',' please ',' update ',' repaired ',' good ',' add ',' bad ',' ']</v>
      </c>
      <c r="D1649" s="3">
        <v>1.0</v>
      </c>
    </row>
    <row r="1650" ht="15.75" customHeight="1">
      <c r="A1650" s="1">
        <v>1648.0</v>
      </c>
      <c r="B1650" s="3" t="s">
        <v>1651</v>
      </c>
      <c r="C1650" s="3" t="str">
        <f>IFERROR(__xludf.DUMMYFUNCTION("GOOGLETRANSLATE(B1650,""id"",""en"")"),"['', 'God', 'here', 'Hello', 'Bad', 'Pay', 'MAH', 'Pay', 'Sousal', 'ugly', 'Sadissss',' wasteful ',' fast ',' Abis', 'bills',' according to ',' limit ',' that's', 'disappointed']")</f>
        <v>['', 'God', 'here', 'Hello', 'Bad', 'Pay', 'MAH', 'Pay', 'Sousal', 'ugly', 'Sadissss',' wasteful ',' fast ',' Abis', 'bills',' according to ',' limit ',' that's', 'disappointed']</v>
      </c>
      <c r="D1650" s="3">
        <v>1.0</v>
      </c>
    </row>
    <row r="1651" ht="15.75" customHeight="1">
      <c r="A1651" s="1">
        <v>1649.0</v>
      </c>
      <c r="B1651" s="3" t="s">
        <v>1652</v>
      </c>
      <c r="C1651" s="3" t="str">
        <f>IFERROR(__xludf.DUMMYFUNCTION("GOOGLETRANSLATE(B1651,""id"",""en"")"),"['Update', 'quota', 'GB', 'Nahh', 'Update', 'Live', 'MB', 'Wonder', 'See', 'Application', 'Plus',' Open ',' Application ',' Error ',' appears', 'Notif', 'Game', 'Turbo', 'Customer', 'Telkomsel', 'The story', 'Delete', 'Delete', 'Mending' , 'Switch', 'card"&amp;"', '']")</f>
        <v>['Update', 'quota', 'GB', 'Nahh', 'Update', 'Live', 'MB', 'Wonder', 'See', 'Application', 'Plus',' Open ',' Application ',' Error ',' appears', 'Notif', 'Game', 'Turbo', 'Customer', 'Telkomsel', 'The story', 'Delete', 'Delete', 'Mending' , 'Switch', 'card', '']</v>
      </c>
      <c r="D1651" s="3">
        <v>1.0</v>
      </c>
    </row>
    <row r="1652" ht="15.75" customHeight="1">
      <c r="A1652" s="1">
        <v>1650.0</v>
      </c>
      <c r="B1652" s="3" t="s">
        <v>1653</v>
      </c>
      <c r="C1652" s="3" t="str">
        <f>IFERROR(__xludf.DUMMYFUNCTION("GOOGLETRANSLATE(B1652,""id"",""en"")"),"['ngelair', 'quota', 'made', 'expensive', 'limit', 'use', 'internet', 'for example', 'kayak', 'combo', 'sakti', 'feeling', ' Unlimited ',' Taunya ',' Limited ',' ']")</f>
        <v>['ngelair', 'quota', 'made', 'expensive', 'limit', 'use', 'internet', 'for example', 'kayak', 'combo', 'sakti', 'feeling', ' Unlimited ',' Taunya ',' Limited ',' ']</v>
      </c>
      <c r="D1652" s="3">
        <v>2.0</v>
      </c>
    </row>
    <row r="1653" ht="15.75" customHeight="1">
      <c r="A1653" s="1">
        <v>1651.0</v>
      </c>
      <c r="B1653" s="3" t="s">
        <v>1654</v>
      </c>
      <c r="C1653" s="3" t="str">
        <f>IFERROR(__xludf.DUMMYFUNCTION("GOOGLETRANSLATE(B1653,""id"",""en"")"),"['Credit', 'Kerllu', 'expensive', 'network', 'evenly', 'city', 'region', 'painful', 'please', 'Telkomsel', 'network', 'better', ' Expand ',' Network ',' Good ',' Special ',' Movers', 'Indonesia', ""]")</f>
        <v>['Credit', 'Kerllu', 'expensive', 'network', 'evenly', 'city', 'region', 'painful', 'please', 'Telkomsel', 'network', 'better', ' Expand ',' Network ',' Good ',' Special ',' Movers', 'Indonesia', "]</v>
      </c>
      <c r="D1653" s="3">
        <v>1.0</v>
      </c>
    </row>
    <row r="1654" ht="15.75" customHeight="1">
      <c r="A1654" s="1">
        <v>1652.0</v>
      </c>
      <c r="B1654" s="3" t="s">
        <v>1655</v>
      </c>
      <c r="C1654" s="3" t="str">
        <f>IFERROR(__xludf.DUMMYFUNCTION("GOOGLETRANSLATE(B1654,""id"",""en"")"),"['Sorry', 'Bintang', 'Pakain', 'Card', 'Telkomsel', 'Price', 'Quota', 'Pas',' Child ',' Student ',' Come ',' expensive ',' Quota ',' Multimedia ',' Open ',' WhatsApp ',' Line ',' Doang ',' Yesterday ',' Yesterday ',' Open ',' Game ',' Tiktok ',' Impressio"&amp;"n ',' What 'is' , 'Litu', 'quota', 'internet', 'locally', 'abis',' stay ',' quota ',' multimedia ',' doang ',' taste ',' bored ',' whatsapp ',' line ',' doang ',' please ',' quota ',' multimedia ',' open ',' google ',' game ',' whatsapp ', ""]")</f>
        <v>['Sorry', 'Bintang', 'Pakain', 'Card', 'Telkomsel', 'Price', 'Quota', 'Pas',' Child ',' Student ',' Come ',' expensive ',' Quota ',' Multimedia ',' Open ',' WhatsApp ',' Line ',' Doang ',' Yesterday ',' Yesterday ',' Open ',' Game ',' Tiktok ',' Impression ',' What 'is' , 'Litu', 'quota', 'internet', 'locally', 'abis',' stay ',' quota ',' multimedia ',' doang ',' taste ',' bored ',' whatsapp ',' line ',' doang ',' please ',' quota ',' multimedia ',' open ',' google ',' game ',' whatsapp ', "]</v>
      </c>
      <c r="D1654" s="3">
        <v>1.0</v>
      </c>
    </row>
    <row r="1655" ht="15.75" customHeight="1">
      <c r="A1655" s="1">
        <v>1653.0</v>
      </c>
      <c r="B1655" s="3" t="s">
        <v>1656</v>
      </c>
      <c r="C1655" s="3" t="str">
        <f>IFERROR(__xludf.DUMMYFUNCTION("GOOGLETRANSLATE(B1655,""id"",""en"")"),"['check', 'Mytsel', 'update', 'right', 'already', 'update', 'content', 'pulse', 'morning', 'June', 'Malem', 'entered', ' Change ',' card ',' sincere ',' pulses', 'access',' network ',' internet ',' destiny ',' use ',' card ',' suggest ',' use ',' tsel ' ,"&amp;" 'Problem', 'little', 'replace', 'directly', 'okay', 'congratulations', 'try', '']")</f>
        <v>['check', 'Mytsel', 'update', 'right', 'already', 'update', 'content', 'pulse', 'morning', 'June', 'Malem', 'entered', ' Change ',' card ',' sincere ',' pulses', 'access',' network ',' internet ',' destiny ',' use ',' card ',' suggest ',' use ',' tsel ' , 'Problem', 'little', 'replace', 'directly', 'okay', 'congratulations', 'try', '']</v>
      </c>
      <c r="D1655" s="3">
        <v>1.0</v>
      </c>
    </row>
    <row r="1656" ht="15.75" customHeight="1">
      <c r="A1656" s="1">
        <v>1654.0</v>
      </c>
      <c r="B1656" s="3" t="s">
        <v>1657</v>
      </c>
      <c r="C1656" s="3" t="str">
        <f>IFERROR(__xludf.DUMMYFUNCTION("GOOGLETRANSLATE(B1656,""id"",""en"")"),"['Telkomsel', 'loot', 'money', 'thousand', 'buy', 'package', 'contents',' direct ',' made ',' purchase ',' giga ',' fraud ',' ']")</f>
        <v>['Telkomsel', 'loot', 'money', 'thousand', 'buy', 'package', 'contents',' direct ',' made ',' purchase ',' giga ',' fraud ',' ']</v>
      </c>
      <c r="D1656" s="3">
        <v>1.0</v>
      </c>
    </row>
    <row r="1657" ht="15.75" customHeight="1">
      <c r="A1657" s="1">
        <v>1655.0</v>
      </c>
      <c r="B1657" s="3" t="s">
        <v>1658</v>
      </c>
      <c r="C1657" s="3" t="str">
        <f>IFERROR(__xludf.DUMMYFUNCTION("GOOGLETRANSLATE(B1657,""id"",""en"")"),"['Promise', 'APK', 'AHIR', 'My Life', 'APK', 'Old', 'Nida', 'Sakti', 'Kmu', 'People', 'Poor', 'Uninstall', ' APK ',' Suitable ',' People ',' ']")</f>
        <v>['Promise', 'APK', 'AHIR', 'My Life', 'APK', 'Old', 'Nida', 'Sakti', 'Kmu', 'People', 'Poor', 'Uninstall', ' APK ',' Suitable ',' People ',' ']</v>
      </c>
      <c r="D1657" s="3">
        <v>1.0</v>
      </c>
    </row>
    <row r="1658" ht="15.75" customHeight="1">
      <c r="A1658" s="1">
        <v>1656.0</v>
      </c>
      <c r="B1658" s="3" t="s">
        <v>1659</v>
      </c>
      <c r="C1658" s="3" t="str">
        <f>IFERROR(__xludf.DUMMYFUNCTION("GOOGLETRANSLATE(B1658,""id"",""en"")"),"['card', 'unlimited', 'TPI', 'Main', 'Application', 'Instagram', 'Tiktok', 'Facebook', 'Main', 'Game', 'Like', 'Ngelag', ' Telkomsel ']")</f>
        <v>['card', 'unlimited', 'TPI', 'Main', 'Application', 'Instagram', 'Tiktok', 'Facebook', 'Main', 'Game', 'Like', 'Ngelag', ' Telkomsel ']</v>
      </c>
      <c r="D1658" s="3">
        <v>1.0</v>
      </c>
    </row>
    <row r="1659" ht="15.75" customHeight="1">
      <c r="A1659" s="1">
        <v>1657.0</v>
      </c>
      <c r="B1659" s="3" t="s">
        <v>1660</v>
      </c>
      <c r="C1659" s="3" t="str">
        <f>IFERROR(__xludf.DUMMYFUNCTION("GOOGLETRANSLATE(B1659,""id"",""en"")"),"['Love', 'star', 'because', 'quota', 'abis',' warning ',' ama ',' purpose ',' how ',' pulses', 'sumps',' Gara ',' Gara ',' ginian ',' responsibility ']")</f>
        <v>['Love', 'star', 'because', 'quota', 'abis',' warning ',' ama ',' purpose ',' how ',' pulses', 'sumps',' Gara ',' Gara ',' ginian ',' responsibility ']</v>
      </c>
      <c r="D1659" s="3">
        <v>1.0</v>
      </c>
    </row>
    <row r="1660" ht="15.75" customHeight="1">
      <c r="A1660" s="1">
        <v>1658.0</v>
      </c>
      <c r="B1660" s="3" t="s">
        <v>1661</v>
      </c>
      <c r="C1660" s="3" t="str">
        <f>IFERROR(__xludf.DUMMYFUNCTION("GOOGLETRANSLATE(B1660,""id"",""en"")"),"['How', 'enter', 'number', 'woy', 'cave', 'already', 'install', 'times',' spice ',' spend ',' quota ',' apk ',' Telkomsel ',' Ribet ',' Gajelas', 'Aing', 'Nginstall', 'Babarara', 'Times',' Severe ',' Nipu ',' Liat ',' Condition ',' Severe ',' Try ' , 'Elo"&amp;"', 'cheated', 'what']")</f>
        <v>['How', 'enter', 'number', 'woy', 'cave', 'already', 'install', 'times',' spice ',' spend ',' quota ',' apk ',' Telkomsel ',' Ribet ',' Gajelas', 'Aing', 'Nginstall', 'Babarara', 'Times',' Severe ',' Nipu ',' Liat ',' Condition ',' Severe ',' Try ' , 'Elo', 'cheated', 'what']</v>
      </c>
      <c r="D1660" s="3">
        <v>1.0</v>
      </c>
    </row>
    <row r="1661" ht="15.75" customHeight="1">
      <c r="A1661" s="1">
        <v>1659.0</v>
      </c>
      <c r="B1661" s="3" t="s">
        <v>1662</v>
      </c>
      <c r="C1661" s="3" t="str">
        <f>IFERROR(__xludf.DUMMYFUNCTION("GOOGLETRANSLATE(B1661,""id"",""en"")"),"['wow', 'quota', 'fill in', 'speed', 'dtk', 'server', 'suggest', 'use', 'card', '']")</f>
        <v>['wow', 'quota', 'fill in', 'speed', 'dtk', 'server', 'suggest', 'use', 'card', '']</v>
      </c>
      <c r="D1661" s="3">
        <v>1.0</v>
      </c>
    </row>
    <row r="1662" ht="15.75" customHeight="1">
      <c r="A1662" s="1">
        <v>1660.0</v>
      </c>
      <c r="B1662" s="3" t="s">
        <v>1663</v>
      </c>
      <c r="C1662" s="3" t="str">
        <f>IFERROR(__xludf.DUMMYFUNCTION("GOOGLETRANSLATE(B1662,""id"",""en"")"),"['Provider', 'Sultan', 'Maen', 'Nambah', 'Sin', 'lips',' patient ',' hold ',' buy ',' expensive ',' internet ',' tangible ',' Sometimes', 'Sampe', 'crying', 'Karna', 'Season', 'lag', 'Mulu', 'Dikatin', 'Team', 'Thank you', 'Telkom']")</f>
        <v>['Provider', 'Sultan', 'Maen', 'Nambah', 'Sin', 'lips',' patient ',' hold ',' buy ',' expensive ',' internet ',' tangible ',' Sometimes', 'Sampe', 'crying', 'Karna', 'Season', 'lag', 'Mulu', 'Dikatin', 'Team', 'Thank you', 'Telkom']</v>
      </c>
      <c r="D1662" s="3">
        <v>1.0</v>
      </c>
    </row>
    <row r="1663" ht="15.75" customHeight="1">
      <c r="A1663" s="1">
        <v>1661.0</v>
      </c>
      <c r="B1663" s="3" t="s">
        <v>1664</v>
      </c>
      <c r="C1663" s="3" t="str">
        <f>IFERROR(__xludf.DUMMYFUNCTION("GOOGLETRANSLATE(B1663,""id"",""en"")"),"['BLLI', 'Package', 'YouTube', 'Thinking', 'Gunain', 'Application', 'YouTube', 'Browser', 'Laen', 'padah', 'Package', 'Active', ' Oath ',' Credit ',' wasted ',' Sia ',' Sia ', ""]")</f>
        <v>['BLLI', 'Package', 'YouTube', 'Thinking', 'Gunain', 'Application', 'YouTube', 'Browser', 'Laen', 'padah', 'Package', 'Active', ' Oath ',' Credit ',' wasted ',' Sia ',' Sia ', "]</v>
      </c>
      <c r="D1663" s="3">
        <v>1.0</v>
      </c>
    </row>
    <row r="1664" ht="15.75" customHeight="1">
      <c r="A1664" s="1">
        <v>1662.0</v>
      </c>
      <c r="B1664" s="3" t="s">
        <v>1665</v>
      </c>
      <c r="C1664" s="3" t="str">
        <f>IFERROR(__xludf.DUMMYFUNCTION("GOOGLETRANSLATE(B1664,""id"",""en"")"),"['ilang', 'sms',' ilang ',' how ',' update ',' make ',' error ',' complicated ',' amet ',' entry ',' already ',' list ',' ']")</f>
        <v>['ilang', 'sms',' ilang ',' how ',' update ',' make ',' error ',' complicated ',' amet ',' entry ',' already ',' list ',' ']</v>
      </c>
      <c r="D1664" s="3">
        <v>1.0</v>
      </c>
    </row>
    <row r="1665" ht="15.75" customHeight="1">
      <c r="A1665" s="1">
        <v>1663.0</v>
      </c>
      <c r="B1665" s="3" t="s">
        <v>1666</v>
      </c>
      <c r="C1665" s="3" t="str">
        <f>IFERROR(__xludf.DUMMYFUNCTION("GOOGLETRANSLATE(B1665,""id"",""en"")"),"['Disappointed', 'Telkomsel', 'Login', 'Hard', 'Already', 'Link', 'Opened', 'Already', 'Copy', 'NGK', 'Open', 'Disappointed', ' Disappointed ',' disappointed ',' Please ',' repaired ',' ']")</f>
        <v>['Disappointed', 'Telkomsel', 'Login', 'Hard', 'Already', 'Link', 'Opened', 'Already', 'Copy', 'NGK', 'Open', 'Disappointed', ' Disappointed ',' disappointed ',' Please ',' repaired ',' ']</v>
      </c>
      <c r="D1665" s="3">
        <v>2.0</v>
      </c>
    </row>
    <row r="1666" ht="15.75" customHeight="1">
      <c r="A1666" s="1">
        <v>1664.0</v>
      </c>
      <c r="B1666" s="3" t="s">
        <v>1667</v>
      </c>
      <c r="C1666" s="3" t="str">
        <f>IFERROR(__xludf.DUMMYFUNCTION("GOOGLETRANSLATE(B1666,""id"",""en"")"),"['Telkomsel', 'Telkomsel', 'BURIK', 'Try', 'Fixed', 'Wonder', 'Telkomsel', 'Ngurinkin', 'Covid', 'Ngurinkin', 'Signal', ""]")</f>
        <v>['Telkomsel', 'Telkomsel', 'BURIK', 'Try', 'Fixed', 'Wonder', 'Telkomsel', 'Ngurinkin', 'Covid', 'Ngurinkin', 'Signal', "]</v>
      </c>
      <c r="D1666" s="3">
        <v>1.0</v>
      </c>
    </row>
    <row r="1667" ht="15.75" customHeight="1">
      <c r="A1667" s="1">
        <v>1665.0</v>
      </c>
      <c r="B1667" s="3" t="s">
        <v>1668</v>
      </c>
      <c r="C1667" s="3" t="str">
        <f>IFERROR(__xludf.DUMMYFUNCTION("GOOGLETRANSLATE(B1667,""id"",""en"")"),"['Sad', 'really', 'network', 'Nge', 'game', 'jump', 'lose', 'provider', 'next door', 'ad', 'network', 'stable', ' Plosok ',' cave ',' city ',' difficult ',' tempekk ']")</f>
        <v>['Sad', 'really', 'network', 'Nge', 'game', 'jump', 'lose', 'provider', 'next door', 'ad', 'network', 'stable', ' Plosok ',' cave ',' city ',' difficult ',' tempekk ']</v>
      </c>
      <c r="D1667" s="3">
        <v>1.0</v>
      </c>
    </row>
    <row r="1668" ht="15.75" customHeight="1">
      <c r="A1668" s="1">
        <v>1666.0</v>
      </c>
      <c r="B1668" s="3" t="s">
        <v>1669</v>
      </c>
      <c r="C1668" s="3" t="str">
        <f>IFERROR(__xludf.DUMMYFUNCTION("GOOGLETRANSLATE(B1668,""id"",""en"")"),"['Hello', 'Telkomsel', 'application', 'application', 'login', 'network', 'stable', 'connection', 'internet', 'bad', 'description', 'bug', ' repaired ',' error ']")</f>
        <v>['Hello', 'Telkomsel', 'application', 'application', 'login', 'network', 'stable', 'connection', 'internet', 'bad', 'description', 'bug', ' repaired ',' error ']</v>
      </c>
      <c r="D1668" s="3">
        <v>1.0</v>
      </c>
    </row>
    <row r="1669" ht="15.75" customHeight="1">
      <c r="A1669" s="1">
        <v>1667.0</v>
      </c>
      <c r="B1669" s="3" t="s">
        <v>1670</v>
      </c>
      <c r="C1669" s="3" t="str">
        <f>IFERROR(__xludf.DUMMYFUNCTION("GOOGLETRANSLATE(B1669,""id"",""en"")"),"['application', 'open', 'minutes', 'update', 'repeat', 'please', 'fix']")</f>
        <v>['application', 'open', 'minutes', 'update', 'repeat', 'please', 'fix']</v>
      </c>
      <c r="D1669" s="3">
        <v>2.0</v>
      </c>
    </row>
    <row r="1670" ht="15.75" customHeight="1">
      <c r="A1670" s="1">
        <v>1668.0</v>
      </c>
      <c r="B1670" s="3" t="s">
        <v>1671</v>
      </c>
      <c r="C1670" s="3" t="str">
        <f>IFERROR(__xludf.DUMMYFUNCTION("GOOGLETRANSLATE(B1670,""id"",""en"")"),"['Bad', 'Network', 'Telkomsel', 'Dibldin', 'Continuous',' Moving ',' People ',' People ',' Card ',' Please ',' Repaired ',' Cart ',' People ',' Thank you ', ""]")</f>
        <v>['Bad', 'Network', 'Telkomsel', 'Dibldin', 'Continuous',' Moving ',' People ',' People ',' Card ',' Please ',' Repaired ',' Cart ',' People ',' Thank you ', "]</v>
      </c>
      <c r="D1670" s="3">
        <v>1.0</v>
      </c>
    </row>
    <row r="1671" ht="15.75" customHeight="1">
      <c r="A1671" s="1">
        <v>1669.0</v>
      </c>
      <c r="B1671" s="3" t="s">
        <v>1672</v>
      </c>
      <c r="C1671" s="3" t="str">
        <f>IFERROR(__xludf.DUMMYFUNCTION("GOOGLETRANSLATE(B1671,""id"",""en"")"),"['Disappointed', 'Telkomsel', 'it costs',' expensive ',' according to ',' it costs', 'cost', 'expensive', 'quality', 'cheap', 'please', 'repaired', ' ']")</f>
        <v>['Disappointed', 'Telkomsel', 'it costs',' expensive ',' according to ',' it costs', 'cost', 'expensive', 'quality', 'cheap', 'please', 'repaired', ' ']</v>
      </c>
      <c r="D1671" s="3">
        <v>1.0</v>
      </c>
    </row>
    <row r="1672" ht="15.75" customHeight="1">
      <c r="A1672" s="1">
        <v>1670.0</v>
      </c>
      <c r="B1672" s="3" t="s">
        <v>1673</v>
      </c>
      <c r="C1672" s="3" t="str">
        <f>IFERROR(__xludf.DUMMYFUNCTION("GOOGLETRANSLATE(B1672,""id"",""en"")"),"['Wonder', 'buy', 'package', 'package', 'sosmed', 'youtube', 'etc.', 'used', 'quota', 'main', 'package', 'disappointed', ' heavy']")</f>
        <v>['Wonder', 'buy', 'package', 'package', 'sosmed', 'youtube', 'etc.', 'used', 'quota', 'main', 'package', 'disappointed', ' heavy']</v>
      </c>
      <c r="D1672" s="3">
        <v>1.0</v>
      </c>
    </row>
    <row r="1673" ht="15.75" customHeight="1">
      <c r="A1673" s="1">
        <v>1671.0</v>
      </c>
      <c r="B1673" s="3" t="s">
        <v>1674</v>
      </c>
      <c r="C1673" s="3" t="str">
        <f>IFERROR(__xludf.DUMMYFUNCTION("GOOGLETRANSLATE(B1673,""id"",""en"")"),"['Useful', 'Check', 'Quota', 'Lined', 'Dear', 'Logout', 'Verification', 'Re-verification', 'Verifikasi', 'SMS', 'Enter', 'Facebook', ' account ',' googlenya ',' function ',' failed ',' ']")</f>
        <v>['Useful', 'Check', 'Quota', 'Lined', 'Dear', 'Logout', 'Verification', 'Re-verification', 'Verifikasi', 'SMS', 'Enter', 'Facebook', ' account ',' googlenya ',' function ',' failed ',' ']</v>
      </c>
      <c r="D1673" s="3">
        <v>2.0</v>
      </c>
    </row>
    <row r="1674" ht="15.75" customHeight="1">
      <c r="A1674" s="1">
        <v>1672.0</v>
      </c>
      <c r="B1674" s="3" t="s">
        <v>1675</v>
      </c>
      <c r="C1674" s="3" t="str">
        <f>IFERROR(__xludf.DUMMYFUNCTION("GOOGLETRANSLATE(B1674,""id"",""en"")"),"['Gini', 'buy', 'pulse', 'open', 'Telkomsel', 'buy', 'package', 'message', 'pulse', 'right', 'check', 'reduced', ' pulses', 'package', 'enter', 'pulse', 'how', '']")</f>
        <v>['Gini', 'buy', 'pulse', 'open', 'Telkomsel', 'buy', 'package', 'message', 'pulse', 'right', 'check', 'reduced', ' pulses', 'package', 'enter', 'pulse', 'how', '']</v>
      </c>
      <c r="D1674" s="3">
        <v>1.0</v>
      </c>
    </row>
    <row r="1675" ht="15.75" customHeight="1">
      <c r="A1675" s="1">
        <v>1673.0</v>
      </c>
      <c r="B1675" s="3" t="s">
        <v>1676</v>
      </c>
      <c r="C1675" s="3" t="str">
        <f>IFERROR(__xludf.DUMMYFUNCTION("GOOGLETRANSLATE(B1675,""id"",""en"")"),"['', 'Komennyh', 'Kyk', 'Bener', 'signs',' Nyh ',' kgk ',' Udh ',' Telkom ',' card ',' sultan ',' expensive ',' signal ',' Depends', 'Nyh', ""]")</f>
        <v>['', 'Komennyh', 'Kyk', 'Bener', 'signs',' Nyh ',' kgk ',' Udh ',' Telkom ',' card ',' sultan ',' expensive ',' signal ',' Depends', 'Nyh', "]</v>
      </c>
      <c r="D1675" s="3">
        <v>5.0</v>
      </c>
    </row>
    <row r="1676" ht="15.75" customHeight="1">
      <c r="A1676" s="1">
        <v>1674.0</v>
      </c>
      <c r="B1676" s="3" t="s">
        <v>1677</v>
      </c>
      <c r="C1676" s="3" t="str">
        <f>IFERROR(__xludf.DUMMYFUNCTION("GOOGLETRANSLATE(B1676,""id"",""en"")"),"['already', 'update', 'difficult', 'really', 'log', 'ribetttttt', 'then', 'quota', 'unlimited', 'dibitorahin', 'name', 'unlimited', ' Bambang ',' Cepett ',' Abisnya ',' weird ',' Hadehhhh ',' already ',' expensive ',' network ',' sometimes', 'jelyk', 'knp"&amp;"', 'here', 'jelyk' , 'Nkyi', 'customers',' disappointed ',' moved ',' provider ',' cheap ',' quality ',' beg ',' read ',' repaired ',' yes', 'Telkomsel', ' No ',' next ',' left ',' customer ',' switch ',' provider ',' ']")</f>
        <v>['already', 'update', 'difficult', 'really', 'log', 'ribetttttt', 'then', 'quota', 'unlimited', 'dibitorahin', 'name', 'unlimited', ' Bambang ',' Cepett ',' Abisnya ',' weird ',' Hadehhhh ',' already ',' expensive ',' network ',' sometimes', 'jelyk', 'knp', 'here', 'jelyk' , 'Nkyi', 'customers',' disappointed ',' moved ',' provider ',' cheap ',' quality ',' beg ',' read ',' repaired ',' yes', 'Telkomsel', ' No ',' next ',' left ',' customer ',' switch ',' provider ',' ']</v>
      </c>
      <c r="D1676" s="3">
        <v>1.0</v>
      </c>
    </row>
    <row r="1677" ht="15.75" customHeight="1">
      <c r="A1677" s="1">
        <v>1675.0</v>
      </c>
      <c r="B1677" s="3" t="s">
        <v>1678</v>
      </c>
      <c r="C1677" s="3" t="str">
        <f>IFERROR(__xludf.DUMMYFUNCTION("GOOGLETRANSLATE(B1677,""id"",""en"")"),"['', 'use', 'Telkomsel', 'yrs',' hrg ',' card ',' msh ',' believe ',' satisfied ',' service ',' network ',' times', 'disappointed ',' Telkomsel ',' network ',' increasingly ',' ugly ',' price ',' quota ',' expensive ',' division ',' kuotax ',' baxk ',' lb"&amp;"h ',' baxk ', 'Mubasir', 'DRPD', 'used', 'service', 'convenience', 'comfort', 'consumers',' by one ',' delete ',' like ',' combo ',' mania ',' etc. ',' CLOPUN ',' Seizex ',' Price ',' Excellent ',' then ',' Distribution ',' Quota ',' Disappointed ', ""]")</f>
        <v>['', 'use', 'Telkomsel', 'yrs',' hrg ',' card ',' msh ',' believe ',' satisfied ',' service ',' network ',' times', 'disappointed ',' Telkomsel ',' network ',' increasingly ',' ugly ',' price ',' quota ',' expensive ',' division ',' kuotax ',' baxk ',' lbh ',' baxk ', 'Mubasir', 'DRPD', 'used', 'service', 'convenience', 'comfort', 'consumers',' by one ',' delete ',' like ',' combo ',' mania ',' etc. ',' CLOPUN ',' Seizex ',' Price ',' Excellent ',' then ',' Distribution ',' Quota ',' Disappointed ', "]</v>
      </c>
      <c r="D1677" s="3">
        <v>1.0</v>
      </c>
    </row>
    <row r="1678" ht="15.75" customHeight="1">
      <c r="A1678" s="1">
        <v>1676.0</v>
      </c>
      <c r="B1678" s="3" t="s">
        <v>1679</v>
      </c>
      <c r="C1678" s="3" t="str">
        <f>IFERROR(__xludf.DUMMYFUNCTION("GOOGLETRANSLATE(B1678,""id"",""en"")"),"['Application', 'Logout', 'Action', 'Logout', 'Manual', 'Credit', 'Quota', 'Login', 'Sometimes',' Nerima ',' Link ',' Login ',' Slow ',' streamline ',' ']")</f>
        <v>['Application', 'Logout', 'Action', 'Logout', 'Manual', 'Credit', 'Quota', 'Login', 'Sometimes',' Nerima ',' Link ',' Login ',' Slow ',' streamline ',' ']</v>
      </c>
      <c r="D1678" s="3">
        <v>3.0</v>
      </c>
    </row>
    <row r="1679" ht="15.75" customHeight="1">
      <c r="A1679" s="1">
        <v>1677.0</v>
      </c>
      <c r="B1679" s="3" t="s">
        <v>1680</v>
      </c>
      <c r="C1679" s="3" t="str">
        <f>IFERROR(__xludf.DUMMYFUNCTION("GOOGLETRANSLATE(B1679,""id"",""en"")"),"['here', 'Telkomsel', 'bad', 'expensive', 'quota', 'abis',' moved ',' telkom ',' unlimited ',' until ',' no ',' limit ',' Limitation ',' network ',' okay ',' ugly ',' gapapa ',' quota ',' right ',' gabisa ',' please ',' repaired ',' thank you ']")</f>
        <v>['here', 'Telkomsel', 'bad', 'expensive', 'quota', 'abis',' moved ',' telkom ',' unlimited ',' until ',' no ',' limit ',' Limitation ',' network ',' okay ',' ugly ',' gapapa ',' quota ',' right ',' gabisa ',' please ',' repaired ',' thank you ']</v>
      </c>
      <c r="D1679" s="3">
        <v>3.0</v>
      </c>
    </row>
    <row r="1680" ht="15.75" customHeight="1">
      <c r="A1680" s="1">
        <v>1678.0</v>
      </c>
      <c r="B1680" s="3" t="s">
        <v>1681</v>
      </c>
      <c r="C1680" s="3" t="str">
        <f>IFERROR(__xludf.DUMMYFUNCTION("GOOGLETRANSLATE(B1680,""id"",""en"")"),"['Your', 'apps',' and ',' Your ',' connection ',' suck ',' here ',' connection ',' drop ',' signal ',' full ',' network ',' people ',' buy ',' quota ',' expensive ',' service ',' internet ',' zero ',' network ',' network ',' kayak ',' snail ',' connection"&amp;" ',' repay ' , 'Infrastructur', 'Network', '']")</f>
        <v>['Your', 'apps',' and ',' Your ',' connection ',' suck ',' here ',' connection ',' drop ',' signal ',' full ',' network ',' people ',' buy ',' quota ',' expensive ',' service ',' internet ',' zero ',' network ',' network ',' kayak ',' snail ',' connection ',' repay ' , 'Infrastructur', 'Network', '']</v>
      </c>
      <c r="D1680" s="3">
        <v>1.0</v>
      </c>
    </row>
    <row r="1681" ht="15.75" customHeight="1">
      <c r="A1681" s="1">
        <v>1679.0</v>
      </c>
      <c r="B1681" s="3" t="s">
        <v>1682</v>
      </c>
      <c r="C1681" s="3" t="str">
        <f>IFERROR(__xludf.DUMMYFUNCTION("GOOGLETRANSLATE(B1681,""id"",""en"")"),"['service', 'satisfying', 'quality', 'signal', 'strong', 'inland', 'hope', 'Telkomsel', 'service', 'best', 'users', ""]")</f>
        <v>['service', 'satisfying', 'quality', 'signal', 'strong', 'inland', 'hope', 'Telkomsel', 'service', 'best', 'users', "]</v>
      </c>
      <c r="D1681" s="3">
        <v>5.0</v>
      </c>
    </row>
    <row r="1682" ht="15.75" customHeight="1">
      <c r="A1682" s="1">
        <v>1680.0</v>
      </c>
      <c r="B1682" s="3" t="s">
        <v>1683</v>
      </c>
      <c r="C1682" s="3" t="str">
        <f>IFERROR(__xludf.DUMMYFUNCTION("GOOGLETRANSLATE(B1682,""id"",""en"")"),"['network', 'Telkomsel', 'help', 'browsing', 'sosmed', 'tissue', 'fast', 'appeal', 'Yuk', 'Telkomsel', 'speed', 'network', ' Appeal ',' Brand ',' ']")</f>
        <v>['network', 'Telkomsel', 'help', 'browsing', 'sosmed', 'tissue', 'fast', 'appeal', 'Yuk', 'Telkomsel', 'speed', 'network', ' Appeal ',' Brand ',' ']</v>
      </c>
      <c r="D1682" s="3">
        <v>5.0</v>
      </c>
    </row>
    <row r="1683" ht="15.75" customHeight="1">
      <c r="A1683" s="1">
        <v>1681.0</v>
      </c>
      <c r="B1683" s="3" t="s">
        <v>1684</v>
      </c>
      <c r="C1683" s="3" t="str">
        <f>IFERROR(__xludf.DUMMYFUNCTION("GOOGLETRANSLATE(B1683,""id"",""en"")"),"['Telkomsel', 'skarang', 'bokbrok', 'already', 'network', 'slow', 'pulse', 'ilang', 'pdahal', 'follow', 'game', 'sms',' Quiz ',' Amanda ',' SMS ',' Credit ',' Cut ',' Unreg ',' Termbah ',' wasteful ',' pulses', ""]")</f>
        <v>['Telkomsel', 'skarang', 'bokbrok', 'already', 'network', 'slow', 'pulse', 'ilang', 'pdahal', 'follow', 'game', 'sms',' Quiz ',' Amanda ',' SMS ',' Credit ',' Cut ',' Unreg ',' Termbah ',' wasteful ',' pulses', "]</v>
      </c>
      <c r="D1683" s="3">
        <v>1.0</v>
      </c>
    </row>
    <row r="1684" ht="15.75" customHeight="1">
      <c r="A1684" s="1">
        <v>1682.0</v>
      </c>
      <c r="B1684" s="3" t="s">
        <v>1685</v>
      </c>
      <c r="C1684" s="3" t="str">
        <f>IFERROR(__xludf.DUMMYFUNCTION("GOOGLETRANSLATE(B1684,""id"",""en"")"),"['pulse', 'truncated', 'notification', 'SMS', 'service', 'fill', 'just', 'service', 'cloudmax', 'service', 'cloudmax', 'piece', ' Until ',' that's', 'Please', 'Telkomsel', 'Fix', 'SMS', 'Service', 'Customer', 'Telkomsel', 'Bad', 'Service']")</f>
        <v>['pulse', 'truncated', 'notification', 'SMS', 'service', 'fill', 'just', 'service', 'cloudmax', 'service', 'cloudmax', 'piece', ' Until ',' that's', 'Please', 'Telkomsel', 'Fix', 'SMS', 'Service', 'Customer', 'Telkomsel', 'Bad', 'Service']</v>
      </c>
      <c r="D1684" s="3">
        <v>1.0</v>
      </c>
    </row>
    <row r="1685" ht="15.75" customHeight="1">
      <c r="A1685" s="1">
        <v>1683.0</v>
      </c>
      <c r="B1685" s="3" t="s">
        <v>1686</v>
      </c>
      <c r="C1685" s="3" t="str">
        <f>IFERROR(__xludf.DUMMYFUNCTION("GOOGLETRANSLATE(B1685,""id"",""en"")"),"['Sorry', 'Sis',' Writing ',' complaints', 'update', 'smooth', 'difficult', 'used', 'APK', 'buy', 'package', 'Nggk', ' Successful ',' already ',' Nggk ',' notice ',' package ',' SUCCESS ',' NGGK ',' Credit ',' Sumpot ',' yes', 'Honest', 'Disappointed', 'r"&amp;"eally' , 'Please', 'repaired', 'Sis', 'in the future', 'Thanks', ""]")</f>
        <v>['Sorry', 'Sis',' Writing ',' complaints', 'update', 'smooth', 'difficult', 'used', 'APK', 'buy', 'package', 'Nggk', ' Successful ',' already ',' Nggk ',' notice ',' package ',' SUCCESS ',' NGGK ',' Credit ',' Sumpot ',' yes', 'Honest', 'Disappointed', 'really' , 'Please', 'repaired', 'Sis', 'in the future', 'Thanks', "]</v>
      </c>
      <c r="D1685" s="3">
        <v>1.0</v>
      </c>
    </row>
    <row r="1686" ht="15.75" customHeight="1">
      <c r="A1686" s="1">
        <v>1684.0</v>
      </c>
      <c r="B1686" s="3" t="s">
        <v>1687</v>
      </c>
      <c r="C1686" s="3" t="str">
        <f>IFERROR(__xludf.DUMMYFUNCTION("GOOGLETRANSLATE(B1686,""id"",""en"")"),"['user', 'enjoy', 'service', 'Telkomsel', 'signal', 'network', 'Telkomsel', 'stable', 'price', 'expensive', 'most', 'discount', ' Price ',' quota ',' etc. ',' Mbps', 'derived']")</f>
        <v>['user', 'enjoy', 'service', 'Telkomsel', 'signal', 'network', 'Telkomsel', 'stable', 'price', 'expensive', 'most', 'discount', ' Price ',' quota ',' etc. ',' Mbps', 'derived']</v>
      </c>
      <c r="D1686" s="3">
        <v>3.0</v>
      </c>
    </row>
    <row r="1687" ht="15.75" customHeight="1">
      <c r="A1687" s="1">
        <v>1685.0</v>
      </c>
      <c r="B1687" s="3" t="s">
        <v>1688</v>
      </c>
      <c r="C1687" s="3" t="str">
        <f>IFERROR(__xludf.DUMMYFUNCTION("GOOGLETRANSLATE(B1687,""id"",""en"")"),"['Telkomsel', 'network', 'stable', 'difficult', 'ngegame', 'online', '']")</f>
        <v>['Telkomsel', 'network', 'stable', 'difficult', 'ngegame', 'online', '']</v>
      </c>
      <c r="D1687" s="3">
        <v>1.0</v>
      </c>
    </row>
    <row r="1688" ht="15.75" customHeight="1">
      <c r="A1688" s="1">
        <v>1686.0</v>
      </c>
      <c r="B1688" s="3" t="s">
        <v>1689</v>
      </c>
      <c r="C1688" s="3" t="str">
        <f>IFERROR(__xludf.DUMMYFUNCTION("GOOGLETRANSLATE(B1688,""id"",""en"")"),"['Contents',' pulse ',' buy ',' package ',' thousand ',' his writing ',' credit ',' sufficient ',' already ',' pulse ',' Telkomsel ',' disappointing ',' ']")</f>
        <v>['Contents',' pulse ',' buy ',' package ',' thousand ',' his writing ',' credit ',' sufficient ',' already ',' pulse ',' Telkomsel ',' disappointing ',' ']</v>
      </c>
      <c r="D1688" s="3">
        <v>1.0</v>
      </c>
    </row>
    <row r="1689" ht="15.75" customHeight="1">
      <c r="A1689" s="1">
        <v>1687.0</v>
      </c>
      <c r="B1689" s="3" t="s">
        <v>1690</v>
      </c>
      <c r="C1689" s="3" t="str">
        <f>IFERROR(__xludf.DUMMYFUNCTION("GOOGLETRANSLATE(B1689,""id"",""en"")"),"['already', 'a week', 'open', 'application', 'Telkomsel', 'there', 'told', 'log', 'already', 'followed', 'then', 'sms',' Have ',' Click ',' Link ',' Already ',' Followed ',' Opened ',' Have ',' BUY ',' New ',' Card ',' I mean ',' Sii ',' Have ' , 'replace"&amp;"', 'card', 'that's', 'Please', 'explanation']")</f>
        <v>['already', 'a week', 'open', 'application', 'Telkomsel', 'there', 'told', 'log', 'already', 'followed', 'then', 'sms',' Have ',' Click ',' Link ',' Already ',' Followed ',' Opened ',' Have ',' BUY ',' New ',' Card ',' I mean ',' Sii ',' Have ' , 'replace', 'card', 'that's', 'Please', 'explanation']</v>
      </c>
      <c r="D1689" s="3">
        <v>1.0</v>
      </c>
    </row>
    <row r="1690" ht="15.75" customHeight="1">
      <c r="A1690" s="1">
        <v>1688.0</v>
      </c>
      <c r="B1690" s="3" t="s">
        <v>1691</v>
      </c>
      <c r="C1690" s="3" t="str">
        <f>IFERROR(__xludf.DUMMYFUNCTION("GOOGLETRANSLATE(B1690,""id"",""en"")"),"['', 'THN', 'PKE', 'TLKOMSEL', 'KNP', 'BKN', 'Termbah', 'Bagus',' Internet ',' lag ',' pdhl ',' signal ',' Package ',' Full ',' strange ',' kdng ',' bbrapa ',' clock ',' access', 'internet', 'please', 'telkomsel', 'repaired', 'your package', 'expensive', "&amp;"'Jngn', 'smpe', 'replace', 'provider', '']")</f>
        <v>['', 'THN', 'PKE', 'TLKOMSEL', 'KNP', 'BKN', 'Termbah', 'Bagus',' Internet ',' lag ',' pdhl ',' signal ',' Package ',' Full ',' strange ',' kdng ',' bbrapa ',' clock ',' access', 'internet', 'please', 'telkomsel', 'repaired', 'your package', 'expensive', 'Jngn', 'smpe', 'replace', 'provider', '']</v>
      </c>
      <c r="D1690" s="3">
        <v>3.0</v>
      </c>
    </row>
    <row r="1691" ht="15.75" customHeight="1">
      <c r="A1691" s="1">
        <v>1689.0</v>
      </c>
      <c r="B1691" s="3" t="s">
        <v>1692</v>
      </c>
      <c r="C1691" s="3" t="str">
        <f>IFERROR(__xludf.DUMMYFUNCTION("GOOGLETRANSLATE(B1691,""id"",""en"")"),"['Wonder', 'Telkomsel', 'Busy', 'Gonta', 'Change', 'Check', 'FLS', 'Check', 'Package', 'User', 'Telkomsel', 'Ribet', ' good ',' search ',' gini ',' already ',' replace ',' telkomsel ',' porn ',' plan ',' ']")</f>
        <v>['Wonder', 'Telkomsel', 'Busy', 'Gonta', 'Change', 'Check', 'FLS', 'Check', 'Package', 'User', 'Telkomsel', 'Ribet', ' good ',' search ',' gini ',' already ',' replace ',' telkomsel ',' porn ',' plan ',' ']</v>
      </c>
      <c r="D1691" s="3">
        <v>1.0</v>
      </c>
    </row>
    <row r="1692" ht="15.75" customHeight="1">
      <c r="A1692" s="1">
        <v>1690.0</v>
      </c>
      <c r="B1692" s="3" t="s">
        <v>1693</v>
      </c>
      <c r="C1692" s="3" t="str">
        <f>IFERROR(__xludf.DUMMYFUNCTION("GOOGLETRANSLATE(B1692,""id"",""en"")"),"['Hold', 'ssuat', 'make', 'coin', 'pulse', 'HDiah', 'laen', 'tambahkan', 'smack', 'task', 'daily', 'game', ' Lottery ',' Hnya ',' sgelintir ',' orng ',' mtiknya ',' jga ',' customer ',' protect ',' paid ',' please ',' internet ',' customized ' , 'expensiv"&amp;"e', 'bnget', 'like', 'product', 'tragolong', 'circles',' ber ',' money ',' mmbeli ',' mmbeli ',' package ',' data ',' Phone ',' Dngan ',' Price ',' Stinggi ',' Mhon ',' IMBSIBLE ',' ']")</f>
        <v>['Hold', 'ssuat', 'make', 'coin', 'pulse', 'HDiah', 'laen', 'tambahkan', 'smack', 'task', 'daily', 'game', ' Lottery ',' Hnya ',' sgelintir ',' orng ',' mtiknya ',' jga ',' customer ',' protect ',' paid ',' please ',' internet ',' customized ' , 'expensive', 'bnget', 'like', 'product', 'tragolong', 'circles',' ber ',' money ',' mmbeli ',' mmbeli ',' package ',' data ',' Phone ',' Dngan ',' Price ',' Stinggi ',' Mhon ',' IMBSIBLE ',' ']</v>
      </c>
      <c r="D1692" s="3">
        <v>2.0</v>
      </c>
    </row>
    <row r="1693" ht="15.75" customHeight="1">
      <c r="A1693" s="1">
        <v>1691.0</v>
      </c>
      <c r="B1693" s="3" t="s">
        <v>1694</v>
      </c>
      <c r="C1693" s="3" t="str">
        <f>IFERROR(__xludf.DUMMYFUNCTION("GOOGLETRANSLATE(B1693,""id"",""en"")"),"['Please', 'Sorry', 'Telkomsel', 'Apps',' Update ',' Stopped ',' Since ',' Use ',' Telkomsel ',' Inet ',' Lemot ',' Pdhl ',' The fastest ',' junior high school ',' Kanto ',' family ',' replace ',' Telkomsel ',' classified ',' expensive ',' balance ',' qua"&amp;"lity ',' now ',' stable ',' the network ' , 'Sometimes',' Loading ',' Lamaa ',' Hot ',' Version ',' Update ',' The Application ',' Severe ',' Stopped ',' Please ',' Import ',' The service is']")</f>
        <v>['Please', 'Sorry', 'Telkomsel', 'Apps',' Update ',' Stopped ',' Since ',' Use ',' Telkomsel ',' Inet ',' Lemot ',' Pdhl ',' The fastest ',' junior high school ',' Kanto ',' family ',' replace ',' Telkomsel ',' classified ',' expensive ',' balance ',' quality ',' now ',' stable ',' the network ' , 'Sometimes',' Loading ',' Lamaa ',' Hot ',' Version ',' Update ',' The Application ',' Severe ',' Stopped ',' Please ',' Import ',' The service is']</v>
      </c>
      <c r="D1693" s="3">
        <v>1.0</v>
      </c>
    </row>
    <row r="1694" ht="15.75" customHeight="1">
      <c r="A1694" s="1">
        <v>1692.0</v>
      </c>
      <c r="B1694" s="3" t="s">
        <v>1695</v>
      </c>
      <c r="C1694" s="3" t="str">
        <f>IFERROR(__xludf.DUMMYFUNCTION("GOOGLETRANSLATE(B1694,""id"",""en"")"),"['Sorry', 'star', 'Delete', 'Sya', 'disappointed', 'disappointed', 'package', 'unlimited', 'use', 'limit', 'kouta', 'mah', ' wasteful ',' use ',' Telkomsel ',' use ',' She ',' a week ',' mnding ',' replace ',' card ',' ']")</f>
        <v>['Sorry', 'star', 'Delete', 'Sya', 'disappointed', 'disappointed', 'package', 'unlimited', 'use', 'limit', 'kouta', 'mah', ' wasteful ',' use ',' Telkomsel ',' use ',' She ',' a week ',' mnding ',' replace ',' card ',' ']</v>
      </c>
      <c r="D1694" s="3">
        <v>1.0</v>
      </c>
    </row>
    <row r="1695" ht="15.75" customHeight="1">
      <c r="A1695" s="1">
        <v>1693.0</v>
      </c>
      <c r="B1695" s="3" t="s">
        <v>1696</v>
      </c>
      <c r="C1695" s="3" t="str">
        <f>IFERROR(__xludf.DUMMYFUNCTION("GOOGLETRANSLATE(B1695,""id"",""en"")"),"['', 'for you', 'Disappointed', 'Sorry', 'Star', 'Delete', 'Karna', 'Promo', 'Package', 'Telkomsel', 'Pas',' Pouch ',' Delicious ',' Package ',' Unlimited ',' Payaahh ', ""]")</f>
        <v>['', 'for you', 'Disappointed', 'Sorry', 'Star', 'Delete', 'Karna', 'Promo', 'Package', 'Telkomsel', 'Pas',' Pouch ',' Delicious ',' Package ',' Unlimited ',' Payaahh ', "]</v>
      </c>
      <c r="D1695" s="3">
        <v>1.0</v>
      </c>
    </row>
    <row r="1696" ht="15.75" customHeight="1">
      <c r="A1696" s="1">
        <v>1694.0</v>
      </c>
      <c r="B1696" s="3" t="s">
        <v>1697</v>
      </c>
      <c r="C1696" s="3" t="str">
        <f>IFERROR(__xludf.DUMMYFUNCTION("GOOGLETRANSLATE(B1696,""id"",""en"")"),"['Please', 'Sorry', 'Assessment', 'Constraints',' Opens', 'Application', 'MyTelkomsel', 'Difficult', 'Reload', 'Signal', 'Telkomsel', 'Lamban', ' The area ',' dead ',' lights', 'signal', 'Telkomsel', 'follow', 'dead', 'minute', 'tower', 'storage', 'electr"&amp;"icity', 'klau', 'report' , 'Where', 'On', 'Telkomsel', 'evenly', 'Kepliok', 'Village', 'Sinyal', 'Down', 'Help', ""]")</f>
        <v>['Please', 'Sorry', 'Assessment', 'Constraints',' Opens', 'Application', 'MyTelkomsel', 'Difficult', 'Reload', 'Signal', 'Telkomsel', 'Lamban', ' The area ',' dead ',' lights', 'signal', 'Telkomsel', 'follow', 'dead', 'minute', 'tower', 'storage', 'electricity', 'klau', 'report' , 'Where', 'On', 'Telkomsel', 'evenly', 'Kepliok', 'Village', 'Sinyal', 'Down', 'Help', "]</v>
      </c>
      <c r="D1696" s="3">
        <v>2.0</v>
      </c>
    </row>
    <row r="1697" ht="15.75" customHeight="1">
      <c r="A1697" s="1">
        <v>1695.0</v>
      </c>
      <c r="B1697" s="3" t="s">
        <v>1698</v>
      </c>
      <c r="C1697" s="3" t="str">
        <f>IFERROR(__xludf.DUMMYFUNCTION("GOOGLETRANSLATE(B1697,""id"",""en"")"),"['already', 'subscription', 'contents',' pulse ',' contents', 'package', 'expensive', 'TPI', 'network', 'according to', 'price', 'paid', ' Complement ',' credit ',' ilang ',' Ajh ',' replaced ',' skrg ',' network ',' ajh ',' slow ',' price ',' package ','"&amp;" according to ',' network ' , 'Internet', 'given', 'expensive', '']")</f>
        <v>['already', 'subscription', 'contents',' pulse ',' contents', 'package', 'expensive', 'TPI', 'network', 'according to', 'price', 'paid', ' Complement ',' credit ',' ilang ',' Ajh ',' replaced ',' skrg ',' network ',' ajh ',' slow ',' price ',' package ',' according to ',' network ' , 'Internet', 'given', 'expensive', '']</v>
      </c>
      <c r="D1697" s="3">
        <v>1.0</v>
      </c>
    </row>
    <row r="1698" ht="15.75" customHeight="1">
      <c r="A1698" s="1">
        <v>1696.0</v>
      </c>
      <c r="B1698" s="3" t="s">
        <v>1699</v>
      </c>
      <c r="C1698" s="3" t="str">
        <f>IFERROR(__xludf.DUMMYFUNCTION("GOOGLETRANSLATE(B1698,""id"",""en"")"),"['Mampus',' Review ',' Bintang ',' Provider ',' Bapuk ',' Package ',' Internet ',' Expensive ',' Signal ',' Ancur ',' Signal ',' Modboard ',' Yesterday ',' patient ',' signal ',' threat ',' skrg ',' mending ',' mending ',' selling ',' cimol ',' provider '"&amp;", ""]")</f>
        <v>['Mampus',' Review ',' Bintang ',' Provider ',' Bapuk ',' Package ',' Internet ',' Expensive ',' Signal ',' Ancur ',' Signal ',' Modboard ',' Yesterday ',' patient ',' signal ',' threat ',' skrg ',' mending ',' mending ',' selling ',' cimol ',' provider ', "]</v>
      </c>
      <c r="D1698" s="3">
        <v>1.0</v>
      </c>
    </row>
    <row r="1699" ht="15.75" customHeight="1">
      <c r="A1699" s="1">
        <v>1697.0</v>
      </c>
      <c r="B1699" s="3" t="s">
        <v>1700</v>
      </c>
      <c r="C1699" s="3" t="str">
        <f>IFERROR(__xludf.DUMMYFUNCTION("GOOGLETRANSLATE(B1699,""id"",""en"")"),"['Telkomsel', 'Severe', 'skrg', 'network', 'poor', 'phone', 'jwban', 'sorry', 'tip', 'told', 'wait', 'hours',' Results', 'ugly', 'check', 'office', 'down', 'field', 'see', 'situation', 'klau', 'network', 'good', 'report', 'org' , 'relaxed', 'bro', 'kayak'"&amp;", 'sit', 'at the office', 'Telkomsel', 'poor']")</f>
        <v>['Telkomsel', 'Severe', 'skrg', 'network', 'poor', 'phone', 'jwban', 'sorry', 'tip', 'told', 'wait', 'hours',' Results', 'ugly', 'check', 'office', 'down', 'field', 'see', 'situation', 'klau', 'network', 'good', 'report', 'org' , 'relaxed', 'bro', 'kayak', 'sit', 'at the office', 'Telkomsel', 'poor']</v>
      </c>
      <c r="D1699" s="3">
        <v>1.0</v>
      </c>
    </row>
    <row r="1700" ht="15.75" customHeight="1">
      <c r="A1700" s="1">
        <v>1698.0</v>
      </c>
      <c r="B1700" s="3" t="s">
        <v>1701</v>
      </c>
      <c r="C1700" s="3" t="str">
        <f>IFERROR(__xludf.DUMMYFUNCTION("GOOGLETRANSLATE(B1700,""id"",""en"")"),"['every time', 'open', 'application', 'screen', 'white', 'check', 'quota', 'sucks',' play ',' game ',' mobile ',' legend ',' Setabil ',' Mainin ',' CMA ',' Leg ',' all ',' Operator ',' Signal ',' Good ',' CMA ',' City ',' Kampung ',' Dipheon ']")</f>
        <v>['every time', 'open', 'application', 'screen', 'white', 'check', 'quota', 'sucks',' play ',' game ',' mobile ',' legend ',' Setabil ',' Mainin ',' CMA ',' Leg ',' all ',' Operator ',' Signal ',' Good ',' CMA ',' City ',' Kampung ',' Dipheon ']</v>
      </c>
      <c r="D1700" s="3">
        <v>1.0</v>
      </c>
    </row>
    <row r="1701" ht="15.75" customHeight="1">
      <c r="A1701" s="1">
        <v>1699.0</v>
      </c>
      <c r="B1701" s="3" t="s">
        <v>1702</v>
      </c>
      <c r="C1701" s="3" t="str">
        <f>IFERROR(__xludf.DUMMYFUNCTION("GOOGLETRANSLATE(B1701,""id"",""en"")"),"['Ngelag', 'TPI', 'Boong', 'Hayuk', 'Paapala']")</f>
        <v>['Ngelag', 'TPI', 'Boong', 'Hayuk', 'Paapala']</v>
      </c>
      <c r="D1701" s="3">
        <v>5.0</v>
      </c>
    </row>
    <row r="1702" ht="15.75" customHeight="1">
      <c r="A1702" s="1">
        <v>1700.0</v>
      </c>
      <c r="B1702" s="3" t="s">
        <v>1703</v>
      </c>
      <c r="C1702" s="3" t="str">
        <f>IFERROR(__xludf.DUMMYFUNCTION("GOOGLETRANSLATE(B1702,""id"",""en"")"),"['Hello', 'Telkomsel', 'season', 'price', 'package', 'expensive', 'loyal', 'users',' Telkomsel ',' sorry ',' love ',' star ',' Disappointed ',' Telkomsel ',' ']")</f>
        <v>['Hello', 'Telkomsel', 'season', 'price', 'package', 'expensive', 'loyal', 'users',' Telkomsel ',' sorry ',' love ',' star ',' Disappointed ',' Telkomsel ',' ']</v>
      </c>
      <c r="D1702" s="3">
        <v>1.0</v>
      </c>
    </row>
    <row r="1703" ht="15.75" customHeight="1">
      <c r="A1703" s="1">
        <v>1701.0</v>
      </c>
      <c r="B1703" s="3" t="s">
        <v>1704</v>
      </c>
      <c r="C1703" s="3" t="str">
        <f>IFERROR(__xludf.DUMMYFUNCTION("GOOGLETRANSLATE(B1703,""id"",""en"")"),"['strange', 'information', 'package', 'run out', 'late', 'pulse', 'used', 'run out', 'enter', 'sms',' package ',' annoying ',' package ',' cheap ',' enjoy ',' raised ',' bonus', 'subtract', 'strange', 'pandemic', 'pandemic', 'price', 'raised', ""]")</f>
        <v>['strange', 'information', 'package', 'run out', 'late', 'pulse', 'used', 'run out', 'enter', 'sms',' package ',' annoying ',' package ',' cheap ',' enjoy ',' raised ',' bonus', 'subtract', 'strange', 'pandemic', 'pandemic', 'price', 'raised', "]</v>
      </c>
      <c r="D1703" s="3">
        <v>1.0</v>
      </c>
    </row>
    <row r="1704" ht="15.75" customHeight="1">
      <c r="A1704" s="1">
        <v>1702.0</v>
      </c>
      <c r="B1704" s="3" t="s">
        <v>1705</v>
      </c>
      <c r="C1704" s="3" t="str">
        <f>IFERROR(__xludf.DUMMYFUNCTION("GOOGLETRANSLATE(B1704,""id"",""en"")"),"['quota', 'active', 'LBH', 'Roli', 'HR', 'MLH', 'Sumpot', 'first', 'compared to', 'quota', 'bonus',' DCI ',' HR ',' Active ',' quota ',' run out ',' directly ',' sucked ',' pulse ',' feeling ',' provider ',' egk ',' deh ',' stopped ',' connection ' , 'net"&amp;"', 'checked', 'pulse', 'quota', 'abis',' blm ',' pulse ',' byk ',' blm ',' sempet ',' dipped ',' mlh ',' Udh ',' Abis', 'Sumpot', 'in', 'BBRPA', 'second', 'Loss',' Loss', 'Loss',' Merugiiii ', ""]")</f>
        <v>['quota', 'active', 'LBH', 'Roli', 'HR', 'MLH', 'Sumpot', 'first', 'compared to', 'quota', 'bonus',' DCI ',' HR ',' Active ',' quota ',' run out ',' directly ',' sucked ',' pulse ',' feeling ',' provider ',' egk ',' deh ',' stopped ',' connection ' , 'net', 'checked', 'pulse', 'quota', 'abis',' blm ',' pulse ',' byk ',' blm ',' sempet ',' dipped ',' mlh ',' Udh ',' Abis', 'Sumpot', 'in', 'BBRPA', 'second', 'Loss',' Loss', 'Loss',' Merugiiii ', "]</v>
      </c>
      <c r="D1704" s="3">
        <v>3.0</v>
      </c>
    </row>
    <row r="1705" ht="15.75" customHeight="1">
      <c r="A1705" s="1">
        <v>1703.0</v>
      </c>
      <c r="B1705" s="3" t="s">
        <v>1706</v>
      </c>
      <c r="C1705" s="3" t="str">
        <f>IFERROR(__xludf.DUMMYFUNCTION("GOOGLETRANSLATE(B1705,""id"",""en"")"),"['commitment', 'service', 'price', 'expensive', 'yesterday', 'unlimited', 'restricted', 'minutes',' price ',' expensive ',' rb ',' Rb ',' Come on ',' Leave ',' Provider ',' Telkomsel ',' Switch ']")</f>
        <v>['commitment', 'service', 'price', 'expensive', 'yesterday', 'unlimited', 'restricted', 'minutes',' price ',' expensive ',' rb ',' Rb ',' Come on ',' Leave ',' Provider ',' Telkomsel ',' Switch ']</v>
      </c>
      <c r="D1705" s="3">
        <v>1.0</v>
      </c>
    </row>
    <row r="1706" ht="15.75" customHeight="1">
      <c r="A1706" s="1">
        <v>1704.0</v>
      </c>
      <c r="B1706" s="3" t="s">
        <v>1707</v>
      </c>
      <c r="C1706" s="3" t="str">
        <f>IFERROR(__xludf.DUMMYFUNCTION("GOOGLETRANSLATE(B1706,""id"",""en"")"),"['Telkomsel', 'super', 'slow', 'data', 'error', 'no', 'open', 'internet', 'price', 'kwota', 'Telkomsel', 'expensive', ' Balance ',' Quality ',' Bad ',' Telkomsel ',' Lost ',' Operator ',' Next to ',' ']")</f>
        <v>['Telkomsel', 'super', 'slow', 'data', 'error', 'no', 'open', 'internet', 'price', 'kwota', 'Telkomsel', 'expensive', ' Balance ',' Quality ',' Bad ',' Telkomsel ',' Lost ',' Operator ',' Next to ',' ']</v>
      </c>
      <c r="D1706" s="3">
        <v>5.0</v>
      </c>
    </row>
    <row r="1707" ht="15.75" customHeight="1">
      <c r="A1707" s="1">
        <v>1705.0</v>
      </c>
      <c r="B1707" s="3" t="s">
        <v>1708</v>
      </c>
      <c r="C1707" s="3" t="str">
        <f>IFERROR(__xludf.DUMMYFUNCTION("GOOGLETRANSLATE(B1707,""id"",""en"")"),"['Please', 'sorry', 'times',' enter ',' application ',' enter ',' number ',' and then ',' confirm ',' sms', 'many', 'login', ' difficult', '']")</f>
        <v>['Please', 'sorry', 'times',' enter ',' application ',' enter ',' number ',' and then ',' confirm ',' sms', 'many', 'login', ' difficult', '']</v>
      </c>
      <c r="D1707" s="3">
        <v>1.0</v>
      </c>
    </row>
    <row r="1708" ht="15.75" customHeight="1">
      <c r="A1708" s="1">
        <v>1706.0</v>
      </c>
      <c r="B1708" s="3" t="s">
        <v>1709</v>
      </c>
      <c r="C1708" s="3" t="str">
        <f>IFERROR(__xludf.DUMMYFUNCTION("GOOGLETRANSLATE(B1708,""id"",""en"")"),"['Internet', 'your city', 'Support', 'ugly', 'in fact', 'weve', 'really', 'then', 'network', 'down', 'stupid', 'really', ' play ',' network ',' sudden ',' wires', 'that's',' play ',' game ',' card ',' sultan ',' quality ',' network ',' trash ',' really ' "&amp;", 'according to', 'ama', 'designation', 'card', 'expensive', 'kouta', 'quality', 'essence', 'stool', 'masi', 'down', 'support', ' stupid ',' really ']")</f>
        <v>['Internet', 'your city', 'Support', 'ugly', 'in fact', 'weve', 'really', 'then', 'network', 'down', 'stupid', 'really', ' play ',' network ',' sudden ',' wires', 'that's',' play ',' game ',' card ',' sultan ',' quality ',' network ',' trash ',' really ' , 'according to', 'ama', 'designation', 'card', 'expensive', 'kouta', 'quality', 'essence', 'stool', 'masi', 'down', 'support', ' stupid ',' really ']</v>
      </c>
      <c r="D1708" s="3">
        <v>1.0</v>
      </c>
    </row>
    <row r="1709" ht="15.75" customHeight="1">
      <c r="A1709" s="1">
        <v>1707.0</v>
      </c>
      <c r="B1709" s="3" t="s">
        <v>1710</v>
      </c>
      <c r="C1709" s="3" t="str">
        <f>IFERROR(__xludf.DUMMYFUNCTION("GOOGLETRANSLATE(B1709,""id"",""en"")"),"['Disappointed', 'Telkomsel', 'Package', 'Unlimited', 'limit', 'Naturally', 'unlimited', 'name', 'child', 'child', 'need', 'quota', ' Learning ',' squeezing ',' demanding ',' reverses', 'quota', 'combo', 'Sakti', 'limit', 'reasonable']")</f>
        <v>['Disappointed', 'Telkomsel', 'Package', 'Unlimited', 'limit', 'Naturally', 'unlimited', 'name', 'child', 'child', 'need', 'quota', ' Learning ',' squeezing ',' demanding ',' reverses', 'quota', 'combo', 'Sakti', 'limit', 'reasonable']</v>
      </c>
      <c r="D1709" s="3">
        <v>1.0</v>
      </c>
    </row>
    <row r="1710" ht="15.75" customHeight="1">
      <c r="A1710" s="1">
        <v>1708.0</v>
      </c>
      <c r="B1710" s="3" t="s">
        <v>1711</v>
      </c>
      <c r="C1710" s="3" t="str">
        <f>IFERROR(__xludf.DUMMYFUNCTION("GOOGLETRANSLATE(B1710,""id"",""en"")"),"['Telkomsel', 'severe', 'experience', 'cut', 'pulse', 'contents',' reset ',' credit ',' Telkomsel ',' subscribe ',' anything ',' contents', ' Credit ',' Credit ',' Cut "", 'Bengini', 'Change', 'Network', 'Provider', 'Signal', 'Telkomsel', 'Severe', 'Like'"&amp;", 'LTE', 'LEG' , 'Price', 'Paketan', 'Expensive', 'Event', 'Event', 'Kereset', 'Provider']")</f>
        <v>['Telkomsel', 'severe', 'experience', 'cut', 'pulse', 'contents',' reset ',' credit ',' Telkomsel ',' subscribe ',' anything ',' contents', ' Credit ',' Credit ',' Cut ", 'Bengini', 'Change', 'Network', 'Provider', 'Signal', 'Telkomsel', 'Severe', 'Like', 'LTE', 'LEG' , 'Price', 'Paketan', 'Expensive', 'Event', 'Event', 'Kereset', 'Provider']</v>
      </c>
      <c r="D1710" s="3">
        <v>1.0</v>
      </c>
    </row>
    <row r="1711" ht="15.75" customHeight="1">
      <c r="A1711" s="1">
        <v>1709.0</v>
      </c>
      <c r="B1711" s="3" t="s">
        <v>1712</v>
      </c>
      <c r="C1711" s="3" t="str">
        <f>IFERROR(__xludf.DUMMYFUNCTION("GOOGLETRANSLATE(B1711,""id"",""en"")"),"['Unlimitied', 'boundary', 'usage', 'smpai', 'limit', 'normal', 'unlimitied', 'name', 'kayak', 'gini', 'switch', 'operator', ' Quota ',' expensive ',' ']")</f>
        <v>['Unlimitied', 'boundary', 'usage', 'smpai', 'limit', 'normal', 'unlimitied', 'name', 'kayak', 'gini', 'switch', 'operator', ' Quota ',' expensive ',' ']</v>
      </c>
      <c r="D1711" s="3">
        <v>1.0</v>
      </c>
    </row>
    <row r="1712" ht="15.75" customHeight="1">
      <c r="A1712" s="1">
        <v>1710.0</v>
      </c>
      <c r="B1712" s="3" t="s">
        <v>1713</v>
      </c>
      <c r="C1712" s="3" t="str">
        <f>IFERROR(__xludf.DUMMYFUNCTION("GOOGLETRANSLATE(B1712,""id"",""en"")"),"['price', 'package', 'internet', 'expensive', 'card', 'cheap', 'distinguishing', 'user', 'loyal', 'love', 'price', ' Love ',' Price ',' expensive ',' ']")</f>
        <v>['price', 'package', 'internet', 'expensive', 'card', 'cheap', 'distinguishing', 'user', 'loyal', 'love', 'price', ' Love ',' Price ',' expensive ',' ']</v>
      </c>
      <c r="D1712" s="3">
        <v>1.0</v>
      </c>
    </row>
    <row r="1713" ht="15.75" customHeight="1">
      <c r="A1713" s="1">
        <v>1711.0</v>
      </c>
      <c r="B1713" s="3" t="s">
        <v>1714</v>
      </c>
      <c r="C1713" s="3" t="str">
        <f>IFERROR(__xludf.DUMMYFUNCTION("GOOGLETRANSLATE(B1713,""id"",""en"")"),"['apk', 'price', 'package', 'expensive', 'quality', 'network', 'minimal', 'price', 'according to', 'little', 'no', 'people', ' Buy it ',' Network ',' deteriorate ',' ']")</f>
        <v>['apk', 'price', 'package', 'expensive', 'quality', 'network', 'minimal', 'price', 'according to', 'little', 'no', 'people', ' Buy it ',' Network ',' deteriorate ',' ']</v>
      </c>
      <c r="D1713" s="3">
        <v>1.0</v>
      </c>
    </row>
    <row r="1714" ht="15.75" customHeight="1">
      <c r="A1714" s="1">
        <v>1712.0</v>
      </c>
      <c r="B1714" s="3" t="s">
        <v>1715</v>
      </c>
      <c r="C1714" s="3" t="str">
        <f>IFERROR(__xludf.DUMMYFUNCTION("GOOGLETRANSLATE(B1714,""id"",""en"")"),"['Disappointed', 'really', 'unlimited', 'kaga', 'limit', 'quota', 'limit', 'disappointed', 'oath', 'ngilkak', 'really', 'mna', ' complaints', 'people', 'listen to', 'search', 'lucky', 'miss',' mah ',' unlimited ',' lgi ',' woyyt ',' boundary ',' use ',' n"&amp;"gotak ' , 'Dehh', 'mah', 'unlimited', 'boundary', 'love', 'star', 'full', 'kaga', 'dehh', 'star', 'dngin', 'complained', ' Kisah ',' customer ',' loyal ',' lho ']")</f>
        <v>['Disappointed', 'really', 'unlimited', 'kaga', 'limit', 'quota', 'limit', 'disappointed', 'oath', 'ngilkak', 'really', 'mna', ' complaints', 'people', 'listen to', 'search', 'lucky', 'miss',' mah ',' unlimited ',' lgi ',' woyyt ',' boundary ',' use ',' ngotak ' , 'Dehh', 'mah', 'unlimited', 'boundary', 'love', 'star', 'full', 'kaga', 'dehh', 'star', 'dngin', 'complained', ' Kisah ',' customer ',' loyal ',' lho ']</v>
      </c>
      <c r="D1714" s="3">
        <v>1.0</v>
      </c>
    </row>
    <row r="1715" ht="15.75" customHeight="1">
      <c r="A1715" s="1">
        <v>1713.0</v>
      </c>
      <c r="B1715" s="3" t="s">
        <v>1716</v>
      </c>
      <c r="C1715" s="3" t="str">
        <f>IFERROR(__xludf.DUMMYFUNCTION("GOOGLETRANSLATE(B1715,""id"",""en"")"),"['application', 'enter', 'Mulu', 'plus',' log ',' number ',' telephone ',' mulu ',' doang ',' log ',' ina ',' error ',' Mulu ',' Open ',' Direct ',' open ']")</f>
        <v>['application', 'enter', 'Mulu', 'plus',' log ',' number ',' telephone ',' mulu ',' doang ',' log ',' ina ',' error ',' Mulu ',' Open ',' Direct ',' open ']</v>
      </c>
      <c r="D1715" s="3">
        <v>1.0</v>
      </c>
    </row>
    <row r="1716" ht="15.75" customHeight="1">
      <c r="A1716" s="1">
        <v>1714.0</v>
      </c>
      <c r="B1716" s="3" t="s">
        <v>1717</v>
      </c>
      <c r="C1716" s="3" t="str">
        <f>IFERROR(__xludf.DUMMYFUNCTION("GOOGLETRANSLATE(B1716,""id"",""en"")"),"['buy', 'package', 'internet', 'daily', 'price', 'Rp', 'clock', 'package', 'internet', 'entry', 'until', 'buy', ' APK ',' MyTelkomsel ',' Method ',' Payment ',' Gopay ',' ']")</f>
        <v>['buy', 'package', 'internet', 'daily', 'price', 'Rp', 'clock', 'package', 'internet', 'entry', 'until', 'buy', ' APK ',' MyTelkomsel ',' Method ',' Payment ',' Gopay ',' ']</v>
      </c>
      <c r="D1716" s="3">
        <v>1.0</v>
      </c>
    </row>
    <row r="1717" ht="15.75" customHeight="1">
      <c r="A1717" s="1">
        <v>1715.0</v>
      </c>
      <c r="B1717" s="3" t="s">
        <v>1718</v>
      </c>
      <c r="C1717" s="3" t="str">
        <f>IFERROR(__xludf.DUMMYFUNCTION("GOOGLETRANSLATE(B1717,""id"",""en"")"),"['Please', 'Signal', 'Fix', 'Buy', 'Package', 'Free', 'JDI', 'Please', 'Signal', 'Fix', 'Play', 'Signal', ' ugly ',' Funny ',' Low ',' JLEK ',' Mending ',' Change ',' Card ',' ']")</f>
        <v>['Please', 'Signal', 'Fix', 'Buy', 'Package', 'Free', 'JDI', 'Please', 'Signal', 'Fix', 'Play', 'Signal', ' ugly ',' Funny ',' Low ',' JLEK ',' Mending ',' Change ',' Card ',' ']</v>
      </c>
      <c r="D1717" s="3">
        <v>1.0</v>
      </c>
    </row>
    <row r="1718" ht="15.75" customHeight="1">
      <c r="A1718" s="1">
        <v>1716.0</v>
      </c>
      <c r="B1718" s="3" t="s">
        <v>1719</v>
      </c>
      <c r="C1718" s="3" t="str">
        <f>IFERROR(__xludf.DUMMYFUNCTION("GOOGLETRANSLATE(B1718,""id"",""en"")"),"['enter', 'application', 'difficult', 'failed', 'disappointing', 'complain', 'said', 'repaired', 'reality', 'please', 'enter', 'application', ' No ',' difficult ',' ']")</f>
        <v>['enter', 'application', 'difficult', 'failed', 'disappointing', 'complain', 'said', 'repaired', 'reality', 'please', 'enter', 'application', ' No ',' difficult ',' ']</v>
      </c>
      <c r="D1718" s="3">
        <v>3.0</v>
      </c>
    </row>
    <row r="1719" ht="15.75" customHeight="1">
      <c r="A1719" s="1">
        <v>1717.0</v>
      </c>
      <c r="B1719" s="3" t="s">
        <v>1720</v>
      </c>
      <c r="C1719" s="3" t="str">
        <f>IFERROR(__xludf.DUMMYFUNCTION("GOOGLETRANSLATE(B1719,""id"",""en"")"),"['Sorry', 'Min', 'APK', 'MyTelkomsel', 'Logout', 'told', 'Login', 'right', 'Login', 'Kelogout', 'Login', 'Nda', ' Open ',' APK ',' Please ',' Help ',' Min ',' Terbamagedih ']")</f>
        <v>['Sorry', 'Min', 'APK', 'MyTelkomsel', 'Logout', 'told', 'Login', 'right', 'Login', 'Kelogout', 'Login', 'Nda', ' Open ',' APK ',' Please ',' Help ',' Min ',' Terbamagedih ']</v>
      </c>
      <c r="D1719" s="3">
        <v>5.0</v>
      </c>
    </row>
    <row r="1720" ht="15.75" customHeight="1">
      <c r="A1720" s="1">
        <v>1718.0</v>
      </c>
      <c r="B1720" s="3" t="s">
        <v>1721</v>
      </c>
      <c r="C1720" s="3" t="str">
        <f>IFERROR(__xludf.DUMMYFUNCTION("GOOGLETRANSLATE(B1720,""id"",""en"")"),"['network', 'Telkomsel', 'ugly', 'package', 'data', 'buy', 'expensive', 'run out', 'Gara', 'open', 'sosmed', 'game', ' You ',' Tube ',' Tiktok ',' Loding ',' Minutes', 'Please', 'Telkomsel', 'Fix', 'Network', ""]")</f>
        <v>['network', 'Telkomsel', 'ugly', 'package', 'data', 'buy', 'expensive', 'run out', 'Gara', 'open', 'sosmed', 'game', ' You ',' Tube ',' Tiktok ',' Loding ',' Minutes', 'Please', 'Telkomsel', 'Fix', 'Network', "]</v>
      </c>
      <c r="D1720" s="3">
        <v>2.0</v>
      </c>
    </row>
    <row r="1721" ht="15.75" customHeight="1">
      <c r="A1721" s="1">
        <v>1719.0</v>
      </c>
      <c r="B1721" s="3" t="s">
        <v>1722</v>
      </c>
      <c r="C1721" s="3" t="str">
        <f>IFERROR(__xludf.DUMMYFUNCTION("GOOGLETRANSLATE(B1721,""id"",""en"")"),"['What', 'intention', 'buy', 'package', 'games',' stable ',' signal ',' deliberate ',' package ',' regular ',' Abis', 'right', ' Try ',' Play ',' Game ',' Internet ',' Customer ',' Care ',' Order ',' Buy ',' Package ',' Regular ',' Kepakai ',' Description"&amp;" ',' Purchase ' , 'love', 'description', 'that's', 'package', 'regular', 'run out', 'login', 'game', 'that's', 'delicious', ""]")</f>
        <v>['What', 'intention', 'buy', 'package', 'games',' stable ',' signal ',' deliberate ',' package ',' regular ',' Abis', 'right', ' Try ',' Play ',' Game ',' Internet ',' Customer ',' Care ',' Order ',' Buy ',' Package ',' Regular ',' Kepakai ',' Description ',' Purchase ' , 'love', 'description', 'that's', 'package', 'regular', 'run out', 'login', 'game', 'that's', 'delicious', "]</v>
      </c>
      <c r="D1721" s="3">
        <v>1.0</v>
      </c>
    </row>
    <row r="1722" ht="15.75" customHeight="1">
      <c r="A1722" s="1">
        <v>1720.0</v>
      </c>
      <c r="B1722" s="3" t="s">
        <v>1723</v>
      </c>
      <c r="C1722" s="3" t="str">
        <f>IFERROR(__xludf.DUMMYFUNCTION("GOOGLETRANSLATE(B1722,""id"",""en"")"),"['Help', 'Daily', 'Check', 'Not bad', 'quota', 'free', 'loading', 'like', 'open', 'application', 'connection', 'internet', ' Good ',' quota ',' unlimited ',' limit ',' use ',' reasonable ',' crazy ',' price ',' expensive ',' quality ',' ']")</f>
        <v>['Help', 'Daily', 'Check', 'Not bad', 'quota', 'free', 'loading', 'like', 'open', 'application', 'connection', 'internet', ' Good ',' quota ',' unlimited ',' limit ',' use ',' reasonable ',' crazy ',' price ',' expensive ',' quality ',' ']</v>
      </c>
      <c r="D1722" s="3">
        <v>1.0</v>
      </c>
    </row>
    <row r="1723" ht="15.75" customHeight="1">
      <c r="A1723" s="1">
        <v>1721.0</v>
      </c>
      <c r="B1723" s="3" t="s">
        <v>1724</v>
      </c>
      <c r="C1723" s="3" t="str">
        <f>IFERROR(__xludf.DUMMYFUNCTION("GOOGLETRANSLATE(B1723,""id"",""en"")"),"['Telkomsel', 'price', 'package', 'internet', 'expensive', 'buy', 'package', 'Telkomsel', 'expensive', 'Telkomsel', 'sucked', 'pulses',' Package ',' data ',' promo ',' ngak ',' bought ',' Different ',' disappointed ']")</f>
        <v>['Telkomsel', 'price', 'package', 'internet', 'expensive', 'buy', 'package', 'Telkomsel', 'expensive', 'Telkomsel', 'sucked', 'pulses',' Package ',' data ',' promo ',' ngak ',' bought ',' Different ',' disappointed ']</v>
      </c>
      <c r="D1723" s="3">
        <v>1.0</v>
      </c>
    </row>
    <row r="1724" ht="15.75" customHeight="1">
      <c r="A1724" s="1">
        <v>1722.0</v>
      </c>
      <c r="B1724" s="3" t="s">
        <v>1725</v>
      </c>
      <c r="C1724" s="3" t="str">
        <f>IFERROR(__xludf.DUMMYFUNCTION("GOOGLETRANSLATE(B1724,""id"",""en"")"),"['connection', 'internet', 'change', 'change', 'slow', 'rich', 'signal', 'setting', 'according to', 'please', 'enhanced', 'service', ' disappointing']")</f>
        <v>['connection', 'internet', 'change', 'change', 'slow', 'rich', 'signal', 'setting', 'according to', 'please', 'enhanced', 'service', ' disappointing']</v>
      </c>
      <c r="D1724" s="3">
        <v>1.0</v>
      </c>
    </row>
    <row r="1725" ht="15.75" customHeight="1">
      <c r="A1725" s="1">
        <v>1723.0</v>
      </c>
      <c r="B1725" s="3" t="s">
        <v>1726</v>
      </c>
      <c r="C1725" s="3" t="str">
        <f>IFERROR(__xludf.DUMMYFUNCTION("GOOGLETRANSLATE(B1725,""id"",""en"")"),"['Customer', 'Telkomsel', 'Times',' Disappointed ',' Telkomsel ',' Helping ',' Karna ',' Package ',' Extra ',' Unlimited ',' Dimas', 'Pandemi', ' Date ',' July ',' renewal ',' missing ',' package ',' Come ',' selfish ',' Help ',' Customer ',' UDH ',' loya"&amp;"l ',' Telkomsel ',' until ' , 'Customers', 'Satisfied', 'Pandemic', 'Minimum', 'Package', 'Extra', 'Unlimited', 'Diadain', 'Hopefully', 'Material', 'Evaluation', 'Thank you']")</f>
        <v>['Customer', 'Telkomsel', 'Times',' Disappointed ',' Telkomsel ',' Helping ',' Karna ',' Package ',' Extra ',' Unlimited ',' Dimas', 'Pandemi', ' Date ',' July ',' renewal ',' missing ',' package ',' Come ',' selfish ',' Help ',' Customer ',' UDH ',' loyal ',' Telkomsel ',' until ' , 'Customers', 'Satisfied', 'Pandemic', 'Minimum', 'Package', 'Extra', 'Unlimited', 'Diadain', 'Hopefully', 'Material', 'Evaluation', 'Thank you']</v>
      </c>
      <c r="D1725" s="3">
        <v>3.0</v>
      </c>
    </row>
    <row r="1726" ht="15.75" customHeight="1">
      <c r="A1726" s="1">
        <v>1724.0</v>
      </c>
      <c r="B1726" s="3" t="s">
        <v>1727</v>
      </c>
      <c r="C1726" s="3" t="str">
        <f>IFERROR(__xludf.DUMMYFUNCTION("GOOGLETRANSLATE(B1726,""id"",""en"")"),"['lbh', 'cheap', 'lgi', 'promo', 'package', 'internet', 'package', 'monthly', 'jngan', 'then', 'promo', 'trus',' continuous', 'interested', 'might', 'nmbah', 'bnyak', ""]")</f>
        <v>['lbh', 'cheap', 'lgi', 'promo', 'package', 'internet', 'package', 'monthly', 'jngan', 'then', 'promo', 'trus',' continuous', 'interested', 'might', 'nmbah', 'bnyak', "]</v>
      </c>
      <c r="D1726" s="3">
        <v>4.0</v>
      </c>
    </row>
    <row r="1727" ht="15.75" customHeight="1">
      <c r="A1727" s="1">
        <v>1725.0</v>
      </c>
      <c r="B1727" s="3" t="s">
        <v>1728</v>
      </c>
      <c r="C1727" s="3" t="str">
        <f>IFERROR(__xludf.DUMMYFUNCTION("GOOGLETRANSLATE(B1727,""id"",""en"")"),"['Telkomsel', 'please', 'fix', 'system', 'suck', 'pulse', 'package', 'my computer', 'pulse', 'eaten', 'data', 'internet', ' Koutaa ',' bnyak ',' pulse ',' eat ',' robbery ',' name ',' disappointed ',' times']")</f>
        <v>['Telkomsel', 'please', 'fix', 'system', 'suck', 'pulse', 'package', 'my computer', 'pulse', 'eaten', 'data', 'internet', ' Koutaa ',' bnyak ',' pulse ',' eat ',' robbery ',' name ',' disappointed ',' times']</v>
      </c>
      <c r="D1727" s="3">
        <v>1.0</v>
      </c>
    </row>
    <row r="1728" ht="15.75" customHeight="1">
      <c r="A1728" s="1">
        <v>1726.0</v>
      </c>
      <c r="B1728" s="3" t="s">
        <v>1729</v>
      </c>
      <c r="C1728" s="3" t="str">
        <f>IFERROR(__xludf.DUMMYFUNCTION("GOOGLETRANSLATE(B1728,""id"",""en"")"),"['Credit', 'Called', 'Contents',' Credit ',' Sumpot ',' Internet ',' Quota ',' Genesis', 'Times',' Eat ',' Screenshot ',' Proof ',' Credit ',' Dipped ',' Provider ',' ']")</f>
        <v>['Credit', 'Called', 'Contents',' Credit ',' Sumpot ',' Internet ',' Quota ',' Genesis', 'Times',' Eat ',' Screenshot ',' Proof ',' Credit ',' Dipped ',' Provider ',' ']</v>
      </c>
      <c r="D1728" s="3">
        <v>1.0</v>
      </c>
    </row>
    <row r="1729" ht="15.75" customHeight="1">
      <c r="A1729" s="1">
        <v>1727.0</v>
      </c>
      <c r="B1729" s="3" t="s">
        <v>1730</v>
      </c>
      <c r="C1729" s="3" t="str">
        <f>IFERROR(__xludf.DUMMYFUNCTION("GOOGLETRANSLATE(B1729,""id"",""en"")"),"['Telkomsel', 'missing', 'signal', 'network', 'entry', 'clock', 'clock', 'sleep', 'mix "",' emotion ',' internet ',' lost ',' signal ',' already ',' migguan ',' cookjancook ']")</f>
        <v>['Telkomsel', 'missing', 'signal', 'network', 'entry', 'clock', 'clock', 'sleep', 'mix ",' emotion ',' internet ',' lost ',' signal ',' already ',' migguan ',' cookjancook ']</v>
      </c>
      <c r="D1729" s="3">
        <v>1.0</v>
      </c>
    </row>
    <row r="1730" ht="15.75" customHeight="1">
      <c r="A1730" s="1">
        <v>1728.0</v>
      </c>
      <c r="B1730" s="3" t="s">
        <v>1731</v>
      </c>
      <c r="C1730" s="3" t="str">
        <f>IFERROR(__xludf.DUMMYFUNCTION("GOOGLETRANSLATE(B1730,""id"",""en"")"),"['week', 'pakek', 'internet', 'woiiiii', 'tlo', 'response', 'update', 'updated', 'muter', 'ngunduh', 'noted', 'region', ' Surabaya ',' West ',' Exact ',' Kandangan ',' Sunday ',' Trouble ',' Internet ',' Please ',' Fix ']")</f>
        <v>['week', 'pakek', 'internet', 'woiiiii', 'tlo', 'response', 'update', 'updated', 'muter', 'ngunduh', 'noted', 'region', ' Surabaya ',' West ',' Exact ',' Kandangan ',' Sunday ',' Trouble ',' Internet ',' Please ',' Fix ']</v>
      </c>
      <c r="D1730" s="3">
        <v>1.0</v>
      </c>
    </row>
    <row r="1731" ht="15.75" customHeight="1">
      <c r="A1731" s="1">
        <v>1729.0</v>
      </c>
      <c r="B1731" s="3" t="s">
        <v>1732</v>
      </c>
      <c r="C1731" s="3" t="str">
        <f>IFERROR(__xludf.DUMMYFUNCTION("GOOGLETRANSLATE(B1731,""id"",""en"")"),"['Suwe', 'enter', 'login', 'continued', 'star', 'sajah', 'network', 'call', 'child', 'direct', 'lost', 'strength', ' Calls', 'Infinix', 'Hot', 'Disappointed', 'IAAAAA', 'Taeee', 'Stay', 'Warehousing', 'Green', 'Sedayu', 'BizPak', 'Daanmogot', 'Block' , 'O"&amp;"pen', 'Application', 'YouTube', 'site', 'site', 'strength', 'signal', 'open', 'Langaung', 'missing', 'please', 'Cilacap', ' West ',' Condition ',' Telkomsel ',' ']")</f>
        <v>['Suwe', 'enter', 'login', 'continued', 'star', 'sajah', 'network', 'call', 'child', 'direct', 'lost', 'strength', ' Calls', 'Infinix', 'Hot', 'Disappointed', 'IAAAAA', 'Taeee', 'Stay', 'Warehousing', 'Green', 'Sedayu', 'BizPak', 'Daanmogot', 'Block' , 'Open', 'Application', 'YouTube', 'site', 'site', 'strength', 'signal', 'open', 'Langaung', 'missing', 'please', 'Cilacap', ' West ',' Condition ',' Telkomsel ',' ']</v>
      </c>
      <c r="D1731" s="3">
        <v>1.0</v>
      </c>
    </row>
    <row r="1732" ht="15.75" customHeight="1">
      <c r="A1732" s="1">
        <v>1730.0</v>
      </c>
      <c r="B1732" s="3" t="s">
        <v>1733</v>
      </c>
      <c r="C1732" s="3" t="str">
        <f>IFERROR(__xludf.DUMMYFUNCTION("GOOGLETRANSLATE(B1732,""id"",""en"")"),"['Najis',' UDH ',' provider ',' expensive ',' Kauta ',' expensive ',' network ',' slow ',' really ',' unclean ',' network ',' bad ',' Dapi ',' Provider ',' Indosat ', ""]")</f>
        <v>['Najis',' UDH ',' provider ',' expensive ',' Kauta ',' expensive ',' network ',' slow ',' really ',' unclean ',' network ',' bad ',' Dapi ',' Provider ',' Indosat ', "]</v>
      </c>
      <c r="D1732" s="3">
        <v>1.0</v>
      </c>
    </row>
    <row r="1733" ht="15.75" customHeight="1">
      <c r="A1733" s="1">
        <v>1731.0</v>
      </c>
      <c r="B1733" s="3" t="s">
        <v>1734</v>
      </c>
      <c r="C1733" s="3" t="str">
        <f>IFERROR(__xludf.DUMMYFUNCTION("GOOGLETRANSLATE(B1733,""id"",""en"")"),"['sad', 'Telkomsel', 'user', 'loyal', 'package', 'expensive', 'according to', 'unlimited', 'quota', 'main', 'eat', 'open', ' youtube ',' cave ',' open ',' application ',' because ',' quota ',' main ',' cave ',' run out ',' buy ',' survive ',' play ',' gam"&amp;"e ' , 'Disruption', 'Disappointed', 'Telkomsel', '']")</f>
        <v>['sad', 'Telkomsel', 'user', 'loyal', 'package', 'expensive', 'according to', 'unlimited', 'quota', 'main', 'eat', 'open', ' youtube ',' cave ',' open ',' application ',' because ',' quota ',' main ',' cave ',' run out ',' buy ',' survive ',' play ',' game ' , 'Disruption', 'Disappointed', 'Telkomsel', '']</v>
      </c>
      <c r="D1733" s="3">
        <v>1.0</v>
      </c>
    </row>
    <row r="1734" ht="15.75" customHeight="1">
      <c r="A1734" s="1">
        <v>1732.0</v>
      </c>
      <c r="B1734" s="3" t="s">
        <v>1735</v>
      </c>
      <c r="C1734" s="3" t="str">
        <f>IFERROR(__xludf.DUMMYFUNCTION("GOOGLETRANSLATE(B1734,""id"",""en"")"),"['Telkomsel', 'Different', 'fabric', 'signal', 'ugly', 'JAWA', 'West', 'package', 'expensive', 'really', 'Come', 'Rame', ' Moving ',' Oplator ',' Telkomsel ',' pay attention ',' Condition ',' Network ',' Region ',' ugly ', ""]")</f>
        <v>['Telkomsel', 'Different', 'fabric', 'signal', 'ugly', 'JAWA', 'West', 'package', 'expensive', 'really', 'Come', 'Rame', ' Moving ',' Oplator ',' Telkomsel ',' pay attention ',' Condition ',' Network ',' Region ',' ugly ', "]</v>
      </c>
      <c r="D1734" s="3">
        <v>1.0</v>
      </c>
    </row>
    <row r="1735" ht="15.75" customHeight="1">
      <c r="A1735" s="1">
        <v>1733.0</v>
      </c>
      <c r="B1735" s="3" t="s">
        <v>1736</v>
      </c>
      <c r="C1735" s="3" t="str">
        <f>IFERROR(__xludf.DUMMYFUNCTION("GOOGLETRANSLATE(B1735,""id"",""en"")"),"['network', 'kopet', 'tuyul', 'pulse', 'app', 'function', 'heavy', 'vain', 'buy', 'quota', 'suck', 'pulse', ' main ',' crazy ',' a day ',' bablas', 'trace', 'pdhl', 'already', 'buy', 'quota', 'wuaaasssyyy', '']")</f>
        <v>['network', 'kopet', 'tuyul', 'pulse', 'app', 'function', 'heavy', 'vain', 'buy', 'quota', 'suck', 'pulse', ' main ',' crazy ',' a day ',' bablas', 'trace', 'pdhl', 'already', 'buy', 'quota', 'wuaaasssyyy', '']</v>
      </c>
      <c r="D1735" s="3">
        <v>1.0</v>
      </c>
    </row>
    <row r="1736" ht="15.75" customHeight="1">
      <c r="A1736" s="1">
        <v>1734.0</v>
      </c>
      <c r="B1736" s="3" t="s">
        <v>1737</v>
      </c>
      <c r="C1736" s="3" t="str">
        <f>IFERROR(__xludf.DUMMYFUNCTION("GOOGLETRANSLATE(B1736,""id"",""en"")"),"['Bobrokkk', 'Telkomsel', 'already', 'package', 'expensive', 'lemotttttttt', 'lemotttttttttt', 'boss',' use ',' Telkomsel ',' disappointing ',' switch ',' Customers', 'im', 'fast', 'package', 'cheap', '']")</f>
        <v>['Bobrokkk', 'Telkomsel', 'already', 'package', 'expensive', 'lemotttttttt', 'lemotttttttttt', 'boss',' use ',' Telkomsel ',' disappointing ',' switch ',' Customers', 'im', 'fast', 'package', 'cheap', '']</v>
      </c>
      <c r="D1736" s="3">
        <v>1.0</v>
      </c>
    </row>
    <row r="1737" ht="15.75" customHeight="1">
      <c r="A1737" s="1">
        <v>1735.0</v>
      </c>
      <c r="B1737" s="3" t="s">
        <v>1738</v>
      </c>
      <c r="C1737" s="3" t="str">
        <f>IFERROR(__xludf.DUMMYFUNCTION("GOOGLETRANSLATE(B1737,""id"",""en"")"),"['Telkomsel', 'already', 'many years',' increases', 'quality', 'decreases',' signal ',' good ',' clock ',' afternoon ',' right ',' down ',' already ',' months', 'like', 'gini', 'change', 'card', '']")</f>
        <v>['Telkomsel', 'already', 'many years',' increases', 'quality', 'decreases',' signal ',' good ',' clock ',' afternoon ',' right ',' down ',' already ',' months', 'like', 'gini', 'change', 'card', '']</v>
      </c>
      <c r="D1737" s="3">
        <v>2.0</v>
      </c>
    </row>
    <row r="1738" ht="15.75" customHeight="1">
      <c r="A1738" s="1">
        <v>1736.0</v>
      </c>
      <c r="B1738" s="3" t="s">
        <v>1739</v>
      </c>
      <c r="C1738" s="3" t="str">
        <f>IFERROR(__xludf.DUMMYFUNCTION("GOOGLETRANSLATE(B1738,""id"",""en"")"),"['Package', 'Combo', 'Sakti', 'Like', 'Telkomsel', 'Telkomsel', 'Hope', 'Hopefully', 'Package', 'Combo', 'Sakti', 'Quota', ' unlimited ',' slow ',' katika ',' quota ',' main ',' finished ',' situ ',' network ',' slow ',' ']")</f>
        <v>['Package', 'Combo', 'Sakti', 'Like', 'Telkomsel', 'Telkomsel', 'Hope', 'Hopefully', 'Package', 'Combo', 'Sakti', 'Quota', ' unlimited ',' slow ',' katika ',' quota ',' main ',' finished ',' situ ',' network ',' slow ',' ']</v>
      </c>
      <c r="D1738" s="3">
        <v>5.0</v>
      </c>
    </row>
    <row r="1739" ht="15.75" customHeight="1">
      <c r="A1739" s="1">
        <v>1737.0</v>
      </c>
      <c r="B1739" s="3" t="s">
        <v>1740</v>
      </c>
      <c r="C1739" s="3" t="str">
        <f>IFERROR(__xludf.DUMMYFUNCTION("GOOGLETRANSLATE(B1739,""id"",""en"")"),"['Telkomsel', 'expensive', 'data', 'persuhit', 'Naa', 'love', 'difficult', 'community', 'circles',' network ',' broke ',' broke ',' use ',' card ',' Karna ',' Telkomsel ',' ugly ',' network ',' telephone ',' internet ',' ']")</f>
        <v>['Telkomsel', 'expensive', 'data', 'persuhit', 'Naa', 'love', 'difficult', 'community', 'circles',' network ',' broke ',' broke ',' use ',' card ',' Karna ',' Telkomsel ',' ugly ',' network ',' telephone ',' internet ',' ']</v>
      </c>
      <c r="D1739" s="3">
        <v>1.0</v>
      </c>
    </row>
    <row r="1740" ht="15.75" customHeight="1">
      <c r="A1740" s="1">
        <v>1738.0</v>
      </c>
      <c r="B1740" s="3" t="s">
        <v>1741</v>
      </c>
      <c r="C1740" s="3" t="str">
        <f>IFERROR(__xludf.DUMMYFUNCTION("GOOGLETRANSLATE(B1740,""id"",""en"")"),"['Yesterday', 'buy', 'pulse', 'package', 'GB', 'Kuoata', 'enter', 'credit', 'missing', 'Telkomsel', 'bad', 'leftover', ' Lost ',' in the past ',' pandemic ',' valuable ',' customers', 'Telkomsel', 'disappointed']")</f>
        <v>['Yesterday', 'buy', 'pulse', 'package', 'GB', 'Kuoata', 'enter', 'credit', 'missing', 'Telkomsel', 'bad', 'leftover', ' Lost ',' in the past ',' pandemic ',' valuable ',' customers', 'Telkomsel', 'disappointed']</v>
      </c>
      <c r="D1740" s="3">
        <v>2.0</v>
      </c>
    </row>
    <row r="1741" ht="15.75" customHeight="1">
      <c r="A1741" s="1">
        <v>1739.0</v>
      </c>
      <c r="B1741" s="3" t="s">
        <v>1742</v>
      </c>
      <c r="C1741" s="3" t="str">
        <f>IFERROR(__xludf.DUMMYFUNCTION("GOOGLETRANSLATE(B1741,""id"",""en"")"),"['Customer', 'Telkomsel', 'Disappointed', 'Nelfon', 'Call', 'Center', 'Difficult', 'Buy', 'Package', 'Bln', 'Call', 'Minutes',' Data ',' buy ',' nelfon ',' mnit ',' uda ',' that's', 'package', 'nelfon', 'run out']")</f>
        <v>['Customer', 'Telkomsel', 'Disappointed', 'Nelfon', 'Call', 'Center', 'Difficult', 'Buy', 'Package', 'Bln', 'Call', 'Minutes',' Data ',' buy ',' nelfon ',' mnit ',' uda ',' that's', 'package', 'nelfon', 'run out']</v>
      </c>
      <c r="D1741" s="3">
        <v>1.0</v>
      </c>
    </row>
    <row r="1742" ht="15.75" customHeight="1">
      <c r="A1742" s="1">
        <v>1740.0</v>
      </c>
      <c r="B1742" s="3" t="s">
        <v>1743</v>
      </c>
      <c r="C1742" s="3" t="str">
        <f>IFERROR(__xludf.DUMMYFUNCTION("GOOGLETRANSLATE(B1742,""id"",""en"")"),"['Sya', 'like', 'System', 'Telekomsell', 'Cheating', 'Cook', 'Content', 'Package', 'Tlpn', 'Minute', 'Package', 'Quota', ' The internet ',' Out ',' Fill ',' Package ',' TLPN ',' Yesterday ',' Ngak ', ""]")</f>
        <v>['Sya', 'like', 'System', 'Telekomsell', 'Cheating', 'Cook', 'Content', 'Package', 'Tlpn', 'Minute', 'Package', 'Quota', ' The internet ',' Out ',' Fill ',' Package ',' TLPN ',' Yesterday ',' Ngak ', "]</v>
      </c>
      <c r="D1742" s="3">
        <v>1.0</v>
      </c>
    </row>
    <row r="1743" ht="15.75" customHeight="1">
      <c r="A1743" s="1">
        <v>1741.0</v>
      </c>
      <c r="B1743" s="3" t="s">
        <v>1744</v>
      </c>
      <c r="C1743" s="3" t="str">
        <f>IFERROR(__xludf.DUMMYFUNCTION("GOOGLETRANSLATE(B1743,""id"",""en"")"),"['Grounding', 'Ngaur', 'Language', 'Indonesia', 'Sometimes',' Understand ',' Karna ',' according to ',' Tbah ',' Ribet ',' Language ',' Foreign ',' Please, 'Choice', 'Language', '']")</f>
        <v>['Grounding', 'Ngaur', 'Language', 'Indonesia', 'Sometimes',' Understand ',' Karna ',' according to ',' Tbah ',' Ribet ',' Language ',' Foreign ',' Please, 'Choice', 'Language', '']</v>
      </c>
      <c r="D1743" s="3">
        <v>1.0</v>
      </c>
    </row>
    <row r="1744" ht="15.75" customHeight="1">
      <c r="A1744" s="1">
        <v>1742.0</v>
      </c>
      <c r="B1744" s="3" t="s">
        <v>1745</v>
      </c>
      <c r="C1744" s="3" t="str">
        <f>IFERROR(__xludf.DUMMYFUNCTION("GOOGLETRANSLATE(B1744,""id"",""en"")"),"['Uninstall', 'application', 'dumpster', 'knapa', 'msh', 'wear', 'cost', 'hope', 'hnya', 'times',' please ',' Telkomsel ',' Protect ',' Consument ',' Harms', 'Thank', 'Love', ""]")</f>
        <v>['Uninstall', 'application', 'dumpster', 'knapa', 'msh', 'wear', 'cost', 'hope', 'hnya', 'times',' please ',' Telkomsel ',' Protect ',' Consument ',' Harms', 'Thank', 'Love', "]</v>
      </c>
      <c r="D1744" s="3">
        <v>1.0</v>
      </c>
    </row>
    <row r="1745" ht="15.75" customHeight="1">
      <c r="A1745" s="1">
        <v>1743.0</v>
      </c>
      <c r="B1745" s="3" t="s">
        <v>1746</v>
      </c>
      <c r="C1745" s="3" t="str">
        <f>IFERROR(__xludf.DUMMYFUNCTION("GOOGLETRANSLATE(B1745,""id"",""en"")"),"['buy', 'package', 'internet', 'expensive', 'area', 'stay', 'improved', 'bad', 'network', 'internet', 'access',' internet ',' Complaints', 'complaint', 'progress',' poor ',' disappointing ',' ']")</f>
        <v>['buy', 'package', 'internet', 'expensive', 'area', 'stay', 'improved', 'bad', 'network', 'internet', 'access',' internet ',' Complaints', 'complaint', 'progress',' poor ',' disappointing ',' ']</v>
      </c>
      <c r="D1745" s="3">
        <v>1.0</v>
      </c>
    </row>
    <row r="1746" ht="15.75" customHeight="1">
      <c r="A1746" s="1">
        <v>1744.0</v>
      </c>
      <c r="B1746" s="3" t="s">
        <v>1747</v>
      </c>
      <c r="C1746" s="3" t="str">
        <f>IFERROR(__xludf.DUMMYFUNCTION("GOOGLETRANSLATE(B1746,""id"",""en"")"),"['', 'Sayangkan', 'Call', 'Credit', 'Reduced', 'Package', 'Call', 'Telkomsel', 'Operator', 'Seeri', 'Package', 'Package', 'Call ',' Please ',' Min ',' Slalu ',' wasted ',' Sia ',' Credit ']")</f>
        <v>['', 'Sayangkan', 'Call', 'Credit', 'Reduced', 'Package', 'Call', 'Telkomsel', 'Operator', 'Seeri', 'Package', 'Package', 'Call ',' Please ',' Min ',' Slalu ',' wasted ',' Sia ',' Credit ']</v>
      </c>
      <c r="D1746" s="3">
        <v>1.0</v>
      </c>
    </row>
    <row r="1747" ht="15.75" customHeight="1">
      <c r="A1747" s="1">
        <v>1745.0</v>
      </c>
      <c r="B1747" s="3" t="s">
        <v>1748</v>
      </c>
      <c r="C1747" s="3" t="str">
        <f>IFERROR(__xludf.DUMMYFUNCTION("GOOGLETRANSLATE(B1747,""id"",""en"")"),"['Telkomsel', 'Cikampek', 'battered', 'really', 'PLIS', 'DEH', 'Note', 'Network', 'Region', 'Disappointed', 'Really', 'Actually', ' Activate ',' Disturbed ',' Gara ',' Gara ',' Network ',' ugly ']")</f>
        <v>['Telkomsel', 'Cikampek', 'battered', 'really', 'PLIS', 'DEH', 'Note', 'Network', 'Region', 'Disappointed', 'Really', 'Actually', ' Activate ',' Disturbed ',' Gara ',' Gara ',' Network ',' ugly ']</v>
      </c>
      <c r="D1747" s="3">
        <v>1.0</v>
      </c>
    </row>
    <row r="1748" ht="15.75" customHeight="1">
      <c r="A1748" s="1">
        <v>1746.0</v>
      </c>
      <c r="B1748" s="3" t="s">
        <v>1749</v>
      </c>
      <c r="C1748" s="3" t="str">
        <f>IFERROR(__xludf.DUMMYFUNCTION("GOOGLETRANSLATE(B1748,""id"",""en"")"),"['Assalamualaikum', 'The application', 'good', 'good', 'really', 'please', 'Telkomsel', 'please', 'add', 'quota', 'surprise', 'gamesmax', ' ']")</f>
        <v>['Assalamualaikum', 'The application', 'good', 'good', 'really', 'please', 'Telkomsel', 'please', 'add', 'quota', 'surprise', 'gamesmax', ' ']</v>
      </c>
      <c r="D1748" s="3">
        <v>5.0</v>
      </c>
    </row>
    <row r="1749" ht="15.75" customHeight="1">
      <c r="A1749" s="1">
        <v>1747.0</v>
      </c>
      <c r="B1749" s="3" t="s">
        <v>1750</v>
      </c>
      <c r="C1749" s="3" t="str">
        <f>IFERROR(__xludf.DUMMYFUNCTION("GOOGLETRANSLATE(B1749,""id"",""en"")"),"['Gymna', 'mksd', 'already', 'log', 'TPI', 'told', 'enter', 'ttep', 'msuk', 'mah', 'kluar', 'kluar', ' lgi ',' until ',' update ',' feeling ',' complicated ',' skrang ',' mlh ',' maybe ',' complicated ',' please ',' pjlseanya ',' pdhl ',' cumn ' , 'BLI', "&amp;"'pketan', 'Mah', 'Jdi', 'Ribet', 'Gini', ""]")</f>
        <v>['Gymna', 'mksd', 'already', 'log', 'TPI', 'told', 'enter', 'ttep', 'msuk', 'mah', 'kluar', 'kluar', ' lgi ',' until ',' update ',' feeling ',' complicated ',' skrang ',' mlh ',' maybe ',' complicated ',' please ',' pjlseanya ',' pdhl ',' cumn ' , 'BLI', 'pketan', 'Mah', 'Jdi', 'Ribet', 'Gini', "]</v>
      </c>
      <c r="D1749" s="3">
        <v>1.0</v>
      </c>
    </row>
    <row r="1750" ht="15.75" customHeight="1">
      <c r="A1750" s="1">
        <v>1748.0</v>
      </c>
      <c r="B1750" s="3" t="s">
        <v>1751</v>
      </c>
      <c r="C1750" s="3" t="str">
        <f>IFERROR(__xludf.DUMMYFUNCTION("GOOGLETRANSLATE(B1750,""id"",""en"")"),"['Telkomsel', 'Please', 'Data', 'Language', 'Indonesia', 'Customer', 'Ngerti', 'Language', 'English', 'Fix', 'Saberi', 'Bintang', ' ']")</f>
        <v>['Telkomsel', 'Please', 'Data', 'Language', 'Indonesia', 'Customer', 'Ngerti', 'Language', 'English', 'Fix', 'Saberi', 'Bintang', ' ']</v>
      </c>
      <c r="D1750" s="3">
        <v>1.0</v>
      </c>
    </row>
    <row r="1751" ht="15.75" customHeight="1">
      <c r="A1751" s="1">
        <v>1749.0</v>
      </c>
      <c r="B1751" s="3" t="s">
        <v>1752</v>
      </c>
      <c r="C1751" s="3" t="str">
        <f>IFERROR(__xludf.DUMMYFUNCTION("GOOGLETRANSLATE(B1751,""id"",""en"")"),"['Hay', 'Sis',' number ',' enter ',' Telkomsel ',' a month ',' Try ',' enter ',' until ',' alternating ',' Install ',' Uninstall ',' Telkomsel ',' not ',' Install ',' Telkomsel ',' makes it easy ',' buy ',' package ',' check ',' promo ',' ehh ',' no ',' e"&amp;"nter ',' please ' , 'Need', 'brother', 'please', ""]")</f>
        <v>['Hay', 'Sis',' number ',' enter ',' Telkomsel ',' a month ',' Try ',' enter ',' until ',' alternating ',' Install ',' Uninstall ',' Telkomsel ',' not ',' Install ',' Telkomsel ',' makes it easy ',' buy ',' package ',' check ',' promo ',' ehh ',' no ',' enter ',' please ' , 'Need', 'brother', 'please', "]</v>
      </c>
      <c r="D1751" s="3">
        <v>3.0</v>
      </c>
    </row>
    <row r="1752" ht="15.75" customHeight="1">
      <c r="A1752" s="1">
        <v>1750.0</v>
      </c>
      <c r="B1752" s="3" t="s">
        <v>1753</v>
      </c>
      <c r="C1752" s="3" t="str">
        <f>IFERROR(__xludf.DUMMYFUNCTION("GOOGLETRANSLATE(B1752,""id"",""en"")"),"['Disappointed', 'really', 'Ama', 'Telkomsel', 'Telkomsel', 'Delicious',' Pakek ',' Nge ',' Game ',' Maklumi ',' Kouta ',' Telkomsel ',' expensive ',' because ',' speed ',' connection ',' play ',' TPI ',' skarang ',' already ',' tetep ',' expensive ',' ne"&amp;"twork ',' bad ',' down ' , 'Hadehhh', 'failed', 'push', 'conongqu', '']")</f>
        <v>['Disappointed', 'really', 'Ama', 'Telkomsel', 'Telkomsel', 'Delicious',' Pakek ',' Nge ',' Game ',' Maklumi ',' Kouta ',' Telkomsel ',' expensive ',' because ',' speed ',' connection ',' play ',' TPI ',' skarang ',' already ',' tetep ',' expensive ',' network ',' bad ',' down ' , 'Hadehhh', 'failed', 'push', 'conongqu', '']</v>
      </c>
      <c r="D1752" s="3">
        <v>1.0</v>
      </c>
    </row>
    <row r="1753" ht="15.75" customHeight="1">
      <c r="A1753" s="1">
        <v>1751.0</v>
      </c>
      <c r="B1753" s="3" t="s">
        <v>1754</v>
      </c>
      <c r="C1753" s="3" t="str">
        <f>IFERROR(__xludf.DUMMYFUNCTION("GOOGLETRANSLATE(B1753,""id"",""en"")"),"['Sorry', 'active', 'card', 'December', 'check', 'pulse', 'call', 'accept', 'otp', 'third', 'etc.', 'instructions',' Veronica ',' influential ',' try ',' nihil ',' please ',' fix ',' digit ',' thanks']")</f>
        <v>['Sorry', 'active', 'card', 'December', 'check', 'pulse', 'call', 'accept', 'otp', 'third', 'etc.', 'instructions',' Veronica ',' influential ',' try ',' nihil ',' please ',' fix ',' digit ',' thanks']</v>
      </c>
      <c r="D1753" s="3">
        <v>1.0</v>
      </c>
    </row>
    <row r="1754" ht="15.75" customHeight="1">
      <c r="A1754" s="1">
        <v>1752.0</v>
      </c>
      <c r="B1754" s="3" t="s">
        <v>1755</v>
      </c>
      <c r="C1754" s="3" t="str">
        <f>IFERROR(__xludf.DUMMYFUNCTION("GOOGLETRANSLATE(B1754,""id"",""en"")"),"['AJG', 'I', 'buy', 'Package', 'Game', 'Max', 'Silver', 'Order', 'Diamond', 'Mobile', 'Legends',' Enter ',' I ',' buy ',' package ',' Game ',' Max ',' expect ',' Diamond ',' Mobile ',' Legends', 'enter', 'enter', 'enter', 'clock' , 'I', 'MONEY', 'Please',"&amp;" 'Help']")</f>
        <v>['AJG', 'I', 'buy', 'Package', 'Game', 'Max', 'Silver', 'Order', 'Diamond', 'Mobile', 'Legends',' Enter ',' I ',' buy ',' package ',' Game ',' Max ',' expect ',' Diamond ',' Mobile ',' Legends', 'enter', 'enter', 'enter', 'clock' , 'I', 'MONEY', 'Please', 'Help']</v>
      </c>
      <c r="D1754" s="3">
        <v>1.0</v>
      </c>
    </row>
    <row r="1755" ht="15.75" customHeight="1">
      <c r="A1755" s="1">
        <v>1753.0</v>
      </c>
      <c r="B1755" s="3" t="s">
        <v>1756</v>
      </c>
      <c r="C1755" s="3" t="str">
        <f>IFERROR(__xludf.DUMMYFUNCTION("GOOGLETRANSLATE(B1755,""id"",""en"")"),"['', 'signal', 'Telkomsel', 'slow', 'already', 'off', 'data', 'off', 'water', 'plane', 'move', 'network', 'already ',' restart ',' ngeleg ',' price ',' package ',' expensive ',' package ',' mlm ',' cheap ',' until ',' clock ',' change ',' package ', 'MLM'"&amp;", 'Sampe', 'Clock', 'Morning', '']")</f>
        <v>['', 'signal', 'Telkomsel', 'slow', 'already', 'off', 'data', 'off', 'water', 'plane', 'move', 'network', 'already ',' restart ',' ngeleg ',' price ',' package ',' expensive ',' package ',' mlm ',' cheap ',' until ',' clock ',' change ',' package ', 'MLM', 'Sampe', 'Clock', 'Morning', '']</v>
      </c>
      <c r="D1755" s="3">
        <v>1.0</v>
      </c>
    </row>
    <row r="1756" ht="15.75" customHeight="1">
      <c r="A1756" s="1">
        <v>1754.0</v>
      </c>
      <c r="B1756" s="3" t="s">
        <v>1757</v>
      </c>
      <c r="C1756" s="3" t="str">
        <f>IFERROR(__xludf.DUMMYFUNCTION("GOOGLETRANSLATE(B1756,""id"",""en"")"),"['Telkomsel', 'propider', 'plate', 'red', 'cheap', 'appeal', 'propider', 'nakya', 'trs',' price ',' package ',' data ',' fast ',' run out ',' quota ',' bankrupt ',' Telkomsel ',' bankrupt ',' corruptor ',' ']")</f>
        <v>['Telkomsel', 'propider', 'plate', 'red', 'cheap', 'appeal', 'propider', 'nakya', 'trs',' price ',' package ',' data ',' fast ',' run out ',' quota ',' bankrupt ',' Telkomsel ',' bankrupt ',' corruptor ',' ']</v>
      </c>
      <c r="D1756" s="3">
        <v>1.0</v>
      </c>
    </row>
    <row r="1757" ht="15.75" customHeight="1">
      <c r="A1757" s="1">
        <v>1755.0</v>
      </c>
      <c r="B1757" s="3" t="s">
        <v>1758</v>
      </c>
      <c r="C1757" s="3" t="str">
        <f>IFERROR(__xludf.DUMMYFUNCTION("GOOGLETRANSLATE(B1757,""id"",""en"")"),"['Telkomsel', 'leftover', 'pulse', 'left', 'run out', 'Ludes',' wonder ',' package ',' already ',' complete ',' gedek ',' please ',' Operator ',' repaired ',' Harms']")</f>
        <v>['Telkomsel', 'leftover', 'pulse', 'left', 'run out', 'Ludes',' wonder ',' package ',' already ',' complete ',' gedek ',' please ',' Operator ',' repaired ',' Harms']</v>
      </c>
      <c r="D1757" s="3">
        <v>1.0</v>
      </c>
    </row>
    <row r="1758" ht="15.75" customHeight="1">
      <c r="A1758" s="1">
        <v>1756.0</v>
      </c>
      <c r="B1758" s="3" t="s">
        <v>1759</v>
      </c>
      <c r="C1758" s="3" t="str">
        <f>IFERROR(__xludf.DUMMYFUNCTION("GOOGLETRANSLATE(B1758,""id"",""en"")"),"['Min', 'please', 'signal', 'network', 'ugly', 'oath', 'meek', 'in the city', 'no', 'network', 'Telkomsel', 'Please', ' Action ',' continued ',' min ',' gini ',' comfortable ',' communication ']")</f>
        <v>['Min', 'please', 'signal', 'network', 'ugly', 'oath', 'meek', 'in the city', 'no', 'network', 'Telkomsel', 'Please', ' Action ',' continued ',' min ',' gini ',' comfortable ',' communication ']</v>
      </c>
      <c r="D1758" s="3">
        <v>2.0</v>
      </c>
    </row>
    <row r="1759" ht="15.75" customHeight="1">
      <c r="A1759" s="1">
        <v>1757.0</v>
      </c>
      <c r="B1759" s="3" t="s">
        <v>1760</v>
      </c>
      <c r="C1759" s="3" t="str">
        <f>IFERROR(__xludf.DUMMYFUNCTION("GOOGLETRANSLATE(B1759,""id"",""en"")"),"['Please', 'stability', 'network', 'priority', 'clarity', 'package', 'unlimited', 'internet', 'open', 'site', 'fup', 'run out', ' KBS ',' KBS ',' in fact ',' KBS ',' translucent ',' signal ',' full ',' unlimited ',' name ', ""]")</f>
        <v>['Please', 'stability', 'network', 'priority', 'clarity', 'package', 'unlimited', 'internet', 'open', 'site', 'fup', 'run out', ' KBS ',' KBS ',' in fact ',' KBS ',' translucent ',' signal ',' full ',' unlimited ',' name ', "]</v>
      </c>
      <c r="D1759" s="3">
        <v>2.0</v>
      </c>
    </row>
    <row r="1760" ht="15.75" customHeight="1">
      <c r="A1760" s="1">
        <v>1758.0</v>
      </c>
      <c r="B1760" s="3" t="s">
        <v>1761</v>
      </c>
      <c r="C1760" s="3" t="str">
        <f>IFERROR(__xludf.DUMMYFUNCTION("GOOGLETRANSLATE(B1760,""id"",""en"")"),"['Telkomsel', 'experience', 'loss', 'take', 'network', 'kek', 'gini', 'because' uda ',' network ',' network ',' redam ',' Disappointed ',' Telkomsel ',' Bentar ',' Move ']")</f>
        <v>['Telkomsel', 'experience', 'loss', 'take', 'network', 'kek', 'gini', 'because' uda ',' network ',' network ',' redam ',' Disappointed ',' Telkomsel ',' Bentar ',' Move ']</v>
      </c>
      <c r="D1760" s="3">
        <v>1.0</v>
      </c>
    </row>
    <row r="1761" ht="15.75" customHeight="1">
      <c r="A1761" s="1">
        <v>1759.0</v>
      </c>
      <c r="B1761" s="3" t="s">
        <v>1762</v>
      </c>
      <c r="C1761" s="3" t="str">
        <f>IFERROR(__xludf.DUMMYFUNCTION("GOOGLETRANSLATE(B1761,""id"",""en"")"),"['WHY', 'Login', 'Application', 'Ribet', 'ACAAT', 'Constraints',' Kaga ',' Opens', 'Mending', 'No', 'Application', 'Difficult', ' Life ',' people ',' ntr ',' difficult ',' business', 'makes it easier', 'make it difficult']")</f>
        <v>['WHY', 'Login', 'Application', 'Ribet', 'ACAAT', 'Constraints',' Kaga ',' Opens', 'Mending', 'No', 'Application', 'Difficult', ' Life ',' people ',' ntr ',' difficult ',' business', 'makes it easier', 'make it difficult']</v>
      </c>
      <c r="D1761" s="3">
        <v>2.0</v>
      </c>
    </row>
    <row r="1762" ht="15.75" customHeight="1">
      <c r="A1762" s="1">
        <v>1760.0</v>
      </c>
      <c r="B1762" s="3" t="s">
        <v>1763</v>
      </c>
      <c r="C1762" s="3" t="str">
        <f>IFERROR(__xludf.DUMMYFUNCTION("GOOGLETRANSLATE(B1762,""id"",""en"")"),"['Hopefully', 'MyTelkomsel', 'makes it easier', 'aspects',' SLL ',' loyal ',' use ',' card ',' Telkomsel ',' tens', 'Live', 'hope', ' Gifts', 'unexpected', 'Sexos',' ']")</f>
        <v>['Hopefully', 'MyTelkomsel', 'makes it easier', 'aspects',' SLL ',' loyal ',' use ',' card ',' Telkomsel ',' tens', 'Live', 'hope', ' Gifts', 'unexpected', 'Sexos',' ']</v>
      </c>
      <c r="D1762" s="3">
        <v>3.0</v>
      </c>
    </row>
    <row r="1763" ht="15.75" customHeight="1">
      <c r="A1763" s="1">
        <v>1761.0</v>
      </c>
      <c r="B1763" s="3" t="s">
        <v>1764</v>
      </c>
      <c r="C1763" s="3" t="str">
        <f>IFERROR(__xludf.DUMMYFUNCTION("GOOGLETRANSLATE(B1763,""id"",""en"")"),"['Telkomsel', 'signal', 'dead', 'on', 'already', 'buy', 'expensive', 'big', 'trs',' no ',' signal ',' until ',' the rest ',' already ',' near ',' dated ',' front ',' home ',' good ',' signal ',' dead ',' please ',' repaired ',' expensive ',' quality ' , '"&amp;"Good', 'loss', 'disappointed', '']")</f>
        <v>['Telkomsel', 'signal', 'dead', 'on', 'already', 'buy', 'expensive', 'big', 'trs',' no ',' signal ',' until ',' the rest ',' already ',' near ',' dated ',' front ',' home ',' good ',' signal ',' dead ',' please ',' repaired ',' expensive ',' quality ' , 'Good', 'loss', 'disappointed', '']</v>
      </c>
      <c r="D1763" s="3">
        <v>1.0</v>
      </c>
    </row>
    <row r="1764" ht="15.75" customHeight="1">
      <c r="A1764" s="1">
        <v>1762.0</v>
      </c>
      <c r="B1764" s="3" t="s">
        <v>1765</v>
      </c>
      <c r="C1764" s="3" t="str">
        <f>IFERROR(__xludf.DUMMYFUNCTION("GOOGLETRANSLATE(B1764,""id"",""en"")"),"['bad', 'service', 'provider', 'best', 'chronology', 'buy', 'package', 'internet', 'application', 'read', 'success',' notification ',' buy ',' success', 'notif', 'quota', 'internet', 'buy', 'check', 'credit', 'missing', 'package', 'internet', 'application"&amp;"', 'Telkomsel' , 'service', 'bad', 'quota', 'expensive', 'service', 'application', 'bad', '']")</f>
        <v>['bad', 'service', 'provider', 'best', 'chronology', 'buy', 'package', 'internet', 'application', 'read', 'success',' notification ',' buy ',' success', 'notif', 'quota', 'internet', 'buy', 'check', 'credit', 'missing', 'package', 'internet', 'application', 'Telkomsel' , 'service', 'bad', 'quota', 'expensive', 'service', 'application', 'bad', '']</v>
      </c>
      <c r="D1764" s="3">
        <v>1.0</v>
      </c>
    </row>
    <row r="1765" ht="15.75" customHeight="1">
      <c r="A1765" s="1">
        <v>1763.0</v>
      </c>
      <c r="B1765" s="3" t="s">
        <v>1766</v>
      </c>
      <c r="C1765" s="3" t="str">
        <f>IFERROR(__xludf.DUMMYFUNCTION("GOOGLETRANSLATE(B1765,""id"",""en"")"),"['Asuu', 'star', 'Minusss',' Sudi ',' gave ',' star ',' ugly ',' really ',' the application ',' here ',' complicated ',' right ',' Enter ',' Wait ',' sms', 'enter', 'number', 'enter', 'Kelo', 'Vitur', 'star', 'minus',' cave ',' choose ',' Mines' , 'Anjeng"&amp;"', ""]")</f>
        <v>['Asuu', 'star', 'Minusss',' Sudi ',' gave ',' star ',' ugly ',' really ',' the application ',' here ',' complicated ',' right ',' Enter ',' Wait ',' sms', 'enter', 'number', 'enter', 'Kelo', 'Vitur', 'star', 'minus',' cave ',' choose ',' Mines' , 'Anjeng', "]</v>
      </c>
      <c r="D1765" s="3">
        <v>1.0</v>
      </c>
    </row>
    <row r="1766" ht="15.75" customHeight="1">
      <c r="A1766" s="1">
        <v>1764.0</v>
      </c>
      <c r="B1766" s="3" t="s">
        <v>1767</v>
      </c>
      <c r="C1766" s="3" t="str">
        <f>IFERROR(__xludf.DUMMYFUNCTION("GOOGLETRANSLATE(B1766,""id"",""en"")"),"['Contents',' reset ',' pulse ',' data ',' turn off ',' sucked ',' pulse ',' then ',' activate ',' data ',' wifi ',' pulse ',' Tetep ',' sucked ',' contents', 'go through', 'times',' sucked ',' Pahadal ',' data ',' die ',' wifi ',' list ',' package ',' re"&amp;"sponse ' , 'Sorry', 'disorder', 'try', ""]")</f>
        <v>['Contents',' reset ',' pulse ',' data ',' turn off ',' sucked ',' pulse ',' then ',' activate ',' data ',' wifi ',' pulse ',' Tetep ',' sucked ',' contents', 'go through', 'times',' sucked ',' Pahadal ',' data ',' die ',' wifi ',' list ',' package ',' response ' , 'Sorry', 'disorder', 'try', "]</v>
      </c>
      <c r="D1766" s="3">
        <v>1.0</v>
      </c>
    </row>
    <row r="1767" ht="15.75" customHeight="1">
      <c r="A1767" s="1">
        <v>1765.0</v>
      </c>
      <c r="B1767" s="3" t="s">
        <v>1768</v>
      </c>
      <c r="C1767" s="3" t="str">
        <f>IFERROR(__xludf.DUMMYFUNCTION("GOOGLETRANSLATE(B1767,""id"",""en"")"),"['Hopefully', 'buy', 'package', 'anything', 'connected', 'wallet', 'digital', 'pulse', 'troublesome', 'application', 'good', 'load', ' Pages', 'Network', 'Not bad', 'Good', ""]")</f>
        <v>['Hopefully', 'buy', 'package', 'anything', 'connected', 'wallet', 'digital', 'pulse', 'troublesome', 'application', 'good', 'load', ' Pages', 'Network', 'Not bad', 'Good', "]</v>
      </c>
      <c r="D1767" s="3">
        <v>1.0</v>
      </c>
    </row>
    <row r="1768" ht="15.75" customHeight="1">
      <c r="A1768" s="1">
        <v>1766.0</v>
      </c>
      <c r="B1768" s="3" t="s">
        <v>1769</v>
      </c>
      <c r="C1768" s="3" t="str">
        <f>IFERROR(__xludf.DUMMYFUNCTION("GOOGLETRANSLATE(B1768,""id"",""en"")"),"['Hi', 'Telkomsel', 'Credit', 'cut', 'Rp', 'have', 'quota', 'please', 'fix']")</f>
        <v>['Hi', 'Telkomsel', 'Credit', 'cut', 'Rp', 'have', 'quota', 'please', 'fix']</v>
      </c>
      <c r="D1768" s="3">
        <v>1.0</v>
      </c>
    </row>
    <row r="1769" ht="15.75" customHeight="1">
      <c r="A1769" s="1">
        <v>1767.0</v>
      </c>
      <c r="B1769" s="3" t="s">
        <v>1770</v>
      </c>
      <c r="C1769" s="3" t="str">
        <f>IFERROR(__xludf.DUMMYFUNCTION("GOOGLETRANSLATE(B1769,""id"",""en"")"),"['Disappointed', 'Operator', 'I Sunggain', 'Sampe', 'Kurekendasiin', 'Family', 'Simcard', 'here', 'Ancur', 'Browsing', 'lag', 'Game', ' lag ',' chat ',' doang ',' lag ',' price ',' package ',' expensive ',' quality ',' chaotic ']")</f>
        <v>['Disappointed', 'Operator', 'I Sunggain', 'Sampe', 'Kurekendasiin', 'Family', 'Simcard', 'here', 'Ancur', 'Browsing', 'lag', 'Game', ' lag ',' chat ',' doang ',' lag ',' price ',' package ',' expensive ',' quality ',' chaotic ']</v>
      </c>
      <c r="D1769" s="3">
        <v>1.0</v>
      </c>
    </row>
    <row r="1770" ht="15.75" customHeight="1">
      <c r="A1770" s="1">
        <v>1768.0</v>
      </c>
      <c r="B1770" s="3" t="s">
        <v>1771</v>
      </c>
      <c r="C1770" s="3" t="str">
        <f>IFERROR(__xludf.DUMMYFUNCTION("GOOGLETRANSLATE(B1770,""id"",""en"")"),"['right', 'buy', 'package', 'promo', 'pulse', 'package', 'dipake', 'pulse', 'lost', 'gabisa', 'buy', 'the package', ' Return ',' Credit ',' Taken ',' ']")</f>
        <v>['right', 'buy', 'package', 'promo', 'pulse', 'package', 'dipake', 'pulse', 'lost', 'gabisa', 'buy', 'the package', ' Return ',' Credit ',' Taken ',' ']</v>
      </c>
      <c r="D1770" s="3">
        <v>2.0</v>
      </c>
    </row>
    <row r="1771" ht="15.75" customHeight="1">
      <c r="A1771" s="1">
        <v>1769.0</v>
      </c>
      <c r="B1771" s="3" t="s">
        <v>1772</v>
      </c>
      <c r="C1771" s="3" t="str">
        <f>IFERROR(__xludf.DUMMYFUNCTION("GOOGLETRANSLATE(B1771,""id"",""en"")"),"['Login', 'Persulit', 'Network', 'Data', 'What', 'Credit', 'Packagein', 'Live', 'Data', 'at the time', 'Credit', 'Registered', ' Package ',' Login ',' App ',' Telkomsel ',' Bundir ',' EHK ',' Bener ',' Genesis', 'Seconds',' Live ',' Data ',' Login ',' Liv"&amp;"e ' , 'Hangus', 'pulses', '']")</f>
        <v>['Login', 'Persulit', 'Network', 'Data', 'What', 'Credit', 'Packagein', 'Live', 'Data', 'at the time', 'Credit', 'Registered', ' Package ',' Login ',' App ',' Telkomsel ',' Bundir ',' EHK ',' Bener ',' Genesis', 'Seconds',' Live ',' Data ',' Login ',' Live ' , 'Hangus', 'pulses', '']</v>
      </c>
      <c r="D1771" s="3">
        <v>1.0</v>
      </c>
    </row>
    <row r="1772" ht="15.75" customHeight="1">
      <c r="A1772" s="1">
        <v>1770.0</v>
      </c>
      <c r="B1772" s="3" t="s">
        <v>1773</v>
      </c>
      <c r="C1772" s="3" t="str">
        <f>IFERROR(__xludf.DUMMYFUNCTION("GOOGLETRANSLATE(B1772,""id"",""en"")"),"['logo', 'cool', 'signal', 'rotten', 'funds', 'improve', 'quality', 'network', 'manufacture', 'logo', 'wkwkwkwk']")</f>
        <v>['logo', 'cool', 'signal', 'rotten', 'funds', 'improve', 'quality', 'network', 'manufacture', 'logo', 'wkwkwkwk']</v>
      </c>
      <c r="D1772" s="3">
        <v>1.0</v>
      </c>
    </row>
    <row r="1773" ht="15.75" customHeight="1">
      <c r="A1773" s="1">
        <v>1771.0</v>
      </c>
      <c r="B1773" s="3" t="s">
        <v>1774</v>
      </c>
      <c r="C1773" s="3" t="str">
        <f>IFERROR(__xludf.DUMMYFUNCTION("GOOGLETRANSLATE(B1773,""id"",""en"")"),"[ 'Application', 'giblokkkkkkkkkkkkkkkkkkkkkkkkkkkkkkkkkkkkkkkkkkkkkkkkkkkkkkkkkkkkkkkkkkkkkkkkkkkkkkkkkkkkkkkkkkkkkkkkkkkkkkkkkkkkkkkkkkkkkkkkkkkkkkkkkkkkkkkkkkkkkkkkkkkkkkkkkkkkkkkkkkkkkkkkkkkkkkkkkkkkkkkkkkkkkkkkkkkkkkkkkkkkkkkkkkkkkkkkkkkkkkkkkk', 'Bo"&amp;"ong']")</f>
        <v>[ 'Application', 'giblokkkkkkkkkkkkkkkkkkkkkkkkkkkkkkkkkkkkkkkkkkkkkkkkkkkkkkkkkkkkkkkkkkkkkkkkkkkkkkkkkkkkkkkkkkkkkkkkkkkkkkkkkkkkkkkkkkkkkkkkkkkkkkkkkkkkkkkkkkkkkkkkkkkkkkkkkkkkkkkkkkkkkkkkkkkkkkkkkkkkkkkkkkkkkkkkkkkkkkkkkkkkkkkkkkkkkkkkkkkkkkkkkk', 'Boong']</v>
      </c>
      <c r="D1773" s="3">
        <v>5.0</v>
      </c>
    </row>
    <row r="1774" ht="15.75" customHeight="1">
      <c r="A1774" s="1">
        <v>1772.0</v>
      </c>
      <c r="B1774" s="3" t="s">
        <v>1775</v>
      </c>
      <c r="C1774" s="3" t="str">
        <f>IFERROR(__xludf.DUMMYFUNCTION("GOOGLETRANSLATE(B1774,""id"",""en"")"),"['Gabisa', 'Log', 'Telkomsel', 'Update', 'Gabisa', 'App', 'Created', 'Make it easy', 'users',' Telkomsel ',' Ngribetin ',' Please ',' Repaired ',' Min ',' ']")</f>
        <v>['Gabisa', 'Log', 'Telkomsel', 'Update', 'Gabisa', 'App', 'Created', 'Make it easy', 'users',' Telkomsel ',' Ngribetin ',' Please ',' Repaired ',' Min ',' ']</v>
      </c>
      <c r="D1774" s="3">
        <v>1.0</v>
      </c>
    </row>
    <row r="1775" ht="15.75" customHeight="1">
      <c r="A1775" s="1">
        <v>1773.0</v>
      </c>
      <c r="B1775" s="3" t="s">
        <v>1776</v>
      </c>
      <c r="C1775" s="3" t="str">
        <f>IFERROR(__xludf.DUMMYFUNCTION("GOOGLETRANSLATE(B1775,""id"",""en"")"),"['Please', 'Donk', 'Min', 'User', 'Telkomsel', 'Proud', 'Telkomsel', 'Open', 'Application', 'Difficult', 'Dead', 'Login', ' HARD ',' GMN ',' Crita ',' Duhh ',' Benerin ',' LBH ',' Practical ',' Out ',' Login ',' Doank ']")</f>
        <v>['Please', 'Donk', 'Min', 'User', 'Telkomsel', 'Proud', 'Telkomsel', 'Open', 'Application', 'Difficult', 'Dead', 'Login', ' HARD ',' GMN ',' Crita ',' Duhh ',' Benerin ',' LBH ',' Practical ',' Out ',' Login ',' Doank ']</v>
      </c>
      <c r="D1775" s="3">
        <v>2.0</v>
      </c>
    </row>
    <row r="1776" ht="15.75" customHeight="1">
      <c r="A1776" s="1">
        <v>1774.0</v>
      </c>
      <c r="B1776" s="3" t="s">
        <v>1777</v>
      </c>
      <c r="C1776" s="3" t="str">
        <f>IFERROR(__xludf.DUMMYFUNCTION("GOOGLETRANSLATE(B1776,""id"",""en"")"),"['The application', 'good', 'help', 'buy', 'package', 'data', 'telephone', 'since' update ',' APS ',' accept ',' Link ',' SMS ',' Login ',' because ',' Login ',' Help ',' Telkomsel ',' Problems', '']")</f>
        <v>['The application', 'good', 'help', 'buy', 'package', 'data', 'telephone', 'since' update ',' APS ',' accept ',' Link ',' SMS ',' Login ',' because ',' Login ',' Help ',' Telkomsel ',' Problems', '']</v>
      </c>
      <c r="D1776" s="3">
        <v>4.0</v>
      </c>
    </row>
    <row r="1777" ht="15.75" customHeight="1">
      <c r="A1777" s="1">
        <v>1775.0</v>
      </c>
      <c r="B1777" s="3" t="s">
        <v>1778</v>
      </c>
      <c r="C1777" s="3" t="str">
        <f>IFERROR(__xludf.DUMMYFUNCTION("GOOGLETRANSLATE(B1777,""id"",""en"")"),"['Family', 'users',' Telkomsel ',' Quality ',' Signal ',' Quality ',' Signal ',' Destroyed ',' Labur ',' Price ',' Quota ',' Data ',' Internet ',' soar ',' family ',' data ',' internet ',' provider ',' Telkomsel ',' can ',' mending ',' surrender ',' submi"&amp;"tted ',' provider ']")</f>
        <v>['Family', 'users',' Telkomsel ',' Quality ',' Signal ',' Quality ',' Signal ',' Destroyed ',' Labur ',' Price ',' Quota ',' Data ',' Internet ',' soar ',' family ',' data ',' internet ',' provider ',' Telkomsel ',' can ',' mending ',' surrender ',' submitted ',' provider ']</v>
      </c>
      <c r="D1777" s="3">
        <v>1.0</v>
      </c>
    </row>
    <row r="1778" ht="15.75" customHeight="1">
      <c r="A1778" s="1">
        <v>1776.0</v>
      </c>
      <c r="B1778" s="3" t="s">
        <v>1779</v>
      </c>
      <c r="C1778" s="3" t="str">
        <f>IFERROR(__xludf.DUMMYFUNCTION("GOOGLETRANSLATE(B1778,""id"",""en"")"),"['Customer', 'price', 'set', 'Telkomsel', 'package', 'internet', 'satisfying', 'fix', 'network', 'network', 'kek', 'garbage', ' Login ',' Facebook ',' Wait ',' Clock ',' ']")</f>
        <v>['Customer', 'price', 'set', 'Telkomsel', 'package', 'internet', 'satisfying', 'fix', 'network', 'network', 'kek', 'garbage', ' Login ',' Facebook ',' Wait ',' Clock ',' ']</v>
      </c>
      <c r="D1778" s="3">
        <v>1.0</v>
      </c>
    </row>
    <row r="1779" ht="15.75" customHeight="1">
      <c r="A1779" s="1">
        <v>1777.0</v>
      </c>
      <c r="B1779" s="3" t="s">
        <v>1780</v>
      </c>
      <c r="C1779" s="3" t="str">
        <f>IFERROR(__xludf.DUMMYFUNCTION("GOOGLETRANSLATE(B1779,""id"",""en"")"),"['Signal', 'Telkomsel', 'no' opponent ',' Sometimes ',' obstacles ',' the application ',' Sepe ',' provider ',' hope ',' enhanced ',' quality ',' Promo ',' Deal ',' Unlimited ',' Thx ',' Telkomsel ',' Hopefully ',' Best ', ""]")</f>
        <v>['Signal', 'Telkomsel', 'no' opponent ',' Sometimes ',' obstacles ',' the application ',' Sepe ',' provider ',' hope ',' enhanced ',' quality ',' Promo ',' Deal ',' Unlimited ',' Thx ',' Telkomsel ',' Hopefully ',' Best ', "]</v>
      </c>
      <c r="D1779" s="3">
        <v>5.0</v>
      </c>
    </row>
    <row r="1780" ht="15.75" customHeight="1">
      <c r="A1780" s="1">
        <v>1778.0</v>
      </c>
      <c r="B1780" s="3" t="s">
        <v>1781</v>
      </c>
      <c r="C1780" s="3" t="str">
        <f>IFERROR(__xludf.DUMMYFUNCTION("GOOGLETRANSLATE(B1780,""id"",""en"")"),"['TPI', 'Open', 'Application', 'Registered', 'already', 'THN', 'Ribet', 'Network', 'Weakening', 'Open', 'Application', 'Login', ' reset ',' bored ',' error ',' Mulu ',' ']")</f>
        <v>['TPI', 'Open', 'Application', 'Registered', 'already', 'THN', 'Ribet', 'Network', 'Weakening', 'Open', 'Application', 'Login', ' reset ',' bored ',' error ',' Mulu ',' ']</v>
      </c>
      <c r="D1780" s="3">
        <v>1.0</v>
      </c>
    </row>
    <row r="1781" ht="15.75" customHeight="1">
      <c r="A1781" s="1">
        <v>1779.0</v>
      </c>
      <c r="B1781" s="3" t="s">
        <v>1782</v>
      </c>
      <c r="C1781" s="3" t="str">
        <f>IFERROR(__xludf.DUMMYFUNCTION("GOOGLETRANSLATE(B1781,""id"",""en"")"),"['pulse', 'keuang', 'vain', 'vain', 'cave', 'masi', 'package', 'GB', 'pulse', 'cave', 'pulled', 'get', ' sms', 'dri', 'Telkomsel', 'cave', 'internet', 'package', 'quota', 'cave', 'plis',' ngerugin ',' person ',' person ',' difficult ' , 'Nyari', 'money', "&amp;"'sucked', '']")</f>
        <v>['pulse', 'keuang', 'vain', 'vain', 'cave', 'masi', 'package', 'GB', 'pulse', 'cave', 'pulled', 'get', ' sms', 'dri', 'Telkomsel', 'cave', 'internet', 'package', 'quota', 'cave', 'plis',' ngerugin ',' person ',' person ',' difficult ' , 'Nyari', 'money', 'sucked', '']</v>
      </c>
      <c r="D1781" s="3">
        <v>1.0</v>
      </c>
    </row>
    <row r="1782" ht="15.75" customHeight="1">
      <c r="A1782" s="1">
        <v>1780.0</v>
      </c>
      <c r="B1782" s="3" t="s">
        <v>1783</v>
      </c>
      <c r="C1782" s="3" t="str">
        <f>IFERROR(__xludf.DUMMYFUNCTION("GOOGLETRANSLATE(B1782,""id"",""en"")"),"['Network', 'already', 'BURIK', 'package', 'internet', 'expensive', 'lose', 'im', 'Indosat', 'Oredoo', 'rich', 'telkonglet', ' expensive ',' BURIK ']")</f>
        <v>['Network', 'already', 'BURIK', 'package', 'internet', 'expensive', 'lose', 'im', 'Indosat', 'Oredoo', 'rich', 'telkonglet', ' expensive ',' BURIK ']</v>
      </c>
      <c r="D1782" s="3">
        <v>1.0</v>
      </c>
    </row>
    <row r="1783" ht="15.75" customHeight="1">
      <c r="A1783" s="1">
        <v>1781.0</v>
      </c>
      <c r="B1783" s="3" t="s">
        <v>1784</v>
      </c>
      <c r="C1783" s="3" t="str">
        <f>IFERROR(__xludf.DUMMYFUNCTION("GOOGLETRANSLATE(B1783,""id"",""en"")"),"['Please', 'Sorry', 'Min', 'Ngak', 'Free', 'Quota', 'Watch', 'Viu', 'Etc.', 'Quota', 'Free', 'Facebook', ' YouTubu ',' Tik ',' Tok ',' Instragram ',' Ama ',' WhatsApp ',' Please ',' Love ',' Min ', ""]")</f>
        <v>['Please', 'Sorry', 'Min', 'Ngak', 'Free', 'Quota', 'Watch', 'Viu', 'Etc.', 'Quota', 'Free', 'Facebook', ' YouTubu ',' Tik ',' Tok ',' Instragram ',' Ama ',' WhatsApp ',' Please ',' Love ',' Min ', "]</v>
      </c>
      <c r="D1783" s="3">
        <v>3.0</v>
      </c>
    </row>
    <row r="1784" ht="15.75" customHeight="1">
      <c r="A1784" s="1">
        <v>1782.0</v>
      </c>
      <c r="B1784" s="3" t="s">
        <v>1785</v>
      </c>
      <c r="C1784" s="3" t="str">
        <f>IFERROR(__xludf.DUMMYFUNCTION("GOOGLETRANSLATE(B1784,""id"",""en"")"),"['really', 'open', 'apk', 'fit', 'login', 'difficult', 'really', 'open', 'link', 'expired', 'google', 'stop', ' Message ',' Stop ',' Security ',' Stop ',' Wrong ']")</f>
        <v>['really', 'open', 'apk', 'fit', 'login', 'difficult', 'really', 'open', 'link', 'expired', 'google', 'stop', ' Message ',' Stop ',' Security ',' Stop ',' Wrong ']</v>
      </c>
      <c r="D1784" s="3">
        <v>1.0</v>
      </c>
    </row>
    <row r="1785" ht="15.75" customHeight="1">
      <c r="A1785" s="1">
        <v>1783.0</v>
      </c>
      <c r="B1785" s="3" t="s">
        <v>1786</v>
      </c>
      <c r="C1785" s="3" t="str">
        <f>IFERROR(__xludf.DUMMYFUNCTION("GOOGLETRANSLATE(B1785,""id"",""en"")"),"['', 'Kbps',' Slow ',' Play ',' Game ',' Leet ',' How ',' Try ',' Speaks', 'Please', 'Donk', 'Kbps',' ',' package ',' unlimited ',' satisfied ',' enjoyed it ',' thank ',' love ']")</f>
        <v>['', 'Kbps',' Slow ',' Play ',' Game ',' Leet ',' How ',' Try ',' Speaks', 'Please', 'Donk', 'Kbps',' ',' package ',' unlimited ',' satisfied ',' enjoyed it ',' thank ',' love ']</v>
      </c>
      <c r="D1785" s="3">
        <v>1.0</v>
      </c>
    </row>
    <row r="1786" ht="15.75" customHeight="1">
      <c r="A1786" s="1">
        <v>1784.0</v>
      </c>
      <c r="B1786" s="3" t="s">
        <v>1787</v>
      </c>
      <c r="C1786" s="3" t="str">
        <f>IFERROR(__xludf.DUMMYFUNCTION("GOOGLETRANSLATE(B1786,""id"",""en"")"),"['card', 'mcm', 'fill in', 'pulse', 'appain', 'abis',' suck ',' provider ',' dih ',' via ',' twiter ',' answer ',' Connect ',' card ',' official ',' like ',' corruption ',' digital ',' digital ',' nation ',' attached to ',' KB ',' Mending ',' Make ',' Yel"&amp;"low ' , 'speeding', 'noon', 'mlm']")</f>
        <v>['card', 'mcm', 'fill in', 'pulse', 'appain', 'abis',' suck ',' provider ',' dih ',' via ',' twiter ',' answer ',' Connect ',' card ',' official ',' like ',' corruption ',' digital ',' digital ',' nation ',' attached to ',' KB ',' Mending ',' Make ',' Yellow ' , 'speeding', 'noon', 'mlm']</v>
      </c>
      <c r="D1786" s="3">
        <v>1.0</v>
      </c>
    </row>
    <row r="1787" ht="15.75" customHeight="1">
      <c r="A1787" s="1">
        <v>1785.0</v>
      </c>
      <c r="B1787" s="3" t="s">
        <v>1788</v>
      </c>
      <c r="C1787" s="3" t="str">
        <f>IFERROR(__xludf.DUMMYFUNCTION("GOOGLETRANSLATE(B1787,""id"",""en"")"),"['Disappointed', 'update', 'application', 'slow', 'enter', 'signal', 'ugly', 'gontain', 'change', 'Please', 'Seger', 'repaired', ' ']")</f>
        <v>['Disappointed', 'update', 'application', 'slow', 'enter', 'signal', 'ugly', 'gontain', 'change', 'Please', 'Seger', 'repaired', ' ']</v>
      </c>
      <c r="D1787" s="3">
        <v>1.0</v>
      </c>
    </row>
    <row r="1788" ht="15.75" customHeight="1">
      <c r="A1788" s="1">
        <v>1786.0</v>
      </c>
      <c r="B1788" s="3" t="s">
        <v>1789</v>
      </c>
      <c r="C1788" s="3" t="str">
        <f>IFERROR(__xludf.DUMMYFUNCTION("GOOGLETRANSLATE(B1788,""id"",""en"")"),"['activate', 'package', 'extra', 'unlimited', 'package', 'buy', 'package', 'monthly', 'package', 'extra', 'unlimited', 'lost', ' Please, 'Fix', 'Telkomsel', 'Price', 'Quota', 'Expensive', 'Quota', 'Extra', 'Unlimited', 'Delete']")</f>
        <v>['activate', 'package', 'extra', 'unlimited', 'package', 'buy', 'package', 'monthly', 'package', 'extra', 'unlimited', 'lost', ' Please, 'Fix', 'Telkomsel', 'Price', 'Quota', 'Expensive', 'Quota', 'Extra', 'Unlimited', 'Delete']</v>
      </c>
      <c r="D1788" s="3">
        <v>2.0</v>
      </c>
    </row>
    <row r="1789" ht="15.75" customHeight="1">
      <c r="A1789" s="1">
        <v>1787.0</v>
      </c>
      <c r="B1789" s="3" t="s">
        <v>1790</v>
      </c>
      <c r="C1789" s="3" t="str">
        <f>IFERROR(__xludf.DUMMYFUNCTION("GOOGLETRANSLATE(B1789,""id"",""en"")"),"['Sorry', 'Telkomsel', 'suggestion', 'complains', 'Kisah', 'upgrade', 'How good', 'good', 'leveling', 'Gnya', 'because' maximum ',' Forcing ',' entry ',' Ngilak ',' Ntah ',' Currently ',' Thank you ']")</f>
        <v>['Sorry', 'Telkomsel', 'suggestion', 'complains', 'Kisah', 'upgrade', 'How good', 'good', 'leveling', 'Gnya', 'because' maximum ',' Forcing ',' entry ',' Ngilak ',' Ntah ',' Currently ',' Thank you ']</v>
      </c>
      <c r="D1789" s="3">
        <v>1.0</v>
      </c>
    </row>
    <row r="1790" ht="15.75" customHeight="1">
      <c r="A1790" s="1">
        <v>1788.0</v>
      </c>
      <c r="B1790" s="3" t="s">
        <v>1791</v>
      </c>
      <c r="C1790" s="3" t="str">
        <f>IFERROR(__xludf.DUMMYFUNCTION("GOOGLETRANSLATE(B1790,""id"",""en"")"),"['Telkomsel', 'bad', 'network', 'quota', 'expensive', 'quality', 'rich', 'ugly', 'maen', 'game', 'stable', ""]")</f>
        <v>['Telkomsel', 'bad', 'network', 'quota', 'expensive', 'quality', 'rich', 'ugly', 'maen', 'game', 'stable', "]</v>
      </c>
      <c r="D1790" s="3">
        <v>1.0</v>
      </c>
    </row>
    <row r="1791" ht="15.75" customHeight="1">
      <c r="A1791" s="1">
        <v>1789.0</v>
      </c>
      <c r="B1791" s="3" t="s">
        <v>1792</v>
      </c>
      <c r="C1791" s="3" t="str">
        <f>IFERROR(__xludf.DUMMYFUNCTION("GOOGLETRANSLATE(B1791,""id"",""en"")"),"['easy', 'quota', 'data', 'boundary', 'disappointed', 'pulses', 'reduced', '']")</f>
        <v>['easy', 'quota', 'data', 'boundary', 'disappointed', 'pulses', 'reduced', '']</v>
      </c>
      <c r="D1791" s="3">
        <v>4.0</v>
      </c>
    </row>
    <row r="1792" ht="15.75" customHeight="1">
      <c r="A1792" s="1">
        <v>1790.0</v>
      </c>
      <c r="B1792" s="3" t="s">
        <v>1793</v>
      </c>
      <c r="C1792" s="3" t="str">
        <f>IFERROR(__xludf.DUMMYFUNCTION("GOOGLETRANSLATE(B1792,""id"",""en"")"),"['application', 'knp', 'may', 'may', 'may', 'complicated', 'login', 'number', 'udh', 'right', 'active', ' Pulak ',' WKTU ',' Verification ',' Bkin ',' Emotion ',' Mulu ', ""]")</f>
        <v>['application', 'knp', 'may', 'may', 'may', 'complicated', 'login', 'number', 'udh', 'right', 'active', ' Pulak ',' WKTU ',' Verification ',' Bkin ',' Emotion ',' Mulu ', "]</v>
      </c>
      <c r="D1792" s="3">
        <v>1.0</v>
      </c>
    </row>
    <row r="1793" ht="15.75" customHeight="1">
      <c r="A1793" s="1">
        <v>1791.0</v>
      </c>
      <c r="B1793" s="3" t="s">
        <v>1794</v>
      </c>
      <c r="C1793" s="3" t="str">
        <f>IFERROR(__xludf.DUMMYFUNCTION("GOOGLETRANSLATE(B1793,""id"",""en"")"),"['Please', 'Update', 'Buyin', 'My Adek', 'Card', 'Sympathy', 'Paketan', 'Not bad', 'expensive', 'expensive', 'school', 'at home', ' share ',' package ',' internet ',' sympathy ',' not bad ',' cheap ',' buy ',' card ',' new ',' open ']")</f>
        <v>['Please', 'Update', 'Buyin', 'My Adek', 'Card', 'Sympathy', 'Paketan', 'Not bad', 'expensive', 'expensive', 'school', 'at home', ' share ',' package ',' internet ',' sympathy ',' not bad ',' cheap ',' buy ',' card ',' new ',' open ']</v>
      </c>
      <c r="D1793" s="3">
        <v>5.0</v>
      </c>
    </row>
    <row r="1794" ht="15.75" customHeight="1">
      <c r="A1794" s="1">
        <v>1792.0</v>
      </c>
      <c r="B1794" s="3" t="s">
        <v>1795</v>
      </c>
      <c r="C1794" s="3" t="str">
        <f>IFERROR(__xludf.DUMMYFUNCTION("GOOGLETRANSLATE(B1794,""id"",""en"")"),"['disappointing', 'buy', 'credit', 'application', 'pulses',' visits', 'entry', 'point', 'enter', 'kapok', 'buy', 'pulse', ' Telkomsel ',' ']")</f>
        <v>['disappointing', 'buy', 'credit', 'application', 'pulses',' visits', 'entry', 'point', 'enter', 'kapok', 'buy', 'pulse', ' Telkomsel ',' ']</v>
      </c>
      <c r="D1794" s="3">
        <v>1.0</v>
      </c>
    </row>
    <row r="1795" ht="15.75" customHeight="1">
      <c r="A1795" s="1">
        <v>1793.0</v>
      </c>
      <c r="B1795" s="3" t="s">
        <v>1796</v>
      </c>
      <c r="C1795" s="3" t="str">
        <f>IFERROR(__xludf.DUMMYFUNCTION("GOOGLETRANSLATE(B1795,""id"",""en"")"),"['Love', 'Bintang', 'Karn', 'Credit', 'Sya', 'thousand', 'BLI', 'PKET', 'FLOW', 'BSA', 'BLI', 'Package', ' Promo ',' thousand ',' ehhh ',' BLI ',' reset ',' Jga ',' Kt ',' Wait ',' sms', 'enter', 'sms',' also ',' enter ' , 'Sampe', 'Data', 'MB', 'HBIS', '"&amp;"JGA', 'Info', 'Package', 'Hbis',' annoyed ',' promo ',' Eliminate ',' Sja ',' Promo ',' Hoax ']")</f>
        <v>['Love', 'Bintang', 'Karn', 'Credit', 'Sya', 'thousand', 'BLI', 'PKET', 'FLOW', 'BSA', 'BLI', 'Package', ' Promo ',' thousand ',' ehhh ',' BLI ',' reset ',' Jga ',' Kt ',' Wait ',' sms', 'enter', 'sms',' also ',' enter ' , 'Sampe', 'Data', 'MB', 'HBIS', 'JGA', 'Info', 'Package', 'Hbis',' annoyed ',' promo ',' Eliminate ',' Sja ',' Promo ',' Hoax ']</v>
      </c>
      <c r="D1795" s="3">
        <v>1.0</v>
      </c>
    </row>
    <row r="1796" ht="15.75" customHeight="1">
      <c r="A1796" s="1">
        <v>1794.0</v>
      </c>
      <c r="B1796" s="3" t="s">
        <v>1797</v>
      </c>
      <c r="C1796" s="3" t="str">
        <f>IFERROR(__xludf.DUMMYFUNCTION("GOOGLETRANSLATE(B1796,""id"",""en"")"),"['already', 'users',' Telkomsel ',' Disappointed ',' Telkomsel ',' Application ',' Log ',' Out ',' Have ',' Verification ',' Nomer ',' already ',' Verification ',' Tetep ',' Log ',' Out ',' Description ',' Karna ',' Running Out ',' Bener ',' Weve ',' Mott"&amp;"in ',' Credit ',' Genesis', ""]")</f>
        <v>['already', 'users',' Telkomsel ',' Disappointed ',' Telkomsel ',' Application ',' Log ',' Out ',' Have ',' Verification ',' Nomer ',' already ',' Verification ',' Tetep ',' Log ',' Out ',' Description ',' Karna ',' Running Out ',' Bener ',' Weve ',' Mottin ',' Credit ',' Genesis', "]</v>
      </c>
      <c r="D1796" s="3">
        <v>3.0</v>
      </c>
    </row>
    <row r="1797" ht="15.75" customHeight="1">
      <c r="A1797" s="1">
        <v>1795.0</v>
      </c>
      <c r="B1797" s="3" t="s">
        <v>1798</v>
      </c>
      <c r="C1797" s="3" t="str">
        <f>IFERROR(__xludf.DUMMYFUNCTION("GOOGLETRANSLATE(B1797,""id"",""en"")"),"['Register', 'Package', 'Addin', 'Rates',' Addin ',' Addin ',' Turn ',' Network ',' Bener ',' BSA ',' Ngelolala ',' Fool ',' people ',' emotion ',' buy ',' package ',' expensive ',' money ',' turn ',' signal ',' smooth ',' ngilk ',' mulu ',' life ',' njin"&amp;"g ' , '']")</f>
        <v>['Register', 'Package', 'Addin', 'Rates',' Addin ',' Addin ',' Turn ',' Network ',' Bener ',' BSA ',' Ngelolala ',' Fool ',' people ',' emotion ',' buy ',' package ',' expensive ',' money ',' turn ',' signal ',' smooth ',' ngilk ',' mulu ',' life ',' njing ' , '']</v>
      </c>
      <c r="D1797" s="3">
        <v>1.0</v>
      </c>
    </row>
    <row r="1798" ht="15.75" customHeight="1">
      <c r="A1798" s="1">
        <v>1796.0</v>
      </c>
      <c r="B1798" s="3" t="s">
        <v>1799</v>
      </c>
      <c r="C1798" s="3" t="str">
        <f>IFERROR(__xludf.DUMMYFUNCTION("GOOGLETRANSLATE(B1798,""id"",""en"")"),"['signal', 'Telkomsel', 'ugly', 'mhal', 'doang', 'lose', 'signal', 'card', 'smartfren', 'lbh', 'koah', 'cheap', ' LBH ',' good ',' signal ',' expensive ',' sympathy ',' ']")</f>
        <v>['signal', 'Telkomsel', 'ugly', 'mhal', 'doang', 'lose', 'signal', 'card', 'smartfren', 'lbh', 'koah', 'cheap', ' LBH ',' good ',' signal ',' expensive ',' sympathy ',' ']</v>
      </c>
      <c r="D1798" s="3">
        <v>1.0</v>
      </c>
    </row>
    <row r="1799" ht="15.75" customHeight="1">
      <c r="A1799" s="1">
        <v>1797.0</v>
      </c>
      <c r="B1799" s="3" t="s">
        <v>1800</v>
      </c>
      <c r="C1799" s="3" t="str">
        <f>IFERROR(__xludf.DUMMYFUNCTION("GOOGLETRANSLATE(B1799,""id"",""en"")"),"['Buffering', 'Loading', 'Page', 'Suggestions', 'Application', 'Development', 'Repair', 'Luxury', 'Simplified', 'Function', 'Connectivity', '']")</f>
        <v>['Buffering', 'Loading', 'Page', 'Suggestions', 'Application', 'Development', 'Repair', 'Luxury', 'Simplified', 'Function', 'Connectivity', '']</v>
      </c>
      <c r="D1799" s="3">
        <v>1.0</v>
      </c>
    </row>
    <row r="1800" ht="15.75" customHeight="1">
      <c r="A1800" s="1">
        <v>1798.0</v>
      </c>
      <c r="B1800" s="3" t="s">
        <v>1801</v>
      </c>
      <c r="C1800" s="3" t="str">
        <f>IFERROR(__xludf.DUMMYFUNCTION("GOOGLETRANSLATE(B1800,""id"",""en"")"),"['Customer', 'loyal', 'Improved', 'Telkomsel', 'Bad', 'his net', 'wooooyyyy', 'shame', 'his joining', 'Kenceng', 'price', 'expensive', ' Buy ',' please ',' fix it ',' ']")</f>
        <v>['Customer', 'loyal', 'Improved', 'Telkomsel', 'Bad', 'his net', 'wooooyyyy', 'shame', 'his joining', 'Kenceng', 'price', 'expensive', ' Buy ',' please ',' fix it ',' ']</v>
      </c>
      <c r="D1800" s="3">
        <v>1.0</v>
      </c>
    </row>
    <row r="1801" ht="15.75" customHeight="1">
      <c r="A1801" s="1">
        <v>1799.0</v>
      </c>
      <c r="B1801" s="3" t="s">
        <v>1802</v>
      </c>
      <c r="C1801" s="3" t="str">
        <f>IFERROR(__xludf.DUMMYFUNCTION("GOOGLETRANSLATE(B1801,""id"",""en"")"),"['Young', 'access',' Application ',' Login ',' Success', 'Live', 'Looking', 'Promotion', 'Offer', 'As',' Need ',' Telkomsel ',' Package ',' Data ',' Package ',' Call ',' Offer ',' MyTelkomsel ',' Process', 'Easy', '']")</f>
        <v>['Young', 'access',' Application ',' Login ',' Success', 'Live', 'Looking', 'Promotion', 'Offer', 'As',' Need ',' Telkomsel ',' Package ',' Data ',' Package ',' Call ',' Offer ',' MyTelkomsel ',' Process', 'Easy', '']</v>
      </c>
      <c r="D1801" s="3">
        <v>4.0</v>
      </c>
    </row>
    <row r="1802" ht="15.75" customHeight="1">
      <c r="A1802" s="1">
        <v>1800.0</v>
      </c>
      <c r="B1802" s="3" t="s">
        <v>1803</v>
      </c>
      <c r="C1802" s="3" t="str">
        <f>IFERROR(__xludf.DUMMYFUNCTION("GOOGLETRANSLATE(B1802,""id"",""en"")"),"['apk', 'help', 'find', 'diverse', 'quota', 'customize', 'need', 'especially', 'pandemic', 'covid']")</f>
        <v>['apk', 'help', 'find', 'diverse', 'quota', 'customize', 'need', 'especially', 'pandemic', 'covid']</v>
      </c>
      <c r="D1802" s="3">
        <v>4.0</v>
      </c>
    </row>
    <row r="1803" ht="15.75" customHeight="1">
      <c r="A1803" s="1">
        <v>1801.0</v>
      </c>
      <c r="B1803" s="3" t="s">
        <v>1804</v>
      </c>
      <c r="C1803" s="3" t="str">
        <f>IFERROR(__xludf.DUMMYFUNCTION("GOOGLETRANSLATE(B1803,""id"",""en"")"),"['Sya', 'downlod', 'application', 'TTP', 'enter', 'NPA', 'spoil', 'buy', 'transaction', 'PULA', 'counter', 'WKTU', ' Check ',' pluna ',' check ',' balance ',' quota ',' sya ',' list ',' application ',' ttp ',' entry ',' reason ',' connection ',' bad ' , '"&amp;"trs', ""]")</f>
        <v>['Sya', 'downlod', 'application', 'TTP', 'enter', 'NPA', 'spoil', 'buy', 'transaction', 'PULA', 'counter', 'WKTU', ' Check ',' pluna ',' check ',' balance ',' quota ',' sya ',' list ',' application ',' ttp ',' entry ',' reason ',' connection ',' bad ' , 'trs', "]</v>
      </c>
      <c r="D1803" s="3">
        <v>1.0</v>
      </c>
    </row>
    <row r="1804" ht="15.75" customHeight="1">
      <c r="A1804" s="1">
        <v>1802.0</v>
      </c>
      <c r="B1804" s="3" t="s">
        <v>1805</v>
      </c>
      <c r="C1804" s="3" t="str">
        <f>IFERROR(__xludf.DUMMYFUNCTION("GOOGLETRANSLATE(B1804,""id"",""en"")"),"['Telkomsel', 'results', 'get', 'package', 'internet', 'number', 'expensive', 'card', 'user', 'loyal', 'appreciate', ""]")</f>
        <v>['Telkomsel', 'results', 'get', 'package', 'internet', 'number', 'expensive', 'card', 'user', 'loyal', 'appreciate', "]</v>
      </c>
      <c r="D1804" s="3">
        <v>1.0</v>
      </c>
    </row>
    <row r="1805" ht="15.75" customHeight="1">
      <c r="A1805" s="1">
        <v>1803.0</v>
      </c>
      <c r="B1805" s="3" t="s">
        <v>1806</v>
      </c>
      <c r="C1805" s="3" t="str">
        <f>IFERROR(__xludf.DUMMYFUNCTION("GOOGLETRANSLATE(B1805,""id"",""en"")"),"['Disappointed', 'Telkomsel', 'signal', 'bad', 'love', 'animal', 'fix', 'connection', 'star', ""]")</f>
        <v>['Disappointed', 'Telkomsel', 'signal', 'bad', 'love', 'animal', 'fix', 'connection', 'star', "]</v>
      </c>
      <c r="D1805" s="3">
        <v>1.0</v>
      </c>
    </row>
    <row r="1806" ht="15.75" customHeight="1">
      <c r="A1806" s="1">
        <v>1804.0</v>
      </c>
      <c r="B1806" s="3" t="s">
        <v>1807</v>
      </c>
      <c r="C1806" s="3" t="str">
        <f>IFERROR(__xludf.DUMMYFUNCTION("GOOGLETRANSLATE(B1806,""id"",""en"")"),"['choose', 'Telkomsel', 'price', 'package', 'expensive', 'rather than', 'provider', 'quality', 'speed', 'internetn', 'satisfying', 'office', ' Telkomsel ',' at the time ',' provider ',' signal ',' disappointing ',' moved ',' provider ',' ']")</f>
        <v>['choose', 'Telkomsel', 'price', 'package', 'expensive', 'rather than', 'provider', 'quality', 'speed', 'internetn', 'satisfying', 'office', ' Telkomsel ',' at the time ',' provider ',' signal ',' disappointing ',' moved ',' provider ',' ']</v>
      </c>
      <c r="D1806" s="3">
        <v>1.0</v>
      </c>
    </row>
    <row r="1807" ht="15.75" customHeight="1">
      <c r="A1807" s="1">
        <v>1805.0</v>
      </c>
      <c r="B1807" s="3" t="s">
        <v>1808</v>
      </c>
      <c r="C1807" s="3" t="str">
        <f>IFERROR(__xludf.DUMMYFUNCTION("GOOGLETRANSLATE(B1807,""id"",""en"")"),"['KPD', 'YTH', 'Depeloper', 'Development', 'Telkomsel', 'Please', 'His attention', 'Connection', 'Internet', 'Please', 'Fix', 'Silence', ' choose ',' Telkomsel ',' Karna ',' connection ',' network ',' strong ',' slow ',' verofider ',' mukin ',' move ',' t"&amp;"hank ',' love ']")</f>
        <v>['KPD', 'YTH', 'Depeloper', 'Development', 'Telkomsel', 'Please', 'His attention', 'Connection', 'Internet', 'Please', 'Fix', 'Silence', ' choose ',' Telkomsel ',' Karna ',' connection ',' network ',' strong ',' slow ',' verofider ',' mukin ',' move ',' thank ',' love ']</v>
      </c>
      <c r="D1807" s="3">
        <v>1.0</v>
      </c>
    </row>
    <row r="1808" ht="15.75" customHeight="1">
      <c r="A1808" s="1">
        <v>1806.0</v>
      </c>
      <c r="B1808" s="3" t="s">
        <v>1809</v>
      </c>
      <c r="C1808" s="3" t="str">
        <f>IFERROR(__xludf.DUMMYFUNCTION("GOOGLETRANSLATE(B1808,""id"",""en"")"),"['Save', 'Credit', 'Telkomsel', 'Suck', 'Package', 'Data', 'Internet', 'Paketan', 'Out', 'Automatic', 'Maketin', 'Mending', ' replace ',' number ']")</f>
        <v>['Save', 'Credit', 'Telkomsel', 'Suck', 'Package', 'Data', 'Internet', 'Paketan', 'Out', 'Automatic', 'Maketin', 'Mending', ' replace ',' number ']</v>
      </c>
      <c r="D1808" s="3">
        <v>1.0</v>
      </c>
    </row>
    <row r="1809" ht="15.75" customHeight="1">
      <c r="A1809" s="1">
        <v>1807.0</v>
      </c>
      <c r="B1809" s="3" t="s">
        <v>1810</v>
      </c>
      <c r="C1809" s="3" t="str">
        <f>IFERROR(__xludf.DUMMYFUNCTION("GOOGLETRANSLATE(B1809,""id"",""en"")"),"['increases',' increases', 'bad', 'connection', 'internet', 'Please', 'fix', 'disappointing', 'consumer', 'buy', 'quota', 'expensive', ' According to ',' Quality ',' Network ',' ']")</f>
        <v>['increases',' increases', 'bad', 'connection', 'internet', 'Please', 'fix', 'disappointing', 'consumer', 'buy', 'quota', 'expensive', ' According to ',' Quality ',' Network ',' ']</v>
      </c>
      <c r="D1809" s="3">
        <v>1.0</v>
      </c>
    </row>
    <row r="1810" ht="15.75" customHeight="1">
      <c r="A1810" s="1">
        <v>1808.0</v>
      </c>
      <c r="B1810" s="3" t="s">
        <v>1811</v>
      </c>
      <c r="C1810" s="3" t="str">
        <f>IFERROR(__xludf.DUMMYFUNCTION("GOOGLETRANSLATE(B1810,""id"",""en"")"),"['Contents',' Package ',' Promo ',' Cuman ',' Rp ',' GB ',' Click ',' Pay ',' SMS ',' Credit ',' Think ',' Munkin ',' Fill ',' Dangan ',' pulse ',' right ',' pasas', 'contents',' pulse ',' Rp ',' click ',' pay ',' mean ',' promo ']")</f>
        <v>['Contents',' Package ',' Promo ',' Cuman ',' Rp ',' GB ',' Click ',' Pay ',' SMS ',' Credit ',' Think ',' Munkin ',' Fill ',' Dangan ',' pulse ',' right ',' pasas', 'contents',' pulse ',' Rp ',' click ',' pay ',' mean ',' promo ']</v>
      </c>
      <c r="D1810" s="3">
        <v>1.0</v>
      </c>
    </row>
    <row r="1811" ht="15.75" customHeight="1">
      <c r="A1811" s="1">
        <v>1809.0</v>
      </c>
      <c r="B1811" s="3" t="s">
        <v>1812</v>
      </c>
      <c r="C1811" s="3" t="str">
        <f>IFERROR(__xludf.DUMMYFUNCTION("GOOGLETRANSLATE(B1811,""id"",""en"")"),"['like', 'tsel', 'replace', 'logo', 'loss',' characteristic ',' typical ',' tsel ',' interesting ',' package ',' expensive ',' expensive ',' quality ',' network ',' as good ',' disappointed ',' disappointed ',' logo ',' please ',' maintained ']")</f>
        <v>['like', 'tsel', 'replace', 'logo', 'loss',' characteristic ',' typical ',' tsel ',' interesting ',' package ',' expensive ',' expensive ',' quality ',' network ',' as good ',' disappointed ',' disappointed ',' logo ',' please ',' maintained ']</v>
      </c>
      <c r="D1811" s="3">
        <v>2.0</v>
      </c>
    </row>
    <row r="1812" ht="15.75" customHeight="1">
      <c r="A1812" s="1">
        <v>1810.0</v>
      </c>
      <c r="B1812" s="3" t="s">
        <v>1813</v>
      </c>
      <c r="C1812" s="3" t="str">
        <f>IFERROR(__xludf.DUMMYFUNCTION("GOOGLETRANSLATE(B1812,""id"",""en"")"),"['Package', 'Data', 'expensive', 'Network', 'Lemoott', 'comparable', 'moved', 'Providerrrr', 'Huancuurrr', 'signal', ""]")</f>
        <v>['Package', 'Data', 'expensive', 'Network', 'Lemoott', 'comparable', 'moved', 'Providerrrr', 'Huancuurrr', 'signal', "]</v>
      </c>
      <c r="D1812" s="3">
        <v>1.0</v>
      </c>
    </row>
    <row r="1813" ht="15.75" customHeight="1">
      <c r="A1813" s="1">
        <v>1811.0</v>
      </c>
      <c r="B1813" s="3" t="s">
        <v>1814</v>
      </c>
      <c r="C1813" s="3" t="str">
        <f>IFERROR(__xludf.DUMMYFUNCTION("GOOGLETRANSLATE(B1813,""id"",""en"")"),"['card', 'prime', 'GB', 'unlimited', 'contents',' reset ',' package ',' application ',' hrs', 'buy', 'prime', 'please', ' Tsel ',' choice ',' package ',' first ']]")</f>
        <v>['card', 'prime', 'GB', 'unlimited', 'contents',' reset ',' package ',' application ',' hrs', 'buy', 'prime', 'please', ' Tsel ',' choice ',' package ',' first ']]</v>
      </c>
      <c r="D1813" s="3">
        <v>4.0</v>
      </c>
    </row>
    <row r="1814" ht="15.75" customHeight="1">
      <c r="A1814" s="1">
        <v>1812.0</v>
      </c>
      <c r="B1814" s="3" t="s">
        <v>1815</v>
      </c>
      <c r="C1814" s="3" t="str">
        <f>IFERROR(__xludf.DUMMYFUNCTION("GOOGLETRANSLATE(B1814,""id"",""en"")"),"['Love', 'Bintang', 'Ssmoga', 'Network', 'Internet', 'Telkomsel', 'Fix', 'Stay', 'City', 'The Network', 'Sepohon', 'Live', ' Movers', 'Please', 'Fix', 'Donk', 'Telkomsel', 'loyal', 'Telkomsel', 'HandPhone', 'Already', 'Choose', 'Telkomsel', ""]")</f>
        <v>['Love', 'Bintang', 'Ssmoga', 'Network', 'Internet', 'Telkomsel', 'Fix', 'Stay', 'City', 'The Network', 'Sepohon', 'Live', ' Movers', 'Please', 'Fix', 'Donk', 'Telkomsel', 'loyal', 'Telkomsel', 'HandPhone', 'Already', 'Choose', 'Telkomsel', "]</v>
      </c>
      <c r="D1814" s="3">
        <v>5.0</v>
      </c>
    </row>
    <row r="1815" ht="15.75" customHeight="1">
      <c r="A1815" s="1">
        <v>1813.0</v>
      </c>
      <c r="B1815" s="3" t="s">
        <v>1816</v>
      </c>
      <c r="C1815" s="3" t="str">
        <f>IFERROR(__xludf.DUMMYFUNCTION("GOOGLETRANSLATE(B1815,""id"",""en"")"),"['Telkomsel', 'tells', 'package', 'unlimited', 'left', 'no', 'use', 'Please', 'explanation', 'Telkomsel', 'thank you', ""]")</f>
        <v>['Telkomsel', 'tells', 'package', 'unlimited', 'left', 'no', 'use', 'Please', 'explanation', 'Telkomsel', 'thank you', "]</v>
      </c>
      <c r="D1815" s="3">
        <v>3.0</v>
      </c>
    </row>
    <row r="1816" ht="15.75" customHeight="1">
      <c r="A1816" s="1">
        <v>1814.0</v>
      </c>
      <c r="B1816" s="3" t="s">
        <v>1817</v>
      </c>
      <c r="C1816" s="3" t="str">
        <f>IFERROR(__xludf.DUMMYFUNCTION("GOOGLETRANSLATE(B1816,""id"",""en"")"),"['Woy', 'min', 'number', 'nda', 'bsa', 'list', 'link', 'error', 'keep', 'speed', 'hand', 'second', ' III ',' crazy ',' times', 'link', 'error', 'please', 'fix it', 'change', 'number', '']")</f>
        <v>['Woy', 'min', 'number', 'nda', 'bsa', 'list', 'link', 'error', 'keep', 'speed', 'hand', 'second', ' III ',' crazy ',' times', 'link', 'error', 'please', 'fix it', 'change', 'number', '']</v>
      </c>
      <c r="D1816" s="3">
        <v>1.0</v>
      </c>
    </row>
    <row r="1817" ht="15.75" customHeight="1">
      <c r="A1817" s="1">
        <v>1815.0</v>
      </c>
      <c r="B1817" s="3" t="s">
        <v>1818</v>
      </c>
      <c r="C1817" s="3" t="str">
        <f>IFERROR(__xludf.DUMMYFUNCTION("GOOGLETRANSLATE(B1817,""id"",""en"")"),"['ugly', 'times', 'Network', 'Nengok', 'ugly']")</f>
        <v>['ugly', 'times', 'Network', 'Nengok', 'ugly']</v>
      </c>
      <c r="D1817" s="3">
        <v>1.0</v>
      </c>
    </row>
    <row r="1818" ht="15.75" customHeight="1">
      <c r="A1818" s="1">
        <v>1816.0</v>
      </c>
      <c r="B1818" s="3" t="s">
        <v>1819</v>
      </c>
      <c r="C1818" s="3" t="str">
        <f>IFERROR(__xludf.DUMMYFUNCTION("GOOGLETRANSLATE(B1818,""id"",""en"")"),"['Please', 'admin', 'Telkomsel', 'read', 'state', 'exposed', 'disaster', 'virus',' Corona ',' getting ',' affected ',' exposed ',' the impact ',' work ',' difficult ',' looks', 'money', 'difficult', 'buy', 'expensive', 'Bali', 'package', 'call', 'internet"&amp;"', 'expensive' , 'Allah', 'kill', 'people', 'Indonesia', 'slowly', 'how', 'please', 'consciousness',' difficult ',' life ',' happy ',' please ',' wise ',' cheap ',' price ',' package ',' trimakasih ']")</f>
        <v>['Please', 'admin', 'Telkomsel', 'read', 'state', 'exposed', 'disaster', 'virus',' Corona ',' getting ',' affected ',' exposed ',' the impact ',' work ',' difficult ',' looks', 'money', 'difficult', 'buy', 'expensive', 'Bali', 'package', 'call', 'internet', 'expensive' , 'Allah', 'kill', 'people', 'Indonesia', 'slowly', 'how', 'please', 'consciousness',' difficult ',' life ',' happy ',' please ',' wise ',' cheap ',' price ',' package ',' trimakasih ']</v>
      </c>
      <c r="D1818" s="3">
        <v>1.0</v>
      </c>
    </row>
    <row r="1819" ht="15.75" customHeight="1">
      <c r="A1819" s="1">
        <v>1817.0</v>
      </c>
      <c r="B1819" s="3" t="s">
        <v>1820</v>
      </c>
      <c r="C1819" s="3" t="str">
        <f>IFERROR(__xludf.DUMMYFUNCTION("GOOGLETRANSLATE(B1819,""id"",""en"")"),"['Please', 'fix', 'network', 'data', 'expensive', 'network', 'kaga', 'good', 'slow', 'please', 'fix', 'buy', ' Data ',' data ',' please ',' fix ']")</f>
        <v>['Please', 'fix', 'network', 'data', 'expensive', 'network', 'kaga', 'good', 'slow', 'please', 'fix', 'buy', ' Data ',' data ',' please ',' fix ']</v>
      </c>
      <c r="D1819" s="3">
        <v>2.0</v>
      </c>
    </row>
    <row r="1820" ht="15.75" customHeight="1">
      <c r="A1820" s="1">
        <v>1818.0</v>
      </c>
      <c r="B1820" s="3" t="s">
        <v>1821</v>
      </c>
      <c r="C1820" s="3" t="str">
        <f>IFERROR(__xludf.DUMMYFUNCTION("GOOGLETRANSLATE(B1820,""id"",""en"")"),"['Minn', 'application', 'open', 'my network', 'good', 'uda', 'try', 'TPI', 'that's',' enter ',' number ',' phone ',' Number ',' phone ',' uda ',' saved ',' application ',' how ',' ']")</f>
        <v>['Minn', 'application', 'open', 'my network', 'good', 'uda', 'try', 'TPI', 'that's',' enter ',' number ',' phone ',' Number ',' phone ',' uda ',' saved ',' application ',' how ',' ']</v>
      </c>
      <c r="D1820" s="3">
        <v>1.0</v>
      </c>
    </row>
    <row r="1821" ht="15.75" customHeight="1">
      <c r="A1821" s="1">
        <v>1819.0</v>
      </c>
      <c r="B1821" s="3" t="s">
        <v>1822</v>
      </c>
      <c r="C1821" s="3" t="str">
        <f>IFERROR(__xludf.DUMMYFUNCTION("GOOGLETRANSLATE(B1821,""id"",""en"")"),"['Disappointed', 'times',' card ',' Telkomsel ',' ngeleg ',' times', 'package', 'run out', 'the application', 'Telkomsel', 'already', 'ajah', ' disappointed ',' card ',' patent ',' the card ',' hope ',' in the future ',' fix ',' semuah ',' obstacle ',' ob"&amp;"stacle ',' so "", 'Kasi' ]")</f>
        <v>['Disappointed', 'times',' card ',' Telkomsel ',' ngeleg ',' times', 'package', 'run out', 'the application', 'Telkomsel', 'already', 'ajah', ' disappointed ',' card ',' patent ',' the card ',' hope ',' in the future ',' fix ',' semuah ',' obstacle ',' obstacle ',' so ", 'Kasi' ]</v>
      </c>
      <c r="D1821" s="3">
        <v>1.0</v>
      </c>
    </row>
    <row r="1822" ht="15.75" customHeight="1">
      <c r="A1822" s="1">
        <v>1820.0</v>
      </c>
      <c r="B1822" s="3" t="s">
        <v>1823</v>
      </c>
      <c r="C1822" s="3" t="str">
        <f>IFERROR(__xludf.DUMMYFUNCTION("GOOGLETRANSLATE(B1822,""id"",""en"")"),"['Hello', 'Telkomsel', 'greedy', 'pulses',' regular ',' brushed ',' run out ',' package ',' data ',' pulse ',' call ',' engulfed ',' run out ',' zero ',' family ',' number ',' Telkomsel ',' use ',' data ',' internet ',' pulse ',' call ',' suck ',' run out"&amp;" ',' detrimental ' , 'times', 'contents', 'reset', 'pulse', 'a while', 'direct', 'zero', ""]")</f>
        <v>['Hello', 'Telkomsel', 'greedy', 'pulses',' regular ',' brushed ',' run out ',' package ',' data ',' pulse ',' call ',' engulfed ',' run out ',' zero ',' family ',' number ',' Telkomsel ',' use ',' data ',' internet ',' pulse ',' call ',' suck ',' run out ',' detrimental ' , 'times', 'contents', 'reset', 'pulse', 'a while', 'direct', 'zero', "]</v>
      </c>
      <c r="D1822" s="3">
        <v>1.0</v>
      </c>
    </row>
    <row r="1823" ht="15.75" customHeight="1">
      <c r="A1823" s="1">
        <v>1821.0</v>
      </c>
      <c r="B1823" s="3" t="s">
        <v>1824</v>
      </c>
      <c r="C1823" s="3" t="str">
        <f>IFERROR(__xludf.DUMMYFUNCTION("GOOGLETRANSLATE(B1823,""id"",""en"")"),"['Daily', 'check', 'reset', 'wants', 'how', 'Tetep', 'use', 'Telkomsel', 'disappointed', '']")</f>
        <v>['Daily', 'check', 'reset', 'wants', 'how', 'Tetep', 'use', 'Telkomsel', 'disappointed', '']</v>
      </c>
      <c r="D1823" s="3">
        <v>1.0</v>
      </c>
    </row>
    <row r="1824" ht="15.75" customHeight="1">
      <c r="A1824" s="1">
        <v>1822.0</v>
      </c>
      <c r="B1824" s="3" t="s">
        <v>1825</v>
      </c>
      <c r="C1824" s="3" t="str">
        <f>IFERROR(__xludf.DUMMYFUNCTION("GOOGLETRANSLATE(B1824,""id"",""en"")"),"['Card', 'Telkomsel', 'Use', 'Price', 'Package', 'Internet', 'Card', 'Expensive', 'Card', 'User', 'Customer', 'Telkomsel', ' mandatory ',' buy ',' card ',' replace ',' card ',' how ',' Telkomsel ',' card ',' suggestion ',' customer ',' made easier ',' per"&amp;"suhit ',' Telkomsel ' , 'Maintain', 'Customer', 'Setia', ""]")</f>
        <v>['Card', 'Telkomsel', 'Use', 'Price', 'Package', 'Internet', 'Card', 'Expensive', 'Card', 'User', 'Customer', 'Telkomsel', ' mandatory ',' buy ',' card ',' replace ',' card ',' how ',' Telkomsel ',' card ',' suggestion ',' customer ',' made easier ',' persuhit ',' Telkomsel ' , 'Maintain', 'Customer', 'Setia', "]</v>
      </c>
      <c r="D1824" s="3">
        <v>1.0</v>
      </c>
    </row>
    <row r="1825" ht="15.75" customHeight="1">
      <c r="A1825" s="1">
        <v>1823.0</v>
      </c>
      <c r="B1825" s="3" t="s">
        <v>1826</v>
      </c>
      <c r="C1825" s="3" t="str">
        <f>IFERROR(__xludf.DUMMYFUNCTION("GOOGLETRANSLATE(B1825,""id"",""en"")"),"['update', 'login', 'times',' try ',' enter ',' number ',' notification ',' link ',' expiration ',' number ',' active ',' pulse ',' Tetep ',' contents', ""]")</f>
        <v>['update', 'login', 'times',' try ',' enter ',' number ',' notification ',' link ',' expiration ',' number ',' active ',' pulse ',' Tetep ',' contents', "]</v>
      </c>
      <c r="D1825" s="3">
        <v>1.0</v>
      </c>
    </row>
    <row r="1826" ht="15.75" customHeight="1">
      <c r="A1826" s="1">
        <v>1824.0</v>
      </c>
      <c r="B1826" s="3" t="s">
        <v>1827</v>
      </c>
      <c r="C1826" s="3" t="str">
        <f>IFERROR(__xludf.DUMMYFUNCTION("GOOGLETRANSLATE(B1826,""id"",""en"")"),"['Suggestion', 'button', 'On', 'Off', 'Package', 'Data', 'Ngatur', 'Package', 'Used', 'Intention', 'Want', 'Expends',' quota ',' expiration ',' ngehabisin ',' kuita ',' jagine ',' loss', 'another', 'steady', 'developer', 'increase', 'application', 'custom"&amp;"er', 'satisfied' , '']")</f>
        <v>['Suggestion', 'button', 'On', 'Off', 'Package', 'Data', 'Ngatur', 'Package', 'Used', 'Intention', 'Want', 'Expends',' quota ',' expiration ',' ngehabisin ',' kuita ',' jagine ',' loss', 'another', 'steady', 'developer', 'increase', 'application', 'customer', 'satisfied' , '']</v>
      </c>
      <c r="D1826" s="3">
        <v>3.0</v>
      </c>
    </row>
    <row r="1827" ht="15.75" customHeight="1">
      <c r="A1827" s="1">
        <v>1825.0</v>
      </c>
      <c r="B1827" s="3" t="s">
        <v>1828</v>
      </c>
      <c r="C1827" s="3" t="str">
        <f>IFERROR(__xludf.DUMMYFUNCTION("GOOGLETRANSLATE(B1827,""id"",""en"")"),"['Disappointed', 'Telkomsel', 'Login', 'appears', 'Link', 'Verification', 'Enter', 'Please', 'HOLDA', 'Thank you']")</f>
        <v>['Disappointed', 'Telkomsel', 'Login', 'appears', 'Link', 'Verification', 'Enter', 'Please', 'HOLDA', 'Thank you']</v>
      </c>
      <c r="D1827" s="3">
        <v>5.0</v>
      </c>
    </row>
    <row r="1828" ht="15.75" customHeight="1">
      <c r="A1828" s="1">
        <v>1826.0</v>
      </c>
      <c r="B1828" s="3" t="s">
        <v>1829</v>
      </c>
      <c r="C1828" s="3" t="str">
        <f>IFERROR(__xludf.DUMMYFUNCTION("GOOGLETRANSLATE(B1828,""id"",""en"")"),"['operator', 'telkon', 'toll', 'nyesel', 'contents',' package ',' temkomtol ',' expensive ',' doang ',' quality ',' internet ',' BURIK ',' Kingap ',' Signal ',' Down ',' Chatation ',' Pending ',' Open ',' Application ',' LEG ',' Yutub ',' Muter ',' Use ',"&amp;"' Internet ',' Telkomtol ' , 'Want', 'Bakar', 'Building', 'Telkomtol', 'Harm', 'Consumer', 'Mulu']")</f>
        <v>['operator', 'telkon', 'toll', 'nyesel', 'contents',' package ',' temkomtol ',' expensive ',' doang ',' quality ',' internet ',' BURIK ',' Kingap ',' Signal ',' Down ',' Chatation ',' Pending ',' Open ',' Application ',' LEG ',' Yutub ',' Muter ',' Use ',' Internet ',' Telkomtol ' , 'Want', 'Bakar', 'Building', 'Telkomtol', 'Harm', 'Consumer', 'Mulu']</v>
      </c>
      <c r="D1828" s="3">
        <v>1.0</v>
      </c>
    </row>
    <row r="1829" ht="15.75" customHeight="1">
      <c r="A1829" s="1">
        <v>1827.0</v>
      </c>
      <c r="B1829" s="3" t="s">
        <v>1830</v>
      </c>
      <c r="C1829" s="3" t="str">
        <f>IFERROR(__xludf.DUMMYFUNCTION("GOOGLETRANSLATE(B1829,""id"",""en"")"),"['inalilahi', 'rip', 'Telkomsel', 'anjeng', 'talking', 'slow', 'repent', 'ngelankh', 'sorry', 'rude', 'urgent', 'really', ' Kulitas', 'send', 'sms',' verification ',' enter ',' contents', 'package', 'data', 'minute', 'process',' whataaaaa ',' sayangggg ',"&amp;"' already ' , 'Pantes', 'quality', 'rich', 'good', 'Whataaaaaa', '']")</f>
        <v>['inalilahi', 'rip', 'Telkomsel', 'anjeng', 'talking', 'slow', 'repent', 'ngelankh', 'sorry', 'rude', 'urgent', 'really', ' Kulitas', 'send', 'sms',' verification ',' enter ',' contents', 'package', 'data', 'minute', 'process',' whataaaaa ',' sayangggg ',' already ' , 'Pantes', 'quality', 'rich', 'good', 'Whataaaaaa', '']</v>
      </c>
      <c r="D1829" s="3">
        <v>1.0</v>
      </c>
    </row>
    <row r="1830" ht="15.75" customHeight="1">
      <c r="A1830" s="1">
        <v>1828.0</v>
      </c>
      <c r="B1830" s="3" t="s">
        <v>1831</v>
      </c>
      <c r="C1830" s="3" t="str">
        <f>IFERROR(__xludf.DUMMYFUNCTION("GOOGLETRANSLATE(B1830,""id"",""en"")"),"['Deliberate', 'Meet', 'Semartfren', 'Naas',' Semartfren ',' Hard ',' owned ',' Fighting ',' Sitting ',' Maintaining ',' Sinyal ',' Really ',' Naive ',' owned ',' owned ',' Menumukan ',' Telkomsel ',' Lantas', 'Leave', 'Semartfren']")</f>
        <v>['Deliberate', 'Meet', 'Semartfren', 'Naas',' Semartfren ',' Hard ',' owned ',' Fighting ',' Sitting ',' Maintaining ',' Sinyal ',' Really ',' Naive ',' owned ',' owned ',' Menumukan ',' Telkomsel ',' Lantas', 'Leave', 'Semartfren']</v>
      </c>
      <c r="D1830" s="3">
        <v>2.0</v>
      </c>
    </row>
    <row r="1831" ht="15.75" customHeight="1">
      <c r="A1831" s="1">
        <v>1829.0</v>
      </c>
      <c r="B1831" s="3" t="s">
        <v>1832</v>
      </c>
      <c r="C1831" s="3" t="str">
        <f>IFERROR(__xludf.DUMMYFUNCTION("GOOGLETRANSLATE(B1831,""id"",""en"")"),"['Download', 'Song', 'MB', 'Minutes',' Read ',' comics', 'calm', 'play', 'game', 'Nge', 'lag', 'signal', ' bad ',' basically ',' signal ',' ugly ',' rare ',' times', 'signal', 'really', 'good']")</f>
        <v>['Download', 'Song', 'MB', 'Minutes',' Read ',' comics', 'calm', 'play', 'game', 'Nge', 'lag', 'signal', ' bad ',' basically ',' signal ',' ugly ',' rare ',' times', 'signal', 'really', 'good']</v>
      </c>
      <c r="D1831" s="3">
        <v>1.0</v>
      </c>
    </row>
    <row r="1832" ht="15.75" customHeight="1">
      <c r="A1832" s="1">
        <v>1830.0</v>
      </c>
      <c r="B1832" s="3" t="s">
        <v>1833</v>
      </c>
      <c r="C1832" s="3" t="str">
        <f>IFERROR(__xludf.DUMMYFUNCTION("GOOGLETRANSLATE(B1832,""id"",""en"")"),"['Telkomsel', 'comfortable', 'Gini', 'Please', 'repaired', 'network', 'deteriorate', 'disappointing', 'customer', 'loyal', 'Telkomsel', 'please', ' Fix ',' min ']")</f>
        <v>['Telkomsel', 'comfortable', 'Gini', 'Please', 'repaired', 'network', 'deteriorate', 'disappointing', 'customer', 'loyal', 'Telkomsel', 'please', ' Fix ',' min ']</v>
      </c>
      <c r="D1832" s="3">
        <v>2.0</v>
      </c>
    </row>
    <row r="1833" ht="15.75" customHeight="1">
      <c r="A1833" s="1">
        <v>1831.0</v>
      </c>
      <c r="B1833" s="3" t="s">
        <v>1834</v>
      </c>
      <c r="C1833" s="3" t="str">
        <f>IFERROR(__xludf.DUMMYFUNCTION("GOOGLETRANSLATE(B1833,""id"",""en"")"),"['network', 'error', 'contents',' package ',' data ',' pulse ',' chick ',' emang ',' error ',' try ',' love ',' sms', ' ',' ']")</f>
        <v>['network', 'error', 'contents',' package ',' data ',' pulse ',' chick ',' emang ',' error ',' try ',' love ',' sms', ' ',' ']</v>
      </c>
      <c r="D1833" s="3">
        <v>1.0</v>
      </c>
    </row>
    <row r="1834" ht="15.75" customHeight="1">
      <c r="A1834" s="1">
        <v>1832.0</v>
      </c>
      <c r="B1834" s="3" t="s">
        <v>1835</v>
      </c>
      <c r="C1834" s="3" t="str">
        <f>IFERROR(__xludf.DUMMYFUNCTION("GOOGLETRANSLATE(B1834,""id"",""en"")"),"['Sorry', 'network', 'Telkimsel', 'appears', 'network', 'internet', 'appears', 'special', 'stable', 'times', ""]")</f>
        <v>['Sorry', 'network', 'Telkimsel', 'appears', 'network', 'internet', 'appears', 'special', 'stable', 'times', "]</v>
      </c>
      <c r="D1834" s="3">
        <v>3.0</v>
      </c>
    </row>
    <row r="1835" ht="15.75" customHeight="1">
      <c r="A1835" s="1">
        <v>1833.0</v>
      </c>
      <c r="B1835" s="3" t="s">
        <v>1836</v>
      </c>
      <c r="C1835" s="3" t="str">
        <f>IFERROR(__xludf.DUMMYFUNCTION("GOOGLETRANSLATE(B1835,""id"",""en"")"),"['right', 'buy', 'package', 'used', 'direct', 'bought', 'used', 'package', 'GB', 'darling', 'scorched', 'Sia', ' drain', '']")</f>
        <v>['right', 'buy', 'package', 'used', 'direct', 'bought', 'used', 'package', 'GB', 'darling', 'scorched', 'Sia', ' drain', '']</v>
      </c>
      <c r="D1835" s="3">
        <v>3.0</v>
      </c>
    </row>
    <row r="1836" ht="15.75" customHeight="1">
      <c r="A1836" s="1">
        <v>1834.0</v>
      </c>
      <c r="B1836" s="3" t="s">
        <v>1837</v>
      </c>
      <c r="C1836" s="3" t="str">
        <f>IFERROR(__xludf.DUMMYFUNCTION("GOOGLETRANSLATE(B1836,""id"",""en"")"),"['Telkomsel', 'koq', 'keki', 'told', 'list', 'reset', 'emang', 'number', 'already', 'list', 'reset', 'email', ' Tarima ',' email ',' mean ',' it seems', 'getting', 'Dasut', 'person', 'envy', 'entry', 'already', 'click', 'Link', 'receiving' , 'repeated', '"&amp;"Woyy']")</f>
        <v>['Telkomsel', 'koq', 'keki', 'told', 'list', 'reset', 'emang', 'number', 'already', 'list', 'reset', 'email', ' Tarima ',' email ',' mean ',' it seems', 'getting', 'Dasut', 'person', 'envy', 'entry', 'already', 'click', 'Link', 'receiving' , 'repeated', 'Woyy']</v>
      </c>
      <c r="D1836" s="3">
        <v>1.0</v>
      </c>
    </row>
    <row r="1837" ht="15.75" customHeight="1">
      <c r="A1837" s="1">
        <v>1835.0</v>
      </c>
      <c r="B1837" s="3" t="s">
        <v>1838</v>
      </c>
      <c r="C1837" s="3" t="str">
        <f>IFERROR(__xludf.DUMMYFUNCTION("GOOGLETRANSLATE(B1837,""id"",""en"")"),"['signal', 'Telkomsel', 'bad', 'Telkomsel', 'auto', 'uninstall', 'change', 'number', 'most', 'sms',' promo ',' bonus', ' App ',' Mytsl ',' TPI ',' reality ',' nihil ', ""]")</f>
        <v>['signal', 'Telkomsel', 'bad', 'Telkomsel', 'auto', 'uninstall', 'change', 'number', 'most', 'sms',' promo ',' bonus', ' App ',' Mytsl ',' TPI ',' reality ',' nihil ', "]</v>
      </c>
      <c r="D1837" s="3">
        <v>2.0</v>
      </c>
    </row>
    <row r="1838" ht="15.75" customHeight="1">
      <c r="A1838" s="1">
        <v>1836.0</v>
      </c>
      <c r="B1838" s="3" t="s">
        <v>1839</v>
      </c>
      <c r="C1838" s="3" t="str">
        <f>IFERROR(__xludf.DUMMYFUNCTION("GOOGLETRANSLATE(B1838,""id"",""en"")"),"['Sis',' checked ',' quota ',' told ',' enter ',' number ',' trs', 'sent', 'sms',' link ',' enter ',' right ',' Saga ',' click ',' link ',' enter ',' told ',' enter ',' number ',' send ',' sms', 'see', 'quota']")</f>
        <v>['Sis',' checked ',' quota ',' told ',' enter ',' number ',' trs', 'sent', 'sms',' link ',' enter ',' right ',' Saga ',' click ',' link ',' enter ',' told ',' enter ',' number ',' send ',' sms', 'see', 'quota']</v>
      </c>
      <c r="D1838" s="3">
        <v>1.0</v>
      </c>
    </row>
    <row r="1839" ht="15.75" customHeight="1">
      <c r="A1839" s="1">
        <v>1837.0</v>
      </c>
      <c r="B1839" s="3" t="s">
        <v>1840</v>
      </c>
      <c r="C1839" s="3" t="str">
        <f>IFERROR(__xludf.DUMMYFUNCTION("GOOGLETRANSLATE(B1839,""id"",""en"")"),"['Kapok', 'Telkomsel', 'Since', 'sympathy', 'etc.', 'DLEBUR', 'Package', 'expensive', 'CPT', 'Out', 'Mending', 'use', ' Neighbors', 'Next', 'Original', 'SM', 'Dief', 'YouTube', 'Use', 'sympathy', 'CPT', 'quota', 'Out', 'use', 'neighbor' , 'sblh', 'mah', '"&amp;"economical', 'udh', 'bbrp', 'use', 'sympathy', 'decided', 'neighbor', 'before', 'gtu', 'omg', ' YouTube ',' quota ',' main ',' run out ',' first ',' then ',' sucked ',' pulse ',' quota ',' omg ',' bye ']")</f>
        <v>['Kapok', 'Telkomsel', 'Since', 'sympathy', 'etc.', 'DLEBUR', 'Package', 'expensive', 'CPT', 'Out', 'Mending', 'use', ' Neighbors', 'Next', 'Original', 'SM', 'Dief', 'YouTube', 'Use', 'sympathy', 'CPT', 'quota', 'Out', 'use', 'neighbor' , 'sblh', 'mah', 'economical', 'udh', 'bbrp', 'use', 'sympathy', 'decided', 'neighbor', 'before', 'gtu', 'omg', ' YouTube ',' quota ',' main ',' run out ',' first ',' then ',' sucked ',' pulse ',' quota ',' omg ',' bye ']</v>
      </c>
      <c r="D1839" s="3">
        <v>1.0</v>
      </c>
    </row>
    <row r="1840" ht="15.75" customHeight="1">
      <c r="A1840" s="1">
        <v>1838.0</v>
      </c>
      <c r="B1840" s="3" t="s">
        <v>1841</v>
      </c>
      <c r="C1840" s="3" t="str">
        <f>IFERROR(__xludf.DUMMYFUNCTION("GOOGLETRANSLATE(B1840,""id"",""en"")"),"['application', 'KNTL', 'enter', 'check', 'quota', 'difficult', 'forgiveness',' signal ',' lag ',' koplok ',' gmna ',' contact ',' Open ',' Telkomsel ',' enter ',' price ',' according to ',' Quality ',' expensive ',' difficult ',' ugly ',' signal ']")</f>
        <v>['application', 'KNTL', 'enter', 'check', 'quota', 'difficult', 'forgiveness',' signal ',' lag ',' koplok ',' gmna ',' contact ',' Open ',' Telkomsel ',' enter ',' price ',' according to ',' Quality ',' expensive ',' difficult ',' ugly ',' signal ']</v>
      </c>
      <c r="D1840" s="3">
        <v>1.0</v>
      </c>
    </row>
    <row r="1841" ht="15.75" customHeight="1">
      <c r="A1841" s="1">
        <v>1839.0</v>
      </c>
      <c r="B1841" s="3" t="s">
        <v>1842</v>
      </c>
      <c r="C1841" s="3" t="str">
        <f>IFERROR(__xludf.DUMMYFUNCTION("GOOGLETRANSLATE(B1841,""id"",""en"")"),"['Lemot', 'the application', 'muter', 'difficult', 'login', 'please', 'repaired', 'knp', 'slow', 'krna', 'daily', 'check', ' Lemot ',' parrraaaaaahhhhhh ']")</f>
        <v>['Lemot', 'the application', 'muter', 'difficult', 'login', 'please', 'repaired', 'knp', 'slow', 'krna', 'daily', 'check', ' Lemot ',' parrraaaaaahhhhhh ']</v>
      </c>
      <c r="D1841" s="3">
        <v>1.0</v>
      </c>
    </row>
    <row r="1842" ht="15.75" customHeight="1">
      <c r="A1842" s="1">
        <v>1840.0</v>
      </c>
      <c r="B1842" s="3" t="s">
        <v>1843</v>
      </c>
      <c r="C1842" s="3" t="str">
        <f>IFERROR(__xludf.DUMMYFUNCTION("GOOGLETRANSLATE(B1842,""id"",""en"")"),"['signal', 'missing', 'SIM', 'sign', 'card', 'SIM', 'missing', 'empty', 'Move', 'SIM', 'Minute', 'Miss',' signal ',' signs', 'card', 'tri', 'kaga', 'lost', 'got', 'orders',' gofood ',' comfortable ',' thank you ', ""]")</f>
        <v>['signal', 'missing', 'SIM', 'sign', 'card', 'SIM', 'missing', 'empty', 'Move', 'SIM', 'Minute', 'Miss',' signal ',' signs', 'card', 'tri', 'kaga', 'lost', 'got', 'orders',' gofood ',' comfortable ',' thank you ', "]</v>
      </c>
      <c r="D1842" s="3">
        <v>1.0</v>
      </c>
    </row>
    <row r="1843" ht="15.75" customHeight="1">
      <c r="A1843" s="1">
        <v>1841.0</v>
      </c>
      <c r="B1843" s="3" t="s">
        <v>1844</v>
      </c>
      <c r="C1843" s="3" t="str">
        <f>IFERROR(__xludf.DUMMYFUNCTION("GOOGLETRANSLATE(B1843,""id"",""en"")"),"['Congratulations',' noon ',' Telkomsel ',' Nyesek ',' Pakek ',' Telkomsel ',' Karna ',' Signal ',' Paketan ',' Send ',' school ',' Onlen ',' Telkomsel ',' Good ',' Knp ',' Kek ',' Gini ',' Nyesek ',' Langanan ',' Telkomsel ', ""]")</f>
        <v>['Congratulations',' noon ',' Telkomsel ',' Nyesek ',' Pakek ',' Telkomsel ',' Karna ',' Signal ',' Paketan ',' Send ',' school ',' Onlen ',' Telkomsel ',' Good ',' Knp ',' Kek ',' Gini ',' Nyesek ',' Langanan ',' Telkomsel ', "]</v>
      </c>
      <c r="D1843" s="3">
        <v>1.0</v>
      </c>
    </row>
    <row r="1844" ht="15.75" customHeight="1">
      <c r="A1844" s="1">
        <v>1842.0</v>
      </c>
      <c r="B1844" s="3" t="s">
        <v>1845</v>
      </c>
      <c r="C1844" s="3" t="str">
        <f>IFERROR(__xludf.DUMMYFUNCTION("GOOGLETRANSLATE(B1844,""id"",""en"")"),"['Enter', 'apk', 'error', 'gmn', 'quota', 'abis',' buy ',' apk ',' telkomsel ',' please ',' enter ',' apk ',' ']")</f>
        <v>['Enter', 'apk', 'error', 'gmn', 'quota', 'abis',' buy ',' apk ',' telkomsel ',' please ',' enter ',' apk ',' ']</v>
      </c>
      <c r="D1844" s="3">
        <v>2.0</v>
      </c>
    </row>
    <row r="1845" ht="15.75" customHeight="1">
      <c r="A1845" s="1">
        <v>1843.0</v>
      </c>
      <c r="B1845" s="3" t="s">
        <v>1846</v>
      </c>
      <c r="C1845" s="3" t="str">
        <f>IFERROR(__xludf.DUMMYFUNCTION("GOOGLETRANSLATE(B1845,""id"",""en"")"),"['cellphone', 'ber', 'antenna', 'ber', 'SIM', 'Card', 'Telkomsel', 'hundreds',' thousand ',' signal ',' Telkomsel ',' perhaps', ' Affairs', 'Grapari', 'Urus',' Application ',' Select ',' Quota ',' Select ',' Price ',' Cheap ',' Expensive ',' City ',' City"&amp;" ',' Telkomsel ' , 'accompany', 'Thank you', 'Telkomsel', 'family', 'Greetings', 'Farewell', 'Move', 'Signal', 'Mumpuni', ""]")</f>
        <v>['cellphone', 'ber', 'antenna', 'ber', 'SIM', 'Card', 'Telkomsel', 'hundreds',' thousand ',' signal ',' Telkomsel ',' perhaps', ' Affairs', 'Grapari', 'Urus',' Application ',' Select ',' Quota ',' Select ',' Price ',' Cheap ',' Expensive ',' City ',' City ',' Telkomsel ' , 'accompany', 'Thank you', 'Telkomsel', 'family', 'Greetings', 'Farewell', 'Move', 'Signal', 'Mumpuni', "]</v>
      </c>
      <c r="D1845" s="3">
        <v>1.0</v>
      </c>
    </row>
    <row r="1846" ht="15.75" customHeight="1">
      <c r="A1846" s="1">
        <v>1844.0</v>
      </c>
      <c r="B1846" s="3" t="s">
        <v>1847</v>
      </c>
      <c r="C1846" s="3" t="str">
        <f>IFERROR(__xludf.DUMMYFUNCTION("GOOGLETRANSLATE(B1846,""id"",""en"")"),"['Pay', 'Card', 'Hello', 'Virtual', 'Account', 'Error', 'Mulu', 'Gabisa', 'Dapetin', 'Virtual', 'Account', 'Number', ' Pay ',' Ovo ',' transaction ',' finished ',' tetep ',' status', 'paid', 'pulp', 'ngeselin', 'really']")</f>
        <v>['Pay', 'Card', 'Hello', 'Virtual', 'Account', 'Error', 'Mulu', 'Gabisa', 'Dapetin', 'Virtual', 'Account', 'Number', ' Pay ',' Ovo ',' transaction ',' finished ',' tetep ',' status', 'paid', 'pulp', 'ngeselin', 'really']</v>
      </c>
      <c r="D1846" s="3">
        <v>1.0</v>
      </c>
    </row>
    <row r="1847" ht="15.75" customHeight="1">
      <c r="A1847" s="1">
        <v>1845.0</v>
      </c>
      <c r="B1847" s="3" t="s">
        <v>1848</v>
      </c>
      <c r="C1847" s="3" t="str">
        <f>IFERROR(__xludf.DUMMYFUNCTION("GOOGLETRANSLATE(B1847,""id"",""en"")"),"['package', 'expensive', 'quota', 'less', 'speed', 'slow', 'bad', 'already', 'ber', 'telkomsel', 'bad', ""]")</f>
        <v>['package', 'expensive', 'quota', 'less', 'speed', 'slow', 'bad', 'already', 'ber', 'telkomsel', 'bad', "]</v>
      </c>
      <c r="D1847" s="3">
        <v>1.0</v>
      </c>
    </row>
    <row r="1848" ht="15.75" customHeight="1">
      <c r="A1848" s="1">
        <v>1846.0</v>
      </c>
      <c r="B1848" s="3" t="s">
        <v>1849</v>
      </c>
      <c r="C1848" s="3" t="str">
        <f>IFERROR(__xludf.DUMMYFUNCTION("GOOGLETRANSLATE(B1848,""id"",""en"")"),"['signal', 'ugly', 'really', 'ngepain', 'see', 'down', 'signal', 'ugly', 'where']")</f>
        <v>['signal', 'ugly', 'really', 'ngepain', 'see', 'down', 'signal', 'ugly', 'where']</v>
      </c>
      <c r="D1848" s="3">
        <v>1.0</v>
      </c>
    </row>
    <row r="1849" ht="15.75" customHeight="1">
      <c r="A1849" s="1">
        <v>1847.0</v>
      </c>
      <c r="B1849" s="3" t="s">
        <v>1850</v>
      </c>
      <c r="C1849" s="3" t="str">
        <f>IFERROR(__xludf.DUMMYFUNCTION("GOOGLETRANSLATE(B1849,""id"",""en"")"),"['Good', 'service', 'pulse', 'rb', 'then', 'package', 'telephone', 'telephone', 'pulse', 'reduced', 'rb', 'please', ' Repaired ',' Event ',' Loss']")</f>
        <v>['Good', 'service', 'pulse', 'rb', 'then', 'package', 'telephone', 'telephone', 'pulse', 'reduced', 'rb', 'please', ' Repaired ',' Event ',' Loss']</v>
      </c>
      <c r="D1849" s="3">
        <v>1.0</v>
      </c>
    </row>
    <row r="1850" ht="15.75" customHeight="1">
      <c r="A1850" s="1">
        <v>1848.0</v>
      </c>
      <c r="B1850" s="3" t="s">
        <v>1851</v>
      </c>
      <c r="C1850" s="3" t="str">
        <f>IFERROR(__xludf.DUMMYFUNCTION("GOOGLETRANSLATE(B1850,""id"",""en"")"),"['How', 'UDH', 'Buy', 'Paketan', 'Enter', 'Please', 'HUB', 'Hub', 'Center', 'Help', 'Telkomsel', 'Line', ' package ',' enter ',' money ',' woyyyyy ']")</f>
        <v>['How', 'UDH', 'Buy', 'Paketan', 'Enter', 'Please', 'HUB', 'Hub', 'Center', 'Help', 'Telkomsel', 'Line', ' package ',' enter ',' money ',' woyyyyy ']</v>
      </c>
      <c r="D1850" s="3">
        <v>1.0</v>
      </c>
    </row>
    <row r="1851" ht="15.75" customHeight="1">
      <c r="A1851" s="1">
        <v>1849.0</v>
      </c>
      <c r="B1851" s="3" t="s">
        <v>1852</v>
      </c>
      <c r="C1851" s="3" t="str">
        <f>IFERROR(__xludf.DUMMYFUNCTION("GOOGLETRANSLATE(B1851,""id"",""en"")"),"['Min', 'Telkomsel', 'Signal', 'Dirumh', 'Dizziness',' Min ',' Service ',' Complaint ',' Where ',' Min ',' Facilitates', 'Twitter', ' Line ',' aduanya ',' Kirain ',' fast ',' smakin ',' here ',' slow ',' Rumhq ',' skipped ',' signal ',' Telkomsel ',' or '"&amp;",' blocking ' , 'Min', '']")</f>
        <v>['Min', 'Telkomsel', 'Signal', 'Dirumh', 'Dizziness',' Min ',' Service ',' Complaint ',' Where ',' Min ',' Facilitates', 'Twitter', ' Line ',' aduanya ',' Kirain ',' fast ',' smakin ',' here ',' slow ',' Rumhq ',' skipped ',' signal ',' Telkomsel ',' or ',' blocking ' , 'Min', '']</v>
      </c>
      <c r="D1851" s="3">
        <v>4.0</v>
      </c>
    </row>
    <row r="1852" ht="15.75" customHeight="1">
      <c r="A1852" s="1">
        <v>1850.0</v>
      </c>
      <c r="B1852" s="3" t="s">
        <v>1853</v>
      </c>
      <c r="C1852" s="3" t="str">
        <f>IFERROR(__xludf.DUMMYFUNCTION("GOOGLETRANSLATE(B1852,""id"",""en"")"),"['high school', 'smpe', 'network', 'telkom', 'slow', 'quota', 'run out', 'emng', 'slow', 'TMN', 'Telkomsel', 'Telkom', ' Now ',' slow ',' network ',' pdhl ',' used to ',' network ',' best ',' in my opinion ',' buy ',' quota ',' telkom ',' no ',' cheap ' ,"&amp;" 'Costs', 'telephone', 'no', 'cheap', 'knp', 'net', 'skrg', 'slow', 'lose', 'network', 'next door', '']")</f>
        <v>['high school', 'smpe', 'network', 'telkom', 'slow', 'quota', 'run out', 'emng', 'slow', 'TMN', 'Telkomsel', 'Telkom', ' Now ',' slow ',' network ',' pdhl ',' used to ',' network ',' best ',' in my opinion ',' buy ',' quota ',' telkom ',' no ',' cheap ' , 'Costs', 'telephone', 'no', 'cheap', 'knp', 'net', 'skrg', 'slow', 'lose', 'network', 'next door', '']</v>
      </c>
      <c r="D1852" s="3">
        <v>2.0</v>
      </c>
    </row>
    <row r="1853" ht="15.75" customHeight="1">
      <c r="A1853" s="1">
        <v>1851.0</v>
      </c>
      <c r="B1853" s="3" t="s">
        <v>1854</v>
      </c>
      <c r="C1853" s="3" t="str">
        <f>IFERROR(__xludf.DUMMYFUNCTION("GOOGLETRANSLATE(B1853,""id"",""en"")"),"['Purchase', 'Package', 'Troubled', 'Connection', 'Current', 'Please', 'Admin', 'Overcome', 'Already', 'Week', 'Kenda', 'Sorry', ' System ',' busy ',' busy ',' stop ',' provider ',' ']")</f>
        <v>['Purchase', 'Package', 'Troubled', 'Connection', 'Current', 'Please', 'Admin', 'Overcome', 'Already', 'Week', 'Kenda', 'Sorry', ' System ',' busy ',' busy ',' stop ',' provider ',' ']</v>
      </c>
      <c r="D1853" s="3">
        <v>1.0</v>
      </c>
    </row>
    <row r="1854" ht="15.75" customHeight="1">
      <c r="A1854" s="1">
        <v>1852.0</v>
      </c>
      <c r="B1854" s="3" t="s">
        <v>1855</v>
      </c>
      <c r="C1854" s="3" t="str">
        <f>IFERROR(__xludf.DUMMYFUNCTION("GOOGLETRANSLATE(B1854,""id"",""en"")"),"['Telkomsel', 'brusaha', 'cheating', 'check', 'quota', 'many "",' blasan ',' mentang ',' still ',' leftover ',' pulses ',' uda ',' So ',' quota ',' run out ',' easy ',' send ',' message ',' sorry ',' leftover ',' quota ',' out ',' wear ',' charge ',' use "&amp;"' , 'internet', 'check', 'pulse', 'uda', 'run out', 'suction', 'prayer', 'hope', 'network', 'enter', 'change', 'card' As soon as possible ',' Sya ',' make sure ',' people ',' sprti ']")</f>
        <v>['Telkomsel', 'brusaha', 'cheating', 'check', 'quota', 'many ",' blasan ',' mentang ',' still ',' leftover ',' pulses ',' uda ',' So ',' quota ',' run out ',' easy ',' send ',' message ',' sorry ',' leftover ',' quota ',' out ',' wear ',' charge ',' use ' , 'internet', 'check', 'pulse', 'uda', 'run out', 'suction', 'prayer', 'hope', 'network', 'enter', 'change', 'card' As soon as possible ',' Sya ',' make sure ',' people ',' sprti ']</v>
      </c>
      <c r="D1854" s="3">
        <v>1.0</v>
      </c>
    </row>
    <row r="1855" ht="15.75" customHeight="1">
      <c r="A1855" s="1">
        <v>1853.0</v>
      </c>
      <c r="B1855" s="3" t="s">
        <v>1856</v>
      </c>
      <c r="C1855" s="3" t="str">
        <f>IFERROR(__xludf.DUMMYFUNCTION("GOOGLETRANSLATE(B1855,""id"",""en"")"),"['Update', 'Change', 'Efficient', 'Effective', 'Support', 'Season', 'Application', 'Error', 'Uninstall', 'Updated']")</f>
        <v>['Update', 'Change', 'Efficient', 'Effective', 'Support', 'Season', 'Application', 'Error', 'Uninstall', 'Updated']</v>
      </c>
      <c r="D1855" s="3">
        <v>2.0</v>
      </c>
    </row>
    <row r="1856" ht="15.75" customHeight="1">
      <c r="A1856" s="1">
        <v>1854.0</v>
      </c>
      <c r="B1856" s="3" t="s">
        <v>1857</v>
      </c>
      <c r="C1856" s="3" t="str">
        <f>IFERROR(__xludf.DUMMYFUNCTION("GOOGLETRANSLATE(B1856,""id"",""en"")"),"['knp', 'the application', 'open', 'network', 'slow', 'right', 'check', 'only', 'tetep', 'enter', 'please', 'repaired', ' Knp ',' Application ',' Down ',' Quality ',' ']")</f>
        <v>['knp', 'the application', 'open', 'network', 'slow', 'right', 'check', 'only', 'tetep', 'enter', 'please', 'repaired', ' Knp ',' Application ',' Down ',' Quality ',' ']</v>
      </c>
      <c r="D1856" s="3">
        <v>2.0</v>
      </c>
    </row>
    <row r="1857" ht="15.75" customHeight="1">
      <c r="A1857" s="1">
        <v>1855.0</v>
      </c>
      <c r="B1857" s="3" t="s">
        <v>1858</v>
      </c>
      <c r="C1857" s="3" t="str">
        <f>IFERROR(__xludf.DUMMYFUNCTION("GOOGLETRANSLATE(B1857,""id"",""en"")"),"['App', 'broken', 'see', 'leftover', 'quota', 'entry', 'number', 'alternating', 'then', 'open', 'signal', ' in the place ',' ugly ',' stable ',' play ',' game ',' stable ',' please ',' justified ',' Telkomsel ',' rain ',' ugly ',' responded ',' sya ' , 'M"&amp;"ove', 'card', '']")</f>
        <v>['App', 'broken', 'see', 'leftover', 'quota', 'entry', 'number', 'alternating', 'then', 'open', 'signal', ' in the place ',' ugly ',' stable ',' play ',' game ',' stable ',' please ',' justified ',' Telkomsel ',' rain ',' ugly ',' responded ',' sya ' , 'Move', 'card', '']</v>
      </c>
      <c r="D1857" s="3">
        <v>1.0</v>
      </c>
    </row>
    <row r="1858" ht="15.75" customHeight="1">
      <c r="A1858" s="1">
        <v>1856.0</v>
      </c>
      <c r="B1858" s="3" t="s">
        <v>1859</v>
      </c>
      <c r="C1858" s="3" t="str">
        <f>IFERROR(__xludf.DUMMYFUNCTION("GOOGLETRANSLATE(B1858,""id"",""en"")"),"['Please', 'Login', 'Network', 'Okay', 'Use', 'WiFi', 'Buy', 'Quota', 'Hampered', 'Something', 'Wrong', 'What', ' Something ',' Wrong ',' SMS ',' Enter ',' Link ',' Click ',' Posts', 'session', 'How', 'What do you mean', 'please', 'APP', 'Kayak' , 'Link',"&amp;" 'login', 'login', 'like', 'gini', 'troubling', '']")</f>
        <v>['Please', 'Login', 'Network', 'Okay', 'Use', 'WiFi', 'Buy', 'Quota', 'Hampered', 'Something', 'Wrong', 'What', ' Something ',' Wrong ',' SMS ',' Enter ',' Link ',' Click ',' Posts', 'session', 'How', 'What do you mean', 'please', 'APP', 'Kayak' , 'Link', 'login', 'login', 'like', 'gini', 'troubling', '']</v>
      </c>
      <c r="D1858" s="3">
        <v>1.0</v>
      </c>
    </row>
    <row r="1859" ht="15.75" customHeight="1">
      <c r="A1859" s="1">
        <v>1857.0</v>
      </c>
      <c r="B1859" s="3" t="s">
        <v>1860</v>
      </c>
      <c r="C1859" s="3" t="str">
        <f>IFERROR(__xludf.DUMMYFUNCTION("GOOGLETRANSLATE(B1859,""id"",""en"")"),"['Application', 'Ribet', 'PKE', 'Magic', 'Link', 'Expired', 'Simple', 'STLH', 'PKE', 'Method', 'Link', 'Sent', ' sms', 'jdi', 'difficult', 'process',' login ',' update ',' easy ']")</f>
        <v>['Application', 'Ribet', 'PKE', 'Magic', 'Link', 'Expired', 'Simple', 'STLH', 'PKE', 'Method', 'Link', 'Sent', ' sms', 'jdi', 'difficult', 'process',' login ',' update ',' easy ']</v>
      </c>
      <c r="D1859" s="3">
        <v>1.0</v>
      </c>
    </row>
    <row r="1860" ht="15.75" customHeight="1">
      <c r="A1860" s="1">
        <v>1858.0</v>
      </c>
      <c r="B1860" s="3" t="s">
        <v>1861</v>
      </c>
      <c r="C1860" s="3" t="str">
        <f>IFERROR(__xludf.DUMMYFUNCTION("GOOGLETRANSLATE(B1860,""id"",""en"")"),"['', 'Betah', 'Betah', 'Sempet', 'Speak', 'Buy', 'Package', 'Data', 'wait', 'really', 'hurried', 'Need', 'Package ',' Data ',' until ',' repeated ',' reset ',' Tetep ',' No ',' enter ',' entry ',' application ',' Nge ',' lag ',' already ', 'Update', 'the "&amp;"latest', 'Please', 'Left', 'Wait', 'Regristation', 'Buy', 'Package', 'Data', ""]")</f>
        <v>['', 'Betah', 'Betah', 'Sempet', 'Speak', 'Buy', 'Package', 'Data', 'wait', 'really', 'hurried', 'Need', 'Package ',' Data ',' until ',' repeated ',' reset ',' Tetep ',' No ',' enter ',' entry ',' application ',' Nge ',' lag ',' already ', 'Update', 'the latest', 'Please', 'Left', 'Wait', 'Regristation', 'Buy', 'Package', 'Data', "]</v>
      </c>
      <c r="D1860" s="3">
        <v>1.0</v>
      </c>
    </row>
    <row r="1861" ht="15.75" customHeight="1">
      <c r="A1861" s="1">
        <v>1859.0</v>
      </c>
      <c r="B1861" s="3" t="s">
        <v>1862</v>
      </c>
      <c r="C1861" s="3" t="str">
        <f>IFERROR(__xludf.DUMMYFUNCTION("GOOGLETRANSLATE(B1861,""id"",""en"")"),"['Please', 'Telkomsel', 'Sediain', 'Service', 'Top', 'World', 'Game', 'Top', 'Cheap', 'Weekend', 'Help', 'Player', ' Event ',' ']")</f>
        <v>['Please', 'Telkomsel', 'Sediain', 'Service', 'Top', 'World', 'Game', 'Top', 'Cheap', 'Weekend', 'Help', 'Player', ' Event ',' ']</v>
      </c>
      <c r="D1861" s="3">
        <v>2.0</v>
      </c>
    </row>
    <row r="1862" ht="15.75" customHeight="1">
      <c r="A1862" s="1">
        <v>1860.0</v>
      </c>
      <c r="B1862" s="3" t="s">
        <v>1863</v>
      </c>
      <c r="C1862" s="3" t="str">
        <f>IFERROR(__xludf.DUMMYFUNCTION("GOOGLETRANSLATE(B1862,""id"",""en"")"),"['Package', 'Unlimited', 'YouTube', 'Lost', 'Signal', 'Bad', 'Package', 'Package', 'Internet', 'Use', 'Lost', 'Heague', ' no']")</f>
        <v>['Package', 'Unlimited', 'YouTube', 'Lost', 'Signal', 'Bad', 'Package', 'Package', 'Internet', 'Use', 'Lost', 'Heague', ' no']</v>
      </c>
      <c r="D1862" s="3">
        <v>1.0</v>
      </c>
    </row>
    <row r="1863" ht="15.75" customHeight="1">
      <c r="A1863" s="1">
        <v>1861.0</v>
      </c>
      <c r="B1863" s="3" t="s">
        <v>1864</v>
      </c>
      <c r="C1863" s="3" t="str">
        <f>IFERROR(__xludf.DUMMYFUNCTION("GOOGLETRANSLATE(B1863,""id"",""en"")"),"['Apasih', 'Telkomsel', 'Season', 'here', 'Yesterday', 'Gabisa', 'Packagein', 'Karna', 'Choice', 'Gabisa', 'Gaben', 'Application', ' Gabisa ',' opened ',' ane ',' love ',' video ',' ane ',' send ',' already ',' reinstall ',' times', 'tetep', 'gabisa', 'so"&amp;"ry' , 'star', '']")</f>
        <v>['Apasih', 'Telkomsel', 'Season', 'here', 'Yesterday', 'Gabisa', 'Packagein', 'Karna', 'Choice', 'Gabisa', 'Gaben', 'Application', ' Gabisa ',' opened ',' ane ',' love ',' video ',' ane ',' send ',' already ',' reinstall ',' times', 'tetep', 'gabisa', 'sory' , 'star', '']</v>
      </c>
      <c r="D1863" s="3">
        <v>1.0</v>
      </c>
    </row>
    <row r="1864" ht="15.75" customHeight="1">
      <c r="A1864" s="1">
        <v>1862.0</v>
      </c>
      <c r="B1864" s="3" t="s">
        <v>1865</v>
      </c>
      <c r="C1864" s="3" t="str">
        <f>IFERROR(__xludf.DUMMYFUNCTION("GOOGLETRANSLATE(B1864,""id"",""en"")"),"['Application', 'Update', 'Tibak', 'Open', 'Open', 'Application', 'Telkomsel', 'Uninstall', 'Install', 'Open', 'Do', 'enter', ' Application ',' Telkomsel ',' update ']")</f>
        <v>['Application', 'Update', 'Tibak', 'Open', 'Open', 'Application', 'Telkomsel', 'Uninstall', 'Install', 'Open', 'Do', 'enter', ' Application ',' Telkomsel ',' update ']</v>
      </c>
      <c r="D1864" s="3">
        <v>1.0</v>
      </c>
    </row>
    <row r="1865" ht="15.75" customHeight="1">
      <c r="A1865" s="1">
        <v>1863.0</v>
      </c>
      <c r="B1865" s="3" t="s">
        <v>1866</v>
      </c>
      <c r="C1865" s="3" t="str">
        <f>IFERROR(__xludf.DUMMYFUNCTION("GOOGLETRANSLATE(B1865,""id"",""en"")"),"['told', 'convert', 'continuous',' notif ',' exp ',' session ',' already ',' direct ',' enter ',' so ',' Telkomsel ',' bad ',' network ',' lost ',' difficult ',' enter ',' application ',' also ',' price ',' expensive ',' signal ',' rotten ', ""]")</f>
        <v>['told', 'convert', 'continuous',' notif ',' exp ',' session ',' already ',' direct ',' enter ',' so ',' Telkomsel ',' bad ',' network ',' lost ',' difficult ',' enter ',' application ',' also ',' price ',' expensive ',' signal ',' rotten ', "]</v>
      </c>
      <c r="D1865" s="3">
        <v>1.0</v>
      </c>
    </row>
    <row r="1866" ht="15.75" customHeight="1">
      <c r="A1866" s="1">
        <v>1864.0</v>
      </c>
      <c r="B1866" s="3" t="s">
        <v>1867</v>
      </c>
      <c r="C1866" s="3" t="str">
        <f>IFERROR(__xludf.DUMMYFUNCTION("GOOGLETRANSLATE(B1866,""id"",""en"")"),"['The application', 'login', 'Mulu', 'right', 'login', 'open', 'login', 'times', 'complicated', 'really', 'application', ""]")</f>
        <v>['The application', 'login', 'Mulu', 'right', 'login', 'open', 'login', 'times', 'complicated', 'really', 'application', "]</v>
      </c>
      <c r="D1866" s="3">
        <v>1.0</v>
      </c>
    </row>
    <row r="1867" ht="15.75" customHeight="1">
      <c r="A1867" s="1">
        <v>1865.0</v>
      </c>
      <c r="B1867" s="3" t="s">
        <v>1868</v>
      </c>
      <c r="C1867" s="3" t="str">
        <f>IFERROR(__xludf.DUMMYFUNCTION("GOOGLETRANSLATE(B1867,""id"",""en"")"),"['folder', 'complaints',' Hnya ',' Veronika ',' robot ',' package ',' data ',' lemod ',' complaint ',' times', 'transfer', 'pulses',' Successful ',' Credit ',' Cut ',' Completion ',' CWO ',' Curtured ',' Experienced ',' Subordinate ',' BGitu ',' Dismat ',"&amp;"' Harm ',' Telkomesl ', ""]")</f>
        <v>['folder', 'complaints',' Hnya ',' Veronika ',' robot ',' package ',' data ',' lemod ',' complaint ',' times', 'transfer', 'pulses',' Successful ',' Credit ',' Cut ',' Completion ',' CWO ',' Curtured ',' Experienced ',' Subordinate ',' BGitu ',' Dismat ',' Harm ',' Telkomesl ', "]</v>
      </c>
      <c r="D1867" s="3">
        <v>1.0</v>
      </c>
    </row>
    <row r="1868" ht="15.75" customHeight="1">
      <c r="A1868" s="1">
        <v>1866.0</v>
      </c>
      <c r="B1868" s="3" t="s">
        <v>1869</v>
      </c>
      <c r="C1868" s="3" t="str">
        <f>IFERROR(__xludf.DUMMYFUNCTION("GOOGLETRANSLATE(B1868,""id"",""en"")"),"['quota', 'combo', 'Sakti', 'unlimited', 'unlimited', 'NDA', 'reduced', 'speed', 'network', 'kbps',' quota ',' unlimited ',' slow ',' nda ',' use ',' Disney ',' hotstar ',' music ',' right ',' used ',' slow ',' forgiveness', 'use', 'fraud', 'his name' , '"&amp;"Uninstall', 'Mending', 'use', ""]")</f>
        <v>['quota', 'combo', 'Sakti', 'unlimited', 'unlimited', 'NDA', 'reduced', 'speed', 'network', 'kbps',' quota ',' unlimited ',' slow ',' nda ',' use ',' Disney ',' hotstar ',' music ',' right ',' used ',' slow ',' forgiveness', 'use', 'fraud', 'his name' , 'Uninstall', 'Mending', 'use', "]</v>
      </c>
      <c r="D1868" s="3">
        <v>1.0</v>
      </c>
    </row>
    <row r="1869" ht="15.75" customHeight="1">
      <c r="A1869" s="1">
        <v>1867.0</v>
      </c>
      <c r="B1869" s="3" t="s">
        <v>1870</v>
      </c>
      <c r="C1869" s="3" t="str">
        <f>IFERROR(__xludf.DUMMYFUNCTION("GOOGLETRANSLATE(B1869,""id"",""en"")"),"['Over', 'Make', 'Severe', 'The Network', 'Hopefully', 'Success',' Coment ',' traceless', 'cave', 'make', 'pket', 'sell', ' thanks', 'already', 'heart', 'mixed', 'stir', 'because', 'network', 'severe', 'thanks']")</f>
        <v>['Over', 'Make', 'Severe', 'The Network', 'Hopefully', 'Success',' Coment ',' traceless', 'cave', 'make', 'pket', 'sell', ' thanks', 'already', 'heart', 'mixed', 'stir', 'because', 'network', 'severe', 'thanks']</v>
      </c>
      <c r="D1869" s="3">
        <v>1.0</v>
      </c>
    </row>
    <row r="1870" ht="15.75" customHeight="1">
      <c r="A1870" s="1">
        <v>1868.0</v>
      </c>
      <c r="B1870" s="3" t="s">
        <v>1871</v>
      </c>
      <c r="C1870" s="3" t="str">
        <f>IFERROR(__xludf.DUMMYFUNCTION("GOOGLETRANSLATE(B1870,""id"",""en"")"),"['Disappointed', 'here', 'The package', 'No.', 'name', 'quota', 'unlimited', 'emang', 'unlimited', 'Embed', 'quota', 'main', ' quota ',' multimedia ',' etc. ',' ribettt ',' signal ',' slow ',' ']")</f>
        <v>['Disappointed', 'here', 'The package', 'No.', 'name', 'quota', 'unlimited', 'emang', 'unlimited', 'Embed', 'quota', 'main', ' quota ',' multimedia ',' etc. ',' ribettt ',' signal ',' slow ',' ']</v>
      </c>
      <c r="D1870" s="3">
        <v>2.0</v>
      </c>
    </row>
    <row r="1871" ht="15.75" customHeight="1">
      <c r="A1871" s="1">
        <v>1869.0</v>
      </c>
      <c r="B1871" s="3" t="s">
        <v>1872</v>
      </c>
      <c r="C1871" s="3" t="str">
        <f>IFERROR(__xludf.DUMMYFUNCTION("GOOGLETRANSLATE(B1871,""id"",""en"")"),"['Telkomsel', 'build', 'child', 'nation', 'quality', 'field', 'science and technology', 'useful', 'users',' Telkomsel ',' search ',' info ',' interesting ',' Medsos', 'Hopefully', 'May', 'Telkomsel', 'Jaya', 'Development', 'World', 'Semkin', 'Modern', 'Su"&amp;"ccess', ""]")</f>
        <v>['Telkomsel', 'build', 'child', 'nation', 'quality', 'field', 'science and technology', 'useful', 'users',' Telkomsel ',' search ',' info ',' interesting ',' Medsos', 'Hopefully', 'May', 'Telkomsel', 'Jaya', 'Development', 'World', 'Semkin', 'Modern', 'Success', "]</v>
      </c>
      <c r="D1871" s="3">
        <v>5.0</v>
      </c>
    </row>
    <row r="1872" ht="15.75" customHeight="1">
      <c r="A1872" s="1">
        <v>1870.0</v>
      </c>
      <c r="B1872" s="3" t="s">
        <v>1873</v>
      </c>
      <c r="C1872" s="3" t="str">
        <f>IFERROR(__xludf.DUMMYFUNCTION("GOOGLETRANSLATE(B1872,""id"",""en"")"),"['Dear', 'Telkomsel', 'Honest', 'Concerned', 'Market', 'Leader', 'Child', 'Business',' BUMN ',' Quality ',' Service ',' Signal ',' home ',' bad ',' signal ',' appears', 'sometimes',' speed ',' low ',' activity ',' do ',' pause ',' slow ',' just ',' info '"&amp;" , 'Soc', 'qualified', 'Snapdragon', 'use', 'provider', 'package', 'data', 'strange', 'competitor', 'smooth', 'obstacle', 'hope', ' network ',' Telkomsel ',' please ',' repaired ']")</f>
        <v>['Dear', 'Telkomsel', 'Honest', 'Concerned', 'Market', 'Leader', 'Child', 'Business',' BUMN ',' Quality ',' Service ',' Signal ',' home ',' bad ',' signal ',' appears', 'sometimes',' speed ',' low ',' activity ',' do ',' pause ',' slow ',' just ',' info ' , 'Soc', 'qualified', 'Snapdragon', 'use', 'provider', 'package', 'data', 'strange', 'competitor', 'smooth', 'obstacle', 'hope', ' network ',' Telkomsel ',' please ',' repaired ']</v>
      </c>
      <c r="D1872" s="3">
        <v>1.0</v>
      </c>
    </row>
    <row r="1873" ht="15.75" customHeight="1">
      <c r="A1873" s="1">
        <v>1871.0</v>
      </c>
      <c r="B1873" s="3" t="s">
        <v>1874</v>
      </c>
      <c r="C1873" s="3" t="str">
        <f>IFERROR(__xludf.DUMMYFUNCTION("GOOGLETRANSLATE(B1873,""id"",""en"")"),"['Telkomsel', 'activation', 'package', 'enter', 'enter', 'quota', 'his writing', 'activation', 'package', 'until', 'tomorrow', 'entered', ' ']")</f>
        <v>['Telkomsel', 'activation', 'package', 'enter', 'enter', 'quota', 'his writing', 'activation', 'package', 'until', 'tomorrow', 'entered', ' ']</v>
      </c>
      <c r="D1873" s="3">
        <v>2.0</v>
      </c>
    </row>
    <row r="1874" ht="15.75" customHeight="1">
      <c r="A1874" s="1">
        <v>1872.0</v>
      </c>
      <c r="B1874" s="3" t="s">
        <v>1875</v>
      </c>
      <c r="C1874" s="3" t="str">
        <f>IFERROR(__xludf.DUMMYFUNCTION("GOOGLETRANSLATE(B1874,""id"",""en"")"),"['Application', 'Help', 'practical', 'contents',' pulse ',' data ',' package ',' send ',' gift ',' number ',' lbh ',' delicious', ' My point ',' Where ',' Points', 'then', 'DAK', 'Increases',' ']")</f>
        <v>['Application', 'Help', 'practical', 'contents',' pulse ',' data ',' package ',' send ',' gift ',' number ',' lbh ',' delicious', ' My point ',' Where ',' Points', 'then', 'DAK', 'Increases',' ']</v>
      </c>
      <c r="D1874" s="3">
        <v>4.0</v>
      </c>
    </row>
    <row r="1875" ht="15.75" customHeight="1">
      <c r="A1875" s="1">
        <v>1873.0</v>
      </c>
      <c r="B1875" s="3" t="s">
        <v>1876</v>
      </c>
      <c r="C1875" s="3" t="str">
        <f>IFERROR(__xludf.DUMMYFUNCTION("GOOGLETRANSLATE(B1875,""id"",""en"")"),"['down', 'quality', 'Telkomsel', 'already', 'tens',' product ',' Telkomsel ',' already ',' famous', 'the same thing', 'here', 'trouble', ' connection ',' stable ',' basically ',' times', 'Bener', 'disappointed', 'Telkomsel']")</f>
        <v>['down', 'quality', 'Telkomsel', 'already', 'tens',' product ',' Telkomsel ',' already ',' famous', 'the same thing', 'here', 'trouble', ' connection ',' stable ',' basically ',' times', 'Bener', 'disappointed', 'Telkomsel']</v>
      </c>
      <c r="D1875" s="3">
        <v>1.0</v>
      </c>
    </row>
    <row r="1876" ht="15.75" customHeight="1">
      <c r="A1876" s="1">
        <v>1874.0</v>
      </c>
      <c r="B1876" s="3" t="s">
        <v>1877</v>
      </c>
      <c r="C1876" s="3" t="str">
        <f>IFERROR(__xludf.DUMMYFUNCTION("GOOGLETRANSLATE(B1876,""id"",""en"")"),"['Credit', 'Cutting', 'History', 'Use', 'Description', 'Emang', 'Poor', '']")</f>
        <v>['Credit', 'Cutting', 'History', 'Use', 'Description', 'Emang', 'Poor', '']</v>
      </c>
      <c r="D1876" s="3">
        <v>1.0</v>
      </c>
    </row>
    <row r="1877" ht="15.75" customHeight="1">
      <c r="A1877" s="1">
        <v>1875.0</v>
      </c>
      <c r="B1877" s="3" t="s">
        <v>1878</v>
      </c>
      <c r="C1877" s="3" t="str">
        <f>IFERROR(__xludf.DUMMYFUNCTION("GOOGLETRANSLATE(B1877,""id"",""en"")"),"['Bener', 'Telkomsel', 'price', 'quota', 'quota', 'kagak', 'increase', 'hope', 'money', 'get', 'company', 'Telkom', ' kagak ',' blessings', 'gegara', 'corruption', 'price', 'quota', 'balance', '']")</f>
        <v>['Bener', 'Telkomsel', 'price', 'quota', 'quota', 'kagak', 'increase', 'hope', 'money', 'get', 'company', 'Telkom', ' kagak ',' blessings', 'gegara', 'corruption', 'price', 'quota', 'balance', '']</v>
      </c>
      <c r="D1877" s="3">
        <v>1.0</v>
      </c>
    </row>
    <row r="1878" ht="15.75" customHeight="1">
      <c r="A1878" s="1">
        <v>1876.0</v>
      </c>
      <c r="B1878" s="3" t="s">
        <v>1879</v>
      </c>
      <c r="C1878" s="3" t="str">
        <f>IFERROR(__xludf.DUMMYFUNCTION("GOOGLETRANSLATE(B1878,""id"",""en"")"),"['Package', 'data', 'internet', 'skg', 'aga', 'fast', 'reduced', 'compared', 'update', 'accustomed', 'memorized', 'expenditure', ' Data ',' internet ',' insure ',' Not bad ',' GB ',' in ',' term ',' a week ',' hopefully ',' enter ',' sense ',' according t"&amp;"o ',' Telkomsel ' , 'Compared', 'try', 'another', 'comparison', 'skg', 'yellow', ""]")</f>
        <v>['Package', 'data', 'internet', 'skg', 'aga', 'fast', 'reduced', 'compared', 'update', 'accustomed', 'memorized', 'expenditure', ' Data ',' internet ',' insure ',' Not bad ',' GB ',' in ',' term ',' a week ',' hopefully ',' enter ',' sense ',' according to ',' Telkomsel ' , 'Compared', 'try', 'another', 'comparison', 'skg', 'yellow', "]</v>
      </c>
      <c r="D1878" s="3">
        <v>5.0</v>
      </c>
    </row>
    <row r="1879" ht="15.75" customHeight="1">
      <c r="A1879" s="1">
        <v>1877.0</v>
      </c>
      <c r="B1879" s="3" t="s">
        <v>1880</v>
      </c>
      <c r="C1879" s="3" t="str">
        <f>IFERROR(__xludf.DUMMYFUNCTION("GOOGLETRANSLATE(B1879,""id"",""en"")"),"['The application', 'good', 'here', 'packet', 'ugly', 'unlimeted', 'limit', 'rb', 'emang', 'move', 'operator', 'bye', ' Telkomcel ']")</f>
        <v>['The application', 'good', 'here', 'packet', 'ugly', 'unlimeted', 'limit', 'rb', 'emang', 'move', 'operator', 'bye', ' Telkomcel ']</v>
      </c>
      <c r="D1879" s="3">
        <v>1.0</v>
      </c>
    </row>
    <row r="1880" ht="15.75" customHeight="1">
      <c r="A1880" s="1">
        <v>1878.0</v>
      </c>
      <c r="B1880" s="3" t="s">
        <v>1881</v>
      </c>
      <c r="C1880" s="3" t="str">
        <f>IFERROR(__xludf.DUMMYFUNCTION("GOOGLETRANSLATE(B1880,""id"",""en"")"),"['SLMT', 'MLM', 'Please', 'preferably', 'satisfaction', 'policy', 'Customer', 'card', 'qualified', 'just', 'aspects',' service ',' network ',' region ',' city ',' path ',' alternative ',' peak ',' obstacles', 'network', 'down', 'advertising', 'provider', "&amp;"'network', 'best' , 'proof', 'nihil', 'in the region', 'price', 'package', 'quality', 'network', 'best', 'proof', 'buy', 'price', 'gmna', ' TTP ',' down ',' complain ',' Wait ',' JM ',' Bner ',' it's needed ',' Jga ',' as soon as possible ',' ']")</f>
        <v>['SLMT', 'MLM', 'Please', 'preferably', 'satisfaction', 'policy', 'Customer', 'card', 'qualified', 'just', 'aspects',' service ',' network ',' region ',' city ',' path ',' alternative ',' peak ',' obstacles', 'network', 'down', 'advertising', 'provider', 'network', 'best' , 'proof', 'nihil', 'in the region', 'price', 'package', 'quality', 'network', 'best', 'proof', 'buy', 'price', 'gmna', ' TTP ',' down ',' complain ',' Wait ',' JM ',' Bner ',' it's needed ',' Jga ',' as soon as possible ',' ']</v>
      </c>
      <c r="D1880" s="3">
        <v>1.0</v>
      </c>
    </row>
    <row r="1881" ht="15.75" customHeight="1">
      <c r="A1881" s="1">
        <v>1879.0</v>
      </c>
      <c r="B1881" s="3" t="s">
        <v>1882</v>
      </c>
      <c r="C1881" s="3" t="str">
        <f>IFERROR(__xludf.DUMMYFUNCTION("GOOGLETRANSLATE(B1881,""id"",""en"")"),"['many years',' use ',' Telkomsel ',' network ',' emang ',' slow ',' expensive ',' brave ',' buy ',' already ',' era ',' school ',' use ',' the network ',' ugly ',' really ',' buy ',' expensive ',' expensive ',' satisfying ',' watch ',' Viu ',' network ',"&amp;"' ugly ',' really ' , 'original', 'customer', 'loyal', 'already', 'subscribe', 'believe', 'Telkomsel', 'disappointed', 'hope', 'in the future', ""]")</f>
        <v>['many years',' use ',' Telkomsel ',' network ',' emang ',' slow ',' expensive ',' brave ',' buy ',' already ',' era ',' school ',' use ',' the network ',' ugly ',' really ',' buy ',' expensive ',' expensive ',' satisfying ',' watch ',' Viu ',' network ',' ugly ',' really ' , 'original', 'customer', 'loyal', 'already', 'subscribe', 'believe', 'Telkomsel', 'disappointed', 'hope', 'in the future', "]</v>
      </c>
      <c r="D1881" s="3">
        <v>1.0</v>
      </c>
    </row>
    <row r="1882" ht="15.75" customHeight="1">
      <c r="A1882" s="1">
        <v>1880.0</v>
      </c>
      <c r="B1882" s="3" t="s">
        <v>1883</v>
      </c>
      <c r="C1882" s="3" t="str">
        <f>IFERROR(__xludf.DUMMYFUNCTION("GOOGLETRANSLATE(B1882,""id"",""en"")"),"['Provider', 'cellular', 'Ter', 'expensive', 'balanced', 'quality', 'ngakunya', 'best', 'the fastest', 'ndas',' signal ',' full ',' play ',' game ',' need ',' connection ',' lag ',' forgiveness', 'bs',' bs', 'disconeccted', 'many', 'respond', 'complaints'"&amp;",' customer ' , 'woi', 'customer', 'loyal', 'fed up', 'service', '']")</f>
        <v>['Provider', 'cellular', 'Ter', 'expensive', 'balanced', 'quality', 'ngakunya', 'best', 'the fastest', 'ndas',' signal ',' full ',' play ',' game ',' need ',' connection ',' lag ',' forgiveness', 'bs',' bs', 'disconeccted', 'many', 'respond', 'complaints',' customer ' , 'woi', 'customer', 'loyal', 'fed up', 'service', '']</v>
      </c>
      <c r="D1882" s="3">
        <v>1.0</v>
      </c>
    </row>
    <row r="1883" ht="15.75" customHeight="1">
      <c r="A1883" s="1">
        <v>1881.0</v>
      </c>
      <c r="B1883" s="3" t="s">
        <v>1884</v>
      </c>
      <c r="C1883" s="3" t="str">
        <f>IFERROR(__xludf.DUMMYFUNCTION("GOOGLETRANSLATE(B1883,""id"",""en"")"),"['kntle', 'already', 'Yesterday', 'gave', 'review', 'response', 'tytyd', 'already', 'times',' error ',' apk ',' buy ',' package ',' already ',' process', 'purchase', 'wait', 'finished', 'data', 'enter', 'pulse', 'run out', 'truncated', 'apk', 'ngeonl' , '"&amp;"']")</f>
        <v>['kntle', 'already', 'Yesterday', 'gave', 'review', 'response', 'tytyd', 'already', 'times',' error ',' apk ',' buy ',' package ',' already ',' process', 'purchase', 'wait', 'finished', 'data', 'enter', 'pulse', 'run out', 'truncated', 'apk', 'ngeonl' , '']</v>
      </c>
      <c r="D1883" s="3">
        <v>1.0</v>
      </c>
    </row>
    <row r="1884" ht="15.75" customHeight="1">
      <c r="A1884" s="1">
        <v>1882.0</v>
      </c>
      <c r="B1884" s="3" t="s">
        <v>1885</v>
      </c>
      <c r="C1884" s="3" t="str">
        <f>IFERROR(__xludf.DUMMYFUNCTION("GOOGLETRANSLATE(B1884,""id"",""en"")"),"['Telkomsel', 'ugly', 'signal', 'watch', 'youtube', 'duration', 'minute', 'buffing', 'clock', 'gini', 'replace', 'profider']")</f>
        <v>['Telkomsel', 'ugly', 'signal', 'watch', 'youtube', 'duration', 'minute', 'buffing', 'clock', 'gini', 'replace', 'profider']</v>
      </c>
      <c r="D1884" s="3">
        <v>1.0</v>
      </c>
    </row>
    <row r="1885" ht="15.75" customHeight="1">
      <c r="A1885" s="1">
        <v>1883.0</v>
      </c>
      <c r="B1885" s="3" t="s">
        <v>1886</v>
      </c>
      <c r="C1885" s="3" t="str">
        <f>IFERROR(__xludf.DUMMYFUNCTION("GOOGLETRANSLATE(B1885,""id"",""en"")"),"['skrg', 'network', 'destroyed', 'network', 'telkom', 'burden', 'oath', 'still', 'telkom', 'hurry', 'replace', 'card']")</f>
        <v>['skrg', 'network', 'destroyed', 'network', 'telkom', 'burden', 'oath', 'still', 'telkom', 'hurry', 'replace', 'card']</v>
      </c>
      <c r="D1885" s="3">
        <v>1.0</v>
      </c>
    </row>
    <row r="1886" ht="15.75" customHeight="1">
      <c r="A1886" s="1">
        <v>1884.0</v>
      </c>
      <c r="B1886" s="3" t="s">
        <v>1887</v>
      </c>
      <c r="C1886" s="3" t="str">
        <f>IFERROR(__xludf.DUMMYFUNCTION("GOOGLETRANSLATE(B1886,""id"",""en"")"),"['card', 'Sultan', 'TPI', 'Main', 'Game', 'Lag', 'Severe', 'Proof', 'EMG', 'Network', 'Cook', 'Lost', ' Paketan ',' expensive ',' network ',' ']")</f>
        <v>['card', 'Sultan', 'TPI', 'Main', 'Game', 'Lag', 'Severe', 'Proof', 'EMG', 'Network', 'Cook', 'Lost', ' Paketan ',' expensive ',' network ',' ']</v>
      </c>
      <c r="D1886" s="3">
        <v>3.0</v>
      </c>
    </row>
    <row r="1887" ht="15.75" customHeight="1">
      <c r="A1887" s="1">
        <v>1885.0</v>
      </c>
      <c r="B1887" s="3" t="s">
        <v>1888</v>
      </c>
      <c r="C1887" s="3" t="str">
        <f>IFERROR(__xludf.DUMMYFUNCTION("GOOGLETRANSLATE(B1887,""id"",""en"")"),"['expensive', 'unlimited', 'Change', 'signal', 'slow', 'close', 'person', 'run', 'Next to', 'Semwnjak', 'Signal', 'Next to' Strong ',' crowded ',' replace ',' KRTU ',' internet ',' cheap ',' expensive ',' ']")</f>
        <v>['expensive', 'unlimited', 'Change', 'signal', 'slow', 'close', 'person', 'run', 'Next to', 'Semwnjak', 'Signal', 'Next to' Strong ',' crowded ',' replace ',' KRTU ',' internet ',' cheap ',' expensive ',' ']</v>
      </c>
      <c r="D1887" s="3">
        <v>1.0</v>
      </c>
    </row>
    <row r="1888" ht="15.75" customHeight="1">
      <c r="A1888" s="1">
        <v>1886.0</v>
      </c>
      <c r="B1888" s="3" t="s">
        <v>1889</v>
      </c>
      <c r="C1888" s="3" t="str">
        <f>IFERROR(__xludf.DUMMYFUNCTION("GOOGLETRANSLATE(B1888,""id"",""en"")"),"['', 'Telkomsel', 'Help', 'named', 'Adjie', 'already', 'nyampin', 'complaints',' told ',' Nuggu ',' blur ',' ilang ',' service ',' poor ',' Culping ',' Wakan ',' complaints', 'resolved', 'customers',' annoyed ',' disappointed ',' star ',' Telkomsel ']")</f>
        <v>['', 'Telkomsel', 'Help', 'named', 'Adjie', 'already', 'nyampin', 'complaints',' told ',' Nuggu ',' blur ',' ilang ',' service ',' poor ',' Culping ',' Wakan ',' complaints', 'resolved', 'customers',' annoyed ',' disappointed ',' star ',' Telkomsel ']</v>
      </c>
      <c r="D1888" s="3">
        <v>1.0</v>
      </c>
    </row>
    <row r="1889" ht="15.75" customHeight="1">
      <c r="A1889" s="1">
        <v>1887.0</v>
      </c>
      <c r="B1889" s="3" t="s">
        <v>1890</v>
      </c>
      <c r="C1889" s="3" t="str">
        <f>IFERROR(__xludf.DUMMYFUNCTION("GOOGLETRANSLATE(B1889,""id"",""en"")"),"['Read', 'comment', 'customer', 'complain', 'name', 'business',' attached to ',' profit ',' attached to ',' satisfaction ',' customer ',' operator ',' slow ',' emotion ',' receipt ']")</f>
        <v>['Read', 'comment', 'customer', 'complain', 'name', 'business',' attached to ',' profit ',' attached to ',' satisfaction ',' customer ',' operator ',' slow ',' emotion ',' receipt ']</v>
      </c>
      <c r="D1889" s="3">
        <v>1.0</v>
      </c>
    </row>
    <row r="1890" ht="15.75" customHeight="1">
      <c r="A1890" s="1">
        <v>1888.0</v>
      </c>
      <c r="B1890" s="3" t="s">
        <v>1891</v>
      </c>
      <c r="C1890" s="3" t="str">
        <f>IFERROR(__xludf.DUMMYFUNCTION("GOOGLETRANSLATE(B1890,""id"",""en"")"),"['service', 'Telkomsel', 'now', 'Different', 'Dri', 'Telkomsel', 'dlu', 'now' made ',' complicated ',' slow ',' pakek ',' checked ',' pulse ',' data ',' select ',' number ',' kayak ',' right ',' check ',' direct ',' leftover ',' pulse ',' actually ',' sop"&amp;"histicated ' , 'Technology', 'Easily', 'People', 'No', '']")</f>
        <v>['service', 'Telkomsel', 'now', 'Different', 'Dri', 'Telkomsel', 'dlu', 'now' made ',' complicated ',' slow ',' pakek ',' checked ',' pulse ',' data ',' select ',' number ',' kayak ',' right ',' check ',' direct ',' leftover ',' pulse ',' actually ',' sophisticated ' , 'Technology', 'Easily', 'People', 'No', '']</v>
      </c>
      <c r="D1890" s="3">
        <v>3.0</v>
      </c>
    </row>
    <row r="1891" ht="15.75" customHeight="1">
      <c r="A1891" s="1">
        <v>1889.0</v>
      </c>
      <c r="B1891" s="3" t="s">
        <v>1892</v>
      </c>
      <c r="C1891" s="3" t="str">
        <f>IFERROR(__xludf.DUMMYFUNCTION("GOOGLETRANSLATE(B1891,""id"",""en"")"),"['Telkomsel', 'Please', 'Update', 'Newest', 'Definition', 'DLU', 'Quality', 'The Line', 'Wake Up', 'Karna', 'Leet', 'The Line', ' DLU ',' TELKOM ',' Region ',' Sepe ',' Please ',' Quality ',' The Nares', 'Overcome', 'Karna', 'Klu', 'then', 'forced', 'Move"&amp;"' , 'Operator', 'all', 'Trima', 'love', ""]")</f>
        <v>['Telkomsel', 'Please', 'Update', 'Newest', 'Definition', 'DLU', 'Quality', 'The Line', 'Wake Up', 'Karna', 'Leet', 'The Line', ' DLU ',' TELKOM ',' Region ',' Sepe ',' Please ',' Quality ',' The Nares', 'Overcome', 'Karna', 'Klu', 'then', 'forced', 'Move' , 'Operator', 'all', 'Trima', 'love', "]</v>
      </c>
      <c r="D1891" s="3">
        <v>1.0</v>
      </c>
    </row>
    <row r="1892" ht="15.75" customHeight="1">
      <c r="A1892" s="1">
        <v>1890.0</v>
      </c>
      <c r="B1892" s="3" t="s">
        <v>1893</v>
      </c>
      <c r="C1892" s="3" t="str">
        <f>IFERROR(__xludf.DUMMYFUNCTION("GOOGLETRANSLATE(B1892,""id"",""en"")"),"['expensive', 'doang', 'quality', 'network', 'kek', 'internet', 'sosmed', 'smooth', 'turn', 'maen', 'game', 'lag', ' Severe ',' Network ',' Stel ',' Priority ',' Down ',' Maen ',' Game ']")</f>
        <v>['expensive', 'doang', 'quality', 'network', 'kek', 'internet', 'sosmed', 'smooth', 'turn', 'maen', 'game', 'lag', ' Severe ',' Network ',' Stel ',' Priority ',' Down ',' Maen ',' Game ']</v>
      </c>
      <c r="D1892" s="3">
        <v>1.0</v>
      </c>
    </row>
    <row r="1893" ht="15.75" customHeight="1">
      <c r="A1893" s="1">
        <v>1891.0</v>
      </c>
      <c r="B1893" s="3" t="s">
        <v>1894</v>
      </c>
      <c r="C1893" s="3" t="str">
        <f>IFERROR(__xludf.DUMMYFUNCTION("GOOGLETRANSLATE(B1893,""id"",""en"")"),"['defective', 'Telkomsel', 'ugly', 'signal', 'ngegame', 'many years',' Telkomsel ',' update ',' run aground ',' signal ',' replace ',' card ',' Customers', 'loyal', 'Telkomsel', '']")</f>
        <v>['defective', 'Telkomsel', 'ugly', 'signal', 'ngegame', 'many years',' Telkomsel ',' update ',' run aground ',' signal ',' replace ',' card ',' Customers', 'loyal', 'Telkomsel', '']</v>
      </c>
      <c r="D1893" s="3">
        <v>1.0</v>
      </c>
    </row>
    <row r="1894" ht="15.75" customHeight="1">
      <c r="A1894" s="1">
        <v>1892.0</v>
      </c>
      <c r="B1894" s="3" t="s">
        <v>1895</v>
      </c>
      <c r="C1894" s="3" t="str">
        <f>IFERROR(__xludf.DUMMYFUNCTION("GOOGLETRANSLATE(B1894,""id"",""en"")"),"['Good', 'supports',' users', 'Telkomsel', 'transact', 'information', 'interesting', 'promo', 'Telkomsel', 'hope', 'promotion', 'min', ' ']")</f>
        <v>['Good', 'supports',' users', 'Telkomsel', 'transact', 'information', 'interesting', 'promo', 'Telkomsel', 'hope', 'promotion', 'min', ' ']</v>
      </c>
      <c r="D1894" s="3">
        <v>5.0</v>
      </c>
    </row>
    <row r="1895" ht="15.75" customHeight="1">
      <c r="A1895" s="1">
        <v>1893.0</v>
      </c>
      <c r="B1895" s="3" t="s">
        <v>1896</v>
      </c>
      <c r="C1895" s="3" t="str">
        <f>IFERROR(__xludf.DUMMYFUNCTION("GOOGLETRANSLATE(B1895,""id"",""en"")"),"['SDAH', 'BULN', 'Telkomsel', 'Disruption', 'Data', 'Clock', 'Afternoon', 'Sampe', 'Clock', 'Night', 'Signal', 'Data', ' Lost ',' Derged ',' Dri ',' Telkomsel ',' apakh ',' saiber ',' entry ',' signal ',' telkom ',' annoying ',' work ']")</f>
        <v>['SDAH', 'BULN', 'Telkomsel', 'Disruption', 'Data', 'Clock', 'Afternoon', 'Sampe', 'Clock', 'Night', 'Signal', 'Data', ' Lost ',' Derged ',' Dri ',' Telkomsel ',' apakh ',' saiber ',' entry ',' signal ',' telkom ',' annoying ',' work ']</v>
      </c>
      <c r="D1895" s="3">
        <v>2.0</v>
      </c>
    </row>
    <row r="1896" ht="15.75" customHeight="1">
      <c r="A1896" s="1">
        <v>1894.0</v>
      </c>
      <c r="B1896" s="3" t="s">
        <v>1897</v>
      </c>
      <c r="C1896" s="3" t="str">
        <f>IFERROR(__xludf.DUMMYFUNCTION("GOOGLETRANSLATE(B1896,""id"",""en"")"),"['Like', 'Application', 'Update', 'Application', 'GIMNA', 'Application', 'Like', ""]")</f>
        <v>['Like', 'Application', 'Update', 'Application', 'GIMNA', 'Application', 'Like', "]</v>
      </c>
      <c r="D1896" s="3">
        <v>1.0</v>
      </c>
    </row>
    <row r="1897" ht="15.75" customHeight="1">
      <c r="A1897" s="1">
        <v>1895.0</v>
      </c>
      <c r="B1897" s="3" t="s">
        <v>1898</v>
      </c>
      <c r="C1897" s="3" t="str">
        <f>IFERROR(__xludf.DUMMYFUNCTION("GOOGLETRANSLATE(B1897,""id"",""en"")"),"['network', 'Telkomsel', 'slow', 'region', 'Please', 'company', 'follow up', 'convenience', 'consumer', 'pity', 'learn', 'online' Etc. ',' thank you ',' Salam ',' respect ',' ']")</f>
        <v>['network', 'Telkomsel', 'slow', 'region', 'Please', 'company', 'follow up', 'convenience', 'consumer', 'pity', 'learn', 'online' Etc. ',' thank you ',' Salam ',' respect ',' ']</v>
      </c>
      <c r="D1897" s="3">
        <v>5.0</v>
      </c>
    </row>
    <row r="1898" ht="15.75" customHeight="1">
      <c r="A1898" s="1">
        <v>1896.0</v>
      </c>
      <c r="B1898" s="3" t="s">
        <v>1899</v>
      </c>
      <c r="C1898" s="3" t="str">
        <f>IFERROR(__xludf.DUMMYFUNCTION("GOOGLETRANSLATE(B1898,""id"",""en"")"),"['Telkomsel', 'bdok', 'penggong', 'play', 'cunning', 'data', 'buy', 'kasi', 'then', 'network', 'severe', 'difficult', ' BOS ',' KLW ',' NDA ',' Help ',' Severe ',' BTUL ',' Telkomsel ',' Alzami ',' weird ']")</f>
        <v>['Telkomsel', 'bdok', 'penggong', 'play', 'cunning', 'data', 'buy', 'kasi', 'then', 'network', 'severe', 'difficult', ' BOS ',' KLW ',' NDA ',' Help ',' Severe ',' BTUL ',' Telkomsel ',' Alzami ',' weird ']</v>
      </c>
      <c r="D1898" s="3">
        <v>1.0</v>
      </c>
    </row>
    <row r="1899" ht="15.75" customHeight="1">
      <c r="A1899" s="1">
        <v>1897.0</v>
      </c>
      <c r="B1899" s="3" t="s">
        <v>1900</v>
      </c>
      <c r="C1899" s="3" t="str">
        <f>IFERROR(__xludf.DUMMYFUNCTION("GOOGLETRANSLATE(B1899,""id"",""en"")"),"['application', 'stupid', 'here', 'ugly', 'Telkomsel', 'already', 'quota', 'difficult', 'network', 'ugly', 'expensive', 'expensive', ' good ',' regret ',' pakenya ',' card ',' quota ',' hard ',' forgiveness', 'lazy', 'make']")</f>
        <v>['application', 'stupid', 'here', 'ugly', 'Telkomsel', 'already', 'quota', 'difficult', 'network', 'ugly', 'expensive', 'expensive', ' good ',' regret ',' pakenya ',' card ',' quota ',' hard ',' forgiveness', 'lazy', 'make']</v>
      </c>
      <c r="D1899" s="3">
        <v>1.0</v>
      </c>
    </row>
    <row r="1900" ht="15.75" customHeight="1">
      <c r="A1900" s="1">
        <v>1898.0</v>
      </c>
      <c r="B1900" s="3" t="s">
        <v>1901</v>
      </c>
      <c r="C1900" s="3" t="str">
        <f>IFERROR(__xludf.DUMMYFUNCTION("GOOGLETRANSLATE(B1900,""id"",""en"")"),"['Telkomsel', 'Corruption', 'Credit', 'Already', 'Click', 'Buy', 'Process', 'Credit', 'Hanguss', 'Pastss', ""]")</f>
        <v>['Telkomsel', 'Corruption', 'Credit', 'Already', 'Click', 'Buy', 'Process', 'Credit', 'Hanguss', 'Pastss', "]</v>
      </c>
      <c r="D1900" s="3">
        <v>5.0</v>
      </c>
    </row>
    <row r="1901" ht="15.75" customHeight="1">
      <c r="A1901" s="1">
        <v>1899.0</v>
      </c>
      <c r="B1901" s="3" t="s">
        <v>1902</v>
      </c>
      <c r="C1901" s="3" t="str">
        <f>IFERROR(__xludf.DUMMYFUNCTION("GOOGLETRANSLATE(B1901,""id"",""en"")"),"['Semkain', 'Tsel', 'counting', 'quota', 'dilapidated', 'quota', 'run out', 'run out', 'pulse', 'sumps',' package ',' data ',' BUMN ',' Cow ',' Dairy ',' Service ',' Performance ',' Zero ',' Sya ',' Love ',' Star ',' Performance ',' Tsel ']")</f>
        <v>['Semkain', 'Tsel', 'counting', 'quota', 'dilapidated', 'quota', 'run out', 'run out', 'pulse', 'sumps',' package ',' data ',' BUMN ',' Cow ',' Dairy ',' Service ',' Performance ',' Zero ',' Sya ',' Love ',' Star ',' Performance ',' Tsel ']</v>
      </c>
      <c r="D1901" s="3">
        <v>1.0</v>
      </c>
    </row>
    <row r="1902" ht="15.75" customHeight="1">
      <c r="A1902" s="1">
        <v>1900.0</v>
      </c>
      <c r="B1902" s="3" t="s">
        <v>1903</v>
      </c>
      <c r="C1902" s="3" t="str">
        <f>IFERROR(__xludf.DUMMYFUNCTION("GOOGLETRANSLATE(B1902,""id"",""en"")"),"['have', 'Rupiah', 'apply', 'PKL', 'quota', 'Tsel', 'Rupiah', 'apply', 'PKL', 'check', 'quota', 'package', ' MyTelkomsel ',' Tsel ',' Info ',' Tsel ']")</f>
        <v>['have', 'Rupiah', 'apply', 'PKL', 'quota', 'Tsel', 'Rupiah', 'apply', 'PKL', 'check', 'quota', 'package', ' MyTelkomsel ',' Tsel ',' Info ',' Tsel ']</v>
      </c>
      <c r="D1902" s="3">
        <v>1.0</v>
      </c>
    </row>
    <row r="1903" ht="15.75" customHeight="1">
      <c r="A1903" s="1">
        <v>1901.0</v>
      </c>
      <c r="B1903" s="3" t="s">
        <v>1904</v>
      </c>
      <c r="C1903" s="3" t="str">
        <f>IFERROR(__xludf.DUMMYFUNCTION("GOOGLETRANSLATE(B1903,""id"",""en"")"),"['Network', 'Good', 'City', 'Network', 'Suggestions',' users', 'Telkom', 'Recomended', 'Download', 'Play', 'Game', 'Suggestion', ' Wear ',' Telkom ',' Disaster ',' reality ',' ngelag ',' ping ',' setabilia ']")</f>
        <v>['Network', 'Good', 'City', 'Network', 'Suggestions',' users', 'Telkom', 'Recomended', 'Download', 'Play', 'Game', 'Suggestion', ' Wear ',' Telkom ',' Disaster ',' reality ',' ngelag ',' ping ',' setabilia ']</v>
      </c>
      <c r="D1903" s="3">
        <v>1.0</v>
      </c>
    </row>
    <row r="1904" ht="15.75" customHeight="1">
      <c r="A1904" s="1">
        <v>1902.0</v>
      </c>
      <c r="B1904" s="3" t="s">
        <v>1905</v>
      </c>
      <c r="C1904" s="3" t="str">
        <f>IFERROR(__xludf.DUMMYFUNCTION("GOOGLETRANSLATE(B1904,""id"",""en"")"),"['network', 'Telkom', 'threat', 'slow', 'forgiveness',' play ',' game ',' kayak ',' gini ',' check ',' dmn ',' user ',' Happy ',' Network ',' Glte ',' ']")</f>
        <v>['network', 'Telkom', 'threat', 'slow', 'forgiveness',' play ',' game ',' kayak ',' gini ',' check ',' dmn ',' user ',' Happy ',' Network ',' Glte ',' ']</v>
      </c>
      <c r="D1904" s="3">
        <v>2.0</v>
      </c>
    </row>
    <row r="1905" ht="15.75" customHeight="1">
      <c r="A1905" s="1">
        <v>1903.0</v>
      </c>
      <c r="B1905" s="3" t="s">
        <v>1906</v>
      </c>
      <c r="C1905" s="3" t="str">
        <f>IFERROR(__xludf.DUMMYFUNCTION("GOOGLETRANSLATE(B1905,""id"",""en"")"),"['Sorry', 'Telkomsel', 'My place', 'diversion', 'Enok', 'Kab', 'Indragiri', 'Downstream', 'Telkomsel', 'Network', 'Leet', 'Please', ' Service ',' reset ',' connectivity "", 'customer', 'cool',""]")</f>
        <v>['Sorry', 'Telkomsel', 'My place', 'diversion', 'Enok', 'Kab', 'Indragiri', 'Downstream', 'Telkomsel', 'Network', 'Leet', 'Please', ' Service ',' reset ',' connectivity ", 'customer', 'cool',"]</v>
      </c>
      <c r="D1905" s="3">
        <v>1.0</v>
      </c>
    </row>
    <row r="1906" ht="15.75" customHeight="1">
      <c r="A1906" s="1">
        <v>1904.0</v>
      </c>
      <c r="B1906" s="3" t="s">
        <v>1907</v>
      </c>
      <c r="C1906" s="3" t="str">
        <f>IFERROR(__xludf.DUMMYFUNCTION("GOOGLETRANSLATE(B1906,""id"",""en"")"),"['Severe', 'cell', 'network', 'run out', 'think', 'recurrence', 'forgiveness',' download ',' play ',' game ',' online ',' sosmed ',' Watch ',' Youtub ',' Age ',' Try ',' Wikirin ',' Swatch ',' Switch ',' Reasons', 'Network', 'as a result', 'Litu', 'please"&amp;"', 'the package' , 'Bedder', 'Internet', 'Multimedia', 'connection', 'Need', 'Access',' Example ',' AXIS ',' CORE ',' COMPLIANCY ',' UBUN ',' User ',' Cells', 'apk', 'kyk', 'taik', '']")</f>
        <v>['Severe', 'cell', 'network', 'run out', 'think', 'recurrence', 'forgiveness',' download ',' play ',' game ',' online ',' sosmed ',' Watch ',' Youtub ',' Age ',' Try ',' Wikirin ',' Swatch ',' Switch ',' Reasons', 'Network', 'as a result', 'Litu', 'please', 'the package' , 'Bedder', 'Internet', 'Multimedia', 'connection', 'Need', 'Access',' Example ',' AXIS ',' CORE ',' COMPLIANCY ',' UBUN ',' User ',' Cells', 'apk', 'kyk', 'taik', '']</v>
      </c>
      <c r="D1906" s="3">
        <v>2.0</v>
      </c>
    </row>
    <row r="1907" ht="15.75" customHeight="1">
      <c r="A1907" s="1">
        <v>1905.0</v>
      </c>
      <c r="B1907" s="3" t="s">
        <v>1908</v>
      </c>
      <c r="C1907" s="3" t="str">
        <f>IFERROR(__xludf.DUMMYFUNCTION("GOOGLETRANSLATE(B1907,""id"",""en"")"),"['likes',' Telkomsel ',' fast ',' gay ',' slow ',' slow ',' please ',' fix ',' speed ',' thank you ',' violation ',' loyal ',' Telkomsel ',' ']")</f>
        <v>['likes',' Telkomsel ',' fast ',' gay ',' slow ',' slow ',' please ',' fix ',' speed ',' thank you ',' violation ',' loyal ',' Telkomsel ',' ']</v>
      </c>
      <c r="D1907" s="3">
        <v>1.0</v>
      </c>
    </row>
    <row r="1908" ht="15.75" customHeight="1">
      <c r="A1908" s="1">
        <v>1906.0</v>
      </c>
      <c r="B1908" s="3" t="s">
        <v>1909</v>
      </c>
      <c r="C1908" s="3" t="str">
        <f>IFERROR(__xludf.DUMMYFUNCTION("GOOGLETRANSLATE(B1908,""id"",""en"")"),"['Pullagral', 'Verification', 'Enter', 'Click', 'Link', 'SMS', 'Verification', 'reset', 'already', 'use', 'APK', 'bad', ' Services', 'Please', 'Repaired', 'Respond', 'Complaints',' Consumers']")</f>
        <v>['Pullagral', 'Verification', 'Enter', 'Click', 'Link', 'SMS', 'Verification', 'reset', 'already', 'use', 'APK', 'bad', ' Services', 'Please', 'Repaired', 'Respond', 'Complaints',' Consumers']</v>
      </c>
      <c r="D1908" s="3">
        <v>1.0</v>
      </c>
    </row>
    <row r="1909" ht="15.75" customHeight="1">
      <c r="A1909" s="1">
        <v>1907.0</v>
      </c>
      <c r="B1909" s="3" t="s">
        <v>1910</v>
      </c>
      <c r="C1909" s="3" t="str">
        <f>IFERROR(__xludf.DUMMYFUNCTION("GOOGLETRANSLATE(B1909,""id"",""en"")"),"['Disappointed', 'Heavy', 'Since', 'Hold', 'Stable', 'Slow', 'Loss',' Buy ',' Package ',' Expensive ',' Signal ',' MOVER ',' Hold it ',' smooth ',' how ',' Telkomsel ',' repair ',' loyal ',' Telkomsel ',' moving ']")</f>
        <v>['Disappointed', 'Heavy', 'Since', 'Hold', 'Stable', 'Slow', 'Loss',' Buy ',' Package ',' Expensive ',' Signal ',' MOVER ',' Hold it ',' smooth ',' how ',' Telkomsel ',' repair ',' loyal ',' Telkomsel ',' moving ']</v>
      </c>
      <c r="D1909" s="3">
        <v>1.0</v>
      </c>
    </row>
    <row r="1910" ht="15.75" customHeight="1">
      <c r="A1910" s="1">
        <v>1908.0</v>
      </c>
      <c r="B1910" s="3" t="s">
        <v>1911</v>
      </c>
      <c r="C1910" s="3" t="str">
        <f>IFERROR(__xludf.DUMMYFUNCTION("GOOGLETRANSLATE(B1910,""id"",""en"")"),"['Application', 'Lost', 'Useful', 'Application', 'Provider', 'Top', 'Quota', 'Package', 'Data', 'Provider', 'App', 'Scan', ' Vocer ',' Easy ',' use ',' Wrong ',' Please ',' Tepakan ',' Vocer ',' Miss', 'App', 'On', 'Try', 'Enter', 'Code' , 'Vocer', 'times"&amp;"', 'appears', 'network', 'busy', 'then', 'want', 'contents', 'vocer', 'grapari', ""]")</f>
        <v>['Application', 'Lost', 'Useful', 'Application', 'Provider', 'Top', 'Quota', 'Package', 'Data', 'Provider', 'App', 'Scan', ' Vocer ',' Easy ',' use ',' Wrong ',' Please ',' Tepakan ',' Vocer ',' Miss', 'App', 'On', 'Try', 'Enter', 'Code' , 'Vocer', 'times', 'appears', 'network', 'busy', 'then', 'want', 'contents', 'vocer', 'grapari', "]</v>
      </c>
      <c r="D1910" s="3">
        <v>1.0</v>
      </c>
    </row>
    <row r="1911" ht="15.75" customHeight="1">
      <c r="A1911" s="1">
        <v>1909.0</v>
      </c>
      <c r="B1911" s="3" t="s">
        <v>1912</v>
      </c>
      <c r="C1911" s="3" t="str">
        <f>IFERROR(__xludf.DUMMYFUNCTION("GOOGLETRANSLATE(B1911,""id"",""en"")"),"['bad', 'Sinyla', 'Telkomsel', 'Sekrang', 'Different', 'Dengna', 'slow', 'medicine', 'until', 'want', 'slamed', ' Bye ',' tekomsel ',' yrs', 'accompany', ""]")</f>
        <v>['bad', 'Sinyla', 'Telkomsel', 'Sekrang', 'Different', 'Dengna', 'slow', 'medicine', 'until', 'want', 'slamed', ' Bye ',' tekomsel ',' yrs', 'accompany', "]</v>
      </c>
      <c r="D1911" s="3">
        <v>1.0</v>
      </c>
    </row>
    <row r="1912" ht="15.75" customHeight="1">
      <c r="A1912" s="1">
        <v>1910.0</v>
      </c>
      <c r="B1912" s="3" t="s">
        <v>1913</v>
      </c>
      <c r="C1912" s="3" t="str">
        <f>IFERROR(__xludf.DUMMYFUNCTION("GOOGLETRANSLATE(B1912,""id"",""en"")"),"['Network', 'play', 'games',' green ',' red ',' buy ',' package ',' cheap ',' lho ',' believe ',' Telkomsel ',' the network ',' Good ',' ugly ',' Ampe ',' play ',' game ',' difficult ',' ']")</f>
        <v>['Network', 'play', 'games',' green ',' red ',' buy ',' package ',' cheap ',' lho ',' believe ',' Telkomsel ',' the network ',' Good ',' ugly ',' Ampe ',' play ',' game ',' difficult ',' ']</v>
      </c>
      <c r="D1912" s="3">
        <v>1.0</v>
      </c>
    </row>
    <row r="1913" ht="15.75" customHeight="1">
      <c r="A1913" s="1">
        <v>1911.0</v>
      </c>
      <c r="B1913" s="3" t="s">
        <v>1914</v>
      </c>
      <c r="C1913" s="3" t="str">
        <f>IFERROR(__xludf.DUMMYFUNCTION("GOOGLETRANSLATE(B1913,""id"",""en"")"),"['gatau', 'network', 'sympathy', 'cave', 'slow', 'or', 'apk', 'hard', 'entry', 'aga', 'open', 'right', ' Open ',' Ribet ',' Males', 'Ribet']")</f>
        <v>['gatau', 'network', 'sympathy', 'cave', 'slow', 'or', 'apk', 'hard', 'entry', 'aga', 'open', 'right', ' Open ',' Ribet ',' Males', 'Ribet']</v>
      </c>
      <c r="D1913" s="3">
        <v>2.0</v>
      </c>
    </row>
    <row r="1914" ht="15.75" customHeight="1">
      <c r="A1914" s="1">
        <v>1912.0</v>
      </c>
      <c r="B1914" s="3" t="s">
        <v>1915</v>
      </c>
      <c r="C1914" s="3" t="str">
        <f>IFERROR(__xludf.DUMMYFUNCTION("GOOGLETRANSLATE(B1914,""id"",""en"")"),"['transaction', 'easy', 'really', 'oldaaaaaaaaaaaaaa', 'really', 'buy', 'reset', 'tens',' tens', 'tetep', 'package', 'entry', ' really ugly', '']")</f>
        <v>['transaction', 'easy', 'really', 'oldaaaaaaaaaaaaaa', 'really', 'buy', 'reset', 'tens',' tens', 'tetep', 'package', 'entry', ' really ugly', '']</v>
      </c>
      <c r="D1914" s="3">
        <v>1.0</v>
      </c>
    </row>
    <row r="1915" ht="15.75" customHeight="1">
      <c r="A1915" s="1">
        <v>1913.0</v>
      </c>
      <c r="B1915" s="3" t="s">
        <v>1916</v>
      </c>
      <c r="C1915" s="3" t="str">
        <f>IFERROR(__xludf.DUMMYFUNCTION("GOOGLETRANSLATE(B1915,""id"",""en"")"),"['UDH', 'buy', 'package', 'data', 'vain', 'can', 'use', 'sorry', 'person', 'rich', 'bsa', 'buy', ' buy ',' please ',' solution ',' pket ',' used ',' Telkomsel ',' famous', 'card', 'expensive', 'klau', 'response', 'gmn', ""]")</f>
        <v>['UDH', 'buy', 'package', 'data', 'vain', 'can', 'use', 'sorry', 'person', 'rich', 'bsa', 'buy', ' buy ',' please ',' solution ',' pket ',' used ',' Telkomsel ',' famous', 'card', 'expensive', 'klau', 'response', 'gmn', "]</v>
      </c>
      <c r="D1915" s="3">
        <v>1.0</v>
      </c>
    </row>
    <row r="1916" ht="15.75" customHeight="1">
      <c r="A1916" s="1">
        <v>1914.0</v>
      </c>
      <c r="B1916" s="3" t="s">
        <v>1917</v>
      </c>
      <c r="C1916" s="3" t="str">
        <f>IFERROR(__xludf.DUMMYFUNCTION("GOOGLETRANSLATE(B1916,""id"",""en"")"),"['happy', 'Telkomsel', 'Telkomsel', 'hope', 'luck', 'hand', 'amen']")</f>
        <v>['happy', 'Telkomsel', 'Telkomsel', 'hope', 'luck', 'hand', 'amen']</v>
      </c>
      <c r="D1916" s="3">
        <v>5.0</v>
      </c>
    </row>
    <row r="1917" ht="15.75" customHeight="1">
      <c r="A1917" s="1">
        <v>1915.0</v>
      </c>
      <c r="B1917" s="3" t="s">
        <v>1918</v>
      </c>
      <c r="C1917" s="3" t="str">
        <f>IFERROR(__xludf.DUMMYFUNCTION("GOOGLETRANSLATE(B1917,""id"",""en"")"),"['', 'good', '']")</f>
        <v>['', 'good', '']</v>
      </c>
      <c r="D1917" s="3">
        <v>5.0</v>
      </c>
    </row>
    <row r="1918" ht="15.75" customHeight="1">
      <c r="A1918" s="1">
        <v>1916.0</v>
      </c>
      <c r="B1918" s="3" t="s">
        <v>1919</v>
      </c>
      <c r="C1918" s="3" t="str">
        <f>IFERROR(__xludf.DUMMYFUNCTION("GOOGLETRANSLATE(B1918,""id"",""en"")"),"['buy', 'pulse', 'package', 'easy', 'payment', 'connected', 'via', 'gopay', 'payment', 'practical', 'contents',' pulse ',' Buy ',' Package ',' Internet ']")</f>
        <v>['buy', 'pulse', 'package', 'easy', 'payment', 'connected', 'via', 'gopay', 'payment', 'practical', 'contents',' pulse ',' Buy ',' Package ',' Internet ']</v>
      </c>
      <c r="D1918" s="3">
        <v>5.0</v>
      </c>
    </row>
    <row r="1919" ht="15.75" customHeight="1">
      <c r="A1919" s="1">
        <v>1917.0</v>
      </c>
      <c r="B1919" s="3" t="s">
        <v>1920</v>
      </c>
      <c r="C1919" s="3" t="str">
        <f>IFERROR(__xludf.DUMMYFUNCTION("GOOGLETRANSLATE(B1919,""id"",""en"")"),"['Telkomsel', 'signal', 'ngelek', 'COK', 'already', 'expensive', 'melted', 'Pulak', 'tasty', 'learn', 'car', 'Yaan', ' please ',' cheap ',' price ',' quota ',' according to ',' price ',' squeezed ',' speed ',' signal ',' lemoooooot ',' until ',' numue ','"&amp;" umannya ' , 'Ngilak', 'profit', 'moved', 'Indosat', 'cheap', 'ngelek', 'Byyyyyy', 'lemooot', 'cheap', 'Telkomtot', '']")</f>
        <v>['Telkomsel', 'signal', 'ngelek', 'COK', 'already', 'expensive', 'melted', 'Pulak', 'tasty', 'learn', 'car', 'Yaan', ' please ',' cheap ',' price ',' quota ',' according to ',' price ',' squeezed ',' speed ',' signal ',' lemoooooot ',' until ',' numue ',' umannya ' , 'Ngilak', 'profit', 'moved', 'Indosat', 'cheap', 'ngelek', 'Byyyyyy', 'lemooot', 'cheap', 'Telkomtot', '']</v>
      </c>
      <c r="D1919" s="3">
        <v>1.0</v>
      </c>
    </row>
    <row r="1920" ht="15.75" customHeight="1">
      <c r="A1920" s="1">
        <v>1918.0</v>
      </c>
      <c r="B1920" s="3" t="s">
        <v>1921</v>
      </c>
      <c r="C1920" s="3" t="str">
        <f>IFERROR(__xludf.DUMMYFUNCTION("GOOGLETRANSLATE(B1920,""id"",""en"")"),"['Gue', 'Telkomsel', 'I', 'buy', 'package', 'data', 'sympathy', 'buy', 'data', 'GB', 'Maen', 'car', ' LEGEND ',' BUFRING ',' Connection ',' Stable ',' Come Come ',' Keblalangk ',' Bangkeeee ']")</f>
        <v>['Gue', 'Telkomsel', 'I', 'buy', 'package', 'data', 'sympathy', 'buy', 'data', 'GB', 'Maen', 'car', ' LEGEND ',' BUFRING ',' Connection ',' Stable ',' Come Come ',' Keblalangk ',' Bangkeeee ']</v>
      </c>
      <c r="D1920" s="3">
        <v>1.0</v>
      </c>
    </row>
    <row r="1921" ht="15.75" customHeight="1">
      <c r="A1921" s="1">
        <v>1919.0</v>
      </c>
      <c r="B1921" s="3" t="s">
        <v>1922</v>
      </c>
      <c r="C1921" s="3" t="str">
        <f>IFERROR(__xludf.DUMMYFUNCTION("GOOGLETRANSLATE(B1921,""id"",""en"")"),"['Telkomsel', 'boong', 'cook', 'when' in '' pulse ',' just ',' little ',' bid ',' extra ',' quota ',' gg ',' rb ',' Fill ',' pulse ',' bid ',' disappear ',' used ',' model ',' like ',' gini ',' good ',' disappointed ',' amateur ',' rich ',' cheater ' , 'C"&amp;"lass', 'Teri', 'Damn', ""]")</f>
        <v>['Telkomsel', 'boong', 'cook', 'when' in '' pulse ',' just ',' little ',' bid ',' extra ',' quota ',' gg ',' rb ',' Fill ',' pulse ',' bid ',' disappear ',' used ',' model ',' like ',' gini ',' good ',' disappointed ',' amateur ',' rich ',' cheater ' , 'Class', 'Teri', 'Damn', "]</v>
      </c>
      <c r="D1921" s="3">
        <v>5.0</v>
      </c>
    </row>
    <row r="1922" ht="15.75" customHeight="1">
      <c r="A1922" s="1">
        <v>1920.0</v>
      </c>
      <c r="B1922" s="3" t="s">
        <v>1923</v>
      </c>
      <c r="C1922" s="3" t="str">
        <f>IFERROR(__xludf.DUMMYFUNCTION("GOOGLETRANSLATE(B1922,""id"",""en"")"),"['hope', 'fix', 'connection', 'buy', 'package', 'surprise', 'Deal', 'unlimited', 'pace', 'no', 'sampe', 'Mbps',' No ',' send ',' message ',' picture ',' clock ',' doang ',' ']")</f>
        <v>['hope', 'fix', 'connection', 'buy', 'package', 'surprise', 'Deal', 'unlimited', 'pace', 'no', 'sampe', 'Mbps',' No ',' send ',' message ',' picture ',' clock ',' doang ',' ']</v>
      </c>
      <c r="D1922" s="3">
        <v>2.0</v>
      </c>
    </row>
    <row r="1923" ht="15.75" customHeight="1">
      <c r="A1923" s="1">
        <v>1921.0</v>
      </c>
      <c r="B1923" s="3" t="s">
        <v>1924</v>
      </c>
      <c r="C1923" s="3" t="str">
        <f>IFERROR(__xludf.DUMMYFUNCTION("GOOGLETRANSLATE(B1923,""id"",""en"")"),"['Already', 'Disappointed', 'Telkomsel', 'Network', 'Leet', 'Maen', 'Pas',' Maen ',' Game ',' Network ',' Stable ',' Download ',' Application ',' Playstore ',' Network ',' Lost ',' Embossed ',' Change ',' Tide ',' WiFi ',' Telkomsel ',' Disappointed ',' H"&amp;"eavy ']")</f>
        <v>['Already', 'Disappointed', 'Telkomsel', 'Network', 'Leet', 'Maen', 'Pas',' Maen ',' Game ',' Network ',' Stable ',' Download ',' Application ',' Playstore ',' Network ',' Lost ',' Embossed ',' Change ',' Tide ',' WiFi ',' Telkomsel ',' Disappointed ',' Heavy ']</v>
      </c>
      <c r="D1923" s="3">
        <v>1.0</v>
      </c>
    </row>
    <row r="1924" ht="15.75" customHeight="1">
      <c r="A1924" s="1">
        <v>1922.0</v>
      </c>
      <c r="B1924" s="3" t="s">
        <v>1925</v>
      </c>
      <c r="C1924" s="3" t="str">
        <f>IFERROR(__xludf.DUMMYFUNCTION("GOOGLETRANSLATE(B1924,""id"",""en"")"),"['strange', 'enter', 'apps',' verification ',' failed ',' link ',' already ',' click ',' already ',' times', 'try', 'so', ' Enter ',' Network ',' inconsequently ',' eager ', ""]")</f>
        <v>['strange', 'enter', 'apps',' verification ',' failed ',' link ',' already ',' click ',' already ',' times', 'try', 'so', ' Enter ',' Network ',' inconsequently ',' eager ', "]</v>
      </c>
      <c r="D1924" s="3">
        <v>1.0</v>
      </c>
    </row>
    <row r="1925" ht="15.75" customHeight="1">
      <c r="A1925" s="1">
        <v>1923.0</v>
      </c>
      <c r="B1925" s="3" t="s">
        <v>1926</v>
      </c>
      <c r="C1925" s="3" t="str">
        <f>IFERROR(__xludf.DUMMYFUNCTION("GOOGLETRANSLATE(B1925,""id"",""en"")"),"['Original', 'Ngerti', 'Telkomsel', 'Severe', 'really', 'network', 'open', 'application', 'sosmed', 'Instagram', 'Tiktok', 'YouTube', ' Current ',' right ',' play ',' mobile ',' Lagends', 'missing', 'appears',' missing ',' appears', 'game', 'that's',' net"&amp;"work ',' lost ' , 'appears',' lost ',' short ',' right ',' play ',' game ',' signal ',' smooth ',' use ',' Telkomsel ',' smp ',' work ',' Original ',' Severe ',' Bener ',' Disappointed ']")</f>
        <v>['Original', 'Ngerti', 'Telkomsel', 'Severe', 'really', 'network', 'open', 'application', 'sosmed', 'Instagram', 'Tiktok', 'YouTube', ' Current ',' right ',' play ',' mobile ',' Lagends', 'missing', 'appears',' missing ',' appears', 'game', 'that's',' network ',' lost ' , 'appears',' lost ',' short ',' right ',' play ',' game ',' signal ',' smooth ',' use ',' Telkomsel ',' smp ',' work ',' Original ',' Severe ',' Bener ',' Disappointed ']</v>
      </c>
      <c r="D1925" s="3">
        <v>1.0</v>
      </c>
    </row>
    <row r="1926" ht="15.75" customHeight="1">
      <c r="A1926" s="1">
        <v>1924.0</v>
      </c>
      <c r="B1926" s="3" t="s">
        <v>1927</v>
      </c>
      <c r="C1926" s="3" t="str">
        <f>IFERROR(__xludf.DUMMYFUNCTION("GOOGLETRANSLATE(B1926,""id"",""en"")"),"['Good', 'network', 'fix', 'donk', 'open', 'verification', 'udh', 'verification', 'slow', 'ampuuuun', ""]")</f>
        <v>['Good', 'network', 'fix', 'donk', 'open', 'verification', 'udh', 'verification', 'slow', 'ampuuuun', "]</v>
      </c>
      <c r="D1926" s="3">
        <v>4.0</v>
      </c>
    </row>
    <row r="1927" ht="15.75" customHeight="1">
      <c r="A1927" s="1">
        <v>1925.0</v>
      </c>
      <c r="B1927" s="3" t="s">
        <v>1928</v>
      </c>
      <c r="C1927" s="3" t="str">
        <f>IFERROR(__xludf.DUMMYFUNCTION("GOOGLETRANSLATE(B1927,""id"",""en"")"),"['Telkomsel', 'disappointing', 'contents',' data ',' notification ',' data ',' entry ',' pulse ',' suck ',' first ',' base ',' Perusaan ',' ']")</f>
        <v>['Telkomsel', 'disappointing', 'contents',' data ',' notification ',' data ',' entry ',' pulse ',' suck ',' first ',' base ',' Perusaan ',' ']</v>
      </c>
      <c r="D1927" s="3">
        <v>1.0</v>
      </c>
    </row>
    <row r="1928" ht="15.75" customHeight="1">
      <c r="A1928" s="1">
        <v>1926.0</v>
      </c>
      <c r="B1928" s="3" t="s">
        <v>1929</v>
      </c>
      <c r="C1928" s="3" t="str">
        <f>IFERROR(__xludf.DUMMYFUNCTION("GOOGLETRANSLATE(B1928,""id"",""en"")"),"['Sorry', 'Rating', 'Down', 'Price', 'Quota', 'Available', 'Expensive', 'Telkomsel', 'As if', 'Take', 'Opportunity', 'Behind', ' Narrow ',' Maintain ',' Nature ',' Pelitnya ',' customers', 'leave you', ""]")</f>
        <v>['Sorry', 'Rating', 'Down', 'Price', 'Quota', 'Available', 'Expensive', 'Telkomsel', 'As if', 'Take', 'Opportunity', 'Behind', ' Narrow ',' Maintain ',' Nature ',' Pelitnya ',' customers', 'leave you', "]</v>
      </c>
      <c r="D1928" s="3">
        <v>3.0</v>
      </c>
    </row>
    <row r="1929" ht="15.75" customHeight="1">
      <c r="A1929" s="1">
        <v>1927.0</v>
      </c>
      <c r="B1929" s="3" t="s">
        <v>1930</v>
      </c>
      <c r="C1929" s="3" t="str">
        <f>IFERROR(__xludf.DUMMYFUNCTION("GOOGLETRANSLATE(B1929,""id"",""en"")"),"['Telkomsel', 'how', 'quota', 'muttered', 'SJA', 'feeling', 'buy', 'quota', 'koq', 'abis', 'rates', 'non' package ',' trs', 'sihih', 'paketan', 'tuuh', 'apply', 'national', 'turn', 'buy', 'package', 'Semarang', 'dipake', 'jkt' , 'quota', 'local', 'hadeeww"&amp;"w']")</f>
        <v>['Telkomsel', 'how', 'quota', 'muttered', 'SJA', 'feeling', 'buy', 'quota', 'koq', 'abis', 'rates', 'non' package ',' trs', 'sihih', 'paketan', 'tuuh', 'apply', 'national', 'turn', 'buy', 'package', 'Semarang', 'dipake', 'jkt' , 'quota', 'local', 'hadeewww']</v>
      </c>
      <c r="D1929" s="3">
        <v>3.0</v>
      </c>
    </row>
    <row r="1930" ht="15.75" customHeight="1">
      <c r="A1930" s="1">
        <v>1928.0</v>
      </c>
      <c r="B1930" s="3" t="s">
        <v>1931</v>
      </c>
      <c r="C1930" s="3" t="str">
        <f>IFERROR(__xludf.DUMMYFUNCTION("GOOGLETRANSLATE(B1930,""id"",""en"")"),"['crazy', 'buy', 'package', 'process',' really ',' repeated ',' many ',' times', 'ngak', 'name', 'veronika', 'ngak', ' The point is', 'responded']")</f>
        <v>['crazy', 'buy', 'package', 'process',' really ',' repeated ',' many ',' times', 'ngak', 'name', 'veronika', 'ngak', ' The point is', 'responded']</v>
      </c>
      <c r="D1930" s="3">
        <v>2.0</v>
      </c>
    </row>
    <row r="1931" ht="15.75" customHeight="1">
      <c r="A1931" s="1">
        <v>1929.0</v>
      </c>
      <c r="B1931" s="3" t="s">
        <v>1932</v>
      </c>
      <c r="C1931" s="3" t="str">
        <f>IFERROR(__xludf.DUMMYFUNCTION("GOOGLETRANSLATE(B1931,""id"",""en"")"),"['Sorry', 'admin', 'number', 'log', 'Telkomsel', 'app', 'try', 'log', 'enter', 'number', 'click', 'right', ' Please ',' Help ',' Repaired ',' Thank ',' Love ']")</f>
        <v>['Sorry', 'admin', 'number', 'log', 'Telkomsel', 'app', 'try', 'log', 'enter', 'number', 'click', 'right', ' Please ',' Help ',' Repaired ',' Thank ',' Love ']</v>
      </c>
      <c r="D1931" s="3">
        <v>2.0</v>
      </c>
    </row>
    <row r="1932" ht="15.75" customHeight="1">
      <c r="A1932" s="1">
        <v>1930.0</v>
      </c>
      <c r="B1932" s="3" t="s">
        <v>1933</v>
      </c>
      <c r="C1932" s="3" t="str">
        <f>IFERROR(__xludf.DUMMYFUNCTION("GOOGLETRANSLATE(B1932,""id"",""en"")"),"['application', 'log', 'already', 'sent', 'link', 'open', 'ehh', 'link', 'expiration', '']")</f>
        <v>['application', 'log', 'already', 'sent', 'link', 'open', 'ehh', 'link', 'expiration', '']</v>
      </c>
      <c r="D1932" s="3">
        <v>1.0</v>
      </c>
    </row>
    <row r="1933" ht="15.75" customHeight="1">
      <c r="A1933" s="1">
        <v>1931.0</v>
      </c>
      <c r="B1933" s="3" t="s">
        <v>1934</v>
      </c>
      <c r="C1933" s="3" t="str">
        <f>IFERROR(__xludf.DUMMYFUNCTION("GOOGLETRANSLATE(B1933,""id"",""en"")"),"['login', 'difficult', 'verification', 'sent', 'expired', 'trs',' login ',' method ',' email ',' blm ',' registered ',' what ',' the list ',' instructions', 'what', 'the application', 'emotion', 'already', 'apps',' login ',' difficult ',' expensive ',' pa"&amp;"ckage ',' data ',' lag ' , 'Benggotan', 'What', 'Benggotan', 'Dipake', 'Data', '']")</f>
        <v>['login', 'difficult', 'verification', 'sent', 'expired', 'trs',' login ',' method ',' email ',' blm ',' registered ',' what ',' the list ',' instructions', 'what', 'the application', 'emotion', 'already', 'apps',' login ',' difficult ',' expensive ',' package ',' data ',' lag ' , 'Benggotan', 'What', 'Benggotan', 'Dipake', 'Data', '']</v>
      </c>
      <c r="D1933" s="3">
        <v>2.0</v>
      </c>
    </row>
    <row r="1934" ht="15.75" customHeight="1">
      <c r="A1934" s="1">
        <v>1932.0</v>
      </c>
      <c r="B1934" s="3" t="s">
        <v>1935</v>
      </c>
      <c r="C1934" s="3" t="str">
        <f>IFERROR(__xludf.DUMMYFUNCTION("GOOGLETRANSLATE(B1934,""id"",""en"")"),"['Benerin', 'signal', 'network', 'jammed', 'price', 'expensive', 'quality', 'bad', 'busy', 'maximum', 'tired', 'mode', ' Aircraft ',' boss', ""]")</f>
        <v>['Benerin', 'signal', 'network', 'jammed', 'price', 'expensive', 'quality', 'bad', 'busy', 'maximum', 'tired', 'mode', ' Aircraft ',' boss', "]</v>
      </c>
      <c r="D1934" s="3">
        <v>1.0</v>
      </c>
    </row>
    <row r="1935" ht="15.75" customHeight="1">
      <c r="A1935" s="1">
        <v>1933.0</v>
      </c>
      <c r="B1935" s="3" t="s">
        <v>1936</v>
      </c>
      <c r="C1935" s="3" t="str">
        <f>IFERROR(__xludf.DUMMYFUNCTION("GOOGLETRANSLATE(B1935,""id"",""en"")"),"['hih', 'gajelas',' email ',' really ',' bales', 'number', 'msh', 'mada', 'grace', 'content', 'pulse', 'application', ' MyTelkomsel ',' Asked ',' Email ',' ']")</f>
        <v>['hih', 'gajelas',' email ',' really ',' bales', 'number', 'msh', 'mada', 'grace', 'content', 'pulse', 'application', ' MyTelkomsel ',' Asked ',' Email ',' ']</v>
      </c>
      <c r="D1935" s="3">
        <v>1.0</v>
      </c>
    </row>
    <row r="1936" ht="15.75" customHeight="1">
      <c r="A1936" s="1">
        <v>1934.0</v>
      </c>
      <c r="B1936" s="3" t="s">
        <v>1937</v>
      </c>
      <c r="C1936" s="3" t="str">
        <f>IFERROR(__xludf.DUMMYFUNCTION("GOOGLETRANSLATE(B1936,""id"",""en"")"),"['fool', 'company', 'buy', 'expensive', 'signal', 'ugly', 'mourn', 'forgiveness',' Telkomsel ',' Maunial ',' open ',' Telkomsel ',' then ',' signal ',' good ',' take ',' lucky ',' TPI ',' quality ',' msh ',' ugly ',' ']")</f>
        <v>['fool', 'company', 'buy', 'expensive', 'signal', 'ugly', 'mourn', 'forgiveness',' Telkomsel ',' Maunial ',' open ',' Telkomsel ',' then ',' signal ',' good ',' take ',' lucky ',' TPI ',' quality ',' msh ',' ugly ',' ']</v>
      </c>
      <c r="D1936" s="3">
        <v>1.0</v>
      </c>
    </row>
    <row r="1937" ht="15.75" customHeight="1">
      <c r="A1937" s="1">
        <v>1935.0</v>
      </c>
      <c r="B1937" s="3" t="s">
        <v>1938</v>
      </c>
      <c r="C1937" s="3" t="str">
        <f>IFERROR(__xludf.DUMMYFUNCTION("GOOGLETRANSLATE(B1937,""id"",""en"")"),"['buy', 'package', 'no', 'anjrit', 'update', 'no', 'buy', 'package', 'quota', 'dying', 'buy', 'package', ' No ',' pulses', 'Sumpot']")</f>
        <v>['buy', 'package', 'no', 'anjrit', 'update', 'no', 'buy', 'package', 'quota', 'dying', 'buy', 'package', ' No ',' pulses', 'Sumpot']</v>
      </c>
      <c r="D1937" s="3">
        <v>1.0</v>
      </c>
    </row>
    <row r="1938" ht="15.75" customHeight="1">
      <c r="A1938" s="1">
        <v>1936.0</v>
      </c>
      <c r="B1938" s="3" t="s">
        <v>1939</v>
      </c>
      <c r="C1938" s="3" t="str">
        <f>IFERROR(__xludf.DUMMYFUNCTION("GOOGLETRANSLATE(B1938,""id"",""en"")"),"['Service', 'deteriorating', 'price', 'quota', 'expensive', 'Telkomsel', 'pay attention', 'satisfaction', 'customer', 'complaints',' access', 'internet', ' slow ',' speed ',' stable ',' price ',' expensive ']")</f>
        <v>['Service', 'deteriorating', 'price', 'quota', 'expensive', 'Telkomsel', 'pay attention', 'satisfaction', 'customer', 'complaints',' access', 'internet', ' slow ',' speed ',' stable ',' price ',' expensive ']</v>
      </c>
      <c r="D1938" s="3">
        <v>1.0</v>
      </c>
    </row>
    <row r="1939" ht="15.75" customHeight="1">
      <c r="A1939" s="1">
        <v>1937.0</v>
      </c>
      <c r="B1939" s="3" t="s">
        <v>1940</v>
      </c>
      <c r="C1939" s="3" t="str">
        <f>IFERROR(__xludf.DUMMYFUNCTION("GOOGLETRANSLATE(B1939,""id"",""en"")"),"['Telkomsel', 'here', 'mantapp', 'ehh', 'gini', 'njirr', 'signal', 'bikes',' quota ',' mask ',' msk ',' etc. ',' Quota ',' expensive ',' network ',' bangse ',' ']")</f>
        <v>['Telkomsel', 'here', 'mantapp', 'ehh', 'gini', 'njirr', 'signal', 'bikes',' quota ',' mask ',' msk ',' etc. ',' Quota ',' expensive ',' network ',' bangse ',' ']</v>
      </c>
      <c r="D1939" s="3">
        <v>1.0</v>
      </c>
    </row>
    <row r="1940" ht="15.75" customHeight="1">
      <c r="A1940" s="1">
        <v>1938.0</v>
      </c>
      <c r="B1940" s="3" t="s">
        <v>1941</v>
      </c>
      <c r="C1940" s="3" t="str">
        <f>IFERROR(__xludf.DUMMYFUNCTION("GOOGLETRANSLATE(B1940,""id"",""en"")"),"['Hopefully', 'Telkomsel', 'User', 'Indonesia', 'World', 'Package', 'Cheap', 'Quality', 'Signal', 'Current', 'Telkomsel', 'Jaya', ' ']")</f>
        <v>['Hopefully', 'Telkomsel', 'User', 'Indonesia', 'World', 'Package', 'Cheap', 'Quality', 'Signal', 'Current', 'Telkomsel', 'Jaya', ' ']</v>
      </c>
      <c r="D1940" s="3">
        <v>5.0</v>
      </c>
    </row>
    <row r="1941" ht="15.75" customHeight="1">
      <c r="A1941" s="1">
        <v>1939.0</v>
      </c>
      <c r="B1941" s="3" t="s">
        <v>1942</v>
      </c>
      <c r="C1941" s="3" t="str">
        <f>IFERROR(__xludf.DUMMYFUNCTION("GOOGLETRANSLATE(B1941,""id"",""en"")"),"['', 'Package', 'Combo', 'Sakti', 'Unlimited', 'HRGA', 'Thousand', 'Change', 'Unlimited', 'Apps',' Special ',' Limit ',' Kouta Kouta ',' Apps', 'Special', 'Unlimited', 'Namai', 'Package', 'Unlimited', 'Disappointed']")</f>
        <v>['', 'Package', 'Combo', 'Sakti', 'Unlimited', 'HRGA', 'Thousand', 'Change', 'Unlimited', 'Apps',' Special ',' Limit ',' Kouta Kouta ',' Apps', 'Special', 'Unlimited', 'Namai', 'Package', 'Unlimited', 'Disappointed']</v>
      </c>
      <c r="D1941" s="3">
        <v>1.0</v>
      </c>
    </row>
    <row r="1942" ht="15.75" customHeight="1">
      <c r="A1942" s="1">
        <v>1940.0</v>
      </c>
      <c r="B1942" s="3" t="s">
        <v>1943</v>
      </c>
      <c r="C1942" s="3" t="str">
        <f>IFERROR(__xludf.DUMMYFUNCTION("GOOGLETRANSLATE(B1942,""id"",""en"")"),"['ugly', 'times',' application ',' nyaa ',' dahh ',' update ',' newest ',' buy ',' package ',' repeat ',' times', 'transaction', ' Successful ',' in ',' PPACET ',' Credit ',' Cut ',' Application ',' Buy ',' Package ',' gabisa ']")</f>
        <v>['ugly', 'times',' application ',' nyaa ',' dahh ',' update ',' newest ',' buy ',' package ',' repeat ',' times', 'transaction', ' Successful ',' in ',' PPACET ',' Credit ',' Cut ',' Application ',' Buy ',' Package ',' gabisa ']</v>
      </c>
      <c r="D1942" s="3">
        <v>1.0</v>
      </c>
    </row>
    <row r="1943" ht="15.75" customHeight="1">
      <c r="A1943" s="1">
        <v>1941.0</v>
      </c>
      <c r="B1943" s="3" t="s">
        <v>1944</v>
      </c>
      <c r="C1943" s="3" t="str">
        <f>IFERROR(__xludf.DUMMYFUNCTION("GOOGLETRANSLATE(B1943,""id"",""en"")"),"['Severe', 'signal', 'ugly', 'signal', 'browsing', 'slow', 'please', 'priority', 'satisfaction', 'customers',' Telkomsel ',' name ',' service', '']")</f>
        <v>['Severe', 'signal', 'ugly', 'signal', 'browsing', 'slow', 'please', 'priority', 'satisfaction', 'customers',' Telkomsel ',' name ',' service', '']</v>
      </c>
      <c r="D1943" s="3">
        <v>1.0</v>
      </c>
    </row>
    <row r="1944" ht="15.75" customHeight="1">
      <c r="A1944" s="1">
        <v>1942.0</v>
      </c>
      <c r="B1944" s="3" t="s">
        <v>1945</v>
      </c>
      <c r="C1944" s="3" t="str">
        <f>IFERROR(__xludf.DUMMYFUNCTION("GOOGLETRANSLATE(B1944,""id"",""en"")"),"['Card', 'Telkomsel', 'Tens',' Bonus', 'Quota', 'Gift', 'Lottery', 'Telkomsel', 'Active', 'Exchange', 'Points',' Telkomsel ',' ']")</f>
        <v>['Card', 'Telkomsel', 'Tens',' Bonus', 'Quota', 'Gift', 'Lottery', 'Telkomsel', 'Active', 'Exchange', 'Points',' Telkomsel ',' ']</v>
      </c>
      <c r="D1944" s="3">
        <v>1.0</v>
      </c>
    </row>
    <row r="1945" ht="15.75" customHeight="1">
      <c r="A1945" s="1">
        <v>1943.0</v>
      </c>
      <c r="B1945" s="3" t="s">
        <v>1946</v>
      </c>
      <c r="C1945" s="3" t="str">
        <f>IFERROR(__xludf.DUMMYFUNCTION("GOOGLETRANSLATE(B1945,""id"",""en"")"),"['Strengthening', 'opinions',' company ',' plate ',' red ',' expensive ',' doang ',' Boro ',' boro ',' boro ',' reach ',' remote ',' City ',' sinya ',' empot ',' empotan ',' bye ',' replace ']")</f>
        <v>['Strengthening', 'opinions',' company ',' plate ',' red ',' expensive ',' doang ',' Boro ',' boro ',' boro ',' reach ',' remote ',' City ',' sinya ',' empot ',' empotan ',' bye ',' replace ']</v>
      </c>
      <c r="D1945" s="3">
        <v>1.0</v>
      </c>
    </row>
    <row r="1946" ht="15.75" customHeight="1">
      <c r="A1946" s="1">
        <v>1944.0</v>
      </c>
      <c r="B1946" s="3" t="s">
        <v>1947</v>
      </c>
      <c r="C1946" s="3" t="str">
        <f>IFERROR(__xludf.DUMMYFUNCTION("GOOGLETRANSLATE(B1946,""id"",""en"")"),"['enter', 'application', 'Telkomsel', 'login', 'reset', 'application', 'next door', 'login', 'reset', 'complicated', 'enter', 'application', ' Telkomsel ',' emergency ',' run out ',' quota ',' trouble ',' login ',' application ',' open ',' link ',' sms', "&amp;"'verification', 'please', 'repair' , 'function', 'menu', 'enter', 'application', 'useful', 'login', 'reset', ""]")</f>
        <v>['enter', 'application', 'Telkomsel', 'login', 'reset', 'application', 'next door', 'login', 'reset', 'complicated', 'enter', 'application', ' Telkomsel ',' emergency ',' run out ',' quota ',' trouble ',' login ',' application ',' open ',' link ',' sms', 'verification', 'please', 'repair' , 'function', 'menu', 'enter', 'application', 'useful', 'login', 'reset', "]</v>
      </c>
      <c r="D1946" s="3">
        <v>1.0</v>
      </c>
    </row>
    <row r="1947" ht="15.75" customHeight="1">
      <c r="A1947" s="1">
        <v>1945.0</v>
      </c>
      <c r="B1947" s="3" t="s">
        <v>1948</v>
      </c>
      <c r="C1947" s="3" t="str">
        <f>IFERROR(__xludf.DUMMYFUNCTION("GOOGLETRANSLATE(B1947,""id"",""en"")"),"['', 'UDH', 'APL', 'open', 'pdhl', 'before', 'hrus',' update ',' dlu ',' coercion ',' update ',' open ',' gpp ',' Try ',' update ',' dlu ',' please ',' pulse ',' safety ',' quota ',' run out ',' direct ',' play ',' cut ',' pulse ', 'Knp', 'broke', 'intern"&amp;"et', 'giver', 'tahuan', 'late', 'fill', 'reset', 'udh', 'notification', 'quota', 'abis',' bkin ',' was', 'please', 'fix', 'comfortable']")</f>
        <v>['', 'UDH', 'APL', 'open', 'pdhl', 'before', 'hrus',' update ',' dlu ',' coercion ',' update ',' open ',' gpp ',' Try ',' update ',' dlu ',' please ',' pulse ',' safety ',' quota ',' run out ',' direct ',' play ',' cut ',' pulse ', 'Knp', 'broke', 'internet', 'giver', 'tahuan', 'late', 'fill', 'reset', 'udh', 'notification', 'quota', 'abis',' bkin ',' was', 'please', 'fix', 'comfortable']</v>
      </c>
      <c r="D1947" s="3">
        <v>3.0</v>
      </c>
    </row>
    <row r="1948" ht="15.75" customHeight="1">
      <c r="A1948" s="1">
        <v>1946.0</v>
      </c>
      <c r="B1948" s="3" t="s">
        <v>1949</v>
      </c>
      <c r="C1948" s="3" t="str">
        <f>IFERROR(__xludf.DUMMYFUNCTION("GOOGLETRANSLATE(B1948,""id"",""en"")"),"['Login', 'Telkomsel', 'Untung', 'Rich', 'Raya', 'Berain', 'Login', 'Othliness',' Lazy ',' Stupid ',' Login ',' What ',' Buy ',' Paketan ',' expensive ',' famous', 'ugly', 'made', 'disappointed', 'rich', 'gini', 'consumer', 'replace', 'provider', 'nard' ,"&amp;" 'bankrupt', 'mewek', 'cry', 'Ahh', 'base', 'garbage', 'government', 'unclean', 'state', 'likes',' colonial ',' community ',' ']")</f>
        <v>['Login', 'Telkomsel', 'Untung', 'Rich', 'Raya', 'Berain', 'Login', 'Othliness',' Lazy ',' Stupid ',' Login ',' What ',' Buy ',' Paketan ',' expensive ',' famous', 'ugly', 'made', 'disappointed', 'rich', 'gini', 'consumer', 'replace', 'provider', 'nard' , 'bankrupt', 'mewek', 'cry', 'Ahh', 'base', 'garbage', 'government', 'unclean', 'state', 'likes',' colonial ',' community ',' ']</v>
      </c>
      <c r="D1948" s="3">
        <v>1.0</v>
      </c>
    </row>
    <row r="1949" ht="15.75" customHeight="1">
      <c r="A1949" s="1">
        <v>1947.0</v>
      </c>
      <c r="B1949" s="3" t="s">
        <v>1950</v>
      </c>
      <c r="C1949" s="3" t="str">
        <f>IFERROR(__xludf.DUMMYFUNCTION("GOOGLETRANSLATE(B1949,""id"",""en"")"),"['number', 'times',' verification ',' enter ',' already ',' so ',' run out ',' enter ',' link ',' enter ',' write ',' verification ',' Your ',' Experied ',' Please ',' Login ',' Again ',' Already ',' Try ',' Kayak ',' That's', 'Please', 'Action', 'All']")</f>
        <v>['number', 'times',' verification ',' enter ',' already ',' so ',' run out ',' enter ',' link ',' enter ',' write ',' verification ',' Your ',' Experied ',' Please ',' Login ',' Again ',' Already ',' Try ',' Kayak ',' That's', 'Please', 'Action', 'All']</v>
      </c>
      <c r="D1949" s="3">
        <v>2.0</v>
      </c>
    </row>
    <row r="1950" ht="15.75" customHeight="1">
      <c r="A1950" s="1">
        <v>1948.0</v>
      </c>
      <c r="B1950" s="3" t="s">
        <v>1951</v>
      </c>
      <c r="C1950" s="3" t="str">
        <f>IFERROR(__xludf.DUMMYFUNCTION("GOOGLETRANSLATE(B1950,""id"",""en"")"),"['Telkom', 'check', 'quota', 'type', 'numbers',' enter ',' sms', 'application', 'mytelkomsel', 'login', 'telkom', 'telkom', ' package ',' doang ',' expensive ',' advertising ',' service ',' rich ',' gini ',' mending ',' replace ']")</f>
        <v>['Telkom', 'check', 'quota', 'type', 'numbers',' enter ',' sms', 'application', 'mytelkomsel', 'login', 'telkom', 'telkom', ' package ',' doang ',' expensive ',' advertising ',' service ',' rich ',' gini ',' mending ',' replace ']</v>
      </c>
      <c r="D1950" s="3">
        <v>1.0</v>
      </c>
    </row>
    <row r="1951" ht="15.75" customHeight="1">
      <c r="A1951" s="1">
        <v>1949.0</v>
      </c>
      <c r="B1951" s="3" t="s">
        <v>1952</v>
      </c>
      <c r="C1951" s="3" t="str">
        <f>IFERROR(__xludf.DUMMYFUNCTION("GOOGLETRANSLATE(B1951,""id"",""en"")"),"['', 'season', 'pandemic', 'Telkomsel', 'wise', 'folk', 'ngeluh', 'Telkomsel', 'take', 'opportunity', 'narrow', 'not "",' down ',' Price ',' Wind ',' Disappointed ',' Telkomsel ']")</f>
        <v>['', 'season', 'pandemic', 'Telkomsel', 'wise', 'folk', 'ngeluh', 'Telkomsel', 'take', 'opportunity', 'narrow', 'not ",' down ',' Price ',' Wind ',' Disappointed ',' Telkomsel ']</v>
      </c>
      <c r="D1951" s="3">
        <v>1.0</v>
      </c>
    </row>
    <row r="1952" ht="15.75" customHeight="1">
      <c r="A1952" s="1">
        <v>1950.0</v>
      </c>
      <c r="B1952" s="3" t="s">
        <v>1953</v>
      </c>
      <c r="C1952" s="3" t="str">
        <f>IFERROR(__xludf.DUMMYFUNCTION("GOOGLETRANSLATE(B1952,""id"",""en"")"),"['Telkomsel', 'Severe', 'card', 'GOLD', 'Registered', 'BGNI', 'Mending', 'Change', 'Card', 'Severe', 'Telkomsel', ""]")</f>
        <v>['Telkomsel', 'Severe', 'card', 'GOLD', 'Registered', 'BGNI', 'Mending', 'Change', 'Card', 'Severe', 'Telkomsel', "]</v>
      </c>
      <c r="D1952" s="3">
        <v>1.0</v>
      </c>
    </row>
    <row r="1953" ht="15.75" customHeight="1">
      <c r="A1953" s="1">
        <v>1951.0</v>
      </c>
      <c r="B1953" s="3" t="s">
        <v>1954</v>
      </c>
      <c r="C1953" s="3" t="str">
        <f>IFERROR(__xludf.DUMMYFUNCTION("GOOGLETRANSLATE(B1953,""id"",""en"")"),"['Sorry', 'Sis',' Update ',' Enter ',' Something ',' Something ',' Wrong ',' Please ',' Assisted ',' PDHL ',' Good ',' Use ',' Telkomsel ',' ']")</f>
        <v>['Sorry', 'Sis',' Update ',' Enter ',' Something ',' Something ',' Wrong ',' Please ',' Assisted ',' PDHL ',' Good ',' Use ',' Telkomsel ',' ']</v>
      </c>
      <c r="D1953" s="3">
        <v>2.0</v>
      </c>
    </row>
    <row r="1954" ht="15.75" customHeight="1">
      <c r="A1954" s="1">
        <v>1952.0</v>
      </c>
      <c r="B1954" s="3" t="s">
        <v>1955</v>
      </c>
      <c r="C1954" s="3" t="str">
        <f>IFERROR(__xludf.DUMMYFUNCTION("GOOGLETRANSLATE(B1954,""id"",""en"")"),"['quota', 'cheerful', 'buy', 'pdhl', 'sekrng', 'quota', 'available', 'beran', 'telkomsel', 'please', 'fix', 'move', ' im ']")</f>
        <v>['quota', 'cheerful', 'buy', 'pdhl', 'sekrng', 'quota', 'available', 'beran', 'telkomsel', 'please', 'fix', 'move', ' im ']</v>
      </c>
      <c r="D1954" s="3">
        <v>2.0</v>
      </c>
    </row>
    <row r="1955" ht="15.75" customHeight="1">
      <c r="A1955" s="1">
        <v>1953.0</v>
      </c>
      <c r="B1955" s="3" t="s">
        <v>1956</v>
      </c>
      <c r="C1955" s="3" t="str">
        <f>IFERROR(__xludf.DUMMYFUNCTION("GOOGLETRANSLATE(B1955,""id"",""en"")"),"['Network', 'ugly', 'really', 'then', 'price', 'quota', 'expensive', 'already', 'that's',' bonus', 'quota', 'operator', ' Cellular ',' GTU ',' Parawh ',' Dehh ', ""]")</f>
        <v>['Network', 'ugly', 'really', 'then', 'price', 'quota', 'expensive', 'already', 'that's',' bonus', 'quota', 'operator', ' Cellular ',' GTU ',' Parawh ',' Dehh ', "]</v>
      </c>
      <c r="D1955" s="3">
        <v>1.0</v>
      </c>
    </row>
    <row r="1956" ht="15.75" customHeight="1">
      <c r="A1956" s="1">
        <v>1954.0</v>
      </c>
      <c r="B1956" s="3" t="s">
        <v>1957</v>
      </c>
      <c r="C1956" s="3" t="str">
        <f>IFERROR(__xludf.DUMMYFUNCTION("GOOGLETRANSLATE(B1956,""id"",""en"")"),"['th', 'Telkomsel', 'Feel', 'bad', 'disappointing', 'registration', 'card', 'quality', 'signal', 'getting worse', 'slow', ' Responding to ',' complaints', 'responded', 'buy', 'quota', 'price', 'quota', 'number', 'expensive', 'number', 'user', 'service', '"&amp;"consumer' , 'tip', 'tip', 'told', 'grapari', ""]")</f>
        <v>['th', 'Telkomsel', 'Feel', 'bad', 'disappointing', 'registration', 'card', 'quality', 'signal', 'getting worse', 'slow', ' Responding to ',' complaints', 'responded', 'buy', 'quota', 'price', 'quota', 'number', 'expensive', 'number', 'user', 'service', 'consumer' , 'tip', 'tip', 'told', 'grapari', "]</v>
      </c>
      <c r="D1956" s="3">
        <v>1.0</v>
      </c>
    </row>
    <row r="1957" ht="15.75" customHeight="1">
      <c r="A1957" s="1">
        <v>1955.0</v>
      </c>
      <c r="B1957" s="3" t="s">
        <v>1958</v>
      </c>
      <c r="C1957" s="3" t="str">
        <f>IFERROR(__xludf.DUMMYFUNCTION("GOOGLETRANSLATE(B1957,""id"",""en"")"),"['', 'Ksh', 'star', 'skrg', 'Lower', 'star', 'BBR', 'open', 'apk', 'Telkomsel', 'directly', 'log', 'out ',' Network ',' Ouch ',' Difficult ',' Customer ',' Lho ',' Use ',' Telkomsel ',' Please ',' Noted ',' Quality ',' Nmbh ',' Feature ', 'Blm', 'complete"&amp;"ly', '']")</f>
        <v>['', 'Ksh', 'star', 'skrg', 'Lower', 'star', 'BBR', 'open', 'apk', 'Telkomsel', 'directly', 'log', 'out ',' Network ',' Ouch ',' Difficult ',' Customer ',' Lho ',' Use ',' Telkomsel ',' Please ',' Noted ',' Quality ',' Nmbh ',' Feature ', 'Blm', 'completely', '']</v>
      </c>
      <c r="D1957" s="3">
        <v>2.0</v>
      </c>
    </row>
    <row r="1958" ht="15.75" customHeight="1">
      <c r="A1958" s="1">
        <v>1956.0</v>
      </c>
      <c r="B1958" s="3" t="s">
        <v>1959</v>
      </c>
      <c r="C1958" s="3" t="str">
        <f>IFERROR(__xludf.DUMMYFUNCTION("GOOGLETRANSLATE(B1958,""id"",""en"")"),"['regret', 'Telkomsel', 'credit', 'reduced', 'use', 'network', 'slow', 'internet', 'entry', 'apk', 'mytelkomsel', 'difficult', ' Enter ',' APK ',' Login ',' UDH ',' Login ',' JGA ',' Tetep ',' Gabisa ',' Enter ',' Uptade ',' APK ',' ugly ',' hope ' , 'fas"&amp;"t', 'Overcome', 'Consumer', 'Change', 'Card']")</f>
        <v>['regret', 'Telkomsel', 'credit', 'reduced', 'use', 'network', 'slow', 'internet', 'entry', 'apk', 'mytelkomsel', 'difficult', ' Enter ',' APK ',' Login ',' UDH ',' Login ',' JGA ',' Tetep ',' Gabisa ',' Enter ',' Uptade ',' APK ',' ugly ',' hope ' , 'fast', 'Overcome', 'Consumer', 'Change', 'Card']</v>
      </c>
      <c r="D1958" s="3">
        <v>1.0</v>
      </c>
    </row>
    <row r="1959" ht="15.75" customHeight="1">
      <c r="A1959" s="1">
        <v>1957.0</v>
      </c>
      <c r="B1959" s="3" t="s">
        <v>1960</v>
      </c>
      <c r="C1959" s="3" t="str">
        <f>IFERROR(__xludf.DUMMYFUNCTION("GOOGLETRANSLATE(B1959,""id"",""en"")"),"['love', 'star', 'signal', 'down', 'mainstay', 'supports', 'effort', 'easy', 'hopefully', 'in the future', 'star']")</f>
        <v>['love', 'star', 'signal', 'down', 'mainstay', 'supports', 'effort', 'easy', 'hopefully', 'in the future', 'star']</v>
      </c>
      <c r="D1959" s="3">
        <v>4.0</v>
      </c>
    </row>
    <row r="1960" ht="15.75" customHeight="1">
      <c r="A1960" s="1">
        <v>1958.0</v>
      </c>
      <c r="B1960" s="3" t="s">
        <v>1961</v>
      </c>
      <c r="C1960" s="3" t="str">
        <f>IFERROR(__xludf.DUMMYFUNCTION("GOOGLETRANSLATE(B1960,""id"",""en"")"),"['Update', 'difficult', 'enter', 'application', 'enter', 'number', 'click', 'enter', 'number', 'please', 'obstacle', 'fast', ' repair']")</f>
        <v>['Update', 'difficult', 'enter', 'application', 'enter', 'number', 'click', 'enter', 'number', 'please', 'obstacle', 'fast', ' repair']</v>
      </c>
      <c r="D1960" s="3">
        <v>1.0</v>
      </c>
    </row>
    <row r="1961" ht="15.75" customHeight="1">
      <c r="A1961" s="1">
        <v>1959.0</v>
      </c>
      <c r="B1961" s="3" t="s">
        <v>1962</v>
      </c>
      <c r="C1961" s="3" t="str">
        <f>IFERROR(__xludf.DUMMYFUNCTION("GOOGLETRANSLATE(B1961,""id"",""en"")"),"['Disappointed', 'program', 'Daily', 'checkin', 'Telkomsel', 'checkin', 'behavior', 'Please', 'repair', 'help', 'chat', 'online', ' The response is', 'hurried', 'forgetting', 'Haissss',' ']")</f>
        <v>['Disappointed', 'program', 'Daily', 'checkin', 'Telkomsel', 'checkin', 'behavior', 'Please', 'repair', 'help', 'chat', 'online', ' The response is', 'hurried', 'forgetting', 'Haissss',' ']</v>
      </c>
      <c r="D1961" s="3">
        <v>1.0</v>
      </c>
    </row>
    <row r="1962" ht="15.75" customHeight="1">
      <c r="A1962" s="1">
        <v>1960.0</v>
      </c>
      <c r="B1962" s="3" t="s">
        <v>1963</v>
      </c>
      <c r="C1962" s="3" t="str">
        <f>IFERROR(__xludf.DUMMYFUNCTION("GOOGLETRANSLATE(B1962,""id"",""en"")"),"['Disappointed', 'Telkomsel', 'buy', 'package', 'pulse', 'expensive', 'Jaringa', 'ugly', 'actually', 'kenpa', 'like', 'price', ' expensive ',' quality ',' network ',' bad ']")</f>
        <v>['Disappointed', 'Telkomsel', 'buy', 'package', 'pulse', 'expensive', 'Jaringa', 'ugly', 'actually', 'kenpa', 'like', 'price', ' expensive ',' quality ',' network ',' bad ']</v>
      </c>
      <c r="D1962" s="3">
        <v>1.0</v>
      </c>
    </row>
    <row r="1963" ht="15.75" customHeight="1">
      <c r="A1963" s="1">
        <v>1961.0</v>
      </c>
      <c r="B1963" s="3" t="s">
        <v>1964</v>
      </c>
      <c r="C1963" s="3" t="str">
        <f>IFERROR(__xludf.DUMMYFUNCTION("GOOGLETRANSLATE(B1963,""id"",""en"")"),"['Please', 'Strength', 'Sousal', 'Murah', 'Remnant', 'GB', 'Lemot', 'Gojek', 'Spirit', 'Quality', 'Kwanitas',' Signal ',' The network is', 'Thank', 'Love', ""]")</f>
        <v>['Please', 'Strength', 'Sousal', 'Murah', 'Remnant', 'GB', 'Lemot', 'Gojek', 'Spirit', 'Quality', 'Kwanitas',' Signal ',' The network is', 'Thank', 'Love', "]</v>
      </c>
      <c r="D1963" s="3">
        <v>5.0</v>
      </c>
    </row>
    <row r="1964" ht="15.75" customHeight="1">
      <c r="A1964" s="1">
        <v>1962.0</v>
      </c>
      <c r="B1964" s="3" t="s">
        <v>1965</v>
      </c>
      <c r="C1964" s="3" t="str">
        <f>IFERROR(__xludf.DUMMYFUNCTION("GOOGLETRANSLATE(B1964,""id"",""en"")"),"['', 'good', 'expensive', 'cut', 'money', 'NSP', 'type', 'nsp', 'play', 'cut', 'enter', 'like', 'heart ',' name ',' unlimited ',' ANLIMITED ',' City ',' boundish ',' BKN ',' unlimited ',' name ',' network ',' ngelek ',' package ',' monthly ', 'Mangkin', '"&amp;"Mangkin', 'ugly', 'BKN', 'MKN', 'BGS', 'Quality', '']")</f>
        <v>['', 'good', 'expensive', 'cut', 'money', 'NSP', 'type', 'nsp', 'play', 'cut', 'enter', 'like', 'heart ',' name ',' unlimited ',' ANLIMITED ',' City ',' boundish ',' BKN ',' unlimited ',' name ',' network ',' ngelek ',' package ',' monthly ', 'Mangkin', 'Mangkin', 'ugly', 'BKN', 'MKN', 'BGS', 'Quality', '']</v>
      </c>
      <c r="D1964" s="3">
        <v>2.0</v>
      </c>
    </row>
    <row r="1965" ht="15.75" customHeight="1">
      <c r="A1965" s="1">
        <v>1963.0</v>
      </c>
      <c r="B1965" s="3" t="s">
        <v>1966</v>
      </c>
      <c r="C1965" s="3" t="str">
        <f>IFERROR(__xludf.DUMMYFUNCTION("GOOGLETRANSLATE(B1965,""id"",""en"")"),"['Login', 'told', 'buy', 'card', 'just', 'buy', 'pulse', 'sent', 'enter', '']")</f>
        <v>['Login', 'told', 'buy', 'card', 'just', 'buy', 'pulse', 'sent', 'enter', '']</v>
      </c>
      <c r="D1965" s="3">
        <v>1.0</v>
      </c>
    </row>
    <row r="1966" ht="15.75" customHeight="1">
      <c r="A1966" s="1">
        <v>1964.0</v>
      </c>
      <c r="B1966" s="3" t="s">
        <v>1967</v>
      </c>
      <c r="C1966" s="3" t="str">
        <f>IFERROR(__xludf.DUMMYFUNCTION("GOOGLETRANSLATE(B1966,""id"",""en"")"),"['Sorry', 'Developer', 'MyTelkomsel', 'bug', 'no', 'number', 'no', 'Mntak', 'enter', 'Link', 'appears',' enter ',' Write ',' no ',' enter ',' how ',' aunt ',' Please ',' fix ',' thank you ']")</f>
        <v>['Sorry', 'Developer', 'MyTelkomsel', 'bug', 'no', 'number', 'no', 'Mntak', 'enter', 'Link', 'appears',' enter ',' Write ',' no ',' enter ',' how ',' aunt ',' Please ',' fix ',' thank you ']</v>
      </c>
      <c r="D1966" s="3">
        <v>5.0</v>
      </c>
    </row>
    <row r="1967" ht="15.75" customHeight="1">
      <c r="A1967" s="1">
        <v>1965.0</v>
      </c>
      <c r="B1967" s="3" t="s">
        <v>1968</v>
      </c>
      <c r="C1967" s="3" t="str">
        <f>IFERROR(__xludf.DUMMYFUNCTION("GOOGLETRANSLATE(B1967,""id"",""en"")"),"['ugly', 'open', 'app', 'difficult', 'tmbh', 'network', 'tsel', 'ugly', 'rain', 'little', 'network', 'direct', ' Alias', 'error', '']")</f>
        <v>['ugly', 'open', 'app', 'difficult', 'tmbh', 'network', 'tsel', 'ugly', 'rain', 'little', 'network', 'direct', ' Alias', 'error', '']</v>
      </c>
      <c r="D1967" s="3">
        <v>2.0</v>
      </c>
    </row>
    <row r="1968" ht="15.75" customHeight="1">
      <c r="A1968" s="1">
        <v>1966.0</v>
      </c>
      <c r="B1968" s="3" t="s">
        <v>1969</v>
      </c>
      <c r="C1968" s="3" t="str">
        <f>IFERROR(__xludf.DUMMYFUNCTION("GOOGLETRANSLATE(B1968,""id"",""en"")"),"['Upgrade', 'Log', 'Many', 'times',' enter ',' number ',' SMS ',' Link ',' Verification ',' enter ',' Lool ',' Network ',' Forgiveness', 'deh', 'signal', 'full', '']")</f>
        <v>['Upgrade', 'Log', 'Many', 'times',' enter ',' number ',' SMS ',' Link ',' Verification ',' enter ',' Lool ',' Network ',' Forgiveness', 'deh', 'signal', 'full', '']</v>
      </c>
      <c r="D1968" s="3">
        <v>1.0</v>
      </c>
    </row>
    <row r="1969" ht="15.75" customHeight="1">
      <c r="A1969" s="1">
        <v>1967.0</v>
      </c>
      <c r="B1969" s="3" t="s">
        <v>1970</v>
      </c>
      <c r="C1969" s="3" t="str">
        <f>IFERROR(__xludf.DUMMYFUNCTION("GOOGLETRANSLATE(B1969,""id"",""en"")"),"['buy', 'package', 'promo', 'call', 'telkomsel', 'number', 'different', 'pulse', 'cut', 'message', 'entry', 'spy', ' Wait ',' notifications', 'junior high school', 'for days',' notification ',' entry ',' use ',' call ',' pulses', 'coakes',' how ',' Telkom"&amp;"sel ',' Ngadin ' , 'promo', 'bbrp', 'times',' application ',' mytelkomsel ',' special ',' nanganin ',' complain ',' customer ',' change ',' loss', 'blm', ' The place is', '']")</f>
        <v>['buy', 'package', 'promo', 'call', 'telkomsel', 'number', 'different', 'pulse', 'cut', 'message', 'entry', 'spy', ' Wait ',' notifications', 'junior high school', 'for days',' notification ',' entry ',' use ',' call ',' pulses', 'coakes',' how ',' Telkomsel ',' Ngadin ' , 'promo', 'bbrp', 'times',' application ',' mytelkomsel ',' special ',' nanganin ',' complain ',' customer ',' change ',' loss', 'blm', ' The place is', '']</v>
      </c>
      <c r="D1969" s="3">
        <v>1.0</v>
      </c>
    </row>
    <row r="1970" ht="15.75" customHeight="1">
      <c r="A1970" s="1">
        <v>1968.0</v>
      </c>
      <c r="B1970" s="3" t="s">
        <v>1971</v>
      </c>
      <c r="C1970" s="3" t="str">
        <f>IFERROR(__xludf.DUMMYFUNCTION("GOOGLETRANSLATE(B1970,""id"",""en"")"),"['Since', 'UPDATE', 'UGK', 'APK', 'Telkomsel', 'Massa', 'Buy', 'Paketan', 'Try', 'Enter', 'Hadeuhh', ' how ',' Telkomsel ',' update ',' good ',' ugly ',' rich ',' gini ', ""]")</f>
        <v>['Since', 'UPDATE', 'UGK', 'APK', 'Telkomsel', 'Massa', 'Buy', 'Paketan', 'Try', 'Enter', 'Hadeuhh', ' how ',' Telkomsel ',' update ',' good ',' ugly ',' rich ',' gini ', "]</v>
      </c>
      <c r="D1970" s="3">
        <v>1.0</v>
      </c>
    </row>
    <row r="1971" ht="15.75" customHeight="1">
      <c r="A1971" s="1">
        <v>1969.0</v>
      </c>
      <c r="B1971" s="3" t="s">
        <v>1972</v>
      </c>
      <c r="C1971" s="3" t="str">
        <f>IFERROR(__xludf.DUMMYFUNCTION("GOOGLETRANSLATE(B1971,""id"",""en"")"),"['Woyt', 'Telkomsel', 'KNPA', 'Package', 'Unlimited', 'Max', 'Change', 'Biasamya', 'limit', 'skrng', 'price', 'TPI', ' Change ',' JDI ',' Use ',' Limit ',' Naturally ',' GB ',' Internet ',' Local ',' GB ',' Internet ',' GB ',' Stupid ',' oath ' , 'misconc"&amp;"eption', 'chaotic', 'severe', 'moved', 'card', 'jddnya', 'stupid', 'tekkonsel', '']")</f>
        <v>['Woyt', 'Telkomsel', 'KNPA', 'Package', 'Unlimited', 'Max', 'Change', 'Biasamya', 'limit', 'skrng', 'price', 'TPI', ' Change ',' JDI ',' Use ',' Limit ',' Naturally ',' GB ',' Internet ',' Local ',' GB ',' Internet ',' GB ',' Stupid ',' oath ' , 'misconception', 'chaotic', 'severe', 'moved', 'card', 'jddnya', 'stupid', 'tekkonsel', '']</v>
      </c>
      <c r="D1971" s="3">
        <v>3.0</v>
      </c>
    </row>
    <row r="1972" ht="15.75" customHeight="1">
      <c r="A1972" s="1">
        <v>1970.0</v>
      </c>
      <c r="B1972" s="3" t="s">
        <v>1973</v>
      </c>
      <c r="C1972" s="3" t="str">
        <f>IFERROR(__xludf.DUMMYFUNCTION("GOOGLETRANSLATE(B1972,""id"",""en"")"),"['Good', 'sires',' network ',' Telkomsel ',' enter ',' log ',' run out ',' difficult ',' enter ',' Gemna ',' Roving ',' friend ',' Application ',' Service ',' ugly ',' really ']")</f>
        <v>['Good', 'sires',' network ',' Telkomsel ',' enter ',' log ',' run out ',' difficult ',' enter ',' Gemna ',' Roving ',' friend ',' Application ',' Service ',' ugly ',' really ']</v>
      </c>
      <c r="D1972" s="3">
        <v>2.0</v>
      </c>
    </row>
    <row r="1973" ht="15.75" customHeight="1">
      <c r="A1973" s="1">
        <v>1971.0</v>
      </c>
      <c r="B1973" s="3" t="s">
        <v>1974</v>
      </c>
      <c r="C1973" s="3" t="str">
        <f>IFERROR(__xludf.DUMMYFUNCTION("GOOGLETRANSLATE(B1973,""id"",""en"")"),"['info', 'purchase', 'package', 'bought', 'uda', 'subscribe', 'the application', 'slow', 'error', ""]")</f>
        <v>['info', 'purchase', 'package', 'bought', 'uda', 'subscribe', 'the application', 'slow', 'error', "]</v>
      </c>
      <c r="D1973" s="3">
        <v>1.0</v>
      </c>
    </row>
    <row r="1974" ht="15.75" customHeight="1">
      <c r="A1974" s="1">
        <v>1972.0</v>
      </c>
      <c r="B1974" s="3" t="s">
        <v>1975</v>
      </c>
      <c r="C1974" s="3" t="str">
        <f>IFERROR(__xludf.DUMMYFUNCTION("GOOGLETRANSLATE(B1974,""id"",""en"")"),"['Quota', 'said', 'Not bad', 'GB', 'UDH', 'Enter', 'MAGRIB', 'GABISA', 'NGOK', 'IN', 'Signal', 'Full', ' Internet ',' paralyzed ',' poor ',' just ',' replied ',' no ',' make ',' quota ',' full ',' clock ',' disappointed ',' harmed ',' please ' , 'repaired"&amp;"']")</f>
        <v>['Quota', 'said', 'Not bad', 'GB', 'UDH', 'Enter', 'MAGRIB', 'GABISA', 'NGOK', 'IN', 'Signal', 'Full', ' Internet ',' paralyzed ',' poor ',' just ',' replied ',' no ',' make ',' quota ',' full ',' clock ',' disappointed ',' harmed ',' please ' , 'repaired']</v>
      </c>
      <c r="D1974" s="3">
        <v>1.0</v>
      </c>
    </row>
    <row r="1975" ht="15.75" customHeight="1">
      <c r="A1975" s="1">
        <v>1973.0</v>
      </c>
      <c r="B1975" s="3" t="s">
        <v>1976</v>
      </c>
      <c r="C1975" s="3" t="str">
        <f>IFERROR(__xludf.DUMMYFUNCTION("GOOGLETRANSLATE(B1975,""id"",""en"")"),"['Telkomsel', 'signal', 'buy', 'package', 'please', 'developer', 'Telkomsel', 'right', 'application', 'disappointed', ""]")</f>
        <v>['Telkomsel', 'signal', 'buy', 'package', 'please', 'developer', 'Telkomsel', 'right', 'application', 'disappointed', "]</v>
      </c>
      <c r="D1975" s="3">
        <v>2.0</v>
      </c>
    </row>
    <row r="1976" ht="15.75" customHeight="1">
      <c r="A1976" s="1">
        <v>1974.0</v>
      </c>
      <c r="B1976" s="3" t="s">
        <v>1977</v>
      </c>
      <c r="C1976" s="3" t="str">
        <f>IFERROR(__xludf.DUMMYFUNCTION("GOOGLETRANSLATE(B1976,""id"",""en"")"),"['update', 'application', 'buy', 'package', 'kek', 'org', 'crazy', 'connects',' tlpnan ',' package ',' talk ',' minutes', ' It costs', 'thousand', '']")</f>
        <v>['update', 'application', 'buy', 'package', 'kek', 'org', 'crazy', 'connects',' tlpnan ',' package ',' talk ',' minutes', ' It costs', 'thousand', '']</v>
      </c>
      <c r="D1976" s="3">
        <v>1.0</v>
      </c>
    </row>
    <row r="1977" ht="15.75" customHeight="1">
      <c r="A1977" s="1">
        <v>1975.0</v>
      </c>
      <c r="B1977" s="3" t="s">
        <v>1978</v>
      </c>
      <c r="C1977" s="3" t="str">
        <f>IFERROR(__xludf.DUMMYFUNCTION("GOOGLETRANSLATE(B1977,""id"",""en"")"),"['Telkomsel', 'steady', 'fast', 'features', 'interesting', 'easy', 'use', 'mainly', 'recommended', '']")</f>
        <v>['Telkomsel', 'steady', 'fast', 'features', 'interesting', 'easy', 'use', 'mainly', 'recommended', '']</v>
      </c>
      <c r="D1977" s="3">
        <v>5.0</v>
      </c>
    </row>
    <row r="1978" ht="15.75" customHeight="1">
      <c r="A1978" s="1">
        <v>1976.0</v>
      </c>
      <c r="B1978" s="3" t="s">
        <v>1979</v>
      </c>
      <c r="C1978" s="3" t="str">
        <f>IFERROR(__xludf.DUMMYFUNCTION("GOOGLETRANSLATE(B1978,""id"",""en"")"),"['connection', 'Telkomsel', 'skrg', 'slow', 'login', 'telkomsel', 'verification', 'sms',' second ',' sms', 'verification', 'login', ' Telkomsel ',' Disappointed ']")</f>
        <v>['connection', 'Telkomsel', 'skrg', 'slow', 'login', 'telkomsel', 'verification', 'sms',' second ',' sms', 'verification', 'login', ' Telkomsel ',' Disappointed ']</v>
      </c>
      <c r="D1978" s="3">
        <v>2.0</v>
      </c>
    </row>
    <row r="1979" ht="15.75" customHeight="1">
      <c r="A1979" s="1">
        <v>1977.0</v>
      </c>
      <c r="B1979" s="3" t="s">
        <v>1980</v>
      </c>
      <c r="C1979" s="3" t="str">
        <f>IFERROR(__xludf.DUMMYFUNCTION("GOOGLETRANSLATE(B1979,""id"",""en"")"),"['Lottery', 'Period', 'public', 'date', 'May', 'already', 'nuker', 'point', 'announcement', 'Hoakz', 'already', 'so', ' cheating ',' check ',' already ',' repeated ',' stay ',' claim ',' bonus', 'quota', 'GB', 'application', 'loss',' garbage ', ""]")</f>
        <v>['Lottery', 'Period', 'public', 'date', 'May', 'already', 'nuker', 'point', 'announcement', 'Hoakz', 'already', 'so', ' cheating ',' check ',' already ',' repeated ',' stay ',' claim ',' bonus', 'quota', 'GB', 'application', 'loss',' garbage ', "]</v>
      </c>
      <c r="D1979" s="3">
        <v>1.0</v>
      </c>
    </row>
    <row r="1980" ht="15.75" customHeight="1">
      <c r="A1980" s="1">
        <v>1978.0</v>
      </c>
      <c r="B1980" s="3" t="s">
        <v>1981</v>
      </c>
      <c r="C1980" s="3" t="str">
        <f>IFERROR(__xludf.DUMMYFUNCTION("GOOGLETRANSLATE(B1980,""id"",""en"")"),"['Paarah', 'baaangeet', 'staple', 'sympathy', 'pulse', 'rb', 'run out', 'application', 'package', 'msh', 'application', 'take', ' pulse ',' trs', 'rb', 'abis',' please ',' fix ',' eat ',' halal ',' sincere ',' costumer ',' disease ',' lho ']")</f>
        <v>['Paarah', 'baaangeet', 'staple', 'sympathy', 'pulse', 'rb', 'run out', 'application', 'package', 'msh', 'application', 'take', ' pulse ',' trs', 'rb', 'abis',' please ',' fix ',' eat ',' halal ',' sincere ',' costumer ',' disease ',' lho ']</v>
      </c>
      <c r="D1980" s="3">
        <v>1.0</v>
      </c>
    </row>
    <row r="1981" ht="15.75" customHeight="1">
      <c r="A1981" s="1">
        <v>1979.0</v>
      </c>
      <c r="B1981" s="3" t="s">
        <v>1982</v>
      </c>
      <c r="C1981" s="3" t="str">
        <f>IFERROR(__xludf.DUMMYFUNCTION("GOOGLETRANSLATE(B1981,""id"",""en"")"),"['Price', 'Changed', 'Change', 'Expensive', 'Buy', 'Paketan', 'Price', 'Buy', 'Price', 'Udh', 'Yesterday', 'Paketan', ' GB ',' GDA ',' please ',' price ',' collapsed ',' little ']")</f>
        <v>['Price', 'Changed', 'Change', 'Expensive', 'Buy', 'Paketan', 'Price', 'Buy', 'Price', 'Udh', 'Yesterday', 'Paketan', ' GB ',' GDA ',' please ',' price ',' collapsed ',' little ']</v>
      </c>
      <c r="D1981" s="3">
        <v>1.0</v>
      </c>
    </row>
    <row r="1982" ht="15.75" customHeight="1">
      <c r="A1982" s="1">
        <v>1980.0</v>
      </c>
      <c r="B1982" s="3" t="s">
        <v>1983</v>
      </c>
      <c r="C1982" s="3" t="str">
        <f>IFERROR(__xludf.DUMMYFUNCTION("GOOGLETRANSLATE(B1982,""id"",""en"")"),"['open', 'apk', 'Telkomsel', 'yaa', 'click', 'link', 'sms',' sent ',' telkomsel ',' click ',' session ',' abis', ' The timing, 'road', 'tlg', 'difficult', '']")</f>
        <v>['open', 'apk', 'Telkomsel', 'yaa', 'click', 'link', 'sms',' sent ',' telkomsel ',' click ',' session ',' abis', ' The timing, 'road', 'tlg', 'difficult', '']</v>
      </c>
      <c r="D1982" s="3">
        <v>3.0</v>
      </c>
    </row>
    <row r="1983" ht="15.75" customHeight="1">
      <c r="A1983" s="1">
        <v>1981.0</v>
      </c>
      <c r="B1983" s="3" t="s">
        <v>1984</v>
      </c>
      <c r="C1983" s="3" t="str">
        <f>IFERROR(__xludf.DUMMYFUNCTION("GOOGLETRANSLATE(B1983,""id"",""en"")"),"['likes',' Telkomsel ',' buy ',' package ',' application ',' Telkomsel ',' sometimes', 'error', 'sdkit', 'disappointed', 'access',' mksh ',' ']")</f>
        <v>['likes',' Telkomsel ',' buy ',' package ',' application ',' Telkomsel ',' sometimes', 'error', 'sdkit', 'disappointed', 'access',' mksh ',' ']</v>
      </c>
      <c r="D1983" s="3">
        <v>4.0</v>
      </c>
    </row>
    <row r="1984" ht="15.75" customHeight="1">
      <c r="A1984" s="1">
        <v>1982.0</v>
      </c>
      <c r="B1984" s="3" t="s">
        <v>1985</v>
      </c>
      <c r="C1984" s="3" t="str">
        <f>IFERROR(__xludf.DUMMYFUNCTION("GOOGLETRANSLATE(B1984,""id"",""en"")"),"['The network', 'stable', 'play', 'game', 'online', 'please', 'repaired', 'quality', 'jakarta', 'Telkomsel', 'ugly', ""]")</f>
        <v>['The network', 'stable', 'play', 'game', 'online', 'please', 'repaired', 'quality', 'jakarta', 'Telkomsel', 'ugly', "]</v>
      </c>
      <c r="D1984" s="3">
        <v>3.0</v>
      </c>
    </row>
    <row r="1985" ht="15.75" customHeight="1">
      <c r="A1985" s="1">
        <v>1983.0</v>
      </c>
      <c r="B1985" s="3" t="s">
        <v>1986</v>
      </c>
      <c r="C1985" s="3" t="str">
        <f>IFERROR(__xludf.DUMMYFUNCTION("GOOGLETRANSLATE(B1985,""id"",""en"")"),"['Please', 'his attention', 'provider', 'UDH', 'buy', 'package', 'a month', 'Yesterday', 'credit', 'ilang', 'pdhl', 'quota', ' Udh ',' that's', 'right', 'buy', 'quota', 'learn', 'pdhl', 'ask', 'call', 'center', 'his writing', 'network', 'repair' , 'repair"&amp;"s',' a month ',' already ',' that's', 'fill', 'credit', 'get', 'cashback', 'reward', 'kalogini', 'then', 'response', ' Providers', 'Service', 'Paid', 'Telkomsel', '']")</f>
        <v>['Please', 'his attention', 'provider', 'UDH', 'buy', 'package', 'a month', 'Yesterday', 'credit', 'ilang', 'pdhl', 'quota', ' Udh ',' that's', 'right', 'buy', 'quota', 'learn', 'pdhl', 'ask', 'call', 'center', 'his writing', 'network', 'repair' , 'repairs',' a month ',' already ',' that's', 'fill', 'credit', 'get', 'cashback', 'reward', 'kalogini', 'then', 'response', ' Providers', 'Service', 'Paid', 'Telkomsel', '']</v>
      </c>
      <c r="D1985" s="3">
        <v>1.0</v>
      </c>
    </row>
    <row r="1986" ht="15.75" customHeight="1">
      <c r="A1986" s="1">
        <v>1984.0</v>
      </c>
      <c r="B1986" s="3" t="s">
        <v>1987</v>
      </c>
      <c r="C1986" s="3" t="str">
        <f>IFERROR(__xludf.DUMMYFUNCTION("GOOGLETRANSLATE(B1986,""id"",""en"")"),"['Pay', 'package', 'expensive', 'network', 'kek', 'Kura', 'slow', 'forgiveness',' really ',' disappointing ',' fendor ',' pay attention ',' Satisfaction ',' convenience ',' Customer ',' Thank ',' Love ',' ']")</f>
        <v>['Pay', 'package', 'expensive', 'network', 'kek', 'Kura', 'slow', 'forgiveness',' really ',' disappointing ',' fendor ',' pay attention ',' Satisfaction ',' convenience ',' Customer ',' Thank ',' Love ',' ']</v>
      </c>
      <c r="D1986" s="3">
        <v>1.0</v>
      </c>
    </row>
    <row r="1987" ht="15.75" customHeight="1">
      <c r="A1987" s="1">
        <v>1985.0</v>
      </c>
      <c r="B1987" s="3" t="s">
        <v>1988</v>
      </c>
      <c r="C1987" s="3" t="str">
        <f>IFERROR(__xludf.DUMMYFUNCTION("GOOGLETRANSLATE(B1987,""id"",""en"")"),"['Price', 'Doang', 'expensive', 'signal', 'rich', 'pig', 'play', 'game', 'nge', 'lag', 'card', 'SIM', ' Worst ',' oath ',' ngak ',' really ',' network ',' attached to ',' money ',' compared to ',' item ',' sell ',' operator ',' Males', 'Benerin' , 'Telkom"&amp;"sel', 'BURIK', 'BURIK', 'BERIK', 'BURIK', 'BURIK', 'Card', 'SIM', ""]")</f>
        <v>['Price', 'Doang', 'expensive', 'signal', 'rich', 'pig', 'play', 'game', 'nge', 'lag', 'card', 'SIM', ' Worst ',' oath ',' ngak ',' really ',' network ',' attached to ',' money ',' compared to ',' item ',' sell ',' operator ',' Males', 'Benerin' , 'Telkomsel', 'BURIK', 'BURIK', 'BERIK', 'BURIK', 'BURIK', 'Card', 'SIM', "]</v>
      </c>
      <c r="D1987" s="3">
        <v>1.0</v>
      </c>
    </row>
    <row r="1988" ht="15.75" customHeight="1">
      <c r="A1988" s="1">
        <v>1986.0</v>
      </c>
      <c r="B1988" s="3" t="s">
        <v>1989</v>
      </c>
      <c r="C1988" s="3" t="str">
        <f>IFERROR(__xludf.DUMMYFUNCTION("GOOGLETRANSLATE(B1988,""id"",""en"")"),"['already', 'getting', 'events',' times', 'package', 'data', 'abis',' pulse ',' rb ',' package ',' abis', 'message', ' access', 'internet', 'tariff', 'non', 'package', 'events',' already ',' times', 'total', 'rb', 'pulse', 'abis',' sumps' , 'use', 'bebara"&amp;"pa', 'doang', 'trap', 'how', 'system', 'safe', 'pulse', 'regular', 'Alhamdulillah', 'solution', 'resolved', ' pulses', 'error', 'addin', 'rating', '']")</f>
        <v>['already', 'getting', 'events',' times', 'package', 'data', 'abis',' pulse ',' rb ',' package ',' abis', 'message', ' access', 'internet', 'tariff', 'non', 'package', 'events',' already ',' times', 'total', 'rb', 'pulse', 'abis',' sumps' , 'use', 'bebarapa', 'doang', 'trap', 'how', 'system', 'safe', 'pulse', 'regular', 'Alhamdulillah', 'solution', 'resolved', ' pulses', 'error', 'addin', 'rating', '']</v>
      </c>
      <c r="D1988" s="3">
        <v>5.0</v>
      </c>
    </row>
    <row r="1989" ht="15.75" customHeight="1">
      <c r="A1989" s="1">
        <v>1987.0</v>
      </c>
      <c r="B1989" s="3" t="s">
        <v>1990</v>
      </c>
      <c r="C1989" s="3" t="str">
        <f>IFERROR(__xludf.DUMMYFUNCTION("GOOGLETRANSLATE(B1989,""id"",""en"")"),"['package', 'data', 'unlimited', 'deteriorating', 'network', 'weak', 'feasible', 'play', 'game', 'online', 'beg', 'repair', ' Unlimited ',' thank ',' love ', ""]")</f>
        <v>['package', 'data', 'unlimited', 'deteriorating', 'network', 'weak', 'feasible', 'play', 'game', 'online', 'beg', 'repair', ' Unlimited ',' thank ',' love ', "]</v>
      </c>
      <c r="D1989" s="3">
        <v>1.0</v>
      </c>
    </row>
    <row r="1990" ht="15.75" customHeight="1">
      <c r="A1990" s="1">
        <v>1988.0</v>
      </c>
      <c r="B1990" s="3" t="s">
        <v>1991</v>
      </c>
      <c r="C1990" s="3" t="str">
        <f>IFERROR(__xludf.DUMMYFUNCTION("GOOGLETRANSLATE(B1990,""id"",""en"")"),"['slow', 'skrg', 'network', 'price', 'expensive', 'udh', 'th', 'Telkomsel', 'bru', 'kli', 'slow', 'please' Fix ',' Before ',' Telkomsel ',' Move ',' Heart ', ""]")</f>
        <v>['slow', 'skrg', 'network', 'price', 'expensive', 'udh', 'th', 'Telkomsel', 'bru', 'kli', 'slow', 'please' Fix ',' Before ',' Telkomsel ',' Move ',' Heart ', "]</v>
      </c>
      <c r="D1990" s="3">
        <v>2.0</v>
      </c>
    </row>
    <row r="1991" ht="15.75" customHeight="1">
      <c r="A1991" s="1">
        <v>1989.0</v>
      </c>
      <c r="B1991" s="3" t="s">
        <v>1992</v>
      </c>
      <c r="C1991" s="3" t="str">
        <f>IFERROR(__xludf.DUMMYFUNCTION("GOOGLETRANSLATE(B1991,""id"",""en"")"),"['Disappointed', 'really', 'Telkomsel', 'I', 'user', 'kyk', 'gini', 'mah', 'mending', 'move', 'point', 'right', ' buried ',' was asked ',' pulse ',' kek ',' buy ',' quota ',' pulse ',' name ',' dahlah ',' sorry ',' nie ',' kek ',' me ' , 'Move', 'Haluan',"&amp;" 'Bye', 'bye']")</f>
        <v>['Disappointed', 'really', 'Telkomsel', 'I', 'user', 'kyk', 'gini', 'mah', 'mending', 'move', 'point', 'right', ' buried ',' was asked ',' pulse ',' kek ',' buy ',' quota ',' pulse ',' name ',' dahlah ',' sorry ',' nie ',' kek ',' me ' , 'Move', 'Haluan', 'Bye', 'bye']</v>
      </c>
      <c r="D1991" s="3">
        <v>1.0</v>
      </c>
    </row>
    <row r="1992" ht="15.75" customHeight="1">
      <c r="A1992" s="1">
        <v>1990.0</v>
      </c>
      <c r="B1992" s="3" t="s">
        <v>1993</v>
      </c>
      <c r="C1992" s="3" t="str">
        <f>IFERROR(__xludf.DUMMYFUNCTION("GOOGLETRANSLATE(B1992,""id"",""en"")"),"['Please', 'Very', 'Please', 'Fix', 'Network', 'Telkomsel', 'Buy', 'Package', 'Expensive', 'Expensive', 'Network', 'Leet', ' emotions', 'play', 'games',' mobile ',' legnd ',' slow ',' gini ',' replace ',' subscription ',' package ',' ']")</f>
        <v>['Please', 'Very', 'Please', 'Fix', 'Network', 'Telkomsel', 'Buy', 'Package', 'Expensive', 'Expensive', 'Network', 'Leet', ' emotions', 'play', 'games',' mobile ',' legnd ',' slow ',' gini ',' replace ',' subscription ',' package ',' ']</v>
      </c>
      <c r="D1992" s="3">
        <v>1.0</v>
      </c>
    </row>
    <row r="1993" ht="15.75" customHeight="1">
      <c r="A1993" s="1">
        <v>1991.0</v>
      </c>
      <c r="B1993" s="3" t="s">
        <v>1994</v>
      </c>
      <c r="C1993" s="3" t="str">
        <f>IFERROR(__xludf.DUMMYFUNCTION("GOOGLETRANSLATE(B1993,""id"",""en"")"),"['Telkontolsel', 'KONT', 'LLLL', 'Fix', 'Network', 'Money', 'Package', 'Expensive', 'Senational', 'Quality', 'Worst', 'Stay', ' ']")</f>
        <v>['Telkontolsel', 'KONT', 'LLLL', 'Fix', 'Network', 'Money', 'Package', 'Expensive', 'Senational', 'Quality', 'Worst', 'Stay', ' ']</v>
      </c>
      <c r="D1993" s="3">
        <v>1.0</v>
      </c>
    </row>
    <row r="1994" ht="15.75" customHeight="1">
      <c r="A1994" s="1">
        <v>1992.0</v>
      </c>
      <c r="B1994" s="3" t="s">
        <v>1995</v>
      </c>
      <c r="C1994" s="3" t="str">
        <f>IFERROR(__xludf.DUMMYFUNCTION("GOOGLETRANSLATE(B1994,""id"",""en"")"),"['Hi', 'TelkomSeeellll', 'Baby', 'honeyyyy', 'package', 'expensive', 'yaahh', 'quality', 'network', 'fix', 'Okeee', 'good', ' Luck ',' hope ',' money ',' people ',' buy ',' operator ',' Telkomsel ',' smakin ',' Jaya ',' LIKE ',' Telkomsel ',' disappointin"&amp;"g ',' lbih ' , 'Praise', 'Disappointed', 'Dri', 'blasphemy', 'really', 'disappointing', '']")</f>
        <v>['Hi', 'TelkomSeeellll', 'Baby', 'honeyyyy', 'package', 'expensive', 'yaahh', 'quality', 'network', 'fix', 'Okeee', 'good', ' Luck ',' hope ',' money ',' people ',' buy ',' operator ',' Telkomsel ',' smakin ',' Jaya ',' LIKE ',' Telkomsel ',' disappointing ',' lbih ' , 'Praise', 'Disappointed', 'Dri', 'blasphemy', 'really', 'disappointing', '']</v>
      </c>
      <c r="D1994" s="3">
        <v>1.0</v>
      </c>
    </row>
    <row r="1995" ht="15.75" customHeight="1">
      <c r="A1995" s="1">
        <v>1993.0</v>
      </c>
      <c r="B1995" s="3" t="s">
        <v>1996</v>
      </c>
      <c r="C1995" s="3" t="str">
        <f>IFERROR(__xludf.DUMMYFUNCTION("GOOGLETRANSLATE(B1995,""id"",""en"")"),"['The network', 'already', 'week', 'ugly', 'really', 'maen', 'game', 'buy', 'package', 'expensive', 'quality', 'network', ' good ',' shook ',' head ',' deh ',' network ',' please ',' repair ',' hope ',' read ',' deh ',' ']")</f>
        <v>['The network', 'already', 'week', 'ugly', 'really', 'maen', 'game', 'buy', 'package', 'expensive', 'quality', 'network', ' good ',' shook ',' head ',' deh ',' network ',' please ',' repair ',' hope ',' read ',' deh ',' ']</v>
      </c>
      <c r="D1995" s="3">
        <v>1.0</v>
      </c>
    </row>
    <row r="1996" ht="15.75" customHeight="1">
      <c r="A1996" s="1">
        <v>1994.0</v>
      </c>
      <c r="B1996" s="3" t="s">
        <v>1997</v>
      </c>
      <c r="C1996" s="3" t="str">
        <f>IFERROR(__xludf.DUMMYFUNCTION("GOOGLETRANSLATE(B1996,""id"",""en"")"),"['Package', 'unlimited', 'Telkomsel', 'recommendation', 'really', 'already', 'network', 'slow', 'really', 'streaming', 'play', 'game', ' slow ',' really ',' limit ',' usage ',' Naturally ', ""]")</f>
        <v>['Package', 'unlimited', 'Telkomsel', 'recommendation', 'really', 'already', 'network', 'slow', 'really', 'streaming', 'play', 'game', ' slow ',' really ',' limit ',' usage ',' Naturally ', "]</v>
      </c>
      <c r="D1996" s="3">
        <v>1.0</v>
      </c>
    </row>
    <row r="1997" ht="15.75" customHeight="1">
      <c r="A1997" s="1">
        <v>1995.0</v>
      </c>
      <c r="B1997" s="3" t="s">
        <v>1998</v>
      </c>
      <c r="C1997" s="3" t="str">
        <f>IFERROR(__xludf.DUMMYFUNCTION("GOOGLETRANSLATE(B1997,""id"",""en"")"),"['', 'application', 'promo', 'package', 'combo', 'sakti', 'contents',' reset ',' pulse ',' promo ',' package ',' buy ',' appears ',' writing ',' disorder ',' banner ',' promo ',' buy ',' detrimental ',' customer ',' gini ',' sain ',' contents', 'reset', '"&amp;"pulses']")</f>
        <v>['', 'application', 'promo', 'package', 'combo', 'sakti', 'contents',' reset ',' pulse ',' promo ',' package ',' buy ',' appears ',' writing ',' disorder ',' banner ',' promo ',' buy ',' detrimental ',' customer ',' gini ',' sain ',' contents', 'reset', 'pulses']</v>
      </c>
      <c r="D1997" s="3">
        <v>1.0</v>
      </c>
    </row>
    <row r="1998" ht="15.75" customHeight="1">
      <c r="A1998" s="1">
        <v>1996.0</v>
      </c>
      <c r="B1998" s="3" t="s">
        <v>1999</v>
      </c>
      <c r="C1998" s="3" t="str">
        <f>IFERROR(__xludf.DUMMYFUNCTION("GOOGLETRANSLATE(B1998,""id"",""en"")"),"['Please', 'improvements',' signal ',' in each ',' area ',' unfortunate ',' Telkomsel ',' As', 'trusted', 'circles',' community ',' Problem ',' In his earned ',' for ',' price ',' expensive ',' Network ',' Sumbin ',' Good ',' Sumbin ',' Used ',' Hopefully"&amp;" ',' In the future ',' Please ',' Listen ',' listen ' , 'Voice', 'Consumers', 'Success', 'Older', 'Brand', 'Greetings', 'Peace']")</f>
        <v>['Please', 'improvements',' signal ',' in each ',' area ',' unfortunate ',' Telkomsel ',' As', 'trusted', 'circles',' community ',' Problem ',' In his earned ',' for ',' price ',' expensive ',' Network ',' Sumbin ',' Good ',' Sumbin ',' Used ',' Hopefully ',' In the future ',' Please ',' Listen ',' listen ' , 'Voice', 'Consumers', 'Success', 'Older', 'Brand', 'Greetings', 'Peace']</v>
      </c>
      <c r="D1998" s="3">
        <v>2.0</v>
      </c>
    </row>
    <row r="1999" ht="15.75" customHeight="1">
      <c r="A1999" s="1">
        <v>1997.0</v>
      </c>
      <c r="B1999" s="3" t="s">
        <v>2000</v>
      </c>
      <c r="C1999" s="3" t="str">
        <f>IFERROR(__xludf.DUMMYFUNCTION("GOOGLETRANSLATE(B1999,""id"",""en"")"),"['Update', 'Open', 'Direct', 'Error', 'repeated', 'Uninstall', 'Kemudiang', 'Unstal', 'reset', 'election', 'allow', 'management', ' Calls', 'telephone', 'hang', 'tape', '']")</f>
        <v>['Update', 'Open', 'Direct', 'Error', 'repeated', 'Uninstall', 'Kemudiang', 'Unstal', 'reset', 'election', 'allow', 'management', ' Calls', 'telephone', 'hang', 'tape', '']</v>
      </c>
      <c r="D1999" s="3">
        <v>1.0</v>
      </c>
    </row>
    <row r="2000" ht="15.75" customHeight="1">
      <c r="A2000" s="1">
        <v>1998.0</v>
      </c>
      <c r="B2000" s="3" t="s">
        <v>2001</v>
      </c>
      <c r="C2000" s="3" t="str">
        <f>IFERROR(__xludf.DUMMYFUNCTION("GOOGLETRANSLATE(B2000,""id"",""en"")"),"['sad', 'use', 'Telkomsel', 'skrng', 'card', 'combosakti', 'gada', 'fup', 'unlimited', 'limit', 'speed', 'batalin', ' Unlimited ',' GB ',' Marketing ',' yahh ', ""]")</f>
        <v>['sad', 'use', 'Telkomsel', 'skrng', 'card', 'combosakti', 'gada', 'fup', 'unlimited', 'limit', 'speed', 'batalin', ' Unlimited ',' GB ',' Marketing ',' yahh ', "]</v>
      </c>
      <c r="D2000" s="3">
        <v>3.0</v>
      </c>
    </row>
    <row r="2001" ht="15.75" customHeight="1">
      <c r="A2001" s="1">
        <v>1999.0</v>
      </c>
      <c r="B2001" s="3" t="s">
        <v>2002</v>
      </c>
      <c r="C2001" s="3" t="str">
        <f>IFERROR(__xludf.DUMMYFUNCTION("GOOGLETRANSLATE(B2001,""id"",""en"")"),"['woii', 'Telkomsel', 'package', 'internet', 'special', 'ojol', 'klw', 'run out', 'no', 'display', 'contents',' plsa ',' Click ',' Buy ',' Package ',' Out ',' Tiredll ',' Telokmsel ',' Package ',' Expensive ',' Operator ',' Help ',' People ',' Bring ']")</f>
        <v>['woii', 'Telkomsel', 'package', 'internet', 'special', 'ojol', 'klw', 'run out', 'no', 'display', 'contents',' plsa ',' Click ',' Buy ',' Package ',' Out ',' Tiredll ',' Telokmsel ',' Package ',' Expensive ',' Operator ',' Help ',' People ',' Bring ']</v>
      </c>
      <c r="D2001" s="3">
        <v>1.0</v>
      </c>
    </row>
    <row r="2002" ht="15.75" customHeight="1">
      <c r="A2002" s="1">
        <v>2000.0</v>
      </c>
      <c r="B2002" s="3" t="s">
        <v>2003</v>
      </c>
      <c r="C2002" s="3" t="str">
        <f>IFERROR(__xludf.DUMMYFUNCTION("GOOGLETRANSLATE(B2002,""id"",""en"")"),"['package', 'expensive', 'complaints',' network ',' internet ',' lambal ',' telephone ',' oprator ',' times', 'slow', 'lmot', 'oprator', ' Wait ',' wait ',' already ',' week ',' meek ',' change ',' severe ',' Telkomsel ',' gabisa ',' fix ',' complaints', "&amp;"'customer']")</f>
        <v>['package', 'expensive', 'complaints',' network ',' internet ',' lambal ',' telephone ',' oprator ',' times', 'slow', 'lmot', 'oprator', ' Wait ',' wait ',' already ',' week ',' meek ',' change ',' severe ',' Telkomsel ',' gabisa ',' fix ',' complaints', 'customer']</v>
      </c>
      <c r="D2002" s="3">
        <v>1.0</v>
      </c>
    </row>
    <row r="2003" ht="15.75" customHeight="1">
      <c r="A2003" s="1">
        <v>2001.0</v>
      </c>
      <c r="B2003" s="3" t="s">
        <v>2004</v>
      </c>
      <c r="C2003" s="3" t="str">
        <f>IFERROR(__xludf.DUMMYFUNCTION("GOOGLETRANSLATE(B2003,""id"",""en"")"),"['Login', 'Telkomsel', 'his writing', 'Expired', 'Mulu', 'Rich', 'That's', 'Repaired', 'Customer', 'Disappointed', '']")</f>
        <v>['Login', 'Telkomsel', 'his writing', 'Expired', 'Mulu', 'Rich', 'That's', 'Repaired', 'Customer', 'Disappointed', '']</v>
      </c>
      <c r="D2003" s="3">
        <v>1.0</v>
      </c>
    </row>
    <row r="2004" ht="15.75" customHeight="1">
      <c r="A2004" s="1">
        <v>2002.0</v>
      </c>
      <c r="B2004" s="3" t="s">
        <v>2005</v>
      </c>
      <c r="C2004" s="3" t="str">
        <f>IFERROR(__xludf.DUMMYFUNCTION("GOOGLETRANSLATE(B2004,""id"",""en"")"),"['application', 'told', 'entered', 'already', 'login', 'user', 'telkomsel', 'jngn', 'difficult', 'buy', 'package', 'Gara', ' Have ',' Entertain ',' enter ',' updet ',' kayak ',' gini ',' right ',' updet ',' aduhduhduhduh ']")</f>
        <v>['application', 'told', 'entered', 'already', 'login', 'user', 'telkomsel', 'jngn', 'difficult', 'buy', 'package', 'Gara', ' Have ',' Entertain ',' enter ',' updet ',' kayak ',' gini ',' right ',' updet ',' aduhduhduhduh ']</v>
      </c>
      <c r="D2004" s="3">
        <v>2.0</v>
      </c>
    </row>
    <row r="2005" ht="15.75" customHeight="1">
      <c r="A2005" s="1">
        <v>2003.0</v>
      </c>
      <c r="B2005" s="3" t="s">
        <v>2006</v>
      </c>
      <c r="C2005" s="3" t="str">
        <f>IFERROR(__xludf.DUMMYFUNCTION("GOOGLETRANSLATE(B2005,""id"",""en"")"),"['sympathy', 'network', 'biggest', 'Indonesia', 'quality', 'below', 'package', 'kouta', 'expensive', 'quality', 'bad', 'mending', ' Move ',' Internet ',' ']")</f>
        <v>['sympathy', 'network', 'biggest', 'Indonesia', 'quality', 'below', 'package', 'kouta', 'expensive', 'quality', 'bad', 'mending', ' Move ',' Internet ',' ']</v>
      </c>
      <c r="D2005" s="3">
        <v>1.0</v>
      </c>
    </row>
    <row r="2006" ht="15.75" customHeight="1">
      <c r="A2006" s="1">
        <v>2004.0</v>
      </c>
      <c r="B2006" s="3" t="s">
        <v>2007</v>
      </c>
      <c r="C2006" s="3" t="str">
        <f>IFERROR(__xludf.DUMMYFUNCTION("GOOGLETRANSLATE(B2006,""id"",""en"")"),"['Woy', 'quota', 'unlimited', 'or', 'open', 'tick', 'tok', 'road', 'open', 'picture', 'play', 'game', ' Log ',' quota ',' cheap ',' kayak ',' that's', '']")</f>
        <v>['Woy', 'quota', 'unlimited', 'or', 'open', 'tick', 'tok', 'road', 'open', 'picture', 'play', 'game', ' Log ',' quota ',' cheap ',' kayak ',' that's', '']</v>
      </c>
      <c r="D2006" s="3">
        <v>1.0</v>
      </c>
    </row>
    <row r="2007" ht="15.75" customHeight="1">
      <c r="A2007" s="1">
        <v>2005.0</v>
      </c>
      <c r="B2007" s="3" t="s">
        <v>2008</v>
      </c>
      <c r="C2007" s="3" t="str">
        <f>IFERROR(__xludf.DUMMYFUNCTION("GOOGLETRANSLATE(B2007,""id"",""en"")"),"['love', 'just', 'Telkom', 'signal', 'already', 'I', 'replace', 'card', 'I', 'price', 'ngak', 'gadk', ' expensive ',' times', 'buy', 'package', 'data', 'price', 'doubled', 'data', 'run out', 'fast', 'really', 'ngak', 'according to' , 'usage', 'easy', 'eas"&amp;"y', 'tower', 'fast', 'kinari', 'replace', 'card', 'indosat', 'according to', 'data', ' Use ',' Indosat ',' Love ',' Package ',' Data ',' Telkom ',' stingy ',' Easy ',' Fast ',' Bankrupt ']")</f>
        <v>['love', 'just', 'Telkom', 'signal', 'already', 'I', 'replace', 'card', 'I', 'price', 'ngak', 'gadk', ' expensive ',' times', 'buy', 'package', 'data', 'price', 'doubled', 'data', 'run out', 'fast', 'really', 'ngak', 'according to' , 'usage', 'easy', 'easy', 'tower', 'fast', 'kinari', 'replace', 'card', 'indosat', 'according to', 'data', ' Use ',' Indosat ',' Love ',' Package ',' Data ',' Telkom ',' stingy ',' Easy ',' Fast ',' Bankrupt ']</v>
      </c>
      <c r="D2007" s="3">
        <v>1.0</v>
      </c>
    </row>
    <row r="2008" ht="15.75" customHeight="1">
      <c r="A2008" s="1">
        <v>2006.0</v>
      </c>
      <c r="B2008" s="3" t="s">
        <v>2009</v>
      </c>
      <c r="C2008" s="3" t="str">
        <f>IFERROR(__xludf.DUMMYFUNCTION("GOOGLETRANSLATE(B2008,""id"",""en"")"),"['purpose', 'application', 'update', 'already', 'login', 'loggingout', 'login', 'verification', 'sms',' logout ',' many ',' times', ' Mulu ',' uedannn ']")</f>
        <v>['purpose', 'application', 'update', 'already', 'login', 'loggingout', 'login', 'verification', 'sms',' logout ',' many ',' times', ' Mulu ',' uedannn ']</v>
      </c>
      <c r="D2008" s="3">
        <v>1.0</v>
      </c>
    </row>
    <row r="2009" ht="15.75" customHeight="1">
      <c r="A2009" s="1">
        <v>2007.0</v>
      </c>
      <c r="B2009" s="3" t="s">
        <v>2010</v>
      </c>
      <c r="C2009" s="3" t="str">
        <f>IFERROR(__xludf.DUMMYFUNCTION("GOOGLETRANSLATE(B2009,""id"",""en"")"),"['application', 'repairs',' check ',' billing ',' postpaid ',' displayed ',' billing ',' account ',' person ',' encrypted ',' date ',' born ',' file ',' PDF ',' name ',' person ',' information ',' secret ',' billing ',' hope ',' repair ']")</f>
        <v>['application', 'repairs',' check ',' billing ',' postpaid ',' displayed ',' billing ',' account ',' person ',' encrypted ',' date ',' born ',' file ',' PDF ',' name ',' person ',' information ',' secret ',' billing ',' hope ',' repair ']</v>
      </c>
      <c r="D2009" s="3">
        <v>2.0</v>
      </c>
    </row>
    <row r="2010" ht="15.75" customHeight="1">
      <c r="A2010" s="1">
        <v>2008.0</v>
      </c>
      <c r="B2010" s="3" t="s">
        <v>2011</v>
      </c>
      <c r="C2010" s="3" t="str">
        <f>IFERROR(__xludf.DUMMYFUNCTION("GOOGLETRANSLATE(B2010,""id"",""en"")"),"['week', 'buy', 'plus',' card ',' SIM ',' Sampe ',' skrg ',' list ',' application ',' link ',' valid ',' trus', ' Regestration ',' Success', 'Buy', 'Quota', 'LWT', 'Phone', 'Login', 'Application', 'Strange', 'Kyk', 'Government']")</f>
        <v>['week', 'buy', 'plus',' card ',' SIM ',' Sampe ',' skrg ',' list ',' application ',' link ',' valid ',' trus', ' Regestration ',' Success', 'Buy', 'Quota', 'LWT', 'Phone', 'Login', 'Application', 'Strange', 'Kyk', 'Government']</v>
      </c>
      <c r="D2010" s="3">
        <v>1.0</v>
      </c>
    </row>
    <row r="2011" ht="15.75" customHeight="1">
      <c r="A2011" s="1">
        <v>2009.0</v>
      </c>
      <c r="B2011" s="3" t="s">
        <v>2012</v>
      </c>
      <c r="C2011" s="3" t="str">
        <f>IFERROR(__xludf.DUMMYFUNCTION("GOOGLETRANSLATE(B2011,""id"",""en"")"),"['Package', 'Satan', 'his authority', 'check', 'msh', 'missing', 'where', 'quota', 'logic', 'package', 'run out', ""]")</f>
        <v>['Package', 'Satan', 'his authority', 'check', 'msh', 'missing', 'where', 'quota', 'logic', 'package', 'run out', "]</v>
      </c>
      <c r="D2011" s="3">
        <v>1.0</v>
      </c>
    </row>
    <row r="2012" ht="15.75" customHeight="1">
      <c r="A2012" s="1">
        <v>2010.0</v>
      </c>
      <c r="B2012" s="3" t="s">
        <v>2013</v>
      </c>
      <c r="C2012" s="3" t="str">
        <f>IFERROR(__xludf.DUMMYFUNCTION("GOOGLETRANSLATE(B2012,""id"",""en"")"),"['many years',' Telkomsel ',' times', 'disappointed', 'heavy', 'filled', 'pulses',' direct ',' sumps', 'run out', 'package', 'system', ' Provider ',' Unreg ',' Stop ',' buy ',' credit ',' Telkomsel ',' card ',' waste ',' bother ',' must ',' love ',' perso"&amp;"n ',' nomer ' , 'Operator', 'how', 'Telkomsel', '']")</f>
        <v>['many years',' Telkomsel ',' times', 'disappointed', 'heavy', 'filled', 'pulses',' direct ',' sumps', 'run out', 'package', 'system', ' Provider ',' Unreg ',' Stop ',' buy ',' credit ',' Telkomsel ',' card ',' waste ',' bother ',' must ',' love ',' person ',' nomer ' , 'Operator', 'how', 'Telkomsel', '']</v>
      </c>
      <c r="D2012" s="3">
        <v>1.0</v>
      </c>
    </row>
    <row r="2013" ht="15.75" customHeight="1">
      <c r="A2013" s="1">
        <v>2011.0</v>
      </c>
      <c r="B2013" s="3" t="s">
        <v>2014</v>
      </c>
      <c r="C2013" s="3" t="str">
        <f>IFERROR(__xludf.DUMMYFUNCTION("GOOGLETRANSLATE(B2013,""id"",""en"")"),"['already', 'list', 'package', 'special', 'NTN', 'YouTube', 'pulse', 'first', 'taken', 'until', 'run out', ' YouTube ',' GMN ',' Bedain ',' already ',' Register ',' Package ',' ']")</f>
        <v>['already', 'list', 'package', 'special', 'NTN', 'YouTube', 'pulse', 'first', 'taken', 'until', 'run out', ' YouTube ',' GMN ',' Bedain ',' already ',' Register ',' Package ',' ']</v>
      </c>
      <c r="D2013" s="3">
        <v>1.0</v>
      </c>
    </row>
    <row r="2014" ht="15.75" customHeight="1">
      <c r="A2014" s="1">
        <v>2012.0</v>
      </c>
      <c r="B2014" s="3" t="s">
        <v>2015</v>
      </c>
      <c r="C2014" s="3" t="str">
        <f>IFERROR(__xludf.DUMMYFUNCTION("GOOGLETRANSLATE(B2014,""id"",""en"")"),"['network', 'Telkomsel', 'slow', 'the application', 'Telkomsel', 'poor', 'log', ""]")</f>
        <v>['network', 'Telkomsel', 'slow', 'the application', 'Telkomsel', 'poor', 'log', "]</v>
      </c>
      <c r="D2014" s="3">
        <v>1.0</v>
      </c>
    </row>
    <row r="2015" ht="15.75" customHeight="1">
      <c r="A2015" s="1">
        <v>2013.0</v>
      </c>
      <c r="B2015" s="3" t="s">
        <v>2016</v>
      </c>
      <c r="C2015" s="3" t="str">
        <f>IFERROR(__xludf.DUMMYFUNCTION("GOOGLETRANSLATE(B2015,""id"",""en"")"),"['', 'Honest', 'cave', 'Download', 'apk', 'Telkomsel', 'just', 'gave', 'review', 'card', 'pulp', 'quota', 'tiger ',' signal ',' cat ',' loss', 'NGTD', 'cave', 'buy', 'quota', 'expensive', 'expensive', 'signal', 'cheap', 'admin', 'Read', 'Review', 'cave', "&amp;"'Benerin', 'AJG', 'friend', 'cave', 'burden', 'maen', 'game', 'signal', 'telkomtod', 'followed ',' Load ',' Chapter ',' ']")</f>
        <v>['', 'Honest', 'cave', 'Download', 'apk', 'Telkomsel', 'just', 'gave', 'review', 'card', 'pulp', 'quota', 'tiger ',' signal ',' cat ',' loss', 'NGTD', 'cave', 'buy', 'quota', 'expensive', 'expensive', 'signal', 'cheap', 'admin', 'Read', 'Review', 'cave', 'Benerin', 'AJG', 'friend', 'cave', 'burden', 'maen', 'game', 'signal', 'telkomtod', 'followed ',' Load ',' Chapter ',' ']</v>
      </c>
      <c r="D2015" s="3">
        <v>1.0</v>
      </c>
    </row>
    <row r="2016" ht="15.75" customHeight="1">
      <c r="A2016" s="1">
        <v>2014.0</v>
      </c>
      <c r="B2016" s="3" t="s">
        <v>2017</v>
      </c>
      <c r="C2016" s="3" t="str">
        <f>IFERROR(__xludf.DUMMYFUNCTION("GOOGLETRANSLATE(B2016,""id"",""en"")"),"['credit', 'reduced', 'internet', 'quota', 'quota', 'pulse', 'dipake', 'sms', 'call', 'strange', 'ilang', '']")</f>
        <v>['credit', 'reduced', 'internet', 'quota', 'quota', 'pulse', 'dipake', 'sms', 'call', 'strange', 'ilang', '']</v>
      </c>
      <c r="D2016" s="3">
        <v>1.0</v>
      </c>
    </row>
    <row r="2017" ht="15.75" customHeight="1">
      <c r="A2017" s="1">
        <v>2015.0</v>
      </c>
      <c r="B2017" s="3" t="s">
        <v>2018</v>
      </c>
      <c r="C2017" s="3" t="str">
        <f>IFERROR(__xludf.DUMMYFUNCTION("GOOGLETRANSLATE(B2017,""id"",""en"")"),"['', 'Credit', 'expensive', 'network', 'Tahek', 'Bener', 'Bener', 'Network', 'Telkomsel', 'Bad', 'really', 'Mulay', 'Good ',' clock ',' malem ',' doang ',' love ',' animal ',' because 'good', 'already', 'bcd', 'love', 'star', ""]")</f>
        <v>['', 'Credit', 'expensive', 'network', 'Tahek', 'Bener', 'Bener', 'Network', 'Telkomsel', 'Bad', 'really', 'Mulay', 'Good ',' clock ',' malem ',' doang ',' love ',' animal ',' because 'good', 'already', 'bcd', 'love', 'star', "]</v>
      </c>
      <c r="D2017" s="3">
        <v>5.0</v>
      </c>
    </row>
    <row r="2018" ht="15.75" customHeight="1">
      <c r="A2018" s="1">
        <v>2016.0</v>
      </c>
      <c r="B2018" s="3" t="s">
        <v>2019</v>
      </c>
      <c r="C2018" s="3" t="str">
        <f>IFERROR(__xludf.DUMMYFUNCTION("GOOGLETRANSLATE(B2018,""id"",""en"")"),"['See', 'opinions',' opinions', 'respond', 'admin', 'Telkomsel', 'buy', 'package', 'the application', 'loading', 'really', 'open', ' The network is', 'Full', 'Musti', 'Change', 'Paca', 'Pay', '']")</f>
        <v>['See', 'opinions',' opinions', 'respond', 'admin', 'Telkomsel', 'buy', 'package', 'the application', 'loading', 'really', 'open', ' The network is', 'Full', 'Musti', 'Change', 'Paca', 'Pay', '']</v>
      </c>
      <c r="D2018" s="3">
        <v>1.0</v>
      </c>
    </row>
    <row r="2019" ht="15.75" customHeight="1">
      <c r="A2019" s="1">
        <v>2017.0</v>
      </c>
      <c r="B2019" s="3" t="s">
        <v>2020</v>
      </c>
      <c r="C2019" s="3" t="str">
        <f>IFERROR(__xludf.DUMMYFUNCTION("GOOGLETRANSLATE(B2019,""id"",""en"")"),"['Hii', 'Telkomsel', 'Please', 'Heard', 'Our', 'West', 'Papua', 'Need', 'Network', 'Prima', 'Optimal', 'Papua', ' network ',' maintenance ',' periodic ',' quality ',' balanced ',' price ',' expensive ',' Thanks', 'You', 'Hope', 'You', 'More', 'Better' , '"&amp;"Telkomsel', '']")</f>
        <v>['Hii', 'Telkomsel', 'Please', 'Heard', 'Our', 'West', 'Papua', 'Need', 'Network', 'Prima', 'Optimal', 'Papua', ' network ',' maintenance ',' periodic ',' quality ',' balanced ',' price ',' expensive ',' Thanks', 'You', 'Hope', 'You', 'More', 'Better' , 'Telkomsel', '']</v>
      </c>
      <c r="D2019" s="3">
        <v>2.0</v>
      </c>
    </row>
    <row r="2020" ht="15.75" customHeight="1">
      <c r="A2020" s="1">
        <v>2018.0</v>
      </c>
      <c r="B2020" s="3" t="s">
        <v>2021</v>
      </c>
      <c r="C2020" s="3" t="str">
        <f>IFERROR(__xludf.DUMMYFUNCTION("GOOGLETRANSLATE(B2020,""id"",""en"")"),"['Season', 'play', 'intention', 'buy', 'credit', 'extend', 'package', 'data', 'application', 'open', 'check', 'pulse', ' run out ',' stay ',' IDR ',' limit ',' quota ',' run out ',' night ',' clock ',' come on ',' Telkomsel ',' use ',' card ',' ngeselin '"&amp;" , 'really', 'astagfirullah', 'sorry', 'love', 'rating', 'change', 'God willing', 'God', 'raise', 'star', ""]")</f>
        <v>['Season', 'play', 'intention', 'buy', 'credit', 'extend', 'package', 'data', 'application', 'open', 'check', 'pulse', ' run out ',' stay ',' IDR ',' limit ',' quota ',' run out ',' night ',' clock ',' come on ',' Telkomsel ',' use ',' card ',' ngeselin ' , 'really', 'astagfirullah', 'sorry', 'love', 'rating', 'change', 'God willing', 'God', 'raise', 'star', "]</v>
      </c>
      <c r="D2020" s="3">
        <v>1.0</v>
      </c>
    </row>
    <row r="2021" ht="15.75" customHeight="1">
      <c r="A2021" s="1">
        <v>2019.0</v>
      </c>
      <c r="B2021" s="3" t="s">
        <v>2022</v>
      </c>
      <c r="C2021" s="3" t="str">
        <f>IFERROR(__xludf.DUMMYFUNCTION("GOOGLETRANSLATE(B2021,""id"",""en"")"),"['repeat', 'times',' call ',' Veronika ',' nil ',' send ',' email ',' smpe ',' skrg ',' response ',' please ',' faster ',' Here ',' Service ',' Bad ',' Please ',' Fix ',' System ',' Nambah ',' Star ', ""]")</f>
        <v>['repeat', 'times',' call ',' Veronika ',' nil ',' send ',' email ',' smpe ',' skrg ',' response ',' please ',' faster ',' Here ',' Service ',' Bad ',' Please ',' Fix ',' System ',' Nambah ',' Star ', "]</v>
      </c>
      <c r="D2021" s="3">
        <v>1.0</v>
      </c>
    </row>
    <row r="2022" ht="15.75" customHeight="1">
      <c r="A2022" s="1">
        <v>2020.0</v>
      </c>
      <c r="B2022" s="3" t="s">
        <v>2023</v>
      </c>
      <c r="C2022" s="3" t="str">
        <f>IFERROR(__xludf.DUMMYFUNCTION("GOOGLETRANSLATE(B2022,""id"",""en"")"),"['Network', 'slow', 'no', 'stable', 'price', 'quota', 'expensive', 'Telkomsel', 'owned', 'BUMN', 'alias', 'belongs' Country ',' impressions', 'makes it easy', 'minings',' people ']")</f>
        <v>['Network', 'slow', 'no', 'stable', 'price', 'quota', 'expensive', 'Telkomsel', 'owned', 'BUMN', 'alias', 'belongs' Country ',' impressions', 'makes it easy', 'minings',' people ']</v>
      </c>
      <c r="D2022" s="3">
        <v>2.0</v>
      </c>
    </row>
    <row r="2023" ht="15.75" customHeight="1">
      <c r="A2023" s="1">
        <v>2021.0</v>
      </c>
      <c r="B2023" s="3" t="s">
        <v>2024</v>
      </c>
      <c r="C2023" s="3" t="str">
        <f>IFERROR(__xludf.DUMMYFUNCTION("GOOGLETRANSLATE(B2023,""id"",""en"")"),"['Try', 'deh', 'feature', 'replace', 'jdi', 'package', 'data', 'finished', 'stay', 'service', 'internet', 'ttep', ' giving ',' service ',' internet ',' TPI ',' pulsaa ',' Tibabtiba ',' pulse ',' rb ',' lost ',' dlam ',' mnt ',' taste ',' rampok ' , 'Somet"&amp;"imes',' likes', 'activated', 'package', 'emergency', 'knowledge', 'as a result', 'contents',' pulses', 'robp', 'please', 'sangay', ' fair']")</f>
        <v>['Try', 'deh', 'feature', 'replace', 'jdi', 'package', 'data', 'finished', 'stay', 'service', 'internet', 'ttep', ' giving ',' service ',' internet ',' TPI ',' pulsaa ',' Tibabtiba ',' pulse ',' rb ',' lost ',' dlam ',' mnt ',' taste ',' rampok ' , 'Sometimes',' likes', 'activated', 'package', 'emergency', 'knowledge', 'as a result', 'contents',' pulses', 'robp', 'please', 'sangay', ' fair']</v>
      </c>
      <c r="D2023" s="3">
        <v>1.0</v>
      </c>
    </row>
    <row r="2024" ht="15.75" customHeight="1">
      <c r="A2024" s="1">
        <v>2022.0</v>
      </c>
      <c r="B2024" s="3" t="s">
        <v>2025</v>
      </c>
      <c r="C2024" s="3" t="str">
        <f>IFERROR(__xludf.DUMMYFUNCTION("GOOGLETRANSLATE(B2024,""id"",""en"")"),"['', 'cool', 'right', 'claim', 'gift', 'check', 'apk', 'dbuka', 'server', 'error', 'mulu', 'right', 'package ',' Mnipis', 'smooth', 'intention', 'gasih', 'love', 'gift', 'prize', 'pke', 'jtuh', 'tempo', 'kzlll']")</f>
        <v>['', 'cool', 'right', 'claim', 'gift', 'check', 'apk', 'dbuka', 'server', 'error', 'mulu', 'right', 'package ',' Mnipis', 'smooth', 'intention', 'gasih', 'love', 'gift', 'prize', 'pke', 'jtuh', 'tempo', 'kzlll']</v>
      </c>
      <c r="D2024" s="3">
        <v>2.0</v>
      </c>
    </row>
    <row r="2025" ht="15.75" customHeight="1">
      <c r="A2025" s="1">
        <v>2023.0</v>
      </c>
      <c r="B2025" s="3" t="s">
        <v>2026</v>
      </c>
      <c r="C2025" s="3" t="str">
        <f>IFERROR(__xludf.DUMMYFUNCTION("GOOGLETRANSLATE(B2025,""id"",""en"")"),"['honest', 'customer', 'loyal', 'Telkomsel', 'card', 'sympathy', 'disappointed', 'service', 'network', 'Telkomsel', 'stable', 'network', ' Like ',' missing ',' Sometimes', 'Changed', 'Times',' Call ',' Customer ',' Service ',' Telkomsel ',' Help ',' Mendi"&amp;"ng ',' Promote ',' Correct ' , 'Network', 'price', 'quota', 'internet', 'cheap', '']")</f>
        <v>['honest', 'customer', 'loyal', 'Telkomsel', 'card', 'sympathy', 'disappointed', 'service', 'network', 'Telkomsel', 'stable', 'network', ' Like ',' missing ',' Sometimes', 'Changed', 'Times',' Call ',' Customer ',' Service ',' Telkomsel ',' Help ',' Mending ',' Promote ',' Correct ' , 'Network', 'price', 'quota', 'internet', 'cheap', '']</v>
      </c>
      <c r="D2025" s="3">
        <v>1.0</v>
      </c>
    </row>
    <row r="2026" ht="15.75" customHeight="1">
      <c r="A2026" s="1">
        <v>2024.0</v>
      </c>
      <c r="B2026" s="3" t="s">
        <v>2027</v>
      </c>
      <c r="C2026" s="3" t="str">
        <f>IFERROR(__xludf.DUMMYFUNCTION("GOOGLETRANSLATE(B2026,""id"",""en"")"),"['said', 'Telkomsel', 'best', 'just', 'suggestion', 'quota', 'internet', 'run out', 'direct', 'distop', 'until', 'undermine', ' The rest of ',' pulse ',' boss', '']")</f>
        <v>['said', 'Telkomsel', 'best', 'just', 'suggestion', 'quota', 'internet', 'run out', 'direct', 'distop', 'until', 'undermine', ' The rest of ',' pulse ',' boss', '']</v>
      </c>
      <c r="D2026" s="3">
        <v>5.0</v>
      </c>
    </row>
    <row r="2027" ht="15.75" customHeight="1">
      <c r="A2027" s="1">
        <v>2025.0</v>
      </c>
      <c r="B2027" s="3" t="s">
        <v>2028</v>
      </c>
      <c r="C2027" s="3" t="str">
        <f>IFERROR(__xludf.DUMMYFUNCTION("GOOGLETRANSLATE(B2027,""id"",""en"")"),"['Please', 'repaired', 'pulse', 'morning', 'lived', 'no', 'bales',' dripping ',' money ',' how ',' pulses', 'fast', ' Repaired ',' Good ',' Errr ',' Cut ',' Credit ',' ']")</f>
        <v>['Please', 'repaired', 'pulse', 'morning', 'lived', 'no', 'bales',' dripping ',' money ',' how ',' pulses', 'fast', ' Repaired ',' Good ',' Errr ',' Cut ',' Credit ',' ']</v>
      </c>
      <c r="D2027" s="3">
        <v>1.0</v>
      </c>
    </row>
    <row r="2028" ht="15.75" customHeight="1">
      <c r="A2028" s="1">
        <v>2026.0</v>
      </c>
      <c r="B2028" s="3" t="s">
        <v>2029</v>
      </c>
      <c r="C2028" s="3" t="str">
        <f>IFERROR(__xludf.DUMMYFUNCTION("GOOGLETRANSLATE(B2028,""id"",""en"")"),"['Dear', 'Telkomsel', 'disappointed', 'really', 'knpa', 'package', 'data', 'internet', 'unilimitid', 'lost', 'change', 'omg', ' Listen ',' Price ',' Different ',' Quota ',' As', 'Price', 'Until', 'Perny', 'Contents',' Credit ',' Karna ',' Disappointed ','"&amp;" Please ' , 'Explanation', 'Klau', 'Restore', 'Package', 'Dlu', 'Thank you', ""]")</f>
        <v>['Dear', 'Telkomsel', 'disappointed', 'really', 'knpa', 'package', 'data', 'internet', 'unilimitid', 'lost', 'change', 'omg', ' Listen ',' Price ',' Different ',' Quota ',' As', 'Price', 'Until', 'Perny', 'Contents',' Credit ',' Karna ',' Disappointed ',' Please ' , 'Explanation', 'Klau', 'Restore', 'Package', 'Dlu', 'Thank you', "]</v>
      </c>
      <c r="D2028" s="3">
        <v>1.0</v>
      </c>
    </row>
    <row r="2029" ht="15.75" customHeight="1">
      <c r="A2029" s="1">
        <v>2027.0</v>
      </c>
      <c r="B2029" s="3" t="s">
        <v>2030</v>
      </c>
      <c r="C2029" s="3" t="str">
        <f>IFERROR(__xludf.DUMMYFUNCTION("GOOGLETRANSLATE(B2029,""id"",""en"")"),"['Application', 'MyTelkomsel', 'Check', 'Quota', 'Application', 'Try', 'Update', 'Application', 'Updated', 'The Network', 'Telkomsel', 'SDG', ' Disorders', 'Please', 'Telkomsel', 'Hopefully', 'Explanation', 'Thank you']")</f>
        <v>['Application', 'MyTelkomsel', 'Check', 'Quota', 'Application', 'Try', 'Update', 'Application', 'Updated', 'The Network', 'Telkomsel', 'SDG', ' Disorders', 'Please', 'Telkomsel', 'Hopefully', 'Explanation', 'Thank you']</v>
      </c>
      <c r="D2029" s="3">
        <v>1.0</v>
      </c>
    </row>
    <row r="2030" ht="15.75" customHeight="1">
      <c r="A2030" s="1">
        <v>2028.0</v>
      </c>
      <c r="B2030" s="3" t="s">
        <v>2031</v>
      </c>
      <c r="C2030" s="3" t="str">
        <f>IFERROR(__xludf.DUMMYFUNCTION("GOOGLETRANSLATE(B2030,""id"",""en"")"),"['Telkomsel', 'top', 'package', 'special', 'cheap', 'affordable', 'in the past', 'pandemic', 'sprti', 'useful', 'bwt', 'got', ' Impact ',' at home ', ""]")</f>
        <v>['Telkomsel', 'top', 'package', 'special', 'cheap', 'affordable', 'in the past', 'pandemic', 'sprti', 'useful', 'bwt', 'got', ' Impact ',' at home ', "]</v>
      </c>
      <c r="D2030" s="3">
        <v>5.0</v>
      </c>
    </row>
    <row r="2031" ht="15.75" customHeight="1">
      <c r="A2031" s="1">
        <v>2029.0</v>
      </c>
      <c r="B2031" s="3" t="s">
        <v>2032</v>
      </c>
      <c r="C2031" s="3" t="str">
        <f>IFERROR(__xludf.DUMMYFUNCTION("GOOGLETRANSLATE(B2031,""id"",""en"")"),"['complain', 'network', 'bad', 'package', 'all-round', 'expensive', 'tlkomsel', 'lose', 'neighbor', 'sblh', 'bnyk', 'choice', ' quota ',' cheap ',' network ',' stable ',' trtama ',' donow ',' play ',' gme ',' ping ',' as low as', 'migration', 'fix', 'fix'"&amp;" ]")</f>
        <v>['complain', 'network', 'bad', 'package', 'all-round', 'expensive', 'tlkomsel', 'lose', 'neighbor', 'sblh', 'bnyk', 'choice', ' quota ',' cheap ',' network ',' stable ',' trtama ',' donow ',' play ',' gme ',' ping ',' as low as', 'migration', 'fix', 'fix' ]</v>
      </c>
      <c r="D2031" s="3">
        <v>3.0</v>
      </c>
    </row>
    <row r="2032" ht="15.75" customHeight="1">
      <c r="A2032" s="1">
        <v>2030.0</v>
      </c>
      <c r="B2032" s="3" t="s">
        <v>2033</v>
      </c>
      <c r="C2032" s="3" t="str">
        <f>IFERROR(__xludf.DUMMYFUNCTION("GOOGLETRANSLATE(B2032,""id"",""en"")"),"['price', 'data', 'signal', 'bad', 'promo', 'nggk', 'handy', 'no', 'package', 'combo', 'here', 'nggk']")</f>
        <v>['price', 'data', 'signal', 'bad', 'promo', 'nggk', 'handy', 'no', 'package', 'combo', 'here', 'nggk']</v>
      </c>
      <c r="D2032" s="3">
        <v>1.0</v>
      </c>
    </row>
    <row r="2033" ht="15.75" customHeight="1">
      <c r="A2033" s="1">
        <v>2031.0</v>
      </c>
      <c r="B2033" s="3" t="s">
        <v>2034</v>
      </c>
      <c r="C2033" s="3" t="str">
        <f>IFERROR(__xludf.DUMMYFUNCTION("GOOGLETRANSLATE(B2033,""id"",""en"")"),"['Please', 'Increases',' Price ',' Quota ',' Quality ',' Network ',' Increase ',' Quota ',' Expensive ',' Price ',' Nether ',' Slow ',' stay ',' clock ',' noon ',' malem ',' smooth ',' play ',' game ',' mobile ',' legent ',' play ',' quota ',' expensive '"&amp;"]")</f>
        <v>['Please', 'Increases',' Price ',' Quota ',' Quality ',' Network ',' Increase ',' Quota ',' Expensive ',' Price ',' Nether ',' Slow ',' stay ',' clock ',' noon ',' malem ',' smooth ',' play ',' game ',' mobile ',' legent ',' play ',' quota ',' expensive ']</v>
      </c>
      <c r="D2033" s="3">
        <v>1.0</v>
      </c>
    </row>
    <row r="2034" ht="15.75" customHeight="1">
      <c r="A2034" s="1">
        <v>2032.0</v>
      </c>
      <c r="B2034" s="3" t="s">
        <v>2035</v>
      </c>
      <c r="C2034" s="3" t="str">
        <f>IFERROR(__xludf.DUMMYFUNCTION("GOOGLETRANSLATE(B2034,""id"",""en"")"),"['How', 'Application', 'Telkomsel', 'Logit', 'Login', 'login', 'reset', 'caughthhh', 'Try', 'Kek', 'sudden', 'finger', ' GMNA ',' Magic ',' Magic ',' Link ',' What's', 'Please', 'Log', 'Out', 'Automatic', 'Issible', 'Try', 'Improved', 'Application' , 'Kyk"&amp;"', 'mobile', 'banking', 'good', ""]")</f>
        <v>['How', 'Application', 'Telkomsel', 'Logit', 'Login', 'login', 'reset', 'caughthhh', 'Try', 'Kek', 'sudden', 'finger', ' GMNA ',' Magic ',' Magic ',' Link ',' What's', 'Please', 'Log', 'Out', 'Automatic', 'Issible', 'Try', 'Improved', 'Application' , 'Kyk', 'mobile', 'banking', 'good', "]</v>
      </c>
      <c r="D2034" s="3">
        <v>1.0</v>
      </c>
    </row>
    <row r="2035" ht="15.75" customHeight="1">
      <c r="A2035" s="1">
        <v>2033.0</v>
      </c>
      <c r="B2035" s="3" t="s">
        <v>2036</v>
      </c>
      <c r="C2035" s="3" t="str">
        <f>IFERROR(__xludf.DUMMYFUNCTION("GOOGLETRANSLATE(B2035,""id"",""en"")"),"['Main', 'Game', 'Online', 'Telkomsel', 'Made', 'AFK', 'Network', 'Bad', 'Price', 'Expensive', 'Suitable', 'Nge', ' Game ',' Mending ',' Indosat ',' Signal ',' Stable ',' Ngegame ']")</f>
        <v>['Main', 'Game', 'Online', 'Telkomsel', 'Made', 'AFK', 'Network', 'Bad', 'Price', 'Expensive', 'Suitable', 'Nge', ' Game ',' Mending ',' Indosat ',' Signal ',' Stable ',' Ngegame ']</v>
      </c>
      <c r="D2035" s="3">
        <v>1.0</v>
      </c>
    </row>
    <row r="2036" ht="15.75" customHeight="1">
      <c r="A2036" s="1">
        <v>2034.0</v>
      </c>
      <c r="B2036" s="3" t="s">
        <v>2037</v>
      </c>
      <c r="C2036" s="3" t="str">
        <f>IFERROR(__xludf.DUMMYFUNCTION("GOOGLETRANSLATE(B2036,""id"",""en"")"),"['YTH', 'MyTelkomsel', 'application', 'buy', 'pulse', 'rb', 'buy', 'package', 'data', 'meek', 'hot', 'gada', ' Rain ',' Credit ',' Cut ',' Used ',' ']")</f>
        <v>['YTH', 'MyTelkomsel', 'application', 'buy', 'pulse', 'rb', 'buy', 'package', 'data', 'meek', 'hot', 'gada', ' Rain ',' Credit ',' Cut ',' Used ',' ']</v>
      </c>
      <c r="D2036" s="3">
        <v>1.0</v>
      </c>
    </row>
    <row r="2037" ht="15.75" customHeight="1">
      <c r="A2037" s="1">
        <v>2035.0</v>
      </c>
      <c r="B2037" s="3" t="s">
        <v>2038</v>
      </c>
      <c r="C2037" s="3" t="str">
        <f>IFERROR(__xludf.DUMMYFUNCTION("GOOGLETRANSLATE(B2037,""id"",""en"")"),"['customers',' Telkomsel ',' loyal ',' UDH ',' Tens', 'PDHL', 'SGT', 'complaints',' users', 'Telkomsel', 'fast', 'responded', ' Delivered ',' Jaringn ',' Telkomsel ',' Please ',' Fast ',' Fix ',' Network ',' Slow ',' Hopefully ',' Tight ',' Satisfied ',' "&amp;"Ksh ',' star ' , 'klu', 'mksh', '']")</f>
        <v>['customers',' Telkomsel ',' loyal ',' UDH ',' Tens', 'PDHL', 'SGT', 'complaints',' users', 'Telkomsel', 'fast', 'responded', ' Delivered ',' Jaringn ',' Telkomsel ',' Please ',' Fast ',' Fix ',' Network ',' Slow ',' Hopefully ',' Tight ',' Satisfied ',' Ksh ',' star ' , 'klu', 'mksh', '']</v>
      </c>
      <c r="D2037" s="3">
        <v>5.0</v>
      </c>
    </row>
    <row r="2038" ht="15.75" customHeight="1">
      <c r="A2038" s="1">
        <v>2036.0</v>
      </c>
      <c r="B2038" s="3" t="s">
        <v>2039</v>
      </c>
      <c r="C2038" s="3" t="str">
        <f>IFERROR(__xludf.DUMMYFUNCTION("GOOGLETRANSLATE(B2038,""id"",""en"")"),"['Out', 'update', 'pulse', 'lost', 'crazy', 'gmn', 'accountability', 'answer', 'Please', 'read', 'Telkomsel', ""]")</f>
        <v>['Out', 'update', 'pulse', 'lost', 'crazy', 'gmn', 'accountability', 'answer', 'Please', 'read', 'Telkomsel', "]</v>
      </c>
      <c r="D2038" s="3">
        <v>1.0</v>
      </c>
    </row>
    <row r="2039" ht="15.75" customHeight="1">
      <c r="A2039" s="1">
        <v>2037.0</v>
      </c>
      <c r="B2039" s="3" t="s">
        <v>2040</v>
      </c>
      <c r="C2039" s="3" t="str">
        <f>IFERROR(__xludf.DUMMYFUNCTION("GOOGLETRANSLATE(B2039,""id"",""en"")"),"['technology', 'renewable', 'signal', 'Telkomsel', 'slow', 'threat', 'times',' signal ',' bah ',' Please ',' Murah ',' quality ',' network ',' made ',' customers', 'loyal', 'Telkomsel', 'disappointed', 'service', 'Thanks']")</f>
        <v>['technology', 'renewable', 'signal', 'Telkomsel', 'slow', 'threat', 'times',' signal ',' bah ',' Please ',' Murah ',' quality ',' network ',' made ',' customers', 'loyal', 'Telkomsel', 'disappointed', 'service', 'Thanks']</v>
      </c>
      <c r="D2039" s="3">
        <v>1.0</v>
      </c>
    </row>
    <row r="2040" ht="15.75" customHeight="1">
      <c r="A2040" s="1">
        <v>2038.0</v>
      </c>
      <c r="B2040" s="3" t="s">
        <v>2041</v>
      </c>
      <c r="C2040" s="3" t="str">
        <f>IFERROR(__xludf.DUMMYFUNCTION("GOOGLETRANSLATE(B2040,""id"",""en"")"),"['Credit', 'Sumpot', 'Dipake', 'Matiin', 'Data', 'Use', 'WiFi', 'Price', 'Quota', 'Bener', 'Out', 'Think', ' Quality ',' Network ',' Kayak ',' Simcard ',' Price ',' Expensive ',' Quality ',' Bad ',' ']")</f>
        <v>['Credit', 'Sumpot', 'Dipake', 'Matiin', 'Data', 'Use', 'WiFi', 'Price', 'Quota', 'Bener', 'Out', 'Think', ' Quality ',' Network ',' Kayak ',' Simcard ',' Price ',' Expensive ',' Quality ',' Bad ',' ']</v>
      </c>
      <c r="D2040" s="3">
        <v>1.0</v>
      </c>
    </row>
    <row r="2041" ht="15.75" customHeight="1">
      <c r="A2041" s="1">
        <v>2039.0</v>
      </c>
      <c r="B2041" s="3" t="s">
        <v>2042</v>
      </c>
      <c r="C2041" s="3" t="str">
        <f>IFERROR(__xludf.DUMMYFUNCTION("GOOGLETRANSLATE(B2041,""id"",""en"")"),"['Login', 'link', 'sent', 'SMS', 'SMS', 'apply', 'second', 'SMS', 'accepted', 'second', 'Link', 'Not', ' Valid ',' expired ',' Language ',' English ',' Indonesia ',' Try ',' SMS ',' accepted ',' second ',' Login ',' Contact ',' Result ', ""]")</f>
        <v>['Login', 'link', 'sent', 'SMS', 'SMS', 'apply', 'second', 'SMS', 'accepted', 'second', 'Link', 'Not', ' Valid ',' expired ',' Language ',' English ',' Indonesia ',' Try ',' SMS ',' accepted ',' second ',' Login ',' Contact ',' Result ', "]</v>
      </c>
      <c r="D2041" s="3">
        <v>3.0</v>
      </c>
    </row>
    <row r="2042" ht="15.75" customHeight="1">
      <c r="A2042" s="1">
        <v>2040.0</v>
      </c>
      <c r="B2042" s="3" t="s">
        <v>2043</v>
      </c>
      <c r="C2042" s="3" t="str">
        <f>IFERROR(__xludf.DUMMYFUNCTION("GOOGLETRANSLATE(B2042,""id"",""en"")"),"['input', 'gave', 'sms',' notification ',' related ',' package ',' promo ',' package ',' bought ',' already ',' time ',' sms', ' package ',' internet ',' promo ',' bought ',' customer ',' disappointed ']")</f>
        <v>['input', 'gave', 'sms',' notification ',' related ',' package ',' promo ',' package ',' bought ',' already ',' time ',' sms', ' package ',' internet ',' promo ',' bought ',' customer ',' disappointed ']</v>
      </c>
      <c r="D2042" s="3">
        <v>2.0</v>
      </c>
    </row>
    <row r="2043" ht="15.75" customHeight="1">
      <c r="A2043" s="1">
        <v>2041.0</v>
      </c>
      <c r="B2043" s="3" t="s">
        <v>2044</v>
      </c>
      <c r="C2043" s="3" t="str">
        <f>IFERROR(__xludf.DUMMYFUNCTION("GOOGLETRANSLATE(B2043,""id"",""en"")"),"['Subscriptions', 'Telkomsel', 'Yesterday', 'Kasi', 'Bintang', 'Kasi', 'Star', 'Application', 'Opened', '']")</f>
        <v>['Subscriptions', 'Telkomsel', 'Yesterday', 'Kasi', 'Bintang', 'Kasi', 'Star', 'Application', 'Opened', '']</v>
      </c>
      <c r="D2043" s="3">
        <v>1.0</v>
      </c>
    </row>
    <row r="2044" ht="15.75" customHeight="1">
      <c r="A2044" s="1">
        <v>2042.0</v>
      </c>
      <c r="B2044" s="3" t="s">
        <v>2045</v>
      </c>
      <c r="C2044" s="3" t="str">
        <f>IFERROR(__xludf.DUMMYFUNCTION("GOOGLETRANSLATE(B2044,""id"",""en"")"),"['Telkomsel', 'really', 'nyedot', 'credit', 'call', 'sms',' wifi ',' data ',' cellular ',' died ',' sucked ',' pulses', ' Heraan ',' Read ',' commentar ',' steal ']")</f>
        <v>['Telkomsel', 'really', 'nyedot', 'credit', 'call', 'sms',' wifi ',' data ',' cellular ',' died ',' sucked ',' pulses', ' Heraan ',' Read ',' commentar ',' steal ']</v>
      </c>
      <c r="D2044" s="3">
        <v>1.0</v>
      </c>
    </row>
    <row r="2045" ht="15.75" customHeight="1">
      <c r="A2045" s="1">
        <v>2043.0</v>
      </c>
      <c r="B2045" s="3" t="s">
        <v>2046</v>
      </c>
      <c r="C2045" s="3" t="str">
        <f>IFERROR(__xludf.DUMMYFUNCTION("GOOGLETRANSLATE(B2045,""id"",""en"")"),"['APP', 'wants', 'NOT', 'PKE', 'Network', 'Good', 'really', 'wifi', 'open', 'update', 'broken']")</f>
        <v>['APP', 'wants', 'NOT', 'PKE', 'Network', 'Good', 'really', 'wifi', 'open', 'update', 'broken']</v>
      </c>
      <c r="D2045" s="3">
        <v>1.0</v>
      </c>
    </row>
    <row r="2046" ht="15.75" customHeight="1">
      <c r="A2046" s="1">
        <v>2044.0</v>
      </c>
      <c r="B2046" s="3" t="s">
        <v>2047</v>
      </c>
      <c r="C2046" s="3" t="str">
        <f>IFERROR(__xludf.DUMMYFUNCTION("GOOGLETRANSLATE(B2046,""id"",""en"")"),"['delicious',' use ',' application ',' subscribe ',' orbit ',' constrained ',' login ',' application ',' orbit ',' Telkomsel ',' check ',' quota ',' Purchases', 'data']")</f>
        <v>['delicious',' use ',' application ',' subscribe ',' orbit ',' constrained ',' login ',' application ',' orbit ',' Telkomsel ',' check ',' quota ',' Purchases', 'data']</v>
      </c>
      <c r="D2046" s="3">
        <v>5.0</v>
      </c>
    </row>
    <row r="2047" ht="15.75" customHeight="1">
      <c r="A2047" s="1">
        <v>2045.0</v>
      </c>
      <c r="B2047" s="3" t="s">
        <v>2048</v>
      </c>
      <c r="C2047" s="3" t="str">
        <f>IFERROR(__xludf.DUMMYFUNCTION("GOOGLETRANSLATE(B2047,""id"",""en"")"),"['already', 'Product', 'Telkom', 'Indihome', 'Card', 'Perdana', 'Telkom', 'Disappointing', 'Leg', 'Kinds',' Maen ',' Game ',' Potatoes', 'ping', 'ugly', 'signal', 'ngaceng', 'ping', 'ugly', '']")</f>
        <v>['already', 'Product', 'Telkom', 'Indihome', 'Card', 'Perdana', 'Telkom', 'Disappointing', 'Leg', 'Kinds',' Maen ',' Game ',' Potatoes', 'ping', 'ugly', 'signal', 'ngaceng', 'ping', 'ugly', '']</v>
      </c>
      <c r="D2047" s="3">
        <v>1.0</v>
      </c>
    </row>
    <row r="2048" ht="15.75" customHeight="1">
      <c r="A2048" s="1">
        <v>2046.0</v>
      </c>
      <c r="B2048" s="3" t="s">
        <v>2049</v>
      </c>
      <c r="C2048" s="3" t="str">
        <f>IFERROR(__xludf.DUMMYFUNCTION("GOOGLETRANSLATE(B2048,""id"",""en"")"),"['application', 'already', 'improved', 'cave', 'mao', 'buy', 'package', 'kaga', 'login', 'number', 'cave', 'the application', ' gmna ',' love ',' best ',' bad ',' love ',' consumer ',' comfort ',' cave ',' already ',' buy ',' pulse ',' mao ',' buy ' , 'Pa"&amp;"ckage', 'Login', 'NMR', 'cave', 'Gabagus', 'deteriorating', 'application']")</f>
        <v>['application', 'already', 'improved', 'cave', 'mao', 'buy', 'package', 'kaga', 'login', 'number', 'cave', 'the application', ' gmna ',' love ',' best ',' bad ',' love ',' consumer ',' comfort ',' cave ',' already ',' buy ',' pulse ',' mao ',' buy ' , 'Package', 'Login', 'NMR', 'cave', 'Gabagus', 'deteriorating', 'application']</v>
      </c>
      <c r="D2048" s="3">
        <v>1.0</v>
      </c>
    </row>
    <row r="2049" ht="15.75" customHeight="1">
      <c r="A2049" s="1">
        <v>2047.0</v>
      </c>
      <c r="B2049" s="3" t="s">
        <v>2050</v>
      </c>
      <c r="C2049" s="3" t="str">
        <f>IFERROR(__xludf.DUMMYFUNCTION("GOOGLETRANSLATE(B2049,""id"",""en"")"),"['Use', 'card', 'Unlimitid', 'Regis',' On ',' Number ',' Network ',' Not bad ',' Good ',' Package ',' Out ',' Belli ',' The network is', 'ugly', 'active', 'package', 'see', 'application', 'right', 'buy', 'package', 'validated', 'date', 'already', 'network"&amp;"' , 'slow', 'active', 'package', 'please', 'reply', 'network', 'good', 'kasi', 'star', 'area', 'bulukumba', 'sulelos',' ']")</f>
        <v>['Use', 'card', 'Unlimitid', 'Regis',' On ',' Number ',' Network ',' Not bad ',' Good ',' Package ',' Out ',' Belli ',' The network is', 'ugly', 'active', 'package', 'see', 'application', 'right', 'buy', 'package', 'validated', 'date', 'already', 'network' , 'slow', 'active', 'package', 'please', 'reply', 'network', 'good', 'kasi', 'star', 'area', 'bulukumba', 'sulelos',' ']</v>
      </c>
      <c r="D2049" s="3">
        <v>1.0</v>
      </c>
    </row>
    <row r="2050" ht="15.75" customHeight="1">
      <c r="A2050" s="1">
        <v>2048.0</v>
      </c>
      <c r="B2050" s="3" t="s">
        <v>2051</v>
      </c>
      <c r="C2050" s="3" t="str">
        <f>IFERROR(__xludf.DUMMYFUNCTION("GOOGLETRANSLATE(B2050,""id"",""en"")"),"['activation', 'package', 'difficult', 'error', 'price', 'decent', 'expensive', 'compared to', 'network', 'love', 'star', ' Facilitated ', ""]")</f>
        <v>['activation', 'package', 'difficult', 'error', 'price', 'decent', 'expensive', 'compared to', 'network', 'love', 'star', ' Facilitated ', "]</v>
      </c>
      <c r="D2050" s="3">
        <v>1.0</v>
      </c>
    </row>
    <row r="2051" ht="15.75" customHeight="1">
      <c r="A2051" s="1">
        <v>2049.0</v>
      </c>
      <c r="B2051" s="3" t="s">
        <v>2052</v>
      </c>
      <c r="C2051" s="3" t="str">
        <f>IFERROR(__xludf.DUMMYFUNCTION("GOOGLETRANSLATE(B2051,""id"",""en"")"),"['Package', 'Combo', 'Sakti', 'Affordable', 'List', 'JGA', 'Want', 'Change', 'Operator', 'Sometimes',' Application ',' Jam ',' Package ',' trrjangkau ',' ilang ',' trimakasih ',' Telkomsel ',' service ',' ']")</f>
        <v>['Package', 'Combo', 'Sakti', 'Affordable', 'List', 'JGA', 'Want', 'Change', 'Operator', 'Sometimes',' Application ',' Jam ',' Package ',' trrjangkau ',' ilang ',' trimakasih ',' Telkomsel ',' service ',' ']</v>
      </c>
      <c r="D2051" s="3">
        <v>2.0</v>
      </c>
    </row>
    <row r="2052" ht="15.75" customHeight="1">
      <c r="A2052" s="1">
        <v>2050.0</v>
      </c>
      <c r="B2052" s="3" t="s">
        <v>2053</v>
      </c>
      <c r="C2052" s="3" t="str">
        <f>IFERROR(__xludf.DUMMYFUNCTION("GOOGLETRANSLATE(B2052,""id"",""en"")"),"['package', 'emergency', 'already', 'paid', 'tags', 'salt', 'pulse', 'take', 'keep', '']")</f>
        <v>['package', 'emergency', 'already', 'paid', 'tags', 'salt', 'pulse', 'take', 'keep', '']</v>
      </c>
      <c r="D2052" s="3">
        <v>1.0</v>
      </c>
    </row>
    <row r="2053" ht="15.75" customHeight="1">
      <c r="A2053" s="1">
        <v>2051.0</v>
      </c>
      <c r="B2053" s="3" t="s">
        <v>2054</v>
      </c>
      <c r="C2053" s="3" t="str">
        <f>IFERROR(__xludf.DUMMYFUNCTION("GOOGLETRANSLATE(B2053,""id"",""en"")"),"['Please', 'return', 'network', 'Telkomsel', 'fast', 'no', 'rich', 'lemottt', 'rich', 'unlimitid', 'smartfrend', 'already', ' expensive ',' slow ',' stay ',' remote ',' really ',' tower ',' near ',' signal ',' rich ',' hour ',' segini ',' good ',' good ' "&amp;", 'slow', 'access',' YouTube ',' browser ',' fast ',' play ',' game ',' voicehhh ',' signal ',' no ',' ketol ',' play ',' games', 'please', 'era', 'kjayaan', 'sprti', 'dlu', 'hrga', 'pket', 'bleh', 'mhal', 'TPI', 'quality', 'signal' , '']")</f>
        <v>['Please', 'return', 'network', 'Telkomsel', 'fast', 'no', 'rich', 'lemottt', 'rich', 'unlimitid', 'smartfrend', 'already', ' expensive ',' slow ',' stay ',' remote ',' really ',' tower ',' near ',' signal ',' rich ',' hour ',' segini ',' good ',' good ' , 'slow', 'access',' YouTube ',' browser ',' fast ',' play ',' game ',' voicehhh ',' signal ',' no ',' ketol ',' play ',' games', 'please', 'era', 'kjayaan', 'sprti', 'dlu', 'hrga', 'pket', 'bleh', 'mhal', 'TPI', 'quality', 'signal' , '']</v>
      </c>
      <c r="D2053" s="3">
        <v>1.0</v>
      </c>
    </row>
    <row r="2054" ht="15.75" customHeight="1">
      <c r="A2054" s="1">
        <v>2052.0</v>
      </c>
      <c r="B2054" s="3" t="s">
        <v>2055</v>
      </c>
      <c r="C2054" s="3" t="str">
        <f>IFERROR(__xludf.DUMMYFUNCTION("GOOGLETRANSLATE(B2054,""id"",""en"")"),"['love', 'quota', 'game', 'pub', 'mobile', 'gausah', 'write', 'description', 'times',' person ',' how ',' angry ',' Here ',' Network ',' Paketan ',' Price ',' Buy ',' Quota ',' Gamemax ',' Play ',' Game ',' Doang ',' Mending ',' Gausah ',' Adin ' , 'Paket"&amp;"an', 'Description', 'PHP', '']")</f>
        <v>['love', 'quota', 'game', 'pub', 'mobile', 'gausah', 'write', 'description', 'times',' person ',' how ',' angry ',' Here ',' Network ',' Paketan ',' Price ',' Buy ',' Quota ',' Gamemax ',' Play ',' Game ',' Doang ',' Mending ',' Gausah ',' Adin ' , 'Paketan', 'Description', 'PHP', '']</v>
      </c>
      <c r="D2054" s="3">
        <v>1.0</v>
      </c>
    </row>
    <row r="2055" ht="15.75" customHeight="1">
      <c r="A2055" s="1">
        <v>2053.0</v>
      </c>
      <c r="B2055" s="3" t="s">
        <v>2056</v>
      </c>
      <c r="C2055" s="3" t="str">
        <f>IFERROR(__xludf.DUMMYFUNCTION("GOOGLETRANSLATE(B2055,""id"",""en"")"),"['crazy', 'morning', 'ampe', 'clock', 'network', 'watch', 'watch', 'slow', 'mulu', 'except', 'Instagram', 'thought', ' card ',' I ',' buy ',' cheap ',' thousand ',' expensive ']")</f>
        <v>['crazy', 'morning', 'ampe', 'clock', 'network', 'watch', 'watch', 'slow', 'mulu', 'except', 'Instagram', 'thought', ' card ',' I ',' buy ',' cheap ',' thousand ',' expensive ']</v>
      </c>
      <c r="D2055" s="3">
        <v>1.0</v>
      </c>
    </row>
    <row r="2056" ht="15.75" customHeight="1">
      <c r="A2056" s="1">
        <v>2054.0</v>
      </c>
      <c r="B2056" s="3" t="s">
        <v>2057</v>
      </c>
      <c r="C2056" s="3" t="str">
        <f>IFERROR(__xludf.DUMMYFUNCTION("GOOGLETRANSLATE(B2056,""id"",""en"")"),"['Sell', 'pity', 'child', 'wife', 'at home', 'eat', 'yield', 'cucu', 'customer', 'unlimited', 'contents', 'according to' Unlimited ',' Combo ',' Sakti ',' Lost ',' Quota ',' Expensive ',' Maslah ',' Network ',' Severe ',' Where ',' Hopefully ',' Fast ',' "&amp;"Aware ' , '']")</f>
        <v>['Sell', 'pity', 'child', 'wife', 'at home', 'eat', 'yield', 'cucu', 'customer', 'unlimited', 'contents', 'according to' Unlimited ',' Combo ',' Sakti ',' Lost ',' Quota ',' Expensive ',' Maslah ',' Network ',' Severe ',' Where ',' Hopefully ',' Fast ',' Aware ' , '']</v>
      </c>
      <c r="D2056" s="3">
        <v>1.0</v>
      </c>
    </row>
    <row r="2057" ht="15.75" customHeight="1">
      <c r="A2057" s="1">
        <v>2055.0</v>
      </c>
      <c r="B2057" s="3" t="s">
        <v>2058</v>
      </c>
      <c r="C2057" s="3" t="str">
        <f>IFERROR(__xludf.DUMMYFUNCTION("GOOGLETRANSLATE(B2057,""id"",""en"")"),"['Good', 'behavior', 'network', 'cheap', 'prize', 'people', 'rich', 'gift', 'use', 'Telkomsel', 'economy', ""]")</f>
        <v>['Good', 'behavior', 'network', 'cheap', 'prize', 'people', 'rich', 'gift', 'use', 'Telkomsel', 'economy', "]</v>
      </c>
      <c r="D2057" s="3">
        <v>5.0</v>
      </c>
    </row>
    <row r="2058" ht="15.75" customHeight="1">
      <c r="A2058" s="1">
        <v>2056.0</v>
      </c>
      <c r="B2058" s="3" t="s">
        <v>2059</v>
      </c>
      <c r="C2058" s="3" t="str">
        <f>IFERROR(__xludf.DUMMYFUNCTION("GOOGLETRANSLATE(B2058,""id"",""en"")"),"['Please', 'repaired', 'network', 'error', 'morning', 'afternoon', 'inhibits',' work ',' send ',' report ',' please ',' repaired ',' Severe ',' signal ',' area ',' Centraleng ',' Semarang ',' thank ',' love ']")</f>
        <v>['Please', 'repaired', 'network', 'error', 'morning', 'afternoon', 'inhibits',' work ',' send ',' report ',' please ',' repaired ',' Severe ',' signal ',' area ',' Centraleng ',' Semarang ',' thank ',' love ']</v>
      </c>
      <c r="D2058" s="3">
        <v>2.0</v>
      </c>
    </row>
    <row r="2059" ht="15.75" customHeight="1">
      <c r="A2059" s="1">
        <v>2057.0</v>
      </c>
      <c r="B2059" s="3" t="s">
        <v>2060</v>
      </c>
      <c r="C2059" s="3" t="str">
        <f>IFERROR(__xludf.DUMMYFUNCTION("GOOGLETRANSLATE(B2059,""id"",""en"")"),"['', 'KNPA', 'choice', 'Price', 'Package', 'Data', 'Combo', 'Sakti', 'Available', 'Under', 'Enter', 'Application', 'Promo ',' Package ',' Combo ',' Sakti ',' Price ',' Cheap ',' Fitting ',' Click ',' Available ',' Tetep ',' Appears', 'Expensive', 'Please'"&amp;", 'The answer']")</f>
        <v>['', 'KNPA', 'choice', 'Price', 'Package', 'Data', 'Combo', 'Sakti', 'Available', 'Under', 'Enter', 'Application', 'Promo ',' Package ',' Combo ',' Sakti ',' Price ',' Cheap ',' Fitting ',' Click ',' Available ',' Tetep ',' Appears', 'Expensive', 'Please', 'The answer']</v>
      </c>
      <c r="D2059" s="3">
        <v>2.0</v>
      </c>
    </row>
    <row r="2060" ht="15.75" customHeight="1">
      <c r="A2060" s="1">
        <v>2058.0</v>
      </c>
      <c r="B2060" s="3" t="s">
        <v>2061</v>
      </c>
      <c r="C2060" s="3" t="str">
        <f>IFERROR(__xludf.DUMMYFUNCTION("GOOGLETRANSLATE(B2060,""id"",""en"")"),"['pulse', 'run out', 'gapernah', 'make', 'package', 'data', 'notification', 'package', 'data', 'run out', 'right', 'Matiin', ' Data ',' right ',' check ',' already ',' run out ',' pulses', 'Not bad', 'buy', 'a day', 'ferocious',' mottle ', ""]")</f>
        <v>['pulse', 'run out', 'gapernah', 'make', 'package', 'data', 'notification', 'package', 'data', 'run out', 'right', 'Matiin', ' Data ',' right ',' check ',' already ',' run out ',' pulses', 'Not bad', 'buy', 'a day', 'ferocious',' mottle ', "]</v>
      </c>
      <c r="D2060" s="3">
        <v>1.0</v>
      </c>
    </row>
    <row r="2061" ht="15.75" customHeight="1">
      <c r="A2061" s="1">
        <v>2059.0</v>
      </c>
      <c r="B2061" s="3" t="s">
        <v>2062</v>
      </c>
      <c r="C2061" s="3" t="str">
        <f>IFERROR(__xludf.DUMMYFUNCTION("GOOGLETRANSLATE(B2061,""id"",""en"")"),"['Complaints',' Comfortable ',' Satisfied ',' Use ',' Network ',' APK ',' Telkomsel ',' Login ',' Expired ',' Expired ',' Reasons', ' Login ',' APK ',' access', 'anything', 'policy', 'telkom', 'consistent', 'service', 'quota', 'quota', 'unlimited', 'restr"&amp;"icted', 'network' , 'Full', 'bar', 'buffering', 'streaming', 'lagging', 'play', 'game', 'pulse', 'truncated', 'notification', 'etc', '']")</f>
        <v>['Complaints',' Comfortable ',' Satisfied ',' Use ',' Network ',' APK ',' Telkomsel ',' Login ',' Expired ',' Expired ',' Reasons', ' Login ',' APK ',' access', 'anything', 'policy', 'telkom', 'consistent', 'service', 'quota', 'quota', 'unlimited', 'restricted', 'network' , 'Full', 'bar', 'buffering', 'streaming', 'lagging', 'play', 'game', 'pulse', 'truncated', 'notification', 'etc', '']</v>
      </c>
      <c r="D2061" s="3">
        <v>1.0</v>
      </c>
    </row>
    <row r="2062" ht="15.75" customHeight="1">
      <c r="A2062" s="1">
        <v>2060.0</v>
      </c>
      <c r="B2062" s="3" t="s">
        <v>2063</v>
      </c>
      <c r="C2062" s="3" t="str">
        <f>IFERROR(__xludf.DUMMYFUNCTION("GOOGLETRANSLATE(B2062,""id"",""en"")"),"['Kebangeten', 'Telkomsel', 'Network', 'in', 'my house', 'missing', 'Keluaf', 'home', 'DPT', 'strip', 'city', 'network', ' Data ',' slow ',' really ',' Hadewh ',' moved ',' provider ',' rich ',' ']")</f>
        <v>['Kebangeten', 'Telkomsel', 'Network', 'in', 'my house', 'missing', 'Keluaf', 'home', 'DPT', 'strip', 'city', 'network', ' Data ',' slow ',' really ',' Hadewh ',' moved ',' provider ',' rich ',' ']</v>
      </c>
      <c r="D2062" s="3">
        <v>2.0</v>
      </c>
    </row>
    <row r="2063" ht="15.75" customHeight="1">
      <c r="A2063" s="1">
        <v>2061.0</v>
      </c>
      <c r="B2063" s="3" t="s">
        <v>2064</v>
      </c>
      <c r="C2063" s="3" t="str">
        <f>IFERROR(__xludf.DUMMYFUNCTION("GOOGLETRANSLATE(B2063,""id"",""en"")"),"['TOP', 'signal', 'where', 'price', 'package', 'classified', 'expensive', 'Telkomsel', 'The', 'Best', 'already', 'many years',' Faithful ',' Telkomsel ',' Success', 'Maju', 'Telkomsel']")</f>
        <v>['TOP', 'signal', 'where', 'price', 'package', 'classified', 'expensive', 'Telkomsel', 'The', 'Best', 'already', 'many years',' Faithful ',' Telkomsel ',' Success', 'Maju', 'Telkomsel']</v>
      </c>
      <c r="D2063" s="3">
        <v>5.0</v>
      </c>
    </row>
    <row r="2064" ht="15.75" customHeight="1">
      <c r="A2064" s="1">
        <v>2062.0</v>
      </c>
      <c r="B2064" s="3" t="s">
        <v>2065</v>
      </c>
      <c r="C2064" s="3" t="str">
        <f>IFERROR(__xludf.DUMMYFUNCTION("GOOGLETRANSLATE(B2064,""id"",""en"")"),"['Hey', 'listen', 'choice', 'disable', 'wrong', 'package', 'internet', 'quota', 'by one', 'fix', 'update', 'price', ' Quality ',' increases', 'bad', '']")</f>
        <v>['Hey', 'listen', 'choice', 'disable', 'wrong', 'package', 'internet', 'quota', 'by one', 'fix', 'update', 'price', ' Quality ',' increases', 'bad', '']</v>
      </c>
      <c r="D2064" s="3">
        <v>1.0</v>
      </c>
    </row>
    <row r="2065" ht="15.75" customHeight="1">
      <c r="A2065" s="1">
        <v>2063.0</v>
      </c>
      <c r="B2065" s="3" t="s">
        <v>2066</v>
      </c>
      <c r="C2065" s="3" t="str">
        <f>IFERROR(__xludf.DUMMYFUNCTION("GOOGLETRANSLATE(B2065,""id"",""en"")"),"['Signal', 'Complex', 'Housing', 'Bad', 'BBR', 'Complaints',' Telkomsel ',' Visit ',' Dwaliki ',' Quality ',' Sinyal ',' Home ',' Tower ',' Telkomsel ',' Based ',' Information ',' Telkomsel ',' Distance ',' Signal ',' At Home ',' Worth ',' Use ',' Constra"&amp;"ints', 'Telkomsel', 'in' , 'Handle', 'many years', 'customers', 'stay', 'below', 'Tower', 'signal', 'decent', 'thank you', ""]")</f>
        <v>['Signal', 'Complex', 'Housing', 'Bad', 'BBR', 'Complaints',' Telkomsel ',' Visit ',' Dwaliki ',' Quality ',' Sinyal ',' Home ',' Tower ',' Telkomsel ',' Based ',' Information ',' Telkomsel ',' Distance ',' Signal ',' At Home ',' Worth ',' Use ',' Constraints', 'Telkomsel', 'in' , 'Handle', 'many years', 'customers', 'stay', 'below', 'Tower', 'signal', 'decent', 'thank you', "]</v>
      </c>
      <c r="D2065" s="3">
        <v>1.0</v>
      </c>
    </row>
    <row r="2066" ht="15.75" customHeight="1">
      <c r="A2066" s="1">
        <v>2064.0</v>
      </c>
      <c r="B2066" s="3" t="s">
        <v>2067</v>
      </c>
      <c r="C2066" s="3" t="str">
        <f>IFERROR(__xludf.DUMMYFUNCTION("GOOGLETRANSLATE(B2066,""id"",""en"")"),"['Hallo', 'admin', 'Telkomsel', 'Dear', 'complained', 'class',' Telkomsel ',' network ',' rich ',' stay ',' land ',' vision ',' Mission ',' Changed ',' Disappointing ',' Consumers', 'Network', 'Bad', 'Price', 'Expensive', 'Telkomsel', 'Standing', 'Karna',"&amp;" 'HR', ""]")</f>
        <v>['Hallo', 'admin', 'Telkomsel', 'Dear', 'complained', 'class',' Telkomsel ',' network ',' rich ',' stay ',' land ',' vision ',' Mission ',' Changed ',' Disappointing ',' Consumers', 'Network', 'Bad', 'Price', 'Expensive', 'Telkomsel', 'Standing', 'Karna', 'HR', "]</v>
      </c>
      <c r="D2066" s="3">
        <v>1.0</v>
      </c>
    </row>
    <row r="2067" ht="15.75" customHeight="1">
      <c r="A2067" s="1">
        <v>2065.0</v>
      </c>
      <c r="B2067" s="3" t="s">
        <v>2068</v>
      </c>
      <c r="C2067" s="3" t="str">
        <f>IFERROR(__xludf.DUMMYFUNCTION("GOOGLETRANSLATE(B2067,""id"",""en"")"),"['price', 'package', 'combo', 'unlimited', 'rb', 'rb', 'rb', 'nominal', 'rb', 'contents',' pulses', 'rb', ' The rest of ',' RB ',' Lost ',' No ',' Please ',' Telkomsel ',' Provider ',' Honest ',' Search ',' Untung ', ""]")</f>
        <v>['price', 'package', 'combo', 'unlimited', 'rb', 'rb', 'rb', 'nominal', 'rb', 'contents',' pulses', 'rb', ' The rest of ',' RB ',' Lost ',' No ',' Please ',' Telkomsel ',' Provider ',' Honest ',' Search ',' Untung ', "]</v>
      </c>
      <c r="D2067" s="3">
        <v>2.0</v>
      </c>
    </row>
    <row r="2068" ht="15.75" customHeight="1">
      <c r="A2068" s="1">
        <v>2066.0</v>
      </c>
      <c r="B2068" s="3" t="s">
        <v>2069</v>
      </c>
      <c r="C2068" s="3" t="str">
        <f>IFERROR(__xludf.DUMMYFUNCTION("GOOGLETRANSLATE(B2068,""id"",""en"")"),"['update', 'update', 'package', 'please', 'quota', 'recommendation', 'run out', 'limit', 'update', 'hope']")</f>
        <v>['update', 'update', 'package', 'please', 'quota', 'recommendation', 'run out', 'limit', 'update', 'hope']</v>
      </c>
      <c r="D2068" s="3">
        <v>1.0</v>
      </c>
    </row>
    <row r="2069" ht="15.75" customHeight="1">
      <c r="A2069" s="1">
        <v>2067.0</v>
      </c>
      <c r="B2069" s="3" t="s">
        <v>2070</v>
      </c>
      <c r="C2069" s="3" t="str">
        <f>IFERROR(__xludf.DUMMYFUNCTION("GOOGLETRANSLATE(B2069,""id"",""en"")"),"['Come here', 'network', 'Telkomsel', 'bad', 'ugly', 'already', 'price', 'network', 'threat', 'please', 'fix', 'user', ' Telkomsel ',' Disappointed ',' Performance ',' Network ',' Telkomsel ']")</f>
        <v>['Come here', 'network', 'Telkomsel', 'bad', 'ugly', 'already', 'price', 'network', 'threat', 'please', 'fix', 'user', ' Telkomsel ',' Disappointed ',' Performance ',' Network ',' Telkomsel ']</v>
      </c>
      <c r="D2069" s="3">
        <v>2.0</v>
      </c>
    </row>
    <row r="2070" ht="15.75" customHeight="1">
      <c r="A2070" s="1">
        <v>2068.0</v>
      </c>
      <c r="B2070" s="3" t="s">
        <v>2071</v>
      </c>
      <c r="C2070" s="3" t="str">
        <f>IFERROR(__xludf.DUMMYFUNCTION("GOOGLETRANSLATE(B2070,""id"",""en"")"),"['Since', 'update', 'slow', 'total', 'in', 'everything', 'list', 'package', 'contents',' pulses', 'checked', 'hope', ' Repaired ',' ']")</f>
        <v>['Since', 'update', 'slow', 'total', 'in', 'everything', 'list', 'package', 'contents',' pulses', 'checked', 'hope', ' Repaired ',' ']</v>
      </c>
      <c r="D2070" s="3">
        <v>1.0</v>
      </c>
    </row>
    <row r="2071" ht="15.75" customHeight="1">
      <c r="A2071" s="1">
        <v>2069.0</v>
      </c>
      <c r="B2071" s="3" t="s">
        <v>2072</v>
      </c>
      <c r="C2071" s="3" t="str">
        <f>IFERROR(__xludf.DUMMYFUNCTION("GOOGLETRANSLATE(B2071,""id"",""en"")"),"['retreat', 'Telkomsel', 'version', 'buy', 'pulse', 'buy', 'quota', 'internet', 'package', 'difficult', 'network', 'Nga', ' Taulah ',' Season ',' It's Turn ',' Nga ',' Taunya ',' Credit ',' Different ',' Disconnect ',' Install ',' Application ',' Results'"&amp;", 'Raying', 'Update' , 'Mendi', 'Season', 'DiRired', 'Min', ""]")</f>
        <v>['retreat', 'Telkomsel', 'version', 'buy', 'pulse', 'buy', 'quota', 'internet', 'package', 'difficult', 'network', 'Nga', ' Taulah ',' Season ',' It's Turn ',' Nga ',' Taunya ',' Credit ',' Different ',' Disconnect ',' Install ',' Application ',' Results', 'Raying', 'Update' , 'Mendi', 'Season', 'DiRired', 'Min', "]</v>
      </c>
      <c r="D2071" s="3">
        <v>1.0</v>
      </c>
    </row>
    <row r="2072" ht="15.75" customHeight="1">
      <c r="A2072" s="1">
        <v>2070.0</v>
      </c>
      <c r="B2072" s="3" t="s">
        <v>2073</v>
      </c>
      <c r="C2072" s="3" t="str">
        <f>IFERROR(__xludf.DUMMYFUNCTION("GOOGLETRANSLATE(B2072,""id"",""en"")"),"['What', 'quota', 'expensive', 'signal', 'specific', 'gemolong', 'seragen', 'work', 'sleep', 'operator', 'tsel', ""]")</f>
        <v>['What', 'quota', 'expensive', 'signal', 'specific', 'gemolong', 'seragen', 'work', 'sleep', 'operator', 'tsel', "]</v>
      </c>
      <c r="D2072" s="3">
        <v>1.0</v>
      </c>
    </row>
    <row r="2073" ht="15.75" customHeight="1">
      <c r="A2073" s="1">
        <v>2071.0</v>
      </c>
      <c r="B2073" s="3" t="s">
        <v>2074</v>
      </c>
      <c r="C2073" s="3" t="str">
        <f>IFERROR(__xludf.DUMMYFUNCTION("GOOGLETRANSLATE(B2073,""id"",""en"")"),"['Please', 'sorry', 'enter', 'application', 'difficult', 'page', 'login', 'click', 'link', 'text', 'Login', 'login']")</f>
        <v>['Please', 'sorry', 'enter', 'application', 'difficult', 'page', 'login', 'click', 'link', 'text', 'Login', 'login']</v>
      </c>
      <c r="D2073" s="3">
        <v>2.0</v>
      </c>
    </row>
    <row r="2074" ht="15.75" customHeight="1">
      <c r="A2074" s="1">
        <v>2072.0</v>
      </c>
      <c r="B2074" s="3" t="s">
        <v>2075</v>
      </c>
      <c r="C2074" s="3" t="str">
        <f>IFERROR(__xludf.DUMMYFUNCTION("GOOGLETRANSLATE(B2074,""id"",""en"")"),"['Telkomsel', 'operator', 'complete', 'fear', 'missing', 'network', 'Where', 'KTR', 'TELKOM', 'there', 'tower', 'tip', ' Sabang ',' SPI ',' Ujung ',' Merauke ',' Ujung ',' Miangas', 'SPI', 'Timor', 'BER', 'RIA', 'Increases',' Service ',' Telkomsel ' ]")</f>
        <v>['Telkomsel', 'operator', 'complete', 'fear', 'missing', 'network', 'Where', 'KTR', 'TELKOM', 'there', 'tower', 'tip', ' Sabang ',' SPI ',' Ujung ',' Merauke ',' Ujung ',' Miangas', 'SPI', 'Timor', 'BER', 'RIA', 'Increases',' Service ',' Telkomsel ' ]</v>
      </c>
      <c r="D2074" s="3">
        <v>5.0</v>
      </c>
    </row>
    <row r="2075" ht="15.75" customHeight="1">
      <c r="A2075" s="1">
        <v>2073.0</v>
      </c>
      <c r="B2075" s="3" t="s">
        <v>2076</v>
      </c>
      <c r="C2075" s="3" t="str">
        <f>IFERROR(__xludf.DUMMYFUNCTION("GOOGLETRANSLATE(B2075,""id"",""en"")"),"['The application', 'NGK', 'quality', 'contents',' credit ',' appears', 'notification', 'disorder', 'system', 'right', 'open', 'pulse', ' already ',' ilang ',' until ',' loss', 'thousand']")</f>
        <v>['The application', 'NGK', 'quality', 'contents',' credit ',' appears', 'notification', 'disorder', 'system', 'right', 'open', 'pulse', ' already ',' ilang ',' until ',' loss', 'thousand']</v>
      </c>
      <c r="D2075" s="3">
        <v>1.0</v>
      </c>
    </row>
    <row r="2076" ht="15.75" customHeight="1">
      <c r="A2076" s="1">
        <v>2074.0</v>
      </c>
      <c r="B2076" s="3" t="s">
        <v>2077</v>
      </c>
      <c r="C2076" s="3" t="str">
        <f>IFERROR(__xludf.DUMMYFUNCTION("GOOGLETRANSLATE(B2076,""id"",""en"")"),"['No', 'Satisfied', 'Application', 'Credit', 'Sumpot', 'Fill', 'Credit', 'Rupiah', 'Wake Up', 'Morning', 'Out', 'Sumpot', ' Change ',' loss', 'proof', '']")</f>
        <v>['No', 'Satisfied', 'Application', 'Credit', 'Sumpot', 'Fill', 'Credit', 'Rupiah', 'Wake Up', 'Morning', 'Out', 'Sumpot', ' Change ',' loss', 'proof', '']</v>
      </c>
      <c r="D2076" s="3">
        <v>1.0</v>
      </c>
    </row>
    <row r="2077" ht="15.75" customHeight="1">
      <c r="A2077" s="1">
        <v>2075.0</v>
      </c>
      <c r="B2077" s="3" t="s">
        <v>2078</v>
      </c>
      <c r="C2077" s="3" t="str">
        <f>IFERROR(__xludf.DUMMYFUNCTION("GOOGLETRANSLATE(B2077,""id"",""en"")"),"['', 'Telkomsel', 'application', 'check', 'pulse', 'quota', 'account', 'already', 'account', 'intention', 'use', 'apply', 'makes it easier ',' make it difficult ',' fish ',' emotion ',' intention ',' application ',' ']")</f>
        <v>['', 'Telkomsel', 'application', 'check', 'pulse', 'quota', 'account', 'already', 'account', 'intention', 'use', 'apply', 'makes it easier ',' make it difficult ',' fish ',' emotion ',' intention ',' application ',' ']</v>
      </c>
      <c r="D2077" s="3">
        <v>1.0</v>
      </c>
    </row>
    <row r="2078" ht="15.75" customHeight="1">
      <c r="A2078" s="1">
        <v>2076.0</v>
      </c>
      <c r="B2078" s="3" t="s">
        <v>2079</v>
      </c>
      <c r="C2078" s="3" t="str">
        <f>IFERROR(__xludf.DUMMYFUNCTION("GOOGLETRANSLATE(B2078,""id"",""en"")"),"['MyTelkomsel', 'package', 'run out', 'pulse', 'cut', 'list', 'package', 'error', 'forced', 'register', 'registered', 'error', ' That means', 'application', 'quota', 'internet', 'run out', 'active', 'reduced', '']")</f>
        <v>['MyTelkomsel', 'package', 'run out', 'pulse', 'cut', 'list', 'package', 'error', 'forced', 'register', 'registered', 'error', ' That means', 'application', 'quota', 'internet', 'run out', 'active', 'reduced', '']</v>
      </c>
      <c r="D2078" s="3">
        <v>1.0</v>
      </c>
    </row>
    <row r="2079" ht="15.75" customHeight="1">
      <c r="A2079" s="1">
        <v>2077.0</v>
      </c>
      <c r="B2079" s="3" t="s">
        <v>2080</v>
      </c>
      <c r="C2079" s="3" t="str">
        <f>IFERROR(__xludf.DUMMYFUNCTION("GOOGLETRANSLATE(B2079,""id"",""en"")"),"['cave', 'love', 'star', 'because', 'application', 'bad', 'update', 'bru', 'enter', 'already', 'nge', ' Check ',' Developer ',' ngak ',' love ',' quota ',' free ',' ngak ',' mslh ',' cmn ',' bilng ',' mmng ',' Telkomsel ',' love ' , 'quota', 'free', 'prom"&amp;"ise', 'fix', 'brrti', 'telkomsel', 'sultan', 'krna', 'application', 'millions',' orng ',' woi ',' Love ',' Proof ', ""]")</f>
        <v>['cave', 'love', 'star', 'because', 'application', 'bad', 'update', 'bru', 'enter', 'already', 'nge', ' Check ',' Developer ',' ngak ',' love ',' quota ',' free ',' ngak ',' mslh ',' cmn ',' bilng ',' mmng ',' Telkomsel ',' love ' , 'quota', 'free', 'promise', 'fix', 'brrti', 'telkomsel', 'sultan', 'krna', 'application', 'millions',' orng ',' woi ',' Love ',' Proof ', "]</v>
      </c>
      <c r="D2079" s="3">
        <v>1.0</v>
      </c>
    </row>
    <row r="2080" ht="15.75" customHeight="1">
      <c r="A2080" s="1">
        <v>2078.0</v>
      </c>
      <c r="B2080" s="3" t="s">
        <v>2081</v>
      </c>
      <c r="C2080" s="3" t="str">
        <f>IFERROR(__xludf.DUMMYFUNCTION("GOOGLETRANSLATE(B2080,""id"",""en"")"),"['', 'Telkomsel', 'pulse', 'lost', 'gini', 'thousand', 'then', 'lost', 'then', 'the application', 'reset']")</f>
        <v>['', 'Telkomsel', 'pulse', 'lost', 'gini', 'thousand', 'then', 'lost', 'then', 'the application', 'reset']</v>
      </c>
      <c r="D2080" s="3">
        <v>2.0</v>
      </c>
    </row>
    <row r="2081" ht="15.75" customHeight="1">
      <c r="A2081" s="1">
        <v>2079.0</v>
      </c>
      <c r="B2081" s="3" t="s">
        <v>2082</v>
      </c>
      <c r="C2081" s="3" t="str">
        <f>IFERROR(__xludf.DUMMYFUNCTION("GOOGLETRANSLATE(B2081,""id"",""en"")"),"['Bad', 'buy', 'package', 'his writing', 'managed', 'entered', 'pulse', 'missing', 'notif', 'error', 'kirain', 'good', ' Update ',' BURIK ']")</f>
        <v>['Bad', 'buy', 'package', 'his writing', 'managed', 'entered', 'pulse', 'missing', 'notif', 'error', 'kirain', 'good', ' Update ',' BURIK ']</v>
      </c>
      <c r="D2081" s="3">
        <v>1.0</v>
      </c>
    </row>
    <row r="2082" ht="15.75" customHeight="1">
      <c r="A2082" s="1">
        <v>2080.0</v>
      </c>
      <c r="B2082" s="3" t="s">
        <v>2083</v>
      </c>
      <c r="C2082" s="3" t="str">
        <f>IFERROR(__xludf.DUMMYFUNCTION("GOOGLETRANSLATE(B2082,""id"",""en"")"),"['promo', 'package', 'cheap', 'please', 'admin', 'Telkomsel', 'card', 'expensive', 'kabulin', 'replace', 'card', 'Indosat', ' Love ',' Bintang ',' kabulin ',' request ',' SAA ',' love ',' Full ',' star ', ""]")</f>
        <v>['promo', 'package', 'cheap', 'please', 'admin', 'Telkomsel', 'card', 'expensive', 'kabulin', 'replace', 'card', 'Indosat', ' Love ',' Bintang ',' kabulin ',' request ',' SAA ',' love ',' Full ',' star ', "]</v>
      </c>
      <c r="D2082" s="3">
        <v>3.0</v>
      </c>
    </row>
    <row r="2083" ht="15.75" customHeight="1">
      <c r="A2083" s="1">
        <v>2081.0</v>
      </c>
      <c r="B2083" s="3" t="s">
        <v>2084</v>
      </c>
      <c r="C2083" s="3" t="str">
        <f>IFERROR(__xludf.DUMMYFUNCTION("GOOGLETRANSLATE(B2083,""id"",""en"")"),"['hi', 'admin', 'application', 'knp', 'slow', 'pdhal', 'sdha', 'upgrade', 'card', 'hello', 'ttap', 'spertu', ' cards', 'network', 'sell', 'slow', 'please', 'increase', 'facilities',' network ',' cpat ',' admin ',' pliss', 'already', 'it's angry' , 'bget',"&amp;" 'ngebuh', 'peancan', 'tsel', 'krna', 'signal', 'network', '']")</f>
        <v>['hi', 'admin', 'application', 'knp', 'slow', 'pdhal', 'sdha', 'upgrade', 'card', 'hello', 'ttap', 'spertu', ' cards', 'network', 'sell', 'slow', 'please', 'increase', 'facilities',' network ',' cpat ',' admin ',' pliss', 'already', 'it's angry' , 'bget', 'ngebuh', 'peancan', 'tsel', 'krna', 'signal', 'network', '']</v>
      </c>
      <c r="D2083" s="3">
        <v>1.0</v>
      </c>
    </row>
    <row r="2084" ht="15.75" customHeight="1">
      <c r="A2084" s="1">
        <v>2082.0</v>
      </c>
      <c r="B2084" s="3" t="s">
        <v>2085</v>
      </c>
      <c r="C2084" s="3" t="str">
        <f>IFERROR(__xludf.DUMMYFUNCTION("GOOGLETRANSLATE(B2084,""id"",""en"")"),"['Hello', 'Telkomsel', 'a week', 'access',' application ',' Uninstall ',' Install ',' reset ',' contact ',' Telkomsel ',' Tetep ',' solution ',' Telkomsel ',' please ',' assisted ',' makasi ']")</f>
        <v>['Hello', 'Telkomsel', 'a week', 'access',' application ',' Uninstall ',' Install ',' reset ',' contact ',' Telkomsel ',' Tetep ',' solution ',' Telkomsel ',' please ',' assisted ',' makasi ']</v>
      </c>
      <c r="D2084" s="3">
        <v>3.0</v>
      </c>
    </row>
    <row r="2085" ht="15.75" customHeight="1">
      <c r="A2085" s="1">
        <v>2083.0</v>
      </c>
      <c r="B2085" s="3" t="s">
        <v>2086</v>
      </c>
      <c r="C2085" s="3" t="str">
        <f>IFERROR(__xludf.DUMMYFUNCTION("GOOGLETRANSLATE(B2085,""id"",""en"")"),"['Believe', 'Telkomsel', 'Out', 'Package', 'Card', 'Discard', 'Network', 'Rotten', 'Credit', 'Main', 'Out', 'Sunshine', ' Quota ',' Internet ',' Disappointed ',' ']")</f>
        <v>['Believe', 'Telkomsel', 'Out', 'Package', 'Card', 'Discard', 'Network', 'Rotten', 'Credit', 'Main', 'Out', 'Sunshine', ' Quota ',' Internet ',' Disappointed ',' ']</v>
      </c>
      <c r="D2085" s="3">
        <v>1.0</v>
      </c>
    </row>
    <row r="2086" ht="15.75" customHeight="1">
      <c r="A2086" s="1">
        <v>2084.0</v>
      </c>
      <c r="B2086" s="3" t="s">
        <v>2087</v>
      </c>
      <c r="C2086" s="3" t="str">
        <f>IFERROR(__xludf.DUMMYFUNCTION("GOOGLETRANSLATE(B2086,""id"",""en"")"),"['a month', 'full', 'daily', 'check', 'reward', 'claim', 'skrg', 'slow', 'really', 'switch', 'network', 'slow', ' Even this is', 'skrg', 'login', 'session', 'login', 'has',' expired ',' mulu ']")</f>
        <v>['a month', 'full', 'daily', 'check', 'reward', 'claim', 'skrg', 'slow', 'really', 'switch', 'network', 'slow', ' Even this is', 'skrg', 'login', 'session', 'login', 'has',' expired ',' mulu ']</v>
      </c>
      <c r="D2086" s="3">
        <v>1.0</v>
      </c>
    </row>
    <row r="2087" ht="15.75" customHeight="1">
      <c r="A2087" s="1">
        <v>2085.0</v>
      </c>
      <c r="B2087" s="3" t="s">
        <v>2088</v>
      </c>
      <c r="C2087" s="3" t="str">
        <f>IFERROR(__xludf.DUMMYFUNCTION("GOOGLETRANSLATE(B2087,""id"",""en"")"),"['FORTY', 'Application', 'Written', 'On', 'Number', 'Turnling', 'Changed', 'Dlin', 'Ground "",' Gini ',' Customer ',' used ',' active ',' run out ',' mean ',' active ',' number ',' used ',' scorched ',' direct ',' understand ',' purpose ',' behind ',' act"&amp;"ive ' , '']")</f>
        <v>['FORTY', 'Application', 'Written', 'On', 'Number', 'Turnling', 'Changed', 'Dlin', 'Ground ",' Gini ',' Customer ',' used ',' active ',' run out ',' mean ',' active ',' number ',' used ',' scorched ',' direct ',' understand ',' purpose ',' behind ',' active ' , '']</v>
      </c>
      <c r="D2087" s="3">
        <v>4.0</v>
      </c>
    </row>
    <row r="2088" ht="15.75" customHeight="1">
      <c r="A2088" s="1">
        <v>2086.0</v>
      </c>
      <c r="B2088" s="3" t="s">
        <v>2089</v>
      </c>
      <c r="C2088" s="3" t="str">
        <f>IFERROR(__xludf.DUMMYFUNCTION("GOOGLETRANSLATE(B2088,""id"",""en"")"),"['Sometimes',' signal ',' difficult ',' flips', 'then', 'appears',' notification ',' as if ',' Link ',' Telkomsel ',' Tool ',' download ',' PDHL ',' Site ',' Telkomsel ',' Tool ',' Opened ',' ']")</f>
        <v>['Sometimes',' signal ',' difficult ',' flips', 'then', 'appears',' notification ',' as if ',' Link ',' Telkomsel ',' Tool ',' download ',' PDHL ',' Site ',' Telkomsel ',' Tool ',' Opened ',' ']</v>
      </c>
      <c r="D2088" s="3">
        <v>4.0</v>
      </c>
    </row>
    <row r="2089" ht="15.75" customHeight="1">
      <c r="A2089" s="1">
        <v>2087.0</v>
      </c>
      <c r="B2089" s="3" t="s">
        <v>2090</v>
      </c>
      <c r="C2089" s="3" t="str">
        <f>IFERROR(__xludf.DUMMYFUNCTION("GOOGLETRANSLATE(B2089,""id"",""en"")"),"['update', 'threat', 'pulse', 'fill in', 'ngilanc', 'phone', 'solution', '']")</f>
        <v>['update', 'threat', 'pulse', 'fill in', 'ngilanc', 'phone', 'solution', '']</v>
      </c>
      <c r="D2089" s="3">
        <v>1.0</v>
      </c>
    </row>
    <row r="2090" ht="15.75" customHeight="1">
      <c r="A2090" s="1">
        <v>2088.0</v>
      </c>
      <c r="B2090" s="3" t="s">
        <v>2091</v>
      </c>
      <c r="C2090" s="3" t="str">
        <f>IFERROR(__xludf.DUMMYFUNCTION("GOOGLETRANSLATE(B2090,""id"",""en"")"),"['upgrade', 'ugly', 'really', 'pay', 'Linkaja', 'application', 'login', 'many', 'times',' sometimes', 'login', 'Please', ' Repaired ',' MyTelkomsel ',' disappointing ']")</f>
        <v>['upgrade', 'ugly', 'really', 'pay', 'Linkaja', 'application', 'login', 'many', 'times',' sometimes', 'login', 'Please', ' Repaired ',' MyTelkomsel ',' disappointing ']</v>
      </c>
      <c r="D2090" s="3">
        <v>1.0</v>
      </c>
    </row>
    <row r="2091" ht="15.75" customHeight="1">
      <c r="A2091" s="1">
        <v>2089.0</v>
      </c>
      <c r="B2091" s="3" t="s">
        <v>2092</v>
      </c>
      <c r="C2091" s="3" t="str">
        <f>IFERROR(__xludf.DUMMYFUNCTION("GOOGLETRANSLATE(B2091,""id"",""en"")"),"['Damn', 'frequency', 'really', 'Telkomsel', 'motit', 'pulse', 'org', 'except', 'package', 'data', 'run out', 'pa', ' Play ',' Cut ',' Credit ',' JDI ',' Males', 'Fill', 'Credit', 'Fear', 'Pemalingin', 'Telkomsel', ""]")</f>
        <v>['Damn', 'frequency', 'really', 'Telkomsel', 'motit', 'pulse', 'org', 'except', 'package', 'data', 'run out', 'pa', ' Play ',' Cut ',' Credit ',' JDI ',' Males', 'Fill', 'Credit', 'Fear', 'Pemalingin', 'Telkomsel', "]</v>
      </c>
      <c r="D2091" s="3">
        <v>1.0</v>
      </c>
    </row>
    <row r="2092" ht="15.75" customHeight="1">
      <c r="A2092" s="1">
        <v>2090.0</v>
      </c>
      <c r="B2092" s="3" t="s">
        <v>2093</v>
      </c>
      <c r="C2092" s="3" t="str">
        <f>IFERROR(__xludf.DUMMYFUNCTION("GOOGLETRANSLATE(B2092,""id"",""en"")"),"['application', 'thorough', 'Abis',' update ',' enter ',' package ',' internet ',' please ',' pay attention ',' bug ',' bug ',' error ',' system ',' please ',' pay attention ',' comfort ',' user ',' how ',' time ',' natural ',' version ',' already ',' exp"&amp;"erience ']")</f>
        <v>['application', 'thorough', 'Abis',' update ',' enter ',' package ',' internet ',' please ',' pay attention ',' bug ',' bug ',' error ',' system ',' please ',' pay attention ',' comfort ',' user ',' how ',' time ',' natural ',' version ',' already ',' experience ']</v>
      </c>
      <c r="D2092" s="3">
        <v>1.0</v>
      </c>
    </row>
    <row r="2093" ht="15.75" customHeight="1">
      <c r="A2093" s="1">
        <v>2091.0</v>
      </c>
      <c r="B2093" s="3" t="s">
        <v>2094</v>
      </c>
      <c r="C2093" s="3" t="str">
        <f>IFERROR(__xludf.DUMMYFUNCTION("GOOGLETRANSLATE(B2093,""id"",""en"")"),"['Star', 'less',' yach ',' sorry ',' rada ',' bother ',' yach ',' entry ',' send ',' link ',' get ',' sms', ' Enter ',' application ',' Membal ',' SMS ',' Enter ',' Application ',' Forced ',' ']")</f>
        <v>['Star', 'less',' yach ',' sorry ',' rada ',' bother ',' yach ',' entry ',' send ',' link ',' get ',' sms', ' Enter ',' application ',' Membal ',' SMS ',' Enter ',' Application ',' Forced ',' ']</v>
      </c>
      <c r="D2093" s="3">
        <v>1.0</v>
      </c>
    </row>
    <row r="2094" ht="15.75" customHeight="1">
      <c r="A2094" s="1">
        <v>2092.0</v>
      </c>
      <c r="B2094" s="3" t="s">
        <v>2095</v>
      </c>
      <c r="C2094" s="3" t="str">
        <f>IFERROR(__xludf.DUMMYFUNCTION("GOOGLETRANSLATE(B2094,""id"",""en"")"),"['', 'Notification', 'SMS', 'Package', 'Cheerful', 'Date', 'Clock', 'WIB', 'PAS', 'Look', 'Application', 'MyTelkomsel', 'Package ',' cheerful ',' printed ',' error ',' worry ',' package ',' cheerful ',' date ',' July ',' usage ',' data ',' internet ',' mi"&amp;"x ', 'pulse', 'saved', '']")</f>
        <v>['', 'Notification', 'SMS', 'Package', 'Cheerful', 'Date', 'Clock', 'WIB', 'PAS', 'Look', 'Application', 'MyTelkomsel', 'Package ',' cheerful ',' printed ',' error ',' worry ',' package ',' cheerful ',' date ',' July ',' usage ',' data ',' internet ',' mix ', 'pulse', 'saved', '']</v>
      </c>
      <c r="D2094" s="3">
        <v>1.0</v>
      </c>
    </row>
    <row r="2095" ht="15.75" customHeight="1">
      <c r="A2095" s="1">
        <v>2093.0</v>
      </c>
      <c r="B2095" s="3" t="s">
        <v>2096</v>
      </c>
      <c r="C2095" s="3" t="str">
        <f>IFERROR(__xludf.DUMMYFUNCTION("GOOGLETRANSLATE(B2095,""id"",""en"")"),"['KNPA', 'Telkomsel', 'like', 'eat', 'money', 'haram', 'pulse', 'likes',' run out ',' pdhal ',' network ',' internet ',' cards', 'tsb', 'krna', 'can', 'salary', 'employees',' steal ',' dri ',' consumers', 'weve', 'value', 'TPI', 'take' , 'Oll of', 'consum"&amp;"ers', 'Indo', 'mah', 'can', 'bnyak', 'tong', 'tune', 'bad', 'lost', 'dri', 'tsel']")</f>
        <v>['KNPA', 'Telkomsel', 'like', 'eat', 'money', 'haram', 'pulse', 'likes',' run out ',' pdhal ',' network ',' internet ',' cards', 'tsb', 'krna', 'can', 'salary', 'employees',' steal ',' dri ',' consumers', 'weve', 'value', 'TPI', 'take' , 'Oll of', 'consumers', 'Indo', 'mah', 'can', 'bnyak', 'tong', 'tune', 'bad', 'lost', 'dri', 'tsel']</v>
      </c>
      <c r="D2095" s="3">
        <v>1.0</v>
      </c>
    </row>
    <row r="2096" ht="15.75" customHeight="1">
      <c r="A2096" s="1">
        <v>2094.0</v>
      </c>
      <c r="B2096" s="3" t="s">
        <v>2097</v>
      </c>
      <c r="C2096" s="3" t="str">
        <f>IFERROR(__xludf.DUMMYFUNCTION("GOOGLETRANSLATE(B2096,""id"",""en"")"),"['', 'Dwalditu', 'ugly', 'application', 'yaz', 'tdnya', 'smooth', 'update', 'language', 'bhs',' English ',' change ',' gaada ',' Settings', 'Pngaturan', 'BHS', 'UDH', 'SETTING', 'INDO', 'TTP', 'Change', 'Settin', 'BHS', 'Application', 'See', 'Package', 'c"&amp;"omplicated', 'skrg', 'bagusan', 'deh', 'pulse', 'bkurang', 'deh', '']")</f>
        <v>['', 'Dwalditu', 'ugly', 'application', 'yaz', 'tdnya', 'smooth', 'update', 'language', 'bhs',' English ',' change ',' gaada ',' Settings', 'Pngaturan', 'BHS', 'UDH', 'SETTING', 'INDO', 'TTP', 'Change', 'Settin', 'BHS', 'Application', 'See', 'Package', 'complicated', 'skrg', 'bagusan', 'deh', 'pulse', 'bkurang', 'deh', '']</v>
      </c>
      <c r="D2096" s="3">
        <v>1.0</v>
      </c>
    </row>
    <row r="2097" ht="15.75" customHeight="1">
      <c r="A2097" s="1">
        <v>2095.0</v>
      </c>
      <c r="B2097" s="3" t="s">
        <v>2098</v>
      </c>
      <c r="C2097" s="3" t="str">
        <f>IFERROR(__xludf.DUMMYFUNCTION("GOOGLETRANSLATE(B2097,""id"",""en"")"),"['Package', 'gamsmax', 'play', 'game', 'games',' MLLB ',' pubm ',' no ',' use ',' fooling ',' mending ',' package ',' Package ',' Regular ',' Kepakai ',' Price ',' Package ',' Doang ',' Removed ',' TPI ',' Convenient ',' User ',' Preferred ',' Hope ',' fr"&amp;"iend ' , 'Read', 'comment', 'Agree', 'Krna', 'Disright', 'User', 'Package', 'GameSmax', ""]")</f>
        <v>['Package', 'gamsmax', 'play', 'game', 'games',' MLLB ',' pubm ',' no ',' use ',' fooling ',' mending ',' package ',' Package ',' Regular ',' Kepakai ',' Price ',' Package ',' Doang ',' Removed ',' TPI ',' Convenient ',' User ',' Preferred ',' Hope ',' friend ' , 'Read', 'comment', 'Agree', 'Krna', 'Disright', 'User', 'Package', 'GameSmax', "]</v>
      </c>
      <c r="D2097" s="3">
        <v>1.0</v>
      </c>
    </row>
    <row r="2098" ht="15.75" customHeight="1">
      <c r="A2098" s="1">
        <v>2096.0</v>
      </c>
      <c r="B2098" s="3" t="s">
        <v>2099</v>
      </c>
      <c r="C2098" s="3" t="str">
        <f>IFERROR(__xludf.DUMMYFUNCTION("GOOGLETRANSLATE(B2098,""id"",""en"")"),"['Update', 'Latest', 'Loading', 'Enter', 'Application', 'Need', 'Minutes',' Success', 'Enter', 'Quota', 'GB', 'Network', ' ']")</f>
        <v>['Update', 'Latest', 'Loading', 'Enter', 'Application', 'Need', 'Minutes',' Success', 'Enter', 'Quota', 'GB', 'Network', ' ']</v>
      </c>
      <c r="D2098" s="3">
        <v>1.0</v>
      </c>
    </row>
    <row r="2099" ht="15.75" customHeight="1">
      <c r="A2099" s="1">
        <v>2097.0</v>
      </c>
      <c r="B2099" s="3" t="s">
        <v>2100</v>
      </c>
      <c r="C2099" s="3" t="str">
        <f>IFERROR(__xludf.DUMMYFUNCTION("GOOGLETRANSLATE(B2099,""id"",""en"")"),"['Ribet', 'expensive', 'package', 'complete', 'unlimited', 'speed', 'rich', 'snail', 'slow', 'fix', 'waste', 'card']")</f>
        <v>['Ribet', 'expensive', 'package', 'complete', 'unlimited', 'speed', 'rich', 'snail', 'slow', 'fix', 'waste', 'card']</v>
      </c>
      <c r="D2099" s="3">
        <v>1.0</v>
      </c>
    </row>
    <row r="2100" ht="15.75" customHeight="1">
      <c r="A2100" s="1">
        <v>2098.0</v>
      </c>
      <c r="B2100" s="3" t="s">
        <v>2101</v>
      </c>
      <c r="C2100" s="3" t="str">
        <f>IFERROR(__xludf.DUMMYFUNCTION("GOOGLETRANSLATE(B2100,""id"",""en"")"),"['GMN', 'Daily', 'Chekin', 'quota', 'lapse', 'main', 'Where', 'Daily', 'Chekin', 'status',' Considered ',' quota ',' Enter ',' BLI ',' quota ',' to ',' pulses', 'UDH', 'Cut', 'quota', 'enter', 'send', 'email', 'slow', 'response' , 'turn', 'response', 'mak"&amp;"e it difficult', 'data', 'mending', 'stlah', 'send', 'data', 'finite', 'Fast', 'response', ' Twitter ',' Help ',' Mecahin ',' Promo ',' Daily ',' Chekin ',' Out ',' Quota ',' Where ', ""]")</f>
        <v>['GMN', 'Daily', 'Chekin', 'quota', 'lapse', 'main', 'Where', 'Daily', 'Chekin', 'status',' Considered ',' quota ',' Enter ',' BLI ',' quota ',' to ',' pulses', 'UDH', 'Cut', 'quota', 'enter', 'send', 'email', 'slow', 'response' , 'turn', 'response', 'make it difficult', 'data', 'mending', 'stlah', 'send', 'data', 'finite', 'Fast', 'response', ' Twitter ',' Help ',' Mecahin ',' Promo ',' Daily ',' Chekin ',' Out ',' Quota ',' Where ', "]</v>
      </c>
      <c r="D2100" s="3">
        <v>1.0</v>
      </c>
    </row>
    <row r="2101" ht="15.75" customHeight="1">
      <c r="A2101" s="1">
        <v>2099.0</v>
      </c>
      <c r="B2101" s="3" t="s">
        <v>2102</v>
      </c>
      <c r="C2101" s="3" t="str">
        <f>IFERROR(__xludf.DUMMYFUNCTION("GOOGLETRANSLATE(B2101,""id"",""en"")"),"['Telkomsel', 'yesterday', 'quota', 'enter', 'try', 'login', 'sms',' just ',' login ',' clear ',' directly ',' comment ',' e-mail']")</f>
        <v>['Telkomsel', 'yesterday', 'quota', 'enter', 'try', 'login', 'sms',' just ',' login ',' clear ',' directly ',' comment ',' e-mail']</v>
      </c>
      <c r="D2101" s="3">
        <v>1.0</v>
      </c>
    </row>
    <row r="2102" ht="15.75" customHeight="1">
      <c r="A2102" s="1">
        <v>2100.0</v>
      </c>
      <c r="B2102" s="3" t="s">
        <v>2103</v>
      </c>
      <c r="C2102" s="3" t="str">
        <f>IFERROR(__xludf.DUMMYFUNCTION("GOOGLETRANSLATE(B2102,""id"",""en"")"),"['network', 'Telkomsel', 'disappointed', 'service', 'Telkomsel', 'bad', 'Telkomsel', 'most', 'sleep', '']")</f>
        <v>['network', 'Telkomsel', 'disappointed', 'service', 'Telkomsel', 'bad', 'Telkomsel', 'most', 'sleep', '']</v>
      </c>
      <c r="D2102" s="3">
        <v>1.0</v>
      </c>
    </row>
    <row r="2103" ht="15.75" customHeight="1">
      <c r="A2103" s="1">
        <v>2101.0</v>
      </c>
      <c r="B2103" s="3" t="s">
        <v>2104</v>
      </c>
      <c r="C2103" s="3" t="str">
        <f>IFERROR(__xludf.DUMMYFUNCTION("GOOGLETRANSLATE(B2103,""id"",""en"")"),"['', 'area', 'signal', 'super', 'slow', 'worst', 'bar', 'bar', 'home', 'distance', 'tower', 'bts',' km ',' slow ',' superrr ',' slow ',' hope ',' input ',' best ',' Telkomsel ',' card ',' Telkomsel ',' card ',' ngeyelin ',' signal ', 'Hopefully', 'improve"&amp;"ment', 'in the future', 'update', 'difficult', 'add', 'card', 'prepaid', 'orbit', 'difficult', 'die', 'sms',' see ',' Apps', 'orbit', 'add', 'email', 'no', 'duhhh']")</f>
        <v>['', 'area', 'signal', 'super', 'slow', 'worst', 'bar', 'bar', 'home', 'distance', 'tower', 'bts',' km ',' slow ',' superrr ',' slow ',' hope ',' input ',' best ',' Telkomsel ',' card ',' Telkomsel ',' card ',' ngeyelin ',' signal ', 'Hopefully', 'improvement', 'in the future', 'update', 'difficult', 'add', 'card', 'prepaid', 'orbit', 'difficult', 'die', 'sms',' see ',' Apps', 'orbit', 'add', 'email', 'no', 'duhhh']</v>
      </c>
      <c r="D2103" s="3">
        <v>1.0</v>
      </c>
    </row>
    <row r="2104" ht="15.75" customHeight="1">
      <c r="A2104" s="1">
        <v>2102.0</v>
      </c>
      <c r="B2104" s="3" t="s">
        <v>2105</v>
      </c>
      <c r="C2104" s="3" t="str">
        <f>IFERROR(__xludf.DUMMYFUNCTION("GOOGLETRANSLATE(B2104,""id"",""en"")"),"['What', 'confused', 'apk', 'because' service ',' bad ',' strange ',' pulse ',' continuous ',' chick ',' has ',' quota ',' strange ',' access', 'APK', 'continuous',' commemorated ',' login ',' reset ',' please ',' responsible ',' fix ',' replace ',' loss'"&amp;", 'loss' , 'thank you', '']")</f>
        <v>['What', 'confused', 'apk', 'because' service ',' bad ',' strange ',' pulse ',' continuous ',' chick ',' has ',' quota ',' strange ',' access', 'APK', 'continuous',' commemorated ',' login ',' reset ',' please ',' responsible ',' fix ',' replace ',' loss', 'loss' , 'thank you', '']</v>
      </c>
      <c r="D2104" s="3">
        <v>1.0</v>
      </c>
    </row>
    <row r="2105" ht="15.75" customHeight="1">
      <c r="A2105" s="1">
        <v>2103.0</v>
      </c>
      <c r="B2105" s="3" t="s">
        <v>2106</v>
      </c>
      <c r="C2105" s="3" t="str">
        <f>IFERROR(__xludf.DUMMYFUNCTION("GOOGLETRANSLATE(B2105,""id"",""en"")"),"['signal', 'difficult', 'padhal', 'Telkomsel', 'signal', 'pling', 'good', 'knpa', 'skrang', 'decline', 'quality', 'pulses',' So ',' Out ',' Intrnetan ',' PDHL ',' already ',' DFTR ',' Internet ',' HSL ',' DFTR ',' KNPA ',' SKRNG ',' Telkomsel ',' quality "&amp;"' , 'ugly', 'skli', 'buy', 'quota', 'expensive', 'signal', 'ugly', 'detrimental', 'customer']")</f>
        <v>['signal', 'difficult', 'padhal', 'Telkomsel', 'signal', 'pling', 'good', 'knpa', 'skrang', 'decline', 'quality', 'pulses',' So ',' Out ',' Intrnetan ',' PDHL ',' already ',' DFTR ',' Internet ',' HSL ',' DFTR ',' KNPA ',' SKRNG ',' Telkomsel ',' quality ' , 'ugly', 'skli', 'buy', 'quota', 'expensive', 'signal', 'ugly', 'detrimental', 'customer']</v>
      </c>
      <c r="D2105" s="3">
        <v>1.0</v>
      </c>
    </row>
    <row r="2106" ht="15.75" customHeight="1">
      <c r="A2106" s="1">
        <v>2104.0</v>
      </c>
      <c r="B2106" s="3" t="s">
        <v>2107</v>
      </c>
      <c r="C2106" s="3" t="str">
        <f>IFERROR(__xludf.DUMMYFUNCTION("GOOGLETRANSLATE(B2106,""id"",""en"")"),"['Telkomsel', 'Please', 'Fix', 'Network', 'Koto', 'Kampar', 'Hulu', 'Riau', 'Disappointed', 'Wear', 'Telkomsel', 'Promo', ' Buy ',' Promo ',' ']")</f>
        <v>['Telkomsel', 'Please', 'Fix', 'Network', 'Koto', 'Kampar', 'Hulu', 'Riau', 'Disappointed', 'Wear', 'Telkomsel', 'Promo', ' Buy ',' Promo ',' ']</v>
      </c>
      <c r="D2106" s="3">
        <v>1.0</v>
      </c>
    </row>
    <row r="2107" ht="15.75" customHeight="1">
      <c r="A2107" s="1">
        <v>2105.0</v>
      </c>
      <c r="B2107" s="3" t="s">
        <v>2108</v>
      </c>
      <c r="C2107" s="3" t="str">
        <f>IFERROR(__xludf.DUMMYFUNCTION("GOOGLETRANSLATE(B2107,""id"",""en"")"),"['Package', 'Combo', 'Sakti', 'Lying', 'Package', 'Internet', 'Regular', 'Out', 'Credit', 'Cut', 'Unlimited', ' Multimedia ',' Road ',' Promised ',' Severe ',' ']")</f>
        <v>['Package', 'Combo', 'Sakti', 'Lying', 'Package', 'Internet', 'Regular', 'Out', 'Credit', 'Cut', 'Unlimited', ' Multimedia ',' Road ',' Promised ',' Severe ',' ']</v>
      </c>
      <c r="D2107" s="3">
        <v>1.0</v>
      </c>
    </row>
    <row r="2108" ht="15.75" customHeight="1">
      <c r="A2108" s="1">
        <v>2106.0</v>
      </c>
      <c r="B2108" s="3" t="s">
        <v>2109</v>
      </c>
      <c r="C2108" s="3" t="str">
        <f>IFERROR(__xludf.DUMMYFUNCTION("GOOGLETRANSLATE(B2108,""id"",""en"")"),"['Application', 'Haram', 'knapa', 'card', 'quota', 'internet', 'where', 'knapa', 'lost', 'all', 'check', 'fail', ' Please ',' Fix ',' Consumer ',' Betah ',' ']")</f>
        <v>['Application', 'Haram', 'knapa', 'card', 'quota', 'internet', 'where', 'knapa', 'lost', 'all', 'check', 'fail', ' Please ',' Fix ',' Consumer ',' Betah ',' ']</v>
      </c>
      <c r="D2108" s="3">
        <v>1.0</v>
      </c>
    </row>
    <row r="2109" ht="15.75" customHeight="1">
      <c r="A2109" s="1">
        <v>2107.0</v>
      </c>
      <c r="B2109" s="3" t="s">
        <v>2110</v>
      </c>
      <c r="C2109" s="3" t="str">
        <f>IFERROR(__xludf.DUMMYFUNCTION("GOOGLETRANSLATE(B2109,""id"",""en"")"),"['signal', 'Telkomsel', 'disappears',' fast ',' stable ',' download ',' upload ',' medsos', 'Please', 'enhanced', 'signal', 'Telkomsel', ' fast ',' stable ',' thank ',' love ']")</f>
        <v>['signal', 'Telkomsel', 'disappears',' fast ',' stable ',' download ',' upload ',' medsos', 'Please', 'enhanced', 'signal', 'Telkomsel', ' fast ',' stable ',' thank ',' love ']</v>
      </c>
      <c r="D2109" s="3">
        <v>4.0</v>
      </c>
    </row>
    <row r="2110" ht="15.75" customHeight="1">
      <c r="A2110" s="1">
        <v>2108.0</v>
      </c>
      <c r="B2110" s="3" t="s">
        <v>2111</v>
      </c>
      <c r="C2110" s="3" t="str">
        <f>IFERROR(__xludf.DUMMYFUNCTION("GOOGLETRANSLATE(B2110,""id"",""en"")"),"['signal', 'volte', 'slow', 'mercy', 'play', 'game', 'signal', 'green', 'red', 'so', 'then', 'use', ' LEGEN ',' GOD ',' already ',' price ',' package ',' expensive ',' quality ',' UDH ',' name ',' satisfaction ',' customer ',' forgotten ',' fast ' , 'Inte"&amp;"rnet', 'LEG', 'BUFFERING', 'UDH', 'JAYA', 'UDH', 'NAME', 'SELET', 'POWER', 'Please', 'Guarded', 'Satisfaction', ' Customers', 'use', 'Telkomsel', 'good', 'moved', 'operator']")</f>
        <v>['signal', 'volte', 'slow', 'mercy', 'play', 'game', 'signal', 'green', 'red', 'so', 'then', 'use', ' LEGEN ',' GOD ',' already ',' price ',' package ',' expensive ',' quality ',' UDH ',' name ',' satisfaction ',' customer ',' forgotten ',' fast ' , 'Internet', 'LEG', 'BUFFERING', 'UDH', 'JAYA', 'UDH', 'NAME', 'SELET', 'POWER', 'Please', 'Guarded', 'Satisfaction', ' Customers', 'use', 'Telkomsel', 'good', 'moved', 'operator']</v>
      </c>
      <c r="D2110" s="3">
        <v>1.0</v>
      </c>
    </row>
    <row r="2111" ht="15.75" customHeight="1">
      <c r="A2111" s="1">
        <v>2109.0</v>
      </c>
      <c r="B2111" s="3" t="s">
        <v>2112</v>
      </c>
      <c r="C2111" s="3" t="str">
        <f>IFERROR(__xludf.DUMMYFUNCTION("GOOGLETRANSLATE(B2111,""id"",""en"")"),"['a day', 'Telkomsel', 'network', 'difficult', 'really', 'network', 'disorder', 'pdhal', 'towel', 'Telkomsel', 'slow', 'Please', ' cooperation ',' consumer ',' consistent ',' Telkomsel ',' oya ',' area ',' sumatra ',' north ',' kab ',' langkan ',' kec ','"&amp;" babalan ',' thank you ' , '']")</f>
        <v>['a day', 'Telkomsel', 'network', 'difficult', 'really', 'network', 'disorder', 'pdhal', 'towel', 'Telkomsel', 'slow', 'Please', ' cooperation ',' consumer ',' consistent ',' Telkomsel ',' oya ',' area ',' sumatra ',' north ',' kab ',' langkan ',' kec ',' babalan ',' thank you ' , '']</v>
      </c>
      <c r="D2111" s="3">
        <v>2.0</v>
      </c>
    </row>
    <row r="2112" ht="15.75" customHeight="1">
      <c r="A2112" s="1">
        <v>2110.0</v>
      </c>
      <c r="B2112" s="3" t="s">
        <v>2113</v>
      </c>
      <c r="C2112" s="3" t="str">
        <f>IFERROR(__xludf.DUMMYFUNCTION("GOOGLETRANSLATE(B2112,""id"",""en"")"),"['Telkomsel', 'bankrupt', 'rich', 'dlu', 'lgi', 'buy', 'package', 'expensive', 'service', 'knp', 'telkomsel', 'clock', ' MLM ',' clock ',' malem ',' network ',' threat ',' then ',' bankrupt ',' greetings', 'bogor', '']")</f>
        <v>['Telkomsel', 'bankrupt', 'rich', 'dlu', 'lgi', 'buy', 'package', 'expensive', 'service', 'knp', 'telkomsel', 'clock', ' MLM ',' clock ',' malem ',' network ',' threat ',' then ',' bankrupt ',' greetings', 'bogor', '']</v>
      </c>
      <c r="D2112" s="3">
        <v>1.0</v>
      </c>
    </row>
    <row r="2113" ht="15.75" customHeight="1">
      <c r="A2113" s="1">
        <v>2111.0</v>
      </c>
      <c r="B2113" s="3" t="s">
        <v>2114</v>
      </c>
      <c r="C2113" s="3" t="str">
        <f>IFERROR(__xludf.DUMMYFUNCTION("GOOGLETRANSLATE(B2113,""id"",""en"")"),"['Provider', 'Plat', 'Red', 'Telkomsel', 'Kian', 'Keep', 'Customer', 'Setian', 'Structure', 'Organization', 'Telkomsel', 'Good', ' References', 'agencies',' counterproductive ',' services', 'context', 'kinean', 'king', 'lip', 'service', 'telkomsel', 'comp"&amp;"laints',' consumers', 'make' , 'reminder', 'improvement', 'service', 'public', 'attitude', 'beg', 'sorry', 'discomfort', 'so', 'thank', 'love', 'greetings',' ']")</f>
        <v>['Provider', 'Plat', 'Red', 'Telkomsel', 'Kian', 'Keep', 'Customer', 'Setian', 'Structure', 'Organization', 'Telkomsel', 'Good', ' References', 'agencies',' counterproductive ',' services', 'context', 'kinean', 'king', 'lip', 'service', 'telkomsel', 'complaints',' consumers', 'make' , 'reminder', 'improvement', 'service', 'public', 'attitude', 'beg', 'sorry', 'discomfort', 'so', 'thank', 'love', 'greetings',' ']</v>
      </c>
      <c r="D2113" s="3">
        <v>1.0</v>
      </c>
    </row>
    <row r="2114" ht="15.75" customHeight="1">
      <c r="A2114" s="1">
        <v>2112.0</v>
      </c>
      <c r="B2114" s="3" t="s">
        <v>2115</v>
      </c>
      <c r="C2114" s="3" t="str">
        <f>IFERROR(__xludf.DUMMYFUNCTION("GOOGLETRANSLATE(B2114,""id"",""en"")"),"['', 'Telkomsel', 'gymna', 'regret', 'cave', 'upgrade', 'kirain', 'prepaid', 'pay', 'block', 'cave', 'stupid', 'dumpo ',' Begone ',' sweet ',' really ',' talk ']")</f>
        <v>['', 'Telkomsel', 'gymna', 'regret', 'cave', 'upgrade', 'kirain', 'prepaid', 'pay', 'block', 'cave', 'stupid', 'dumpo ',' Begone ',' sweet ',' really ',' talk ']</v>
      </c>
      <c r="D2114" s="3">
        <v>1.0</v>
      </c>
    </row>
    <row r="2115" ht="15.75" customHeight="1">
      <c r="A2115" s="1">
        <v>2113.0</v>
      </c>
      <c r="B2115" s="3" t="s">
        <v>2116</v>
      </c>
      <c r="C2115" s="3" t="str">
        <f>IFERROR(__xludf.DUMMYFUNCTION("GOOGLETRANSLATE(B2115,""id"",""en"")"),"['Application', 'BGS', 'Delicious',' Transaction ',' Purchase ',' Package ',' Data ',' UDH ',' Connected ',' Application ',' Take ',' Credit ',' Packages', 'Data', 'Hbs',' ']")</f>
        <v>['Application', 'BGS', 'Delicious',' Transaction ',' Purchase ',' Package ',' Data ',' UDH ',' Connected ',' Application ',' Take ',' Credit ',' Packages', 'Data', 'Hbs',' ']</v>
      </c>
      <c r="D2115" s="3">
        <v>4.0</v>
      </c>
    </row>
    <row r="2116" ht="15.75" customHeight="1">
      <c r="A2116" s="1">
        <v>2114.0</v>
      </c>
      <c r="B2116" s="3" t="s">
        <v>2117</v>
      </c>
      <c r="C2116" s="3" t="str">
        <f>IFERROR(__xludf.DUMMYFUNCTION("GOOGLETRANSLATE(B2116,""id"",""en"")"),"['application', 'bad', 'contents',' credit ',' sumps', 'use', 'data', 'card', 'gini', 'detrimental', 'customer', 'network', ' Sometimes', 'missing', '']")</f>
        <v>['application', 'bad', 'contents',' credit ',' sumps', 'use', 'data', 'card', 'gini', 'detrimental', 'customer', 'network', ' Sometimes', 'missing', '']</v>
      </c>
      <c r="D2116" s="3">
        <v>1.0</v>
      </c>
    </row>
    <row r="2117" ht="15.75" customHeight="1">
      <c r="A2117" s="1">
        <v>2115.0</v>
      </c>
      <c r="B2117" s="3" t="s">
        <v>2118</v>
      </c>
      <c r="C2117" s="3" t="str">
        <f>IFERROR(__xludf.DUMMYFUNCTION("GOOGLETRANSLATE(B2117,""id"",""en"")"),"['Thank you', 'Telkomsel', 'use', 'Telkomsel', 'his era', 'SMS', 'telephone', 'Android', 'loyal', 'Telkomsel', 'Geram', 'signal', ' ugly ',' already ',' package ',' expensive ',' signal ',' error ',' repairs', 'email', 'comment', 'application', 't it', 'u"&amp;"sers',' Telkomsel ' , 'Perhaps', 'error', 'as a result', 'complaining', 'Sya', 'Decide', 'Change', '']")</f>
        <v>['Thank you', 'Telkomsel', 'use', 'Telkomsel', 'his era', 'SMS', 'telephone', 'Android', 'loyal', 'Telkomsel', 'Geram', 'signal', ' ugly ',' already ',' package ',' expensive ',' signal ',' error ',' repairs', 'email', 'comment', 'application', 't it', 'users',' Telkomsel ' , 'Perhaps', 'error', 'as a result', 'complaining', 'Sya', 'Decide', 'Change', '']</v>
      </c>
      <c r="D2117" s="3">
        <v>1.0</v>
      </c>
    </row>
    <row r="2118" ht="15.75" customHeight="1">
      <c r="A2118" s="1">
        <v>2116.0</v>
      </c>
      <c r="B2118" s="3" t="s">
        <v>2119</v>
      </c>
      <c r="C2118" s="3" t="str">
        <f>IFERROR(__xludf.DUMMYFUNCTION("GOOGLETRANSLATE(B2118,""id"",""en"")"),"['Please', 'repaired', 'the network', 'boss',' think ',' play ',' game ',' comfortable ',' ngelegnya ',' play ',' ngeleg ',' right ',' Jam ',' Kali ',' Ronde ',' Jancokkkk ',' ']")</f>
        <v>['Please', 'repaired', 'the network', 'boss',' think ',' play ',' game ',' comfortable ',' ngelegnya ',' play ',' ngeleg ',' right ',' Jam ',' Kali ',' Ronde ',' Jancokkkk ',' ']</v>
      </c>
      <c r="D2118" s="3">
        <v>1.0</v>
      </c>
    </row>
    <row r="2119" ht="15.75" customHeight="1">
      <c r="A2119" s="1">
        <v>2117.0</v>
      </c>
      <c r="B2119" s="3" t="s">
        <v>2120</v>
      </c>
      <c r="C2119" s="3" t="str">
        <f>IFERROR(__xludf.DUMMYFUNCTION("GOOGLETRANSLATE(B2119,""id"",""en"")"),"['already', 'lazy', 'Telkomsel', 'package', 'data', 'network', 'network', 'Telkomsel', 'destroyed', 'ping', 'then', 'missing', ' run out ',' price ',' Sring ',' suits', 'quality', 'please', 'employee', 'Telkomsel', 'eat', 'salary', 'blind', ""]")</f>
        <v>['already', 'lazy', 'Telkomsel', 'package', 'data', 'network', 'network', 'Telkomsel', 'destroyed', 'ping', 'then', 'missing', ' run out ',' price ',' Sring ',' suits', 'quality', 'please', 'employee', 'Telkomsel', 'eat', 'salary', 'blind', "]</v>
      </c>
      <c r="D2119" s="3">
        <v>1.0</v>
      </c>
    </row>
    <row r="2120" ht="15.75" customHeight="1">
      <c r="A2120" s="1">
        <v>2118.0</v>
      </c>
      <c r="B2120" s="3" t="s">
        <v>2121</v>
      </c>
      <c r="C2120" s="3" t="str">
        <f>IFERROR(__xludf.DUMMYFUNCTION("GOOGLETRANSLATE(B2120,""id"",""en"")"),"['network', 'Telkomsel', 'delicious',' signal ',' full ',' game ',' lag ',' ngebug ',' browsing ',' loading ',' mulu ',' youtube ',' Sometimes', 'muter', 'open', 'website', 'sometimes',' internet ',' positive ',' bangse ',' list ',' user ',' telkomsel ','"&amp;" disappointed ',' please ' , 'Fix', 'please', 'price', 'package', 'internet', 'perman', 'expensive', 'majority', 'population', 'labor', 'salary', 'needs',' Please, 'Fix', '']")</f>
        <v>['network', 'Telkomsel', 'delicious',' signal ',' full ',' game ',' lag ',' ngebug ',' browsing ',' loading ',' mulu ',' youtube ',' Sometimes', 'muter', 'open', 'website', 'sometimes',' internet ',' positive ',' bangse ',' list ',' user ',' telkomsel ',' disappointed ',' please ' , 'Fix', 'please', 'price', 'package', 'internet', 'perman', 'expensive', 'majority', 'population', 'labor', 'salary', 'needs',' Please, 'Fix', '']</v>
      </c>
      <c r="D2120" s="3">
        <v>1.0</v>
      </c>
    </row>
    <row r="2121" ht="15.75" customHeight="1">
      <c r="A2121" s="1">
        <v>2119.0</v>
      </c>
      <c r="B2121" s="3" t="s">
        <v>2122</v>
      </c>
      <c r="C2121" s="3" t="str">
        <f>IFERROR(__xludf.DUMMYFUNCTION("GOOGLETRANSLATE(B2121,""id"",""en"")"),"['Sorry', 'Developer', 'Telkomsel', 'card', 'grace', 'activates',' card ',' already ',' scorched ',' already ',' Sunday ',' grace ',' How ',' Activate ', ""]")</f>
        <v>['Sorry', 'Developer', 'Telkomsel', 'card', 'grace', 'activates',' card ',' already ',' scorched ',' already ',' Sunday ',' grace ',' How ',' Activate ', "]</v>
      </c>
      <c r="D2121" s="3">
        <v>4.0</v>
      </c>
    </row>
    <row r="2122" ht="15.75" customHeight="1">
      <c r="A2122" s="1">
        <v>2120.0</v>
      </c>
      <c r="B2122" s="3" t="s">
        <v>2123</v>
      </c>
      <c r="C2122" s="3" t="str">
        <f>IFERROR(__xludf.DUMMYFUNCTION("GOOGLETRANSLATE(B2122,""id"",""en"")"),"['Telkomsel', 'stingy', 'worldwide', 'reward', 'users',' subscribers', 'expensive', 'expensive', 'slow', 'like', 'lost', 'signal', ' Dizziness', 'Tuhhh', 'Telkomselllll', 'Please', 'Cheap', 'Package', 'Internet', 'KNPA', 'Expensive', 'Fire', 'Cheap', 'fes"&amp;"tive', 'skrg' , 'Petit', 'really', '']")</f>
        <v>['Telkomsel', 'stingy', 'worldwide', 'reward', 'users',' subscribers', 'expensive', 'expensive', 'slow', 'like', 'lost', 'signal', ' Dizziness', 'Tuhhh', 'Telkomselllll', 'Please', 'Cheap', 'Package', 'Internet', 'KNPA', 'Expensive', 'Fire', 'Cheap', 'festive', 'skrg' , 'Petit', 'really', '']</v>
      </c>
      <c r="D2122" s="3">
        <v>1.0</v>
      </c>
    </row>
    <row r="2123" ht="15.75" customHeight="1">
      <c r="A2123" s="1">
        <v>2121.0</v>
      </c>
      <c r="B2123" s="3" t="s">
        <v>2124</v>
      </c>
      <c r="C2123" s="3" t="str">
        <f>IFERROR(__xludf.DUMMYFUNCTION("GOOGLETRANSLATE(B2123,""id"",""en"")"),"['The application', 'emang', 'make', 'all', 'understand', 'language', 'English', 'Indonesia', 'Language', 'Indonesia', 'understand', 'Language', ' England ',' Please ',' ']")</f>
        <v>['The application', 'emang', 'make', 'all', 'understand', 'language', 'English', 'Indonesia', 'Language', 'Indonesia', 'understand', 'Language', ' England ',' Please ',' ']</v>
      </c>
      <c r="D2123" s="3">
        <v>1.0</v>
      </c>
    </row>
    <row r="2124" ht="15.75" customHeight="1">
      <c r="A2124" s="1">
        <v>2122.0</v>
      </c>
      <c r="B2124" s="3" t="s">
        <v>2125</v>
      </c>
      <c r="C2124" s="3" t="str">
        <f>IFERROR(__xludf.DUMMYFUNCTION("GOOGLETRANSLATE(B2124,""id"",""en"")"),"['Telkomsel', 'emotions',' mentang ',' package ',' telephone ',' difficult ',' really ',' connect ',' call ',' person ',' turn ',' call ',' operator ',' fast ',' really ',' connect ',' bts', 'distance', 'home', 'signal', 'hard', 'forgiveness',' fix ',' se"&amp;"rvice ',' woyyyy ' ]")</f>
        <v>['Telkomsel', 'emotions',' mentang ',' package ',' telephone ',' difficult ',' really ',' connect ',' call ',' person ',' turn ',' call ',' operator ',' fast ',' really ',' connect ',' bts', 'distance', 'home', 'signal', 'hard', 'forgiveness',' fix ',' service ',' woyyyy ' ]</v>
      </c>
      <c r="D2124" s="3">
        <v>1.0</v>
      </c>
    </row>
    <row r="2125" ht="15.75" customHeight="1">
      <c r="A2125" s="1">
        <v>2123.0</v>
      </c>
      <c r="B2125" s="3" t="s">
        <v>2126</v>
      </c>
      <c r="C2125" s="3" t="str">
        <f>IFERROR(__xludf.DUMMYFUNCTION("GOOGLETRANSLATE(B2125,""id"",""en"")"),"['Dear', 'APK', 'Telkomsel', 'Credit', 'Cut', 'Sis',' Buy ',' Kuoata ',' Quota ',' Nidak ',' Enter ',' then ',' Credit ',' missing ',' already ',' fill in ',' missing ',' filling ',' missing ',' stay ',' Sis', 'already', 'ngeluarin', 'money', 'Sis' , 'Som"&amp;"etimes', 'just', 'btuh', 'pulse', 'solution', 'kak']")</f>
        <v>['Dear', 'APK', 'Telkomsel', 'Credit', 'Cut', 'Sis',' Buy ',' Kuoata ',' Quota ',' Nidak ',' Enter ',' then ',' Credit ',' missing ',' already ',' fill in ',' missing ',' filling ',' missing ',' stay ',' Sis', 'already', 'ngeluarin', 'money', 'Sis' , 'Sometimes', 'just', 'btuh', 'pulse', 'solution', 'kak']</v>
      </c>
      <c r="D2125" s="3">
        <v>1.0</v>
      </c>
    </row>
    <row r="2126" ht="15.75" customHeight="1">
      <c r="A2126" s="1">
        <v>2124.0</v>
      </c>
      <c r="B2126" s="3" t="s">
        <v>2127</v>
      </c>
      <c r="C2126" s="3" t="str">
        <f>IFERROR(__xludf.DUMMYFUNCTION("GOOGLETRANSLATE(B2126,""id"",""en"")"),"['card', 'expensive', 'network', 'maximum', 'zoom', 'broke', 'Gara', 'Gara', 'connection', 'stable', 'quota', 'good', ' The network is', '']")</f>
        <v>['card', 'expensive', 'network', 'maximum', 'zoom', 'broke', 'Gara', 'Gara', 'connection', 'stable', 'quota', 'good', ' The network is', '']</v>
      </c>
      <c r="D2126" s="3">
        <v>1.0</v>
      </c>
    </row>
    <row r="2127" ht="15.75" customHeight="1">
      <c r="A2127" s="1">
        <v>2125.0</v>
      </c>
      <c r="B2127" s="3" t="s">
        <v>2128</v>
      </c>
      <c r="C2127" s="3" t="str">
        <f>IFERROR(__xludf.DUMMYFUNCTION("GOOGLETRANSLATE(B2127,""id"",""en"")"),"['Dear', 'Telkomsel', 'like', 'use', 'products',' Telkomsel ',' range ',' broad ',' price ',' package ',' data ',' cheap ',' Unfortunately ',' contents', 'pulse', 'manual', 'Telkomsel', 'cut', 'credit', 'confirm', 'pairs',' package ',' data ',' pulses', '"&amp;"sufficient' , '']")</f>
        <v>['Dear', 'Telkomsel', 'like', 'use', 'products',' Telkomsel ',' range ',' broad ',' price ',' package ',' data ',' cheap ',' Unfortunately ',' contents', 'pulse', 'manual', 'Telkomsel', 'cut', 'credit', 'confirm', 'pairs',' package ',' data ',' pulses', 'sufficient' , '']</v>
      </c>
      <c r="D2127" s="3">
        <v>4.0</v>
      </c>
    </row>
    <row r="2128" ht="15.75" customHeight="1">
      <c r="A2128" s="1">
        <v>2126.0</v>
      </c>
      <c r="B2128" s="3" t="s">
        <v>2129</v>
      </c>
      <c r="C2128" s="3" t="str">
        <f>IFERROR(__xludf.DUMMYFUNCTION("GOOGLETRANSLATE(B2128,""id"",""en"")"),"['Is there' 'form', 'special', 'activation', 'subscription', 'card', 'SIM', 'transaction', 'cutting', 'pulse', 'Is there', 'form', ' features', 'special', 'unreg', 'stop', 'subscribe', 'service', 'application', 'telkomsel', 'pulse', 'truncated', 'service'"&amp;", 'service', 'click film' , 'because', 'use', 'service', 'beg', 'input', 'consideration', 'development', 'consumers',' pulses', 'truncated', 'services',' detailed ',' ']")</f>
        <v>['Is there' 'form', 'special', 'activation', 'subscription', 'card', 'SIM', 'transaction', 'cutting', 'pulse', 'Is there', 'form', ' features', 'special', 'unreg', 'stop', 'subscribe', 'service', 'application', 'telkomsel', 'pulse', 'truncated', 'service', 'service', 'click film' , 'because', 'use', 'service', 'beg', 'input', 'consideration', 'development', 'consumers',' pulses', 'truncated', 'services',' detailed ',' ']</v>
      </c>
      <c r="D2128" s="3">
        <v>2.0</v>
      </c>
    </row>
    <row r="2129" ht="15.75" customHeight="1">
      <c r="A2129" s="1">
        <v>2127.0</v>
      </c>
      <c r="B2129" s="3" t="s">
        <v>2130</v>
      </c>
      <c r="C2129" s="3" t="str">
        <f>IFERROR(__xludf.DUMMYFUNCTION("GOOGLETRANSLATE(B2129,""id"",""en"")"),"['Install', 'Week', 'enter', 'application', 'special', 'hope', 'times',' enter ',' application ',' super ',' busy ',' daily ',' Check ',' Call ',' Call ',' Help ',' Help ',' here ',' sophisticated ',' GIH ',' Telkomsel ',' please ',' admin ']")</f>
        <v>['Install', 'Week', 'enter', 'application', 'special', 'hope', 'times',' enter ',' application ',' super ',' busy ',' daily ',' Check ',' Call ',' Call ',' Help ',' Help ',' here ',' sophisticated ',' GIH ',' Telkomsel ',' please ',' admin ']</v>
      </c>
      <c r="D2129" s="3">
        <v>1.0</v>
      </c>
    </row>
    <row r="2130" ht="15.75" customHeight="1">
      <c r="A2130" s="1">
        <v>2128.0</v>
      </c>
      <c r="B2130" s="3" t="s">
        <v>2131</v>
      </c>
      <c r="C2130" s="3" t="str">
        <f>IFERROR(__xludf.DUMMYFUNCTION("GOOGLETRANSLATE(B2130,""id"",""en"")"),"['a day', 'Makai', 'Telkomsel', 'Udh', 'disappointed', 'buy', 'credit', 'use', 'Udh', 'ilang', 'pdhl', 'pulses',' buy ',' package ',' internet ',' learn ',' online ',' buy ',' pulses', 'udh', 'missing', 'the counter', 'udh', 'send', 'proof' , 'code', 'rig"&amp;"ht', 'check', 'pulses', 'forced', 'alpha', 'pulse', 'rb', 'lost', 'please', 'take into a' user ',' Move ',' Operator ',' UDH ',' Move ',' AXIS ']")</f>
        <v>['a day', 'Makai', 'Telkomsel', 'Udh', 'disappointed', 'buy', 'credit', 'use', 'Udh', 'ilang', 'pdhl', 'pulses',' buy ',' package ',' internet ',' learn ',' online ',' buy ',' pulses', 'udh', 'missing', 'the counter', 'udh', 'send', 'proof' , 'code', 'right', 'check', 'pulses', 'forced', 'alpha', 'pulse', 'rb', 'lost', 'please', 'take into a' user ',' Move ',' Operator ',' UDH ',' Move ',' AXIS ']</v>
      </c>
      <c r="D2130" s="3">
        <v>1.0</v>
      </c>
    </row>
    <row r="2131" ht="15.75" customHeight="1">
      <c r="A2131" s="1">
        <v>2129.0</v>
      </c>
      <c r="B2131" s="3" t="s">
        <v>2132</v>
      </c>
      <c r="C2131" s="3" t="str">
        <f>IFERROR(__xludf.DUMMYFUNCTION("GOOGLETRANSLATE(B2131,""id"",""en"")"),"['Corona', 'Corona', 'package', 'internet', 'Tsel', 'PDA', 'rich', 'competition', 'race', 'promo', 'pdhl', 'udh', ' Thn ',' wrong ',' loyal ',' Tsel ', ""]")</f>
        <v>['Corona', 'Corona', 'package', 'internet', 'Tsel', 'PDA', 'rich', 'competition', 'race', 'promo', 'pdhl', 'udh', ' Thn ',' wrong ',' loyal ',' Tsel ', "]</v>
      </c>
      <c r="D2131" s="3">
        <v>1.0</v>
      </c>
    </row>
    <row r="2132" ht="15.75" customHeight="1">
      <c r="A2132" s="1">
        <v>2130.0</v>
      </c>
      <c r="B2132" s="3" t="s">
        <v>2133</v>
      </c>
      <c r="C2132" s="3" t="str">
        <f>IFERROR(__xludf.DUMMYFUNCTION("GOOGLETRANSLATE(B2132,""id"",""en"")"),"['Telecommunications',' Flat ',' Red ',' Fortiness', 'Doang', 'Quality', 'Zonk', 'Package', 'Expensive', 'Signal', 'Kyak', 'Koak', ' Maen ',' Game ',' SMA ',' Download ',' Kyak ',' snail ',' work ',' what 'do', 'boss', 'eat', 'salary', 'blind', 'klian' , "&amp;"'']")</f>
        <v>['Telecommunications',' Flat ',' Red ',' Fortiness', 'Doang', 'Quality', 'Zonk', 'Package', 'Expensive', 'Signal', 'Kyak', 'Koak', ' Maen ',' Game ',' SMA ',' Download ',' Kyak ',' snail ',' work ',' what 'do', 'boss', 'eat', 'salary', 'blind', 'klian' , '']</v>
      </c>
      <c r="D2132" s="3">
        <v>1.0</v>
      </c>
    </row>
    <row r="2133" ht="15.75" customHeight="1">
      <c r="A2133" s="1">
        <v>2131.0</v>
      </c>
      <c r="B2133" s="3" t="s">
        <v>2134</v>
      </c>
      <c r="C2133" s="3" t="str">
        <f>IFERROR(__xludf.DUMMYFUNCTION("GOOGLETRANSLATE(B2133,""id"",""en"")"),"['signal', 'Telkomsel', 'bad', 'really', 'city', 'signal', 'missing', 'changed', 'disappointed', 'really', 'use', 'Telkomsel']")</f>
        <v>['signal', 'Telkomsel', 'bad', 'really', 'city', 'signal', 'missing', 'changed', 'disappointed', 'really', 'use', 'Telkomsel']</v>
      </c>
      <c r="D2133" s="3">
        <v>1.0</v>
      </c>
    </row>
    <row r="2134" ht="15.75" customHeight="1">
      <c r="A2134" s="1">
        <v>2132.0</v>
      </c>
      <c r="B2134" s="3" t="s">
        <v>2135</v>
      </c>
      <c r="C2134" s="3" t="str">
        <f>IFERROR(__xludf.DUMMYFUNCTION("GOOGLETRANSLATE(B2134,""id"",""en"")"),"['Bad', 'sayank', 'Kmaren', 'Pket', 'combo', 'unlimited', 'bner', 'really', 'network', 'good', 'pke', 'combo', ' unlimited ',' TPI ',' unlimited ',' love ',' GB ',' and then ',' PKE ',' quota ',' main ',' run out ',' network ',' astagfirullah ',' really '"&amp;" , 'Edge']")</f>
        <v>['Bad', 'sayank', 'Kmaren', 'Pket', 'combo', 'unlimited', 'bner', 'really', 'network', 'good', 'pke', 'combo', ' unlimited ',' TPI ',' unlimited ',' love ',' GB ',' and then ',' PKE ',' quota ',' main ',' run out ',' network ',' astagfirullah ',' really ' , 'Edge']</v>
      </c>
      <c r="D2134" s="3">
        <v>1.0</v>
      </c>
    </row>
    <row r="2135" ht="15.75" customHeight="1">
      <c r="A2135" s="1">
        <v>2133.0</v>
      </c>
      <c r="B2135" s="3" t="s">
        <v>2136</v>
      </c>
      <c r="C2135" s="3" t="str">
        <f>IFERROR(__xludf.DUMMYFUNCTION("GOOGLETRANSLATE(B2135,""id"",""en"")"),"['', 'Unistal', 'Package', 'Multimedia', 'Open', 'Dego', 'name', 'laugh', 'Kidihan', 'Impact', 'Kolorra', 'Klau', 'Nomer ',' Ngehubuk ',' Applikai ',' Patahin ',' card ',' telkoset ',' wife ',' telkoset ',' mah ',' already ',' card ',' package ',' GB ', '"&amp;"Rb', 'use', 'Package', 'Multimedia', 'Dodol', ""]")</f>
        <v>['', 'Unistal', 'Package', 'Multimedia', 'Open', 'Dego', 'name', 'laugh', 'Kidihan', 'Impact', 'Kolorra', 'Klau', 'Nomer ',' Ngehubuk ',' Applikai ',' Patahin ',' card ',' telkoset ',' wife ',' telkoset ',' mah ',' already ',' card ',' package ',' GB ', 'Rb', 'use', 'Package', 'Multimedia', 'Dodol', "]</v>
      </c>
      <c r="D2135" s="3">
        <v>1.0</v>
      </c>
    </row>
    <row r="2136" ht="15.75" customHeight="1">
      <c r="A2136" s="1">
        <v>2134.0</v>
      </c>
      <c r="B2136" s="3" t="s">
        <v>2137</v>
      </c>
      <c r="C2136" s="3" t="str">
        <f>IFERROR(__xludf.DUMMYFUNCTION("GOOGLETRANSLATE(B2136,""id"",""en"")"),"['price', 'package', 'data', 'card', 'sya', 'expensive', 'customer', 'different', 'friend', 'customer', 'get', 'quota', ' Cheap ',' fair ',' ']")</f>
        <v>['price', 'package', 'data', 'card', 'sya', 'expensive', 'customer', 'different', 'friend', 'customer', 'get', 'quota', ' Cheap ',' fair ',' ']</v>
      </c>
      <c r="D2136" s="3">
        <v>2.0</v>
      </c>
    </row>
    <row r="2137" ht="15.75" customHeight="1">
      <c r="A2137" s="1">
        <v>2135.0</v>
      </c>
      <c r="B2137" s="3" t="s">
        <v>2138</v>
      </c>
      <c r="C2137" s="3" t="str">
        <f>IFERROR(__xludf.DUMMYFUNCTION("GOOGLETRANSLATE(B2137,""id"",""en"")"),"['', 'Telkomsel', 'quota', 'expensive', 'Ter', 'city', 'shipping', 'use', 'alaethan', 'covid', 'taiii', ""]")</f>
        <v>['', 'Telkomsel', 'quota', 'expensive', 'Ter', 'city', 'shipping', 'use', 'alaethan', 'covid', 'taiii', "]</v>
      </c>
      <c r="D2137" s="3">
        <v>1.0</v>
      </c>
    </row>
    <row r="2138" ht="15.75" customHeight="1">
      <c r="A2138" s="1">
        <v>2136.0</v>
      </c>
      <c r="B2138" s="3" t="s">
        <v>2139</v>
      </c>
      <c r="C2138" s="3" t="str">
        <f>IFERROR(__xludf.DUMMYFUNCTION("GOOGLETRANSLATE(B2138,""id"",""en"")"),"['Seneng', 'mamakai', 'card', 'Telkomsel', 'Apply', 'Must', 'UDH', 'Damaged', 'Card', 'Fix', 'Number', 'Office', ' Grapari ',' closest ',' gift ',' package ',' promo ',' Telkomsel ',' Thank you ',' Telkomsel ',' Customer ',' Lakok ',' Nusantara ', ""]")</f>
        <v>['Seneng', 'mamakai', 'card', 'Telkomsel', 'Apply', 'Must', 'UDH', 'Damaged', 'Card', 'Fix', 'Number', 'Office', ' Grapari ',' closest ',' gift ',' package ',' promo ',' Telkomsel ',' Thank you ',' Telkomsel ',' Customer ',' Lakok ',' Nusantara ', "]</v>
      </c>
      <c r="D2138" s="3">
        <v>5.0</v>
      </c>
    </row>
    <row r="2139" ht="15.75" customHeight="1">
      <c r="A2139" s="1">
        <v>2137.0</v>
      </c>
      <c r="B2139" s="3" t="s">
        <v>2140</v>
      </c>
      <c r="C2139" s="3" t="str">
        <f>IFERROR(__xludf.DUMMYFUNCTION("GOOGLETRANSLATE(B2139,""id"",""en"")"),"['ugly', 'application', 'packagein', 'difficult', 'forgiveness', 'pulse', 'sumps', 'data', 'update', 'it's good', 'features']")</f>
        <v>['ugly', 'application', 'packagein', 'difficult', 'forgiveness', 'pulse', 'sumps', 'data', 'update', 'it's good', 'features']</v>
      </c>
      <c r="D2139" s="3">
        <v>1.0</v>
      </c>
    </row>
    <row r="2140" ht="15.75" customHeight="1">
      <c r="A2140" s="1">
        <v>2138.0</v>
      </c>
      <c r="B2140" s="3" t="s">
        <v>2141</v>
      </c>
      <c r="C2140" s="3" t="str">
        <f>IFERROR(__xludf.DUMMYFUNCTION("GOOGLETRANSLATE(B2140,""id"",""en"")"),"['Please', 'Sorry', 'Admin', 'Change', 'Value', 'Satisfaction', 'Bintang', 'Buy', 'Quota', 'Believe', 'Signal', 'Telkomsel', ' best ',' third ',' use ',' Telkomsel ',' user ',' loyal ',' brand ',' slowly ',' trust ',' value ',' satisfaction ',' quality ',"&amp;"' signal ' , 'Telkomsel', 'satisfying', 'please', 'signal', 'repaired', 'admin', 'thank', 'love', ""]")</f>
        <v>['Please', 'Sorry', 'Admin', 'Change', 'Value', 'Satisfaction', 'Bintang', 'Buy', 'Quota', 'Believe', 'Signal', 'Telkomsel', ' best ',' third ',' use ',' Telkomsel ',' user ',' loyal ',' brand ',' slowly ',' trust ',' value ',' satisfaction ',' quality ',' signal ' , 'Telkomsel', 'satisfying', 'please', 'signal', 'repaired', 'admin', 'thank', 'love', "]</v>
      </c>
      <c r="D2140" s="3">
        <v>1.0</v>
      </c>
    </row>
    <row r="2141" ht="15.75" customHeight="1">
      <c r="A2141" s="1">
        <v>2139.0</v>
      </c>
      <c r="B2141" s="3" t="s">
        <v>2142</v>
      </c>
      <c r="C2141" s="3" t="str">
        <f>IFERROR(__xludf.DUMMYFUNCTION("GOOGLETRANSLATE(B2141,""id"",""en"")"),"['Please', 'repaired', 'network', 'pulse', 'application', 'list', 'package', 'pulses',' take ',' mulu ',' application ',' right ',' pulses', 'ilang', 'package', 'gmn', 'yaaa', 'wooooy']")</f>
        <v>['Please', 'repaired', 'network', 'pulse', 'application', 'list', 'package', 'pulses',' take ',' mulu ',' application ',' right ',' pulses', 'ilang', 'package', 'gmn', 'yaaa', 'wooooy']</v>
      </c>
      <c r="D2141" s="3">
        <v>1.0</v>
      </c>
    </row>
    <row r="2142" ht="15.75" customHeight="1">
      <c r="A2142" s="1">
        <v>2140.0</v>
      </c>
      <c r="B2142" s="3" t="s">
        <v>2143</v>
      </c>
      <c r="C2142" s="3" t="str">
        <f>IFERROR(__xludf.DUMMYFUNCTION("GOOGLETRANSLATE(B2142,""id"",""en"")"),"['Application', 'Change', 'Logo', 'The rest', 'Uninstall', 'Application', 'Sucking', 'Quota', 'Quota', 'Cepet', 'Abis',' Ampe ',' Open ',' Aplikasya ',' Heavy ',' Uninstall ',' As soon as possible ',' sucked ',' quota ', ""]")</f>
        <v>['Application', 'Change', 'Logo', 'The rest', 'Uninstall', 'Application', 'Sucking', 'Quota', 'Quota', 'Cepet', 'Abis',' Ampe ',' Open ',' Aplikasya ',' Heavy ',' Uninstall ',' As soon as possible ',' sucked ',' quota ', "]</v>
      </c>
      <c r="D2142" s="3">
        <v>1.0</v>
      </c>
    </row>
    <row r="2143" ht="15.75" customHeight="1">
      <c r="A2143" s="1">
        <v>2141.0</v>
      </c>
      <c r="B2143" s="3" t="s">
        <v>2144</v>
      </c>
      <c r="C2143" s="3" t="str">
        <f>IFERROR(__xludf.DUMMYFUNCTION("GOOGLETRANSLATE(B2143,""id"",""en"")"),"['Disappointed', 'service', 'Telkomsel', 'Package', 'Report', 'Veronika', 'Pangil', 'Costumer', 'service', 'tip', 'end', 'reply', ' Bot ',' told ',' Media ',' Social ',' Trus', 'Say', '']")</f>
        <v>['Disappointed', 'service', 'Telkomsel', 'Package', 'Report', 'Veronika', 'Pangil', 'Costumer', 'service', 'tip', 'end', 'reply', ' Bot ',' told ',' Media ',' Social ',' Trus', 'Say', '']</v>
      </c>
      <c r="D2143" s="3">
        <v>1.0</v>
      </c>
    </row>
    <row r="2144" ht="15.75" customHeight="1">
      <c r="A2144" s="1">
        <v>2142.0</v>
      </c>
      <c r="B2144" s="3" t="s">
        <v>2145</v>
      </c>
      <c r="C2144" s="3" t="str">
        <f>IFERROR(__xludf.DUMMYFUNCTION("GOOGLETRANSLATE(B2144,""id"",""en"")"),"['Update', 'Karuan', 'APK', 'Open', 'Wait', 'Logo', 'Cuman', 'Logo', 'Mending', 'Logo', 'Best', ' network ',' ngilani ',' biggest ',' price ',' package ',' expensive ',' really ',' change ',' card ',' complicated ',' contact ',' try ',' deh ' , 'Talikin',"&amp;" 'rich', 'package', 'cheap', 'ngilan', 'customer']")</f>
        <v>['Update', 'Karuan', 'APK', 'Open', 'Wait', 'Logo', 'Cuman', 'Logo', 'Mending', 'Logo', 'Best', ' network ',' ngilani ',' biggest ',' price ',' package ',' expensive ',' really ',' change ',' card ',' complicated ',' contact ',' try ',' deh ' , 'Talikin', 'rich', 'package', 'cheap', 'ngilan', 'customer']</v>
      </c>
      <c r="D2144" s="3">
        <v>1.0</v>
      </c>
    </row>
    <row r="2145" ht="15.75" customHeight="1">
      <c r="A2145" s="1">
        <v>2143.0</v>
      </c>
      <c r="B2145" s="3" t="s">
        <v>2146</v>
      </c>
      <c r="C2145" s="3" t="str">
        <f>IFERROR(__xludf.DUMMYFUNCTION("GOOGLETRANSLATE(B2145,""id"",""en"")"),"['Moment', 'sound', 'expensive', 'easy', 'hopefully', 'affordable', 'ability', 'audience', 'buy', 'content', 'content', ' launch ',' access', 'cellphone', 'Top', 'Top', 'quota', 'pulse', 'sustainable', 'lap', 'more', 'sourced', 'partner', 'gift' , '']")</f>
        <v>['Moment', 'sound', 'expensive', 'easy', 'hopefully', 'affordable', 'ability', 'audience', 'buy', 'content', 'content', ' launch ',' access', 'cellphone', 'Top', 'Top', 'quota', 'pulse', 'sustainable', 'lap', 'more', 'sourced', 'partner', 'gift' , '']</v>
      </c>
      <c r="D2145" s="3">
        <v>3.0</v>
      </c>
    </row>
    <row r="2146" ht="15.75" customHeight="1">
      <c r="A2146" s="1">
        <v>2144.0</v>
      </c>
      <c r="B2146" s="3" t="s">
        <v>2147</v>
      </c>
      <c r="C2146" s="3" t="str">
        <f>IFERROR(__xludf.DUMMYFUNCTION("GOOGLETRANSLATE(B2146,""id"",""en"")"),"['Telkomsel', 'technicians',' complain ',' network ',' stable ',' down ',' users', 'Sis',' users', 'Telkomsel', 'fix', 'quality', ' Network ',' bad ',' kah ',' ']")</f>
        <v>['Telkomsel', 'technicians',' complain ',' network ',' stable ',' down ',' users', 'Sis',' users', 'Telkomsel', 'fix', 'quality', ' Network ',' bad ',' kah ',' ']</v>
      </c>
      <c r="D2146" s="3">
        <v>1.0</v>
      </c>
    </row>
    <row r="2147" ht="15.75" customHeight="1">
      <c r="A2147" s="1">
        <v>2145.0</v>
      </c>
      <c r="B2147" s="3" t="s">
        <v>2148</v>
      </c>
      <c r="C2147" s="3" t="str">
        <f>IFERROR(__xludf.DUMMYFUNCTION("GOOGLETRANSLATE(B2147,""id"",""en"")"),"['signal', 'stable', 'bwt', 'streaming', 'game', 'right', 'down', 'doang', 'buy', 'quota', 'abis',' sinceakers', ' Quota ',' JDI ',' She ',' quota ',' Sya ',' Scorched ',' Gara ',' quota ',' multimedia ',' already ',' email ',' response ',' response ' , '"&amp;"brave', 'sbener']")</f>
        <v>['signal', 'stable', 'bwt', 'streaming', 'game', 'right', 'down', 'doang', 'buy', 'quota', 'abis',' sinceakers', ' Quota ',' JDI ',' She ',' quota ',' Sya ',' Scorched ',' Gara ',' quota ',' multimedia ',' already ',' email ',' response ',' response ' , 'brave', 'sbener']</v>
      </c>
      <c r="D2147" s="3">
        <v>1.0</v>
      </c>
    </row>
    <row r="2148" ht="15.75" customHeight="1">
      <c r="A2148" s="1">
        <v>2146.0</v>
      </c>
      <c r="B2148" s="3" t="s">
        <v>2149</v>
      </c>
      <c r="C2148" s="3" t="str">
        <f>IFERROR(__xludf.DUMMYFUNCTION("GOOGLETRANSLATE(B2148,""id"",""en"")"),"['Hi', 'confused', 'the application', 'crash', 'Google', 'system', 'Android', 'NgeCrash']")</f>
        <v>['Hi', 'confused', 'the application', 'crash', 'Google', 'system', 'Android', 'NgeCrash']</v>
      </c>
      <c r="D2148" s="3">
        <v>1.0</v>
      </c>
    </row>
    <row r="2149" ht="15.75" customHeight="1">
      <c r="A2149" s="1">
        <v>2147.0</v>
      </c>
      <c r="B2149" s="3" t="s">
        <v>2150</v>
      </c>
      <c r="C2149" s="3" t="str">
        <f>IFERROR(__xludf.DUMMYFUNCTION("GOOGLETRANSLATE(B2149,""id"",""en"")"),"['quota', 'internet', 'notification', 'access', 'internet', 'pulses', 'mean', 'pretty', 'times', 'thousand', 'missing', 'a moment']")</f>
        <v>['quota', 'internet', 'notification', 'access', 'internet', 'pulses', 'mean', 'pretty', 'times', 'thousand', 'missing', 'a moment']</v>
      </c>
      <c r="D2149" s="3">
        <v>1.0</v>
      </c>
    </row>
    <row r="2150" ht="15.75" customHeight="1">
      <c r="A2150" s="1">
        <v>2148.0</v>
      </c>
      <c r="B2150" s="3" t="s">
        <v>2151</v>
      </c>
      <c r="C2150" s="3" t="str">
        <f>IFERROR(__xludf.DUMMYFUNCTION("GOOGLETRANSLATE(B2150,""id"",""en"")"),"['Class',' Telkomsel ',' lie ',' fraud ',' quota ',' gift ',' check ',' used ',' sucking ',' pulse ',' intention ',' love ',' Prizes ',' no ',' questionnaires ',' because 'use', 'Telkomsel', 'bad', 'sucking', 'pulses', 'run out', 'confirm']")</f>
        <v>['Class',' Telkomsel ',' lie ',' fraud ',' quota ',' gift ',' check ',' used ',' sucking ',' pulse ',' intention ',' love ',' Prizes ',' no ',' questionnaires ',' because 'use', 'Telkomsel', 'bad', 'sucking', 'pulses', 'run out', 'confirm']</v>
      </c>
      <c r="D2150" s="3">
        <v>1.0</v>
      </c>
    </row>
    <row r="2151" ht="15.75" customHeight="1">
      <c r="A2151" s="1">
        <v>2149.0</v>
      </c>
      <c r="B2151" s="3" t="s">
        <v>2152</v>
      </c>
      <c r="C2151" s="3" t="str">
        <f>IFERROR(__xludf.DUMMYFUNCTION("GOOGLETRANSLATE(B2151,""id"",""en"")"),"['Good', 'quality', 'network', 'relative', 'stable', 'Telkomsel', 'service', 'satisfying', 'network', 'relative', 'stable', 'reviews',' Latest ',' Date ',' July ',' ']")</f>
        <v>['Good', 'quality', 'network', 'relative', 'stable', 'Telkomsel', 'service', 'satisfying', 'network', 'relative', 'stable', 'reviews',' Latest ',' Date ',' July ',' ']</v>
      </c>
      <c r="D2151" s="3">
        <v>4.0</v>
      </c>
    </row>
    <row r="2152" ht="15.75" customHeight="1">
      <c r="A2152" s="1">
        <v>2150.0</v>
      </c>
      <c r="B2152" s="3" t="s">
        <v>2153</v>
      </c>
      <c r="C2152" s="3" t="str">
        <f>IFERROR(__xludf.DUMMYFUNCTION("GOOGLETRANSLATE(B2152,""id"",""en"")"),"['pulse', 'run out', 'NGK', 'left', 'night', 'NGK', 'Dipake', 'Call', 'SMS', 'Package', 'Data', 'Dead', ' wake up ',' list ',' package ',' leftover ',' hub ',' call ',' center ',' ngk ',' connect ',' email ',' ngk ',' dibales', ""]")</f>
        <v>['pulse', 'run out', 'NGK', 'left', 'night', 'NGK', 'Dipake', 'Call', 'SMS', 'Package', 'Data', 'Dead', ' wake up ',' list ',' package ',' leftover ',' hub ',' call ',' center ',' ngk ',' connect ',' email ',' ngk ',' dibales', "]</v>
      </c>
      <c r="D2152" s="3">
        <v>1.0</v>
      </c>
    </row>
    <row r="2153" ht="15.75" customHeight="1">
      <c r="A2153" s="1">
        <v>2151.0</v>
      </c>
      <c r="B2153" s="3" t="s">
        <v>2154</v>
      </c>
      <c r="C2153" s="3" t="str">
        <f>IFERROR(__xludf.DUMMYFUNCTION("GOOGLETRANSLATE(B2153,""id"",""en"")"),"['Telkomsel', 'network', 'internet', 'Nganter', 'orders',' food ',' junior high school ',' see ',' maps', 'appears',' perception ',' customer ',' "", 'bgmn', 'in the field', 'victim', 'Please', 'repaired', 'buy', 'quota', 'use', 'money', 'free']")</f>
        <v>['Telkomsel', 'network', 'internet', 'Nganter', 'orders',' food ',' junior high school ',' see ',' maps', 'appears',' perception ',' customer ',' ", 'bgmn', 'in the field', 'victim', 'Please', 'repaired', 'buy', 'quota', 'use', 'money', 'free']</v>
      </c>
      <c r="D2153" s="3">
        <v>1.0</v>
      </c>
    </row>
    <row r="2154" ht="15.75" customHeight="1">
      <c r="A2154" s="1">
        <v>2152.0</v>
      </c>
      <c r="B2154" s="3" t="s">
        <v>2155</v>
      </c>
      <c r="C2154" s="3" t="str">
        <f>IFERROR(__xludf.DUMMYFUNCTION("GOOGLETRANSLATE(B2154,""id"",""en"")"),"['updated', 'bad', 'quality', 'contents',' pulse ',' data ',' turned on ',' credit ',' direct ',' truncated ',' position ',' buy ',' Data ',' App ',' Tepkomsel ',' Loss', 'Finance', 'App', 'Quota', 'Credit', 'Cut', 'Data', 'turned on', 'Different', 'APP' "&amp;", 'Telkomsel', 'detrimental', 'user', 'please', 'fix', 'service', 'sucking', 'pulses', 'taken']")</f>
        <v>['updated', 'bad', 'quality', 'contents',' pulse ',' data ',' turned on ',' credit ',' direct ',' truncated ',' position ',' buy ',' Data ',' App ',' Tepkomsel ',' Loss', 'Finance', 'App', 'Quota', 'Credit', 'Cut', 'Data', 'turned on', 'Different', 'APP' , 'Telkomsel', 'detrimental', 'user', 'please', 'fix', 'service', 'sucking', 'pulses', 'taken']</v>
      </c>
      <c r="D2154" s="3">
        <v>1.0</v>
      </c>
    </row>
    <row r="2155" ht="15.75" customHeight="1">
      <c r="A2155" s="1">
        <v>2153.0</v>
      </c>
      <c r="B2155" s="3" t="s">
        <v>2156</v>
      </c>
      <c r="C2155" s="3" t="str">
        <f>IFERROR(__xludf.DUMMYFUNCTION("GOOGLETRANSLATE(B2155,""id"",""en"")"),"['love', 'star', 'deh', 'because', 'satisfied', 'telkomsel', 'slow', 'network', 'internet', 'input', 'telkom', 'fill', ' package ',' internet ',' bonus ',' sms ',' bonus ',' tlfon ',' gpp ',' because 'era', 'rare', 'really', 'sms', 'that's' , 'bonus', 'sw"&amp;"itch', 'that's', 'tks']")</f>
        <v>['love', 'star', 'deh', 'because', 'satisfied', 'telkomsel', 'slow', 'network', 'internet', 'input', 'telkom', 'fill', ' package ',' internet ',' bonus ',' sms ',' bonus ',' tlfon ',' gpp ',' because 'era', 'rare', 'really', 'sms', 'that's' , 'bonus', 'switch', 'that's', 'tks']</v>
      </c>
      <c r="D2155" s="3">
        <v>3.0</v>
      </c>
    </row>
    <row r="2156" ht="15.75" customHeight="1">
      <c r="A2156" s="1">
        <v>2154.0</v>
      </c>
      <c r="B2156" s="3" t="s">
        <v>2157</v>
      </c>
      <c r="C2156" s="3" t="str">
        <f>IFERROR(__xludf.DUMMYFUNCTION("GOOGLETRANSLATE(B2156,""id"",""en"")"),"['Telkomsel', 'Maling', 'Credit', 'Credit', 'ilang', 'Cut', 'Where', 'Credit', 'Cave', 'Doang', 'friend', 'cave', ' Colong ',' Basic ',' Maling ',' Credit ',' ilang ',' ']")</f>
        <v>['Telkomsel', 'Maling', 'Credit', 'Credit', 'ilang', 'Cut', 'Where', 'Credit', 'Cave', 'Doang', 'friend', 'cave', ' Colong ',' Basic ',' Maling ',' Credit ',' ilang ',' ']</v>
      </c>
      <c r="D2156" s="3">
        <v>1.0</v>
      </c>
    </row>
    <row r="2157" ht="15.75" customHeight="1">
      <c r="A2157" s="1">
        <v>2155.0</v>
      </c>
      <c r="B2157" s="3" t="s">
        <v>2158</v>
      </c>
      <c r="C2157" s="3" t="str">
        <f>IFERROR(__xludf.DUMMYFUNCTION("GOOGLETRANSLATE(B2157,""id"",""en"")"),"['Time', 'disappointed', 'service', 'provider', 'Telkomsel', 'disappointed', 'buy', 'quota', 'internet', 'monthly', 'GB', 'quota', ' The main ',' GB ',' KuotaMaxstrem ',' striming ',' truncated ',' quota ',' main ',' check ',' GB ',' run out ',' wasted ',"&amp;"' quota ',' maxstrem ' , 'truncated', 'over', 'over', 'search', 'save', 'wasted', 'vain', 'vain', 'disappointed', 'Consultation', 'Dumest', 'solution', ' Comfortable ',' this network ',' strongest ',' happened ',' Comfortable ',' ']")</f>
        <v>['Time', 'disappointed', 'service', 'provider', 'Telkomsel', 'disappointed', 'buy', 'quota', 'internet', 'monthly', 'GB', 'quota', ' The main ',' GB ',' KuotaMaxstrem ',' striming ',' truncated ',' quota ',' main ',' check ',' GB ',' run out ',' wasted ',' quota ',' maxstrem ' , 'truncated', 'over', 'over', 'search', 'save', 'wasted', 'vain', 'vain', 'disappointed', 'Consultation', 'Dumest', 'solution', ' Comfortable ',' this network ',' strongest ',' happened ',' Comfortable ',' ']</v>
      </c>
      <c r="D2157" s="3">
        <v>1.0</v>
      </c>
    </row>
    <row r="2158" ht="15.75" customHeight="1">
      <c r="A2158" s="1">
        <v>2156.0</v>
      </c>
      <c r="B2158" s="3" t="s">
        <v>2159</v>
      </c>
      <c r="C2158" s="3" t="str">
        <f>IFERROR(__xludf.DUMMYFUNCTION("GOOGLETRANSLATE(B2158,""id"",""en"")"),"['careless',' Cut ',' Credit ',' Select ',' Paketan ',' Direct ',' Out ',' Credit ',' History ',' mutation ',' Purchase ',' list ',' Dhubungin ',' Via ',' Tweet ',' Passive ',' Proof ',' Request ',' Purchase ',' Package ', ""]")</f>
        <v>['careless',' Cut ',' Credit ',' Select ',' Paketan ',' Direct ',' Out ',' Credit ',' History ',' mutation ',' Purchase ',' list ',' Dhubungin ',' Via ',' Tweet ',' Passive ',' Proof ',' Request ',' Purchase ',' Package ', "]</v>
      </c>
      <c r="D2158" s="3">
        <v>1.0</v>
      </c>
    </row>
    <row r="2159" ht="15.75" customHeight="1">
      <c r="A2159" s="1">
        <v>2157.0</v>
      </c>
      <c r="B2159" s="3" t="s">
        <v>2160</v>
      </c>
      <c r="C2159" s="3" t="str">
        <f>IFERROR(__xludf.DUMMYFUNCTION("GOOGLETRANSLATE(B2159,""id"",""en"")"),"['comment', 'star', 'star', 'then', 'comment', 'Muji', 'rich', 'ignored', 'machine', 'told', 'complain', 'Media', ' machine ',' hahahaaaa ',' then ',' Nie ',' application ',' Males', 'functionin', 'service', 'Nie', 'company', 'SPT', 'Blm', 'Telkomsel' , '"&amp;"SMS', 'Tel', 'can be', 'company', 'that way', 'patient', 'bro', 'Sista', 'JNG', 'hope', 'see', 'Mrk', ' Changed ',' please ',' ']")</f>
        <v>['comment', 'star', 'star', 'then', 'comment', 'Muji', 'rich', 'ignored', 'machine', 'told', 'complain', 'Media', ' machine ',' hahahaaaa ',' then ',' Nie ',' application ',' Males', 'functionin', 'service', 'Nie', 'company', 'SPT', 'Blm', 'Telkomsel' , 'SMS', 'Tel', 'can be', 'company', 'that way', 'patient', 'bro', 'Sista', 'JNG', 'hope', 'see', 'Mrk', ' Changed ',' please ',' ']</v>
      </c>
      <c r="D2159" s="3">
        <v>1.0</v>
      </c>
    </row>
    <row r="2160" ht="15.75" customHeight="1">
      <c r="A2160" s="1">
        <v>2158.0</v>
      </c>
      <c r="B2160" s="3" t="s">
        <v>2161</v>
      </c>
      <c r="C2160" s="3" t="str">
        <f>IFERROR(__xludf.DUMMYFUNCTION("GOOGLETRANSLATE(B2160,""id"",""en"")"),"['quota', 'internet', 'Telkomsel', 'limited', 'unlimited', 'restricted', 'quota', 'unlimited', 'limited', 'quota', 'restricted', 'buy', ' package', '']")</f>
        <v>['quota', 'internet', 'Telkomsel', 'limited', 'unlimited', 'restricted', 'quota', 'unlimited', 'limited', 'quota', 'restricted', 'buy', ' package', '']</v>
      </c>
      <c r="D2160" s="3">
        <v>3.0</v>
      </c>
    </row>
    <row r="2161" ht="15.75" customHeight="1">
      <c r="A2161" s="1">
        <v>2159.0</v>
      </c>
      <c r="B2161" s="3" t="s">
        <v>2162</v>
      </c>
      <c r="C2161" s="3" t="str">
        <f>IFERROR(__xludf.DUMMYFUNCTION("GOOGLETRANSLATE(B2161,""id"",""en"")"),"['Telkomsel', 'knp', 'data', 'leaked', 'contact', 'people', 'know', 'name', 'annoying', 'Telkomsel', 'believe', ""]")</f>
        <v>['Telkomsel', 'knp', 'data', 'leaked', 'contact', 'people', 'know', 'name', 'annoying', 'Telkomsel', 'believe', "]</v>
      </c>
      <c r="D2161" s="3">
        <v>1.0</v>
      </c>
    </row>
    <row r="2162" ht="15.75" customHeight="1">
      <c r="A2162" s="1">
        <v>2160.0</v>
      </c>
      <c r="B2162" s="3" t="s">
        <v>2163</v>
      </c>
      <c r="C2162" s="3" t="str">
        <f>IFERROR(__xludf.DUMMYFUNCTION("GOOGLETRANSLATE(B2162,""id"",""en"")"),"['Telkomsel', 'package', 'expensive', 'expensive', 'please', 'Telkomsel', 'lowering', 'price', 'packet', 'pandemic', 'mercy', 'Telkomsel', ' Purchases', 'Packages',' ']")</f>
        <v>['Telkomsel', 'package', 'expensive', 'expensive', 'please', 'Telkomsel', 'lowering', 'price', 'packet', 'pandemic', 'mercy', 'Telkomsel', ' Purchases', 'Packages',' ']</v>
      </c>
      <c r="D2162" s="3">
        <v>2.0</v>
      </c>
    </row>
    <row r="2163" ht="15.75" customHeight="1">
      <c r="A2163" s="1">
        <v>2161.0</v>
      </c>
      <c r="B2163" s="3" t="s">
        <v>2164</v>
      </c>
      <c r="C2163" s="3" t="str">
        <f>IFERROR(__xludf.DUMMYFUNCTION("GOOGLETRANSLATE(B2163,""id"",""en"")"),"['buy', 'package', 'promo', 'package', 'cheerful', 'gabisa', 'dipped', 'defense', 'defense', 'buy', 'pulse', 'rb' package ',' rb ',' GB ',' kaga ',' activated ',' strange ',' telkomsel ',' healthy ',' sleep ',' work ',' package ',' cave ',' GB ' , 'due da"&amp;"te']")</f>
        <v>['buy', 'package', 'promo', 'package', 'cheerful', 'gabisa', 'dipped', 'defense', 'defense', 'buy', 'pulse', 'rb' package ',' rb ',' GB ',' kaga ',' activated ',' strange ',' telkomsel ',' healthy ',' sleep ',' work ',' package ',' cave ',' GB ' , 'due date']</v>
      </c>
      <c r="D2163" s="3">
        <v>1.0</v>
      </c>
    </row>
    <row r="2164" ht="15.75" customHeight="1">
      <c r="A2164" s="1">
        <v>2162.0</v>
      </c>
      <c r="B2164" s="3" t="s">
        <v>2165</v>
      </c>
      <c r="C2164" s="3" t="str">
        <f>IFERROR(__xludf.DUMMYFUNCTION("GOOGLETRANSLATE(B2164,""id"",""en"")"),"['Help', 'right', 'Search', 'Package', 'Call', 'Package', 'Data', 'Cheap', 'Application', 'Check', 'Package', 'Daily', ' Weekly ',' monthly ']")</f>
        <v>['Help', 'right', 'Search', 'Package', 'Call', 'Package', 'Data', 'Cheap', 'Application', 'Check', 'Package', 'Daily', ' Weekly ',' monthly ']</v>
      </c>
      <c r="D2164" s="3">
        <v>5.0</v>
      </c>
    </row>
    <row r="2165" ht="15.75" customHeight="1">
      <c r="A2165" s="1">
        <v>2163.0</v>
      </c>
      <c r="B2165" s="3" t="s">
        <v>2166</v>
      </c>
      <c r="C2165" s="3" t="str">
        <f>IFERROR(__xludf.DUMMYFUNCTION("GOOGLETRANSLATE(B2165,""id"",""en"")"),"['woi', 'pulse', 'where', 'contents',' semalem ',' rb ',' stay ',' rb ',' dipake ',' no ',' missing ',' pulses', ' Play ',' Suck ',' Search ',' Money ',' Easy ',' Buy ',' Package ',' ']")</f>
        <v>['woi', 'pulse', 'where', 'contents',' semalem ',' rb ',' stay ',' rb ',' dipake ',' no ',' missing ',' pulses', ' Play ',' Suck ',' Search ',' Money ',' Easy ',' Buy ',' Package ',' ']</v>
      </c>
      <c r="D2165" s="3">
        <v>1.0</v>
      </c>
    </row>
    <row r="2166" ht="15.75" customHeight="1">
      <c r="A2166" s="1">
        <v>2164.0</v>
      </c>
      <c r="B2166" s="3" t="s">
        <v>2167</v>
      </c>
      <c r="C2166" s="3" t="str">
        <f>IFERROR(__xludf.DUMMYFUNCTION("GOOGLETRANSLATE(B2166,""id"",""en"")"),"['Hadu', 'comment', 'given', 'given', 'love', 'star', 'already', 'harmed', 'how', 'Telkomsel', 'gave', 'a relations',' Meberi ',' meraka ',' profit ',' fall ',' kalu ',' quality ',' profit ',' example ',' love ',' star ',' full ',' happy ',' enthusiasm ' "&amp;", 'Naikan', 'quality', 'disappointed', 'beta', 'my computer', 'full', ""]")</f>
        <v>['Hadu', 'comment', 'given', 'given', 'love', 'star', 'already', 'harmed', 'how', 'Telkomsel', 'gave', 'a relations',' Meberi ',' meraka ',' profit ',' fall ',' kalu ',' quality ',' profit ',' example ',' love ',' star ',' full ',' happy ',' enthusiasm ' , 'Naikan', 'quality', 'disappointed', 'beta', 'my computer', 'full', "]</v>
      </c>
      <c r="D2166" s="3">
        <v>5.0</v>
      </c>
    </row>
    <row r="2167" ht="15.75" customHeight="1">
      <c r="A2167" s="1">
        <v>2165.0</v>
      </c>
      <c r="B2167" s="3" t="s">
        <v>2168</v>
      </c>
      <c r="C2167" s="3" t="str">
        <f>IFERROR(__xludf.DUMMYFUNCTION("GOOGLETRANSLATE(B2167,""id"",""en"")"),"['savage', 'Telkomsel', 'yok', 'use', 'Telkomsel', 'savage', 'lose', 'aspects',' anywhere ',' lose ',' network ',' network ',' Telkomsel ',' savage ',' area ',' UDH ',' moved ',' card ',' complained ',' network ',' UDH ',' like ',' missing ',' intention '"&amp;",' fix ' , 'Merugi', 'move', 'LBH', 'choice', 'UDH', 'friend', 'Pindh', 'card', ""]")</f>
        <v>['savage', 'Telkomsel', 'yok', 'use', 'Telkomsel', 'savage', 'lose', 'aspects',' anywhere ',' lose ',' network ',' network ',' Telkomsel ',' savage ',' area ',' UDH ',' moved ',' card ',' complained ',' network ',' UDH ',' like ',' missing ',' intention ',' fix ' , 'Merugi', 'move', 'LBH', 'choice', 'UDH', 'friend', 'Pindh', 'card', "]</v>
      </c>
      <c r="D2167" s="3">
        <v>1.0</v>
      </c>
    </row>
    <row r="2168" ht="15.75" customHeight="1">
      <c r="A2168" s="1">
        <v>2166.0</v>
      </c>
      <c r="B2168" s="3" t="s">
        <v>2169</v>
      </c>
      <c r="C2168" s="3" t="str">
        <f>IFERROR(__xludf.DUMMYFUNCTION("GOOGLETRANSLATE(B2168,""id"",""en"")"),"['It's easy', 'purchase', 'package', 'telephone', 'internet', 'suggestion', 'change', 'number', 'phone', 'expected', 'made easier', 'verification', ' SMS ',' Sometimes', 'number', 'purchase', 'package', 'telephone', 'internet', 'thank', 'love', ""]")</f>
        <v>['It's easy', 'purchase', 'package', 'telephone', 'internet', 'suggestion', 'change', 'number', 'phone', 'expected', 'made easier', 'verification', ' SMS ',' Sometimes', 'number', 'purchase', 'package', 'telephone', 'internet', 'thank', 'love', "]</v>
      </c>
      <c r="D2168" s="3">
        <v>5.0</v>
      </c>
    </row>
    <row r="2169" ht="15.75" customHeight="1">
      <c r="A2169" s="1">
        <v>2167.0</v>
      </c>
      <c r="B2169" s="3" t="s">
        <v>2170</v>
      </c>
      <c r="C2169" s="3" t="str">
        <f>IFERROR(__xludf.DUMMYFUNCTION("GOOGLETRANSLATE(B2169,""id"",""en"")"),"['buy', 'pulse', 'pke', 'application', 'telkomsel', 'pke', 'shoopepay', 'entry', 'pulses',' transaction ',' success', 'nomer', ' Infuts', 'Bner', 'Ouch', 'ilang', 'Duitt', 'Application', 'Nipu', 'Gini']")</f>
        <v>['buy', 'pulse', 'pke', 'application', 'telkomsel', 'pke', 'shoopepay', 'entry', 'pulses',' transaction ',' success', 'nomer', ' Infuts', 'Bner', 'Ouch', 'ilang', 'Duitt', 'Application', 'Nipu', 'Gini']</v>
      </c>
      <c r="D2169" s="3">
        <v>5.0</v>
      </c>
    </row>
    <row r="2170" ht="15.75" customHeight="1">
      <c r="A2170" s="1">
        <v>2168.0</v>
      </c>
      <c r="B2170" s="3" t="s">
        <v>2171</v>
      </c>
      <c r="C2170" s="3" t="str">
        <f>IFERROR(__xludf.DUMMYFUNCTION("GOOGLETRANSLATE(B2170,""id"",""en"")"),"['buy', 'package', 'data', 'promo', 'cheerful', 'active', 'for', 'via', 'Telkomsel', 'Monday', 'July', 'hour', ' wib ',' wonder ',' package ',' data ',' pulse ',' drained ',' rbuan ',' contact ',' call ',' center ',' via ',' response ',' promises' , 'Chan"&amp;"ging', 'pulse', 'truncated', 'accept', 'replacement', 'according to', 'promise', 'sorry', 'money', 'rb', 'comet', ""]")</f>
        <v>['buy', 'package', 'data', 'promo', 'cheerful', 'active', 'for', 'via', 'Telkomsel', 'Monday', 'July', 'hour', ' wib ',' wonder ',' package ',' data ',' pulse ',' drained ',' rbuan ',' contact ',' call ',' center ',' via ',' response ',' promises' , 'Changing', 'pulse', 'truncated', 'accept', 'replacement', 'according to', 'promise', 'sorry', 'money', 'rb', 'comet', "]</v>
      </c>
      <c r="D2170" s="3">
        <v>1.0</v>
      </c>
    </row>
    <row r="2171" ht="15.75" customHeight="1">
      <c r="A2171" s="1">
        <v>2169.0</v>
      </c>
      <c r="B2171" s="3" t="s">
        <v>2172</v>
      </c>
      <c r="C2171" s="3" t="str">
        <f>IFERROR(__xludf.DUMMYFUNCTION("GOOGLETRANSLATE(B2171,""id"",""en"")"),"['good', 'dilapidated', 'how', 'version', 'latest', 'appears',' payment ',' via ',' direct ',' auto ',' tengkyu ',' Telkomsel ',' Network ',' Fix ',' Reach ',' Region ',' Expand ',' Trimakasih ',' Telkomsel ']")</f>
        <v>['good', 'dilapidated', 'how', 'version', 'latest', 'appears',' payment ',' via ',' direct ',' auto ',' tengkyu ',' Telkomsel ',' Network ',' Fix ',' Reach ',' Region ',' Expand ',' Trimakasih ',' Telkomsel ']</v>
      </c>
      <c r="D2171" s="3">
        <v>5.0</v>
      </c>
    </row>
    <row r="2172" ht="15.75" customHeight="1">
      <c r="A2172" s="1">
        <v>2170.0</v>
      </c>
      <c r="B2172" s="3" t="s">
        <v>2173</v>
      </c>
      <c r="C2172" s="3" t="str">
        <f>IFERROR(__xludf.DUMMYFUNCTION("GOOGLETRANSLATE(B2172,""id"",""en"")"),"['Gosh', 'expensive', 'yak', 'quality', 'different', 'I made', 'work', 'network', 'shrink', 'angry', 'smile', ""]")</f>
        <v>['Gosh', 'expensive', 'yak', 'quality', 'different', 'I made', 'work', 'network', 'shrink', 'angry', 'smile', "]</v>
      </c>
      <c r="D2172" s="3">
        <v>1.0</v>
      </c>
    </row>
    <row r="2173" ht="15.75" customHeight="1">
      <c r="A2173" s="1">
        <v>2171.0</v>
      </c>
      <c r="B2173" s="3" t="s">
        <v>2174</v>
      </c>
      <c r="C2173" s="3" t="str">
        <f>IFERROR(__xludf.DUMMYFUNCTION("GOOGLETRANSLATE(B2173,""id"",""en"")"),"['Tlong', 'a little', 'Consider', 'Price', 'Dri', 'Package', 'Data', 'Lbih', 'Free', 'Choosing', 'Feature', 'Package', ' data ',' effect ',' pandemic ',' all ',' all-round ',' consider ',' dri ',' aspects', 'expenditure', 'beg', 'consider', 'minister', 'l"&amp;"gi' , 'price', 'package', 'internet', 'all', 'sisstem', 'trlkomsel', 'good', 'walk', 'trimksih', 'good', 'job', 'Telkomsel', ' ']")</f>
        <v>['Tlong', 'a little', 'Consider', 'Price', 'Dri', 'Package', 'Data', 'Lbih', 'Free', 'Choosing', 'Feature', 'Package', ' data ',' effect ',' pandemic ',' all ',' all-round ',' consider ',' dri ',' aspects', 'expenditure', 'beg', 'consider', 'minister', 'lgi' , 'price', 'package', 'internet', 'all', 'sisstem', 'trlkomsel', 'good', 'walk', 'trimksih', 'good', 'job', 'Telkomsel', ' ']</v>
      </c>
      <c r="D2173" s="3">
        <v>5.0</v>
      </c>
    </row>
    <row r="2174" ht="15.75" customHeight="1">
      <c r="A2174" s="1">
        <v>2172.0</v>
      </c>
      <c r="B2174" s="3" t="s">
        <v>2175</v>
      </c>
      <c r="C2174" s="3" t="str">
        <f>IFERROR(__xludf.DUMMYFUNCTION("GOOGLETRANSLATE(B2174,""id"",""en"")"),"['Disappointed', 'Telkomsel', 'type', 'quota', 'offered', 'according to', 'offered', 'sosmed', 'Veronica', 'et al', 'cave', 'already', ' LNStram ',' Dibales', 'Veronica', 'Connect', 'Veronica', 'UDH', 'Automatic', 'Communicating', 'then', 'Cave', 'Buy', '"&amp;"Package', 'Special' , 'Games', 'used', 'used', 'cave', 'buy', 'package', 'special', 'Telkomsel', 'GB', 'already', 'bought', ""]")</f>
        <v>['Disappointed', 'Telkomsel', 'type', 'quota', 'offered', 'according to', 'offered', 'sosmed', 'Veronica', 'et al', 'cave', 'already', ' LNStram ',' Dibales', 'Veronica', 'Connect', 'Veronica', 'UDH', 'Automatic', 'Communicating', 'then', 'Cave', 'Buy', 'Package', 'Special' , 'Games', 'used', 'used', 'cave', 'buy', 'package', 'special', 'Telkomsel', 'GB', 'already', 'bought', "]</v>
      </c>
      <c r="D2174" s="3">
        <v>1.0</v>
      </c>
    </row>
    <row r="2175" ht="15.75" customHeight="1">
      <c r="A2175" s="1">
        <v>2173.0</v>
      </c>
      <c r="B2175" s="3" t="s">
        <v>2176</v>
      </c>
      <c r="C2175" s="3" t="str">
        <f>IFERROR(__xludf.DUMMYFUNCTION("GOOGLETRANSLATE(B2175,""id"",""en"")"),"['times',' Credit ',' Reduced ',' Terakir ',' Notification ',' Credit ',' Reduced ',' Access', 'Internet', 'Package', 'Internet', 'Signal', ' is lost']")</f>
        <v>['times',' Credit ',' Reduced ',' Terakir ',' Notification ',' Credit ',' Reduced ',' Access', 'Internet', 'Package', 'Internet', 'Signal', ' is lost']</v>
      </c>
      <c r="D2175" s="3">
        <v>1.0</v>
      </c>
    </row>
    <row r="2176" ht="15.75" customHeight="1">
      <c r="A2176" s="1">
        <v>2174.0</v>
      </c>
      <c r="B2176" s="3" t="s">
        <v>2177</v>
      </c>
      <c r="C2176" s="3" t="str">
        <f>IFERROR(__xludf.DUMMYFUNCTION("GOOGLETRANSLATE(B2176,""id"",""en"")"),"['special', 'aboden', 'crazy', 'tagan', 'tagan', 'how', 'card', 'rarely', 'regret', 'switch', 'mending', 'card', ' The nominal ',' Nyari ',' Tung ',' That's', 'Dischits',' Mending ',' Cave ',' Matiin ']")</f>
        <v>['special', 'aboden', 'crazy', 'tagan', 'tagan', 'how', 'card', 'rarely', 'regret', 'switch', 'mending', 'card', ' The nominal ',' Nyari ',' Tung ',' That's', 'Dischits',' Mending ',' Cave ',' Matiin ']</v>
      </c>
      <c r="D2176" s="3">
        <v>1.0</v>
      </c>
    </row>
    <row r="2177" ht="15.75" customHeight="1">
      <c r="A2177" s="1">
        <v>2175.0</v>
      </c>
      <c r="B2177" s="3" t="s">
        <v>2178</v>
      </c>
      <c r="C2177" s="3" t="str">
        <f>IFERROR(__xludf.DUMMYFUNCTION("GOOGLETRANSLATE(B2177,""id"",""en"")"),"['price', 'package', 'internet', 'kulitas',' network ',' that's', 'that's',' good ',' network ',' good ',' gpp ',' expensive ',' Package ',' network ',' that's', 'that's',' aje ',' price ',' please ',' deh ',' ']")</f>
        <v>['price', 'package', 'internet', 'kulitas',' network ',' that's', 'that's',' good ',' network ',' good ',' gpp ',' expensive ',' Package ',' network ',' that's', 'that's',' aje ',' price ',' please ',' deh ',' ']</v>
      </c>
      <c r="D2177" s="3">
        <v>1.0</v>
      </c>
    </row>
    <row r="2178" ht="15.75" customHeight="1">
      <c r="A2178" s="1">
        <v>2176.0</v>
      </c>
      <c r="B2178" s="3" t="s">
        <v>2179</v>
      </c>
      <c r="C2178" s="3" t="str">
        <f>IFERROR(__xludf.DUMMYFUNCTION("GOOGLETRANSLATE(B2178,""id"",""en"")"),"['buy', 'ngelag', 'buy', 'quota', 'work', 'emotion', 'angry', 'connecting', 'error', 'udh', 'closest', 'TPI', ' said ',' error ',' adequate ',' signal ',' according to ',' price ',' pay ']")</f>
        <v>['buy', 'ngelag', 'buy', 'quota', 'work', 'emotion', 'angry', 'connecting', 'error', 'udh', 'closest', 'TPI', ' said ',' error ',' adequate ',' signal ',' according to ',' price ',' pay ']</v>
      </c>
      <c r="D2178" s="3">
        <v>1.0</v>
      </c>
    </row>
    <row r="2179" ht="15.75" customHeight="1">
      <c r="A2179" s="1">
        <v>2177.0</v>
      </c>
      <c r="B2179" s="3" t="s">
        <v>2180</v>
      </c>
      <c r="C2179" s="3" t="str">
        <f>IFERROR(__xludf.DUMMYFUNCTION("GOOGLETRANSLATE(B2179,""id"",""en"")"),"['Daily', 'Check', 'Claim', 'Points', 'Telkomsel', 'Loss', 'Want', 'Untung', ""]")</f>
        <v>['Daily', 'Check', 'Claim', 'Points', 'Telkomsel', 'Loss', 'Want', 'Untung', "]</v>
      </c>
      <c r="D2179" s="3">
        <v>1.0</v>
      </c>
    </row>
    <row r="2180" ht="15.75" customHeight="1">
      <c r="A2180" s="1">
        <v>2178.0</v>
      </c>
      <c r="B2180" s="3" t="s">
        <v>2181</v>
      </c>
      <c r="C2180" s="3" t="str">
        <f>IFERROR(__xludf.DUMMYFUNCTION("GOOGLETRANSLATE(B2180,""id"",""en"")"),"['Combo', 'Sakti', 'Stay', 'Choice', 'Package', 'Youtub', 'Game', 'Love', 'Out', 'Package', 'Internet', 'Terure', ' thank ',' love ',' God willing ',' move ',' package ',' run out ']")</f>
        <v>['Combo', 'Sakti', 'Stay', 'Choice', 'Package', 'Youtub', 'Game', 'Love', 'Out', 'Package', 'Internet', 'Terure', ' thank ',' love ',' God willing ',' move ',' package ',' run out ']</v>
      </c>
      <c r="D2180" s="3">
        <v>1.0</v>
      </c>
    </row>
    <row r="2181" ht="15.75" customHeight="1">
      <c r="A2181" s="1">
        <v>2179.0</v>
      </c>
      <c r="B2181" s="3" t="s">
        <v>2182</v>
      </c>
      <c r="C2181" s="3" t="str">
        <f>IFERROR(__xludf.DUMMYFUNCTION("GOOGLETRANSLATE(B2181,""id"",""en"")"),"['Cool', 'MyTelkomsel', 'Forward', 'Leading', 'Darling', 'Choice', 'Package', 'Internet', 'Complete', 'Bonus',' MyTelkomsel ',' Choice ',' Internet ',' Rada ',' Difficulty ',' Choose ',' Price ',' Rada ',' Affordable ',' Sometimes', 'Network', 'Rada', 'Ja"&amp;"m', 'Normal', 'Mbps' , 'sorry', 'im', 'internet', 'choice', 'internet', 'easy', 'chose', 'plus',' bonus', 'im', 'known', 'cheap', ' ']")</f>
        <v>['Cool', 'MyTelkomsel', 'Forward', 'Leading', 'Darling', 'Choice', 'Package', 'Internet', 'Complete', 'Bonus',' MyTelkomsel ',' Choice ',' Internet ',' Rada ',' Difficulty ',' Choose ',' Price ',' Rada ',' Affordable ',' Sometimes', 'Network', 'Rada', 'Jam', 'Normal', 'Mbps' , 'sorry', 'im', 'internet', 'choice', 'internet', 'easy', 'chose', 'plus',' bonus', 'im', 'known', 'cheap', ' ']</v>
      </c>
      <c r="D2181" s="3">
        <v>5.0</v>
      </c>
    </row>
    <row r="2182" ht="15.75" customHeight="1">
      <c r="A2182" s="1">
        <v>2180.0</v>
      </c>
      <c r="B2182" s="3" t="s">
        <v>2183</v>
      </c>
      <c r="C2182" s="3" t="str">
        <f>IFERROR(__xludf.DUMMYFUNCTION("GOOGLETRANSLATE(B2182,""id"",""en"")"),"['', 'Bad', 'Wait', 'Queue', 'Minutes',' Leave ',' Bagssssss', 'Package', 'Automatic', 'On', 'The Reasons',' Message ',' Card ',' His name ',' coercion ',' package ',' leftover ',' GB ',' say "", 'run out', 'cut', 'pulse', 'directly', 'name', 'extortion',"&amp;" '']")</f>
        <v>['', 'Bad', 'Wait', 'Queue', 'Minutes',' Leave ',' Bagssssss', 'Package', 'Automatic', 'On', 'The Reasons',' Message ',' Card ',' His name ',' coercion ',' package ',' leftover ',' GB ',' say ", 'run out', 'cut', 'pulse', 'directly', 'name', 'extortion', '']</v>
      </c>
      <c r="D2182" s="3">
        <v>1.0</v>
      </c>
    </row>
    <row r="2183" ht="15.75" customHeight="1">
      <c r="A2183" s="1">
        <v>2181.0</v>
      </c>
      <c r="B2183" s="3" t="s">
        <v>2184</v>
      </c>
      <c r="C2183" s="3" t="str">
        <f>IFERROR(__xludf.DUMMYFUNCTION("GOOGLETRANSLATE(B2183,""id"",""en"")"),"['Network', 'No "",' Select ',' Select ',' Cook ',' Yes ​​',' Tower ',' Network ',' Lemot ',' Direction ',' Network ',' Good ',' Already ',' Exchange ',' Points', 'Server', 'Busy', 'Liar']")</f>
        <v>['Network', 'No ",' Select ',' Select ',' Cook ',' Yes ​​',' Tower ',' Network ',' Lemot ',' Direction ',' Network ',' Good ',' Already ',' Exchange ',' Points', 'Server', 'Busy', 'Liar']</v>
      </c>
      <c r="D2183" s="3">
        <v>3.0</v>
      </c>
    </row>
    <row r="2184" ht="15.75" customHeight="1">
      <c r="A2184" s="1">
        <v>2182.0</v>
      </c>
      <c r="B2184" s="3" t="s">
        <v>2185</v>
      </c>
      <c r="C2184" s="3" t="str">
        <f>IFERROR(__xludf.DUMMYFUNCTION("GOOGLETRANSLATE(B2184,""id"",""en"")"),"['love', 'star', 'forced', 'love', 'star', 'yes',' buy ',' pulse ',' mytelkomsel ',' ubdate ',' buy ',' wallet ',' Send ',' Mandiri ',' Lawak ',' Clown ',' squeeze ',' People ',' already ',' price ',' package ',' expensive ',' contents', 'pulses',' compli"&amp;"cated ' , 'Bank', 'thinking', 'use', 'Wallet', 'buy', 'pulse', 'Mandiri', 'already', 'Cut', 'tax', 'Mending', 'Move', ' axis', 'cave', 'anjirr', 'effect', 'corona', 'want', 'search', 'luck', 'bsar', 'also', 'najisss',' bagett ']")</f>
        <v>['love', 'star', 'forced', 'love', 'star', 'yes',' buy ',' pulse ',' mytelkomsel ',' ubdate ',' buy ',' wallet ',' Send ',' Mandiri ',' Lawak ',' Clown ',' squeeze ',' People ',' already ',' price ',' package ',' expensive ',' contents', 'pulses',' complicated ' , 'Bank', 'thinking', 'use', 'Wallet', 'buy', 'pulse', 'Mandiri', 'already', 'Cut', 'tax', 'Mending', 'Move', ' axis', 'cave', 'anjirr', 'effect', 'corona', 'want', 'search', 'luck', 'bsar', 'also', 'najisss',' bagett ']</v>
      </c>
      <c r="D2184" s="3">
        <v>1.0</v>
      </c>
    </row>
    <row r="2185" ht="15.75" customHeight="1">
      <c r="A2185" s="1">
        <v>2183.0</v>
      </c>
      <c r="B2185" s="3" t="s">
        <v>2186</v>
      </c>
      <c r="C2185" s="3" t="str">
        <f>IFERROR(__xludf.DUMMYFUNCTION("GOOGLETRANSLATE(B2185,""id"",""en"")"),"['network', 'Telkomsel', 'really', 'rich', 'dlu', 'sayng', 'card', 'mah', 'mending', 'exchange', 'card', 'see', ' Gini ',' in ',' Sunday ',' Mending ',' Discard ',' Nmnya ',' Card ',' Telkomsel ',' Card ',' Network ',' Lbh ', ""]")</f>
        <v>['network', 'Telkomsel', 'really', 'rich', 'dlu', 'sayng', 'card', 'mah', 'mending', 'exchange', 'card', 'see', ' Gini ',' in ',' Sunday ',' Mending ',' Discard ',' Nmnya ',' Card ',' Telkomsel ',' Card ',' Network ',' Lbh ', "]</v>
      </c>
      <c r="D2185" s="3">
        <v>1.0</v>
      </c>
    </row>
    <row r="2186" ht="15.75" customHeight="1">
      <c r="A2186" s="1">
        <v>2184.0</v>
      </c>
      <c r="B2186" s="3" t="s">
        <v>2187</v>
      </c>
      <c r="C2186" s="3" t="str">
        <f>IFERROR(__xludf.DUMMYFUNCTION("GOOGLETRANSLATE(B2186,""id"",""en"")"),"['Application', 'Practical', 'Help', 'Honey', 'Sousal', 'Ngadat', 'Disconnect', 'Disconnect', 'Paketan', 'Expensive', 'Minimal', 'GB', ' The signal ',' Change ',' Severe ',' ']")</f>
        <v>['Application', 'Practical', 'Help', 'Honey', 'Sousal', 'Ngadat', 'Disconnect', 'Disconnect', 'Paketan', 'Expensive', 'Minimal', 'GB', ' The signal ',' Change ',' Severe ',' ']</v>
      </c>
      <c r="D2186" s="3">
        <v>1.0</v>
      </c>
    </row>
    <row r="2187" ht="15.75" customHeight="1">
      <c r="A2187" s="1">
        <v>2185.0</v>
      </c>
      <c r="B2187" s="3" t="s">
        <v>2188</v>
      </c>
      <c r="C2187" s="3" t="str">
        <f>IFERROR(__xludf.DUMMYFUNCTION("GOOGLETRANSLATE(B2187,""id"",""en"")"),"['application', 'complain', 'package', 'combo', 'Sakti', 'unlimited', 'think', 'cheating', 'contents',' quota ',' quota ',' multimedia ',' Reduced ',' leftover ',' quota ',' multimedia ',' used ',' first ',' first ',' out ',' fair ',' disappointed ',' TRH"&amp;"DP ',' Telkomsel ']")</f>
        <v>['application', 'complain', 'package', 'combo', 'Sakti', 'unlimited', 'think', 'cheating', 'contents',' quota ',' quota ',' multimedia ',' Reduced ',' leftover ',' quota ',' multimedia ',' used ',' first ',' first ',' out ',' fair ',' disappointed ',' TRHDP ',' Telkomsel ']</v>
      </c>
      <c r="D2187" s="3">
        <v>2.0</v>
      </c>
    </row>
    <row r="2188" ht="15.75" customHeight="1">
      <c r="A2188" s="1">
        <v>2186.0</v>
      </c>
      <c r="B2188" s="3" t="s">
        <v>2189</v>
      </c>
      <c r="C2188" s="3" t="str">
        <f>IFERROR(__xludf.DUMMYFUNCTION("GOOGLETRANSLATE(B2188,""id"",""en"")"),"['mode', 'payment', 'Fund', 'Ovo', 'Gopay', 'etc.', 'appears', 'application', 'run', 'background', 'close', 'complete' Eating, 'data', 'influence', 'watch', 'play', 'game', 'because' data ',' trbagih ',' trgrimangkangu ',' ']")</f>
        <v>['mode', 'payment', 'Fund', 'Ovo', 'Gopay', 'etc.', 'appears', 'application', 'run', 'background', 'close', 'complete' Eating, 'data', 'influence', 'watch', 'play', 'game', 'because' data ',' trbagih ',' trgrimangkangu ',' ']</v>
      </c>
      <c r="D2188" s="3">
        <v>1.0</v>
      </c>
    </row>
    <row r="2189" ht="15.75" customHeight="1">
      <c r="A2189" s="1">
        <v>2187.0</v>
      </c>
      <c r="B2189" s="3" t="s">
        <v>2190</v>
      </c>
      <c r="C2189" s="3" t="str">
        <f>IFERROR(__xludf.DUMMYFUNCTION("GOOGLETRANSLATE(B2189,""id"",""en"")"),"['payment', 'shopee', 'pay', 'cook', 'buy', 'quota', 'buy', 'pulse', 'complicated', 'please', ""]")</f>
        <v>['payment', 'shopee', 'pay', 'cook', 'buy', 'quota', 'buy', 'pulse', 'complicated', 'please', "]</v>
      </c>
      <c r="D2189" s="3">
        <v>1.0</v>
      </c>
    </row>
    <row r="2190" ht="15.75" customHeight="1">
      <c r="A2190" s="1">
        <v>2188.0</v>
      </c>
      <c r="B2190" s="3" t="s">
        <v>2191</v>
      </c>
      <c r="C2190" s="3" t="str">
        <f>IFERROR(__xludf.DUMMYFUNCTION("GOOGLETRANSLATE(B2190,""id"",""en"")"),"['Like', 'Combo', 'Sakti', 'quota', 'according to', 'use', 'skrg', 'quota', 'main', 'suck', 'first', 'pdahal', ' HRUS ',' quota ',' medsos', 'cut', 'turn', 'quota', 'main', 'abis',' quota ',' medsos', 'bnyak', 'open', 'jdi' , 'slow']")</f>
        <v>['Like', 'Combo', 'Sakti', 'quota', 'according to', 'use', 'skrg', 'quota', 'main', 'suck', 'first', 'pdahal', ' HRUS ',' quota ',' medsos', 'cut', 'turn', 'quota', 'main', 'abis',' quota ',' medsos', 'bnyak', 'open', 'jdi' , 'slow']</v>
      </c>
      <c r="D2190" s="3">
        <v>1.0</v>
      </c>
    </row>
    <row r="2191" ht="15.75" customHeight="1">
      <c r="A2191" s="1">
        <v>2189.0</v>
      </c>
      <c r="B2191" s="3" t="s">
        <v>2192</v>
      </c>
      <c r="C2191" s="3" t="str">
        <f>IFERROR(__xludf.DUMMYFUNCTION("GOOGLETRANSLATE(B2191,""id"",""en"")"),"['disappointed', 'buy', 'package', 'extra', 'unlimited', 'apply', 'printed', 'description', 'package', 'reality', 'purchase', 'how' Real ',' donk ',' entry ',' message ',' package ',' apply ',' descriptions', 'release', 'open', 'ngilan', 'original', 'salt"&amp;"y', 'cave' , '']")</f>
        <v>['disappointed', 'buy', 'package', 'extra', 'unlimited', 'apply', 'printed', 'description', 'package', 'reality', 'purchase', 'how' Real ',' donk ',' entry ',' message ',' package ',' apply ',' descriptions', 'release', 'open', 'ngilan', 'original', 'salty', 'cave' , '']</v>
      </c>
      <c r="D2191" s="3">
        <v>1.0</v>
      </c>
    </row>
    <row r="2192" ht="15.75" customHeight="1">
      <c r="A2192" s="1">
        <v>2190.0</v>
      </c>
      <c r="B2192" s="3" t="s">
        <v>2193</v>
      </c>
      <c r="C2192" s="3" t="str">
        <f>IFERROR(__xludf.DUMMYFUNCTION("GOOGLETRANSLATE(B2192,""id"",""en"")"),"['', 'yrs',' Telkomsel ',' check ',' Corona ',' network ',' rare ',' network ',' get ',' Corona ',' boss', 'price', 'expensive ',' realistic ',' price ',' expensive ',' network ',' cheap ',' rich ',' free ',' buy ',' money ',' coolies', 'noon', 'malem', '"&amp;"boss', 'until', 'boss', 'boss', 'Telkomsel', 'blind', 'really', ""]")</f>
        <v>['', 'yrs',' Telkomsel ',' check ',' Corona ',' network ',' rare ',' network ',' get ',' Corona ',' boss', 'price', 'expensive ',' realistic ',' price ',' expensive ',' network ',' cheap ',' rich ',' free ',' buy ',' money ',' coolies', 'noon', 'malem', 'boss', 'until', 'boss', 'boss', 'Telkomsel', 'blind', 'really', "]</v>
      </c>
      <c r="D2192" s="3">
        <v>1.0</v>
      </c>
    </row>
    <row r="2193" ht="15.75" customHeight="1">
      <c r="A2193" s="1">
        <v>2191.0</v>
      </c>
      <c r="B2193" s="3" t="s">
        <v>2194</v>
      </c>
      <c r="C2193" s="3" t="str">
        <f>IFERROR(__xludf.DUMMYFUNCTION("GOOGLETRANSLATE(B2193,""id"",""en"")"),"['Please', 'Fix', 'Quality', 'Signal', 'Full', 'Bar', 'Line', 'Internet', 'Slow', 'Forgiveness',' Move ',' Signal ',' internet ',' slow ',' stay ',' city ',' Tangerang ',' remote ',' tower ',' ']")</f>
        <v>['Please', 'Fix', 'Quality', 'Signal', 'Full', 'Bar', 'Line', 'Internet', 'Slow', 'Forgiveness',' Move ',' Signal ',' internet ',' slow ',' stay ',' city ',' Tangerang ',' remote ',' tower ',' ']</v>
      </c>
      <c r="D2193" s="3">
        <v>3.0</v>
      </c>
    </row>
    <row r="2194" ht="15.75" customHeight="1">
      <c r="A2194" s="1">
        <v>2192.0</v>
      </c>
      <c r="B2194" s="3" t="s">
        <v>2195</v>
      </c>
      <c r="C2194" s="3" t="str">
        <f>IFERROR(__xludf.DUMMYFUNCTION("GOOGLETRANSLATE(B2194,""id"",""en"")"),"['network', 'down', 'business', 'difficult', 'because' network ',' internet ',' bad ',' package ',' internet ',' expensive ',' quality ',' Younge ',' Tomorrow ',' Direct ',' Change ',' Telkomsel ',' Provider ',' Dileh ', ""]")</f>
        <v>['network', 'down', 'business', 'difficult', 'because' network ',' internet ',' bad ',' package ',' internet ',' expensive ',' quality ',' Younge ',' Tomorrow ',' Direct ',' Change ',' Telkomsel ',' Provider ',' Dileh ', "]</v>
      </c>
      <c r="D2194" s="3">
        <v>1.0</v>
      </c>
    </row>
    <row r="2195" ht="15.75" customHeight="1">
      <c r="A2195" s="1">
        <v>2193.0</v>
      </c>
      <c r="B2195" s="3" t="s">
        <v>2196</v>
      </c>
      <c r="C2195" s="3" t="str">
        <f>IFERROR(__xludf.DUMMYFUNCTION("GOOGLETRANSLATE(B2195,""id"",""en"")"),"['update', 'buy', 'pulse', 'package', 'error', 'method', 'payment', 'please', 'repaired', 'thank', '']")</f>
        <v>['update', 'buy', 'pulse', 'package', 'error', 'method', 'payment', 'please', 'repaired', 'thank', '']</v>
      </c>
      <c r="D2195" s="3">
        <v>3.0</v>
      </c>
    </row>
    <row r="2196" ht="15.75" customHeight="1">
      <c r="A2196" s="1">
        <v>2194.0</v>
      </c>
      <c r="B2196" s="3" t="s">
        <v>2197</v>
      </c>
      <c r="C2196" s="3" t="str">
        <f>IFERROR(__xludf.DUMMYFUNCTION("GOOGLETRANSLATE(B2196,""id"",""en"")"),"['Rating', 'Provider', 'already', 'package', 'expensive', 'network', 'slow', 'pulak', 'buy', 'money', 'min', 'leaves',' sell ',' package ',' expensive ',' network ',' slow ',' lie ',' customer ',' base ',' provider ',' garbage ', ""]")</f>
        <v>['Rating', 'Provider', 'already', 'package', 'expensive', 'network', 'slow', 'pulak', 'buy', 'money', 'min', 'leaves',' sell ',' package ',' expensive ',' network ',' slow ',' lie ',' customer ',' base ',' provider ',' garbage ', "]</v>
      </c>
      <c r="D2196" s="3">
        <v>1.0</v>
      </c>
    </row>
    <row r="2197" ht="15.75" customHeight="1">
      <c r="A2197" s="1">
        <v>2195.0</v>
      </c>
      <c r="B2197" s="3" t="s">
        <v>2198</v>
      </c>
      <c r="C2197" s="3" t="str">
        <f>IFERROR(__xludf.DUMMYFUNCTION("GOOGLETRANSLATE(B2197,""id"",""en"")"),"['Network', 'bad', 'quota', 'expensive', 'city', 'stable', 'disappointed', 'network', 'busuuuuuuk', '']")</f>
        <v>['Network', 'bad', 'quota', 'expensive', 'city', 'stable', 'disappointed', 'network', 'busuuuuuuk', '']</v>
      </c>
      <c r="D2197" s="3">
        <v>1.0</v>
      </c>
    </row>
    <row r="2198" ht="15.75" customHeight="1">
      <c r="A2198" s="1">
        <v>2196.0</v>
      </c>
      <c r="B2198" s="3" t="s">
        <v>2199</v>
      </c>
      <c r="C2198" s="3" t="str">
        <f>IFERROR(__xludf.DUMMYFUNCTION("GOOGLETRANSLATE(B2198,""id"",""en"")"),"['quota', 'Telkomsel', 'here', 'cheap', 'signal', 'best', 'dokupung', 'inland', 'rich', 'rich', 'operator', 'next door', ' Dead ',' difficult ',' signal ',' dead ',' little ',' signal ',' direct ',' emergency ',' wkwkwk ',' dbest ',' telkomsel ']")</f>
        <v>['quota', 'Telkomsel', 'here', 'cheap', 'signal', 'best', 'dokupung', 'inland', 'rich', 'rich', 'operator', 'next door', ' Dead ',' difficult ',' signal ',' dead ',' little ',' signal ',' direct ',' emergency ',' wkwkwk ',' dbest ',' telkomsel ']</v>
      </c>
      <c r="D2198" s="3">
        <v>5.0</v>
      </c>
    </row>
    <row r="2199" ht="15.75" customHeight="1">
      <c r="A2199" s="1">
        <v>2197.0</v>
      </c>
      <c r="B2199" s="3" t="s">
        <v>2200</v>
      </c>
      <c r="C2199" s="3" t="str">
        <f>IFERROR(__xludf.DUMMYFUNCTION("GOOGLETRANSLATE(B2199,""id"",""en"")"),"['already', 'complete', 'Learn', 'deep', 'difficulty', 'entry', 'application', 'already', 'given', 'star', ""]")</f>
        <v>['already', 'complete', 'Learn', 'deep', 'difficulty', 'entry', 'application', 'already', 'given', 'star', "]</v>
      </c>
      <c r="D2199" s="3">
        <v>5.0</v>
      </c>
    </row>
    <row r="2200" ht="15.75" customHeight="1">
      <c r="A2200" s="1">
        <v>2198.0</v>
      </c>
      <c r="B2200" s="3" t="s">
        <v>2201</v>
      </c>
      <c r="C2200" s="3" t="str">
        <f>IFERROR(__xludf.DUMMYFUNCTION("GOOGLETRANSLATE(B2200,""id"",""en"")"),"['buffering', 'pelp', 'according to', 'price', 'sell', 'lose', 'competitors',' rb ',' per week ',' signal ',' jossss', 'feeling', ' District ',' village ',' village ',' ugly ',' city ',' recommendations', 'tower', 'border', 'signal', 'equalized']")</f>
        <v>['buffering', 'pelp', 'according to', 'price', 'sell', 'lose', 'competitors',' rb ',' per week ',' signal ',' jossss', 'feeling', ' District ',' village ',' village ',' ugly ',' city ',' recommendations', 'tower', 'border', 'signal', 'equalized']</v>
      </c>
      <c r="D2200" s="3">
        <v>1.0</v>
      </c>
    </row>
    <row r="2201" ht="15.75" customHeight="1">
      <c r="A2201" s="1">
        <v>2199.0</v>
      </c>
      <c r="B2201" s="3" t="s">
        <v>2202</v>
      </c>
      <c r="C2201" s="3" t="str">
        <f>IFERROR(__xludf.DUMMYFUNCTION("GOOGLETRANSLATE(B2201,""id"",""en"")"),"['Telkomsel', 'might', 'update', 'may', 'complicated', 'oath', 'enter', 'app', 'hrus',' login ',' reset ',' mulu ',' mkek ',' Link ',' dlu ',' msuk ',' code ',' verification ',' mlah ',' cman ',' second ',' what's', 'power', 'potatoes',' please ' , 'Fix',"&amp;" 'Kek', 'Lohh', 'Kerllu', 'CPET', 'seconds', 'Mahhh']")</f>
        <v>['Telkomsel', 'might', 'update', 'may', 'complicated', 'oath', 'enter', 'app', 'hrus',' login ',' reset ',' mulu ',' mkek ',' Link ',' dlu ',' msuk ',' code ',' verification ',' mlah ',' cman ',' second ',' what's', 'power', 'potatoes',' please ' , 'Fix', 'Kek', 'Lohh', 'Kerllu', 'CPET', 'seconds', 'Mahhh']</v>
      </c>
      <c r="D2201" s="3">
        <v>1.0</v>
      </c>
    </row>
    <row r="2202" ht="15.75" customHeight="1">
      <c r="A2202" s="1">
        <v>2200.0</v>
      </c>
      <c r="B2202" s="3" t="s">
        <v>2203</v>
      </c>
      <c r="C2202" s="3" t="str">
        <f>IFERROR(__xludf.DUMMYFUNCTION("GOOGLETRANSLATE(B2202,""id"",""en"")"),"['signal', 'full', 'network', 'consistent', 'complaints',' responded ',' serious', 'difficult', 'internet', 'waste', 'money', 'results',' Maximum ',' city ',' village ',' different ',' difficult ',' ']")</f>
        <v>['signal', 'full', 'network', 'consistent', 'complaints',' responded ',' serious', 'difficult', 'internet', 'waste', 'money', 'results',' Maximum ',' city ',' village ',' different ',' difficult ',' ']</v>
      </c>
      <c r="D2202" s="3">
        <v>1.0</v>
      </c>
    </row>
    <row r="2203" ht="15.75" customHeight="1">
      <c r="A2203" s="1">
        <v>2201.0</v>
      </c>
      <c r="B2203" s="3" t="s">
        <v>2204</v>
      </c>
      <c r="C2203" s="3" t="str">
        <f>IFERROR(__xludf.DUMMYFUNCTION("GOOGLETRANSLATE(B2203,""id"",""en"")"),"['Please', 'repay', 'contents',' package ',' combo ',' Sakti ',' GB ',' promo ',' rb ',' balance ',' rb ',' buy ',' Written ',' pulse ',' tdak ',' sufficient ',' written ',' requirements', 'provisions',' VAT ',' already ',' promo ',' me ',' steamed ',' sl"&amp;"ides' , 'Costumer', 'Allah', 'AD']")</f>
        <v>['Please', 'repay', 'contents',' package ',' combo ',' Sakti ',' GB ',' promo ',' rb ',' balance ',' rb ',' buy ',' Written ',' pulse ',' tdak ',' sufficient ',' written ',' requirements', 'provisions',' VAT ',' already ',' promo ',' me ',' steamed ',' slides' , 'Costumer', 'Allah', 'AD']</v>
      </c>
      <c r="D2203" s="3">
        <v>1.0</v>
      </c>
    </row>
    <row r="2204" ht="15.75" customHeight="1">
      <c r="A2204" s="1">
        <v>2202.0</v>
      </c>
      <c r="B2204" s="3" t="s">
        <v>2205</v>
      </c>
      <c r="C2204" s="3" t="str">
        <f>IFERROR(__xludf.DUMMYFUNCTION("GOOGLETRANSLATE(B2204,""id"",""en"")"),"['Sorry', 'Posting', 'Satisfied', 'Different', 'Connection', 'Stable', 'Satisfied', 'Thank', 'Love', 'Admin', 'Suggestion', 'Enter', ' ']")</f>
        <v>['Sorry', 'Posting', 'Satisfied', 'Different', 'Connection', 'Stable', 'Satisfied', 'Thank', 'Love', 'Admin', 'Suggestion', 'Enter', ' ']</v>
      </c>
      <c r="D2204" s="3">
        <v>5.0</v>
      </c>
    </row>
    <row r="2205" ht="15.75" customHeight="1">
      <c r="A2205" s="1">
        <v>2203.0</v>
      </c>
      <c r="B2205" s="3" t="s">
        <v>2206</v>
      </c>
      <c r="C2205" s="3" t="str">
        <f>IFERROR(__xludf.DUMMYFUNCTION("GOOGLETRANSLATE(B2205,""id"",""en"")"),"['signal', 'defective', 'ngegame', 'leg', 'gini', 'moved', 'provider', 'yrs',' use ',' telkomsel ',' enter ',' signal ',' ugly ',' Telkomsel ',' good ',' best ',' provider ',' roll ',' mat ',' bankrupt ',' lose ',' smartfren ', ""]")</f>
        <v>['signal', 'defective', 'ngegame', 'leg', 'gini', 'moved', 'provider', 'yrs',' use ',' telkomsel ',' enter ',' signal ',' ugly ',' Telkomsel ',' good ',' best ',' provider ',' roll ',' mat ',' bankrupt ',' lose ',' smartfren ', "]</v>
      </c>
      <c r="D2205" s="3">
        <v>1.0</v>
      </c>
    </row>
    <row r="2206" ht="15.75" customHeight="1">
      <c r="A2206" s="1">
        <v>2204.0</v>
      </c>
      <c r="B2206" s="3" t="s">
        <v>2207</v>
      </c>
      <c r="C2206" s="3" t="str">
        <f>IFERROR(__xludf.DUMMYFUNCTION("GOOGLETRANSLATE(B2206,""id"",""en"")"),"['APK', 'good', 'really', 'ipone', 'thank', 'love', 'mytelkomsel', 'success',' believe ',' tried ',' hopefully ',' lucky ',' hurry up ',' miss', 'invite', 'friend', 'friend', 'get', 'point', 'diredem', 'deh', 'come', 'hunt', ""]")</f>
        <v>['APK', 'good', 'really', 'ipone', 'thank', 'love', 'mytelkomsel', 'success',' believe ',' tried ',' hopefully ',' lucky ',' hurry up ',' miss', 'invite', 'friend', 'friend', 'get', 'point', 'diredem', 'deh', 'come', 'hunt', "]</v>
      </c>
      <c r="D2206" s="3">
        <v>5.0</v>
      </c>
    </row>
    <row r="2207" ht="15.75" customHeight="1">
      <c r="A2207" s="1">
        <v>2205.0</v>
      </c>
      <c r="B2207" s="3" t="s">
        <v>2208</v>
      </c>
      <c r="C2207" s="3" t="str">
        <f>IFERROR(__xludf.DUMMYFUNCTION("GOOGLETRANSLATE(B2207,""id"",""en"")"),"['Hello', 'Telkomsel', 'Busy', 'Thinking', 'What', 'Indonesia', 'Network', 'Forgot', 'Thinking', 'Network', 'right', 'Dead', ' electricity', '']")</f>
        <v>['Hello', 'Telkomsel', 'Busy', 'Thinking', 'What', 'Indonesia', 'Network', 'Forgot', 'Thinking', 'Network', 'right', 'Dead', ' electricity', '']</v>
      </c>
      <c r="D2207" s="3">
        <v>1.0</v>
      </c>
    </row>
    <row r="2208" ht="15.75" customHeight="1">
      <c r="A2208" s="1">
        <v>2206.0</v>
      </c>
      <c r="B2208" s="3" t="s">
        <v>2209</v>
      </c>
      <c r="C2208" s="3" t="str">
        <f>IFERROR(__xludf.DUMMYFUNCTION("GOOGLETRANSLATE(B2208,""id"",""en"")"),"['Error', 'Downloud', 'Telkomsel', 'Log', 'Again', 'Severe', 'UFFFT', 'TRS', 'How', 'Login', 'Hard', 'Connect', ' Telkomsel ',' ']")</f>
        <v>['Error', 'Downloud', 'Telkomsel', 'Log', 'Again', 'Severe', 'UFFFT', 'TRS', 'How', 'Login', 'Hard', 'Connect', ' Telkomsel ',' ']</v>
      </c>
      <c r="D2208" s="3">
        <v>3.0</v>
      </c>
    </row>
    <row r="2209" ht="15.75" customHeight="1">
      <c r="A2209" s="1">
        <v>2207.0</v>
      </c>
      <c r="B2209" s="3" t="s">
        <v>2210</v>
      </c>
      <c r="C2209" s="3" t="str">
        <f>IFERROR(__xludf.DUMMYFUNCTION("GOOGLETRANSLATE(B2209,""id"",""en"")"),"['Like', 'Wonder', 'Tlkomsel', 'Package', 'Emergency', 'Enter', 'SMS', 'Blum', 'Mrngbacks',' Credit ',' Package ',' Emergency ',' minjam ',' package ',' emergency ',' quota ',' price ',' yng ',' ulnimitid ',' skrng ',' a month ',' ulnimitid ',' limited ',"&amp;"' GB ',' as much as' , 'a month', ""]")</f>
        <v>['Like', 'Wonder', 'Tlkomsel', 'Package', 'Emergency', 'Enter', 'SMS', 'Blum', 'Mrngbacks',' Credit ',' Package ',' Emergency ',' minjam ',' package ',' emergency ',' quota ',' price ',' yng ',' ulnimitid ',' skrng ',' a month ',' ulnimitid ',' limited ',' GB ',' as much as' , 'a month', "]</v>
      </c>
      <c r="D2209" s="3">
        <v>1.0</v>
      </c>
    </row>
    <row r="2210" ht="15.75" customHeight="1">
      <c r="A2210" s="1">
        <v>2208.0</v>
      </c>
      <c r="B2210" s="3" t="s">
        <v>2211</v>
      </c>
      <c r="C2210" s="3" t="str">
        <f>IFERROR(__xludf.DUMMYFUNCTION("GOOGLETRANSLATE(B2210,""id"",""en"")"),"['Telkomsel', 'Card', 'Satan', 'Package', 'Data', 'Abis',' Contents', 'Credit', 'Nga', 'Deliberate', 'On', 'The Package', ' ',' pulses', 'kaga', 'direct', 'pull', 'data', 'rich', 'card', 'card', 'gini', 'eat', 'money', 'haram' , 'Private', 'Doang', 'Bener"&amp;"', 'BUMN', 'Satan', 'Eat', 'Duit', 'Haram', ""]")</f>
        <v>['Telkomsel', 'Card', 'Satan', 'Package', 'Data', 'Abis',' Contents', 'Credit', 'Nga', 'Deliberate', 'On', 'The Package', ' ',' pulses', 'kaga', 'direct', 'pull', 'data', 'rich', 'card', 'card', 'gini', 'eat', 'money', 'haram' , 'Private', 'Doang', 'Bener', 'BUMN', 'Satan', 'Eat', 'Duit', 'Haram', "]</v>
      </c>
      <c r="D2210" s="3">
        <v>1.0</v>
      </c>
    </row>
    <row r="2211" ht="15.75" customHeight="1">
      <c r="A2211" s="1">
        <v>2209.0</v>
      </c>
      <c r="B2211" s="3" t="s">
        <v>2212</v>
      </c>
      <c r="C2211" s="3" t="str">
        <f>IFERROR(__xludf.DUMMYFUNCTION("GOOGLETRANSLATE(B2211,""id"",""en"")"),"['Telkomsel', 'slow', 'signal', 'company', 'bepelat', 'red', 'signal', 'fast', 'network', 'quota', 'buy', 'price', ' A month ',' already ']")</f>
        <v>['Telkomsel', 'slow', 'signal', 'company', 'bepelat', 'red', 'signal', 'fast', 'network', 'quota', 'buy', 'price', ' A month ',' already ']</v>
      </c>
      <c r="D2211" s="3">
        <v>1.0</v>
      </c>
    </row>
    <row r="2212" ht="15.75" customHeight="1">
      <c r="A2212" s="1">
        <v>2210.0</v>
      </c>
      <c r="B2212" s="3" t="s">
        <v>2213</v>
      </c>
      <c r="C2212" s="3" t="str">
        <f>IFERROR(__xludf.DUMMYFUNCTION("GOOGLETRANSLATE(B2212,""id"",""en"")"),"['Network', 'bad', 'price', 'expensive', 'quality', 'bad', 'play', 'game', 'online', 'network', 'broke', 'broke', ' Mulu ',' UDH ',' Check ',' Game ',' Emank ',' Basic ',' Telkomsel ',' Gembel ',' Network ',' Clock ',' Morning ',' SMPE ',' Clock ' , 'Netw"&amp;"ork', 'ugly', 'BNR', 'stable', 'clock', 'smpe', 'orng', 'pngn', 'staying up', 'crazy', 'Telkomsel', 'replace', ' Provider ',' Laah ']")</f>
        <v>['Network', 'bad', 'price', 'expensive', 'quality', 'bad', 'play', 'game', 'online', 'network', 'broke', 'broke', ' Mulu ',' UDH ',' Check ',' Game ',' Emank ',' Basic ',' Telkomsel ',' Gembel ',' Network ',' Clock ',' Morning ',' SMPE ',' Clock ' , 'Network', 'ugly', 'BNR', 'stable', 'clock', 'smpe', 'orng', 'pngn', 'staying up', 'crazy', 'Telkomsel', 'replace', ' Provider ',' Laah ']</v>
      </c>
      <c r="D2212" s="3">
        <v>1.0</v>
      </c>
    </row>
    <row r="2213" ht="15.75" customHeight="1">
      <c r="A2213" s="1">
        <v>2211.0</v>
      </c>
      <c r="B2213" s="3" t="s">
        <v>2214</v>
      </c>
      <c r="C2213" s="3" t="str">
        <f>IFERROR(__xludf.DUMMYFUNCTION("GOOGLETRANSLATE(B2213,""id"",""en"")"),"['Busy', 'The network', 'Fill', 'Vocher', 'Ajah', 'Ampe', 'Many', 'Time', 'Have', 'Wait', 'Minutes',' Already ',' Minutes', 'Try', 'Have', 'Wait', 'Minutes',' Nomer ',' Disoltch ',' Where ',' Banking ',' already ',' Cave ',' Discard ',' card ' , '']")</f>
        <v>['Busy', 'The network', 'Fill', 'Vocher', 'Ajah', 'Ampe', 'Many', 'Time', 'Have', 'Wait', 'Minutes',' Already ',' Minutes', 'Try', 'Have', 'Wait', 'Minutes',' Nomer ',' Disoltch ',' Where ',' Banking ',' already ',' Cave ',' Discard ',' card ' , '']</v>
      </c>
      <c r="D2213" s="3">
        <v>1.0</v>
      </c>
    </row>
    <row r="2214" ht="15.75" customHeight="1">
      <c r="A2214" s="1">
        <v>2212.0</v>
      </c>
      <c r="B2214" s="3" t="s">
        <v>2215</v>
      </c>
      <c r="C2214" s="3" t="str">
        <f>IFERROR(__xludf.DUMMYFUNCTION("GOOGLETRANSLATE(B2214,""id"",""en"")"),"['Network', 'poorkkk', 'price', 'package', 'data', 'level', 'service', 'bad', 'signal', 'ilang', 'network', 'slow', ' phone calls', 'reply', 'maintanane', 'mantanance', 'bad', ""]")</f>
        <v>['Network', 'poorkkk', 'price', 'package', 'data', 'level', 'service', 'bad', 'signal', 'ilang', 'network', 'slow', ' phone calls', 'reply', 'maintanane', 'mantanance', 'bad', "]</v>
      </c>
      <c r="D2214" s="3">
        <v>1.0</v>
      </c>
    </row>
    <row r="2215" ht="15.75" customHeight="1">
      <c r="A2215" s="1">
        <v>2213.0</v>
      </c>
      <c r="B2215" s="3" t="s">
        <v>2216</v>
      </c>
      <c r="C2215" s="3" t="str">
        <f>IFERROR(__xludf.DUMMYFUNCTION("GOOGLETRANSLATE(B2215,""id"",""en"")"),"['Difficult', 'Registration', 'Package', 'Special', 'Confirmation', 'Package', 'Success',' FAILURE ',' Credit ',' Response ',' Please ',' Enhanced ',' Regarding ',' response ',' reply ',' Registration ',' Package ',' Thank you ']")</f>
        <v>['Difficult', 'Registration', 'Package', 'Special', 'Confirmation', 'Package', 'Success',' FAILURE ',' Credit ',' Response ',' Please ',' Enhanced ',' Regarding ',' response ',' reply ',' Registration ',' Package ',' Thank you ']</v>
      </c>
      <c r="D2215" s="3">
        <v>1.0</v>
      </c>
    </row>
    <row r="2216" ht="15.75" customHeight="1">
      <c r="A2216" s="1">
        <v>2214.0</v>
      </c>
      <c r="B2216" s="3" t="s">
        <v>2217</v>
      </c>
      <c r="C2216" s="3" t="str">
        <f>IFERROR(__xludf.DUMMYFUNCTION("GOOGLETRANSLATE(B2216,""id"",""en"")"),"['Disappointed', 'Service', 'Network', 'Telkomsel', 'Region', 'Sinjai', 'West', 'It should be', 'price', 'package', 'Not bad', 'expensive', ' Consumers', 'Enjoy', 'Service', 'Current', 'SDAH', 'Network', 'Dead', 'KLW', 'Active', 'Super', 'Lalot', 'Lost', "&amp;"'Provider' , 'Please', 'complaints', 'Acquired', 'continue', ""]")</f>
        <v>['Disappointed', 'Service', 'Network', 'Telkomsel', 'Region', 'Sinjai', 'West', 'It should be', 'price', 'package', 'Not bad', 'expensive', ' Consumers', 'Enjoy', 'Service', 'Current', 'SDAH', 'Network', 'Dead', 'KLW', 'Active', 'Super', 'Lalot', 'Lost', 'Provider' , 'Please', 'complaints', 'Acquired', 'continue', "]</v>
      </c>
      <c r="D2216" s="3">
        <v>1.0</v>
      </c>
    </row>
    <row r="2217" ht="15.75" customHeight="1">
      <c r="A2217" s="1">
        <v>2215.0</v>
      </c>
      <c r="B2217" s="3" t="s">
        <v>2218</v>
      </c>
      <c r="C2217" s="3" t="str">
        <f>IFERROR(__xludf.DUMMYFUNCTION("GOOGLETRANSLATE(B2217,""id"",""en"")"),"['Please', 'Telkomsel', 'The network', 'Dragus',' YouTube ',' buffering ',' ugly ',' signal ',' darling ',' replace ',' card ',' Udh ',' Telkomsel ',' many years']")</f>
        <v>['Please', 'Telkomsel', 'The network', 'Dragus',' YouTube ',' buffering ',' ugly ',' signal ',' darling ',' replace ',' card ',' Udh ',' Telkomsel ',' many years']</v>
      </c>
      <c r="D2217" s="3">
        <v>1.0</v>
      </c>
    </row>
    <row r="2218" ht="15.75" customHeight="1">
      <c r="A2218" s="1">
        <v>2216.0</v>
      </c>
      <c r="B2218" s="3" t="s">
        <v>2219</v>
      </c>
      <c r="C2218" s="3" t="str">
        <f>IFERROR(__xludf.DUMMYFUNCTION("GOOGLETRANSLATE(B2218,""id"",""en"")"),"['quota', 'unlimited', 'just', 'sweetener', 'already', 'network', 'slow', 'quota', 'main', 'sumps',' already ',' printed ',' quota ',' unlimited ',' bagusan ',' provider ',' mah ',' gini ',' quota ',' unlimited ',' display ',' doang ',' kaga ',' crucue ',"&amp;"' severe ' , 'Here', 'Paketan', '']")</f>
        <v>['quota', 'unlimited', 'just', 'sweetener', 'already', 'network', 'slow', 'quota', 'main', 'sumps',' already ',' printed ',' quota ',' unlimited ',' bagusan ',' provider ',' mah ',' gini ',' quota ',' unlimited ',' display ',' doang ',' kaga ',' crucue ',' severe ' , 'Here', 'Paketan', '']</v>
      </c>
      <c r="D2218" s="3">
        <v>1.0</v>
      </c>
    </row>
    <row r="2219" ht="15.75" customHeight="1">
      <c r="A2219" s="1">
        <v>2217.0</v>
      </c>
      <c r="B2219" s="3" t="s">
        <v>2220</v>
      </c>
      <c r="C2219" s="3" t="str">
        <f>IFERROR(__xludf.DUMMYFUNCTION("GOOGLETRANSLATE(B2219,""id"",""en"")"),"['Driver', 'Gojek', 'use', 'Telkomsel', 'delicious',' smooth ',' network ',' slow ',' use ',' ngantar ',' food ',' maps', ' Sometimes', 'road', 'sometimes',' suits', 'maps',' network ',' internet ',' slow ',' Please ',' Telkomsel ',' fold ', ""]")</f>
        <v>['Driver', 'Gojek', 'use', 'Telkomsel', 'delicious',' smooth ',' network ',' slow ',' use ',' ngantar ',' food ',' maps', ' Sometimes', 'road', 'sometimes',' suits', 'maps',' network ',' internet ',' slow ',' Please ',' Telkomsel ',' fold ', "]</v>
      </c>
      <c r="D2219" s="3">
        <v>2.0</v>
      </c>
    </row>
    <row r="2220" ht="15.75" customHeight="1">
      <c r="A2220" s="1">
        <v>2218.0</v>
      </c>
      <c r="B2220" s="3" t="s">
        <v>2221</v>
      </c>
      <c r="C2220" s="3" t="str">
        <f>IFERROR(__xludf.DUMMYFUNCTION("GOOGLETRANSLATE(B2220,""id"",""en"")"),"['Disappointed', 'Disappointed', 'Credit', 'Cutting', 'Following', 'RBT', 'Except', 'Koutaa', 'Having', 'Kouta', 'Credit', 'Cut', ' Telkomsel ',' Rich ',' Gini ', ""]")</f>
        <v>['Disappointed', 'Disappointed', 'Credit', 'Cutting', 'Following', 'RBT', 'Except', 'Koutaa', 'Having', 'Kouta', 'Credit', 'Cut', ' Telkomsel ',' Rich ',' Gini ', "]</v>
      </c>
      <c r="D2220" s="3">
        <v>1.0</v>
      </c>
    </row>
    <row r="2221" ht="15.75" customHeight="1">
      <c r="A2221" s="1">
        <v>2219.0</v>
      </c>
      <c r="B2221" s="3" t="s">
        <v>2222</v>
      </c>
      <c r="C2221" s="3" t="str">
        <f>IFERROR(__xludf.DUMMYFUNCTION("GOOGLETRANSLATE(B2221,""id"",""en"")"),"['', 'sucks',' package ',' expensive ',' signal ',' ugly ',' according to ',' price ',' Please ',' repaired ',' Sampe ',' Customer ',' disappointed ',' Sampe ',' Customer ',' minded ',' Macem ',' Macem ',' Sampe ',' Customer ',' Includes', 'Eat', 'Salary'"&amp;", 'blind', ""]")</f>
        <v>['', 'sucks',' package ',' expensive ',' signal ',' ugly ',' according to ',' price ',' Please ',' repaired ',' Sampe ',' Customer ',' disappointed ',' Sampe ',' Customer ',' minded ',' Macem ',' Macem ',' Sampe ',' Customer ',' Includes', 'Eat', 'Salary', 'blind', "]</v>
      </c>
      <c r="D2221" s="3">
        <v>1.0</v>
      </c>
    </row>
    <row r="2222" ht="15.75" customHeight="1">
      <c r="A2222" s="1">
        <v>2220.0</v>
      </c>
      <c r="B2222" s="3" t="s">
        <v>2223</v>
      </c>
      <c r="C2222" s="3" t="str">
        <f>IFERROR(__xludf.DUMMYFUNCTION("GOOGLETRANSLATE(B2222,""id"",""en"")"),"['The network', 'ugly', 'pakek', 'really', 'buy', 'package', 'expensive', 'expensive', 'difficult', 'entry', 'late', 'contents',' Package ',' pulse ',' truncated ',' automatic ',' Telkomsel ',' please ',' fix ',' system ']")</f>
        <v>['The network', 'ugly', 'pakek', 'really', 'buy', 'package', 'expensive', 'expensive', 'difficult', 'entry', 'late', 'contents',' Package ',' pulse ',' truncated ',' automatic ',' Telkomsel ',' please ',' fix ',' system ']</v>
      </c>
      <c r="D2222" s="3">
        <v>1.0</v>
      </c>
    </row>
    <row r="2223" ht="15.75" customHeight="1">
      <c r="A2223" s="1">
        <v>2221.0</v>
      </c>
      <c r="B2223" s="3" t="s">
        <v>2224</v>
      </c>
      <c r="C2223" s="3" t="str">
        <f>IFERROR(__xludf.DUMMYFUNCTION("GOOGLETRANSLATE(B2223,""id"",""en"")"),"['signal', 'ugly', 'telephone', 'operator', 'sorry', 'uncertain "",' woi ',' operator ',' buy ',' pulse ',' package ',' money ',' use ',' sorry ']")</f>
        <v>['signal', 'ugly', 'telephone', 'operator', 'sorry', 'uncertain ",' woi ',' operator ',' buy ',' pulse ',' package ',' money ',' use ',' sorry ']</v>
      </c>
      <c r="D2223" s="3">
        <v>1.0</v>
      </c>
    </row>
    <row r="2224" ht="15.75" customHeight="1">
      <c r="A2224" s="1">
        <v>2222.0</v>
      </c>
      <c r="B2224" s="3" t="s">
        <v>2225</v>
      </c>
      <c r="C2224" s="3" t="str">
        <f>IFERROR(__xludf.DUMMYFUNCTION("GOOGLETRANSLATE(B2224,""id"",""en"")"),"['Open', 'buy', 'Paketan', 'Telkomsel', 'LHO', 'Application', 'Model', 'Gini', 'Malulah', 'Paketan', 'Expensive', 'Service', ' according to ',' improper ',' woy ']")</f>
        <v>['Open', 'buy', 'Paketan', 'Telkomsel', 'LHO', 'Application', 'Model', 'Gini', 'Malulah', 'Paketan', 'Expensive', 'Service', ' according to ',' improper ',' woy ']</v>
      </c>
      <c r="D2224" s="3">
        <v>1.0</v>
      </c>
    </row>
    <row r="2225" ht="15.75" customHeight="1">
      <c r="A2225" s="1">
        <v>2223.0</v>
      </c>
      <c r="B2225" s="3" t="s">
        <v>2226</v>
      </c>
      <c r="C2225" s="3" t="str">
        <f>IFERROR(__xludf.DUMMYFUNCTION("GOOGLETRANSLATE(B2225,""id"",""en"")"),"['Telkomsel', 'operator', 'cunning', 'buy', 'package', 'leftover', 'pulse', 'pulse', 'sucks',' sell ',' honest ',' take ',' profit']")</f>
        <v>['Telkomsel', 'operator', 'cunning', 'buy', 'package', 'leftover', 'pulse', 'pulse', 'sucks',' sell ',' honest ',' take ',' profit']</v>
      </c>
      <c r="D2225" s="3">
        <v>1.0</v>
      </c>
    </row>
    <row r="2226" ht="15.75" customHeight="1">
      <c r="A2226" s="1">
        <v>2224.0</v>
      </c>
      <c r="B2226" s="3" t="s">
        <v>2227</v>
      </c>
      <c r="C2226" s="3" t="str">
        <f>IFERROR(__xludf.DUMMYFUNCTION("GOOGLETRANSLATE(B2226,""id"",""en"")"),"['times',' Disappointed ',' Telkomsel ',' yeah ',' already ',' buy ',' package ',' lap ',' youtube ',' week ',' eeeh ',' no ',' Gunain ',' already ',' times', 'Try', 'mbeli', 'ttep', 'no', 'gunain', 'price', 'expensive', 'mbuang', 'money']")</f>
        <v>['times',' Disappointed ',' Telkomsel ',' yeah ',' already ',' buy ',' package ',' lap ',' youtube ',' week ',' eeeh ',' no ',' Gunain ',' already ',' times', 'Try', 'mbeli', 'ttep', 'no', 'gunain', 'price', 'expensive', 'mbuang', 'money']</v>
      </c>
      <c r="D2226" s="3">
        <v>2.0</v>
      </c>
    </row>
    <row r="2227" ht="15.75" customHeight="1">
      <c r="A2227" s="1">
        <v>2225.0</v>
      </c>
      <c r="B2227" s="3" t="s">
        <v>2228</v>
      </c>
      <c r="C2227" s="3" t="str">
        <f>IFERROR(__xludf.DUMMYFUNCTION("GOOGLETRANSLATE(B2227,""id"",""en"")"),"['application', 'help', 'makes it easy', 'users',' Telkomsel ',' network ',' fix ',' sometimes', 'quota', 'full', 'use', 'play', ' Game ',' Online ',' Lose ',' Strike ',' ']")</f>
        <v>['application', 'help', 'makes it easy', 'users',' Telkomsel ',' network ',' fix ',' sometimes', 'quota', 'full', 'use', 'play', ' Game ',' Online ',' Lose ',' Strike ',' ']</v>
      </c>
      <c r="D2227" s="3">
        <v>2.0</v>
      </c>
    </row>
    <row r="2228" ht="15.75" customHeight="1">
      <c r="A2228" s="1">
        <v>2226.0</v>
      </c>
      <c r="B2228" s="3" t="s">
        <v>2229</v>
      </c>
      <c r="C2228" s="3" t="str">
        <f>IFERROR(__xludf.DUMMYFUNCTION("GOOGLETRANSLATE(B2228,""id"",""en"")"),"['please', 'Telkomsel', 'love', 'sms', 'notification', 'many', 'times', 'disturbing', 'really', 'oath', ""]")</f>
        <v>['please', 'Telkomsel', 'love', 'sms', 'notification', 'many', 'times', 'disturbing', 'really', 'oath', "]</v>
      </c>
      <c r="D2228" s="3">
        <v>1.0</v>
      </c>
    </row>
    <row r="2229" ht="15.75" customHeight="1">
      <c r="A2229" s="1">
        <v>2227.0</v>
      </c>
      <c r="B2229" s="3" t="s">
        <v>2230</v>
      </c>
      <c r="C2229" s="3" t="str">
        <f>IFERROR(__xludf.DUMMYFUNCTION("GOOGLETRANSLATE(B2229,""id"",""en"")"),"['Nyesel', 'Download', 'APK', 'price', 'expensive', 'really', 'luck', 'use', 'apk', 'regret', 'oath', 'doawnload', ' ',' Anyway ',' Rayes', 'Kayak', '']")</f>
        <v>['Nyesel', 'Download', 'APK', 'price', 'expensive', 'really', 'luck', 'use', 'apk', 'regret', 'oath', 'doawnload', ' ',' Anyway ',' Rayes', 'Kayak', '']</v>
      </c>
      <c r="D2229" s="3">
        <v>1.0</v>
      </c>
    </row>
    <row r="2230" ht="15.75" customHeight="1">
      <c r="A2230" s="1">
        <v>2228.0</v>
      </c>
      <c r="B2230" s="3" t="s">
        <v>2231</v>
      </c>
      <c r="C2230" s="3" t="str">
        <f>IFERROR(__xludf.DUMMYFUNCTION("GOOGLETRANSLATE(B2230,""id"",""en"")"),"['user', 'card', 'hello', 'network', 'mnjadi', 'priority', 'change', 'card', 'hello', 'signal', 'bad', 'bad', ' Stayed ',' DKT ',' bndara ',' soeta ',' gontaganti ',' result ',' phone ',' solution ',' restart ',' restart ',' then 'restart', 'surprise' , '"&amp;"card', 'sympathy', 'jerkannya', 'stable', 'tmbah', 'price', 'package', 'lbih', 'cheap', 'choice', 'card', 'sympathy', ' According to ',' opinion ',' personal ',' network ',' bad ',' bad ',' bad ',' good ',' card ',' hello ', ""]")</f>
        <v>['user', 'card', 'hello', 'network', 'mnjadi', 'priority', 'change', 'card', 'hello', 'signal', 'bad', 'bad', ' Stayed ',' DKT ',' bndara ',' soeta ',' gontaganti ',' result ',' phone ',' solution ',' restart ',' restart ',' then 'restart', 'surprise' , 'card', 'sympathy', 'jerkannya', 'stable', 'tmbah', 'price', 'package', 'lbih', 'cheap', 'choice', 'card', 'sympathy', ' According to ',' opinion ',' personal ',' network ',' bad ',' bad ',' bad ',' good ',' card ',' hello ', "]</v>
      </c>
      <c r="D2230" s="3">
        <v>1.0</v>
      </c>
    </row>
    <row r="2231" ht="15.75" customHeight="1">
      <c r="A2231" s="1">
        <v>2229.0</v>
      </c>
      <c r="B2231" s="3" t="s">
        <v>2232</v>
      </c>
      <c r="C2231" s="3" t="str">
        <f>IFERROR(__xludf.DUMMYFUNCTION("GOOGLETRANSLATE(B2231,""id"",""en"")"),"['', 'signal', 'normal', 'star', 'normal', 'term', 'star', 'admiration', 'service', 'fast']")</f>
        <v>['', 'signal', 'normal', 'star', 'normal', 'term', 'star', 'admiration', 'service', 'fast']</v>
      </c>
      <c r="D2231" s="3">
        <v>5.0</v>
      </c>
    </row>
    <row r="2232" ht="15.75" customHeight="1">
      <c r="A2232" s="1">
        <v>2230.0</v>
      </c>
      <c r="B2232" s="3" t="s">
        <v>2233</v>
      </c>
      <c r="C2232" s="3" t="str">
        <f>IFERROR(__xludf.DUMMYFUNCTION("GOOGLETRANSLATE(B2232,""id"",""en"")"),"['times',' package ',' already ',' consumer ',' comfortable ',' liilanged ',' kek ',' extra ',' unlimited ',' no ',' already ',' comfortable ',' really ',' pakek ',' package ',' unlimited ',' youtube ',' skrng ',' no ',' hope ',' thinking ',' folk ',' med"&amp;"ium ',' Telkomsel ',' thank ' , 'love']")</f>
        <v>['times',' package ',' already ',' consumer ',' comfortable ',' liilanged ',' kek ',' extra ',' unlimited ',' no ',' already ',' comfortable ',' really ',' pakek ',' package ',' unlimited ',' youtube ',' skrng ',' no ',' hope ',' thinking ',' folk ',' medium ',' Telkomsel ',' thank ' , 'love']</v>
      </c>
      <c r="D2232" s="3">
        <v>3.0</v>
      </c>
    </row>
    <row r="2233" ht="15.75" customHeight="1">
      <c r="A2233" s="1">
        <v>2231.0</v>
      </c>
      <c r="B2233" s="3" t="s">
        <v>2234</v>
      </c>
      <c r="C2233" s="3" t="str">
        <f>IFERROR(__xludf.DUMMYFUNCTION("GOOGLETRANSLATE(B2233,""id"",""en"")"),"['package', 'internetmax', 'package', 'unlimitedmax', 'slow', 'connection', 'quota', 'left', 'stay', 'quota', 'sosmed', 'intention', ' package ',' internet ',' stable ',' sell ',' Telkomsel ',' selling ',' rice ',' market ',' block ', ""]")</f>
        <v>['package', 'internetmax', 'package', 'unlimitedmax', 'slow', 'connection', 'quota', 'left', 'stay', 'quota', 'sosmed', 'intention', ' package ',' internet ',' stable ',' sell ',' Telkomsel ',' selling ',' rice ',' market ',' block ', "]</v>
      </c>
      <c r="D2233" s="3">
        <v>1.0</v>
      </c>
    </row>
    <row r="2234" ht="15.75" customHeight="1">
      <c r="A2234" s="1">
        <v>2232.0</v>
      </c>
      <c r="B2234" s="3" t="s">
        <v>2235</v>
      </c>
      <c r="C2234" s="3" t="str">
        <f>IFERROR(__xludf.DUMMYFUNCTION("GOOGLETRANSLATE(B2234,""id"",""en"")"),"['quota', 'Yesterday', 'Combo', 'Sakti', 'price', 'cheap', 'price', 'expensive', 'quota', 'expensive', 'formerly', 'cheap', ' Drastically ',' Telkomsel ',' Solution ',' Changed ',' Account ',' Move ',' Operator ',' ']")</f>
        <v>['quota', 'Yesterday', 'Combo', 'Sakti', 'price', 'cheap', 'price', 'expensive', 'quota', 'expensive', 'formerly', 'cheap', ' Drastically ',' Telkomsel ',' Solution ',' Changed ',' Account ',' Move ',' Operator ',' ']</v>
      </c>
      <c r="D2234" s="3">
        <v>1.0</v>
      </c>
    </row>
    <row r="2235" ht="15.75" customHeight="1">
      <c r="A2235" s="1">
        <v>2233.0</v>
      </c>
      <c r="B2235" s="3" t="s">
        <v>2236</v>
      </c>
      <c r="C2235" s="3" t="str">
        <f>IFERROR(__xludf.DUMMYFUNCTION("GOOGLETRANSLATE(B2235,""id"",""en"")"),"['leftover', 'balance', 'pulse', 'date', 'July', 'contents',' pulse ',' date ',' July ',' buy ',' package ',' combo ',' Wonder ',' leftover ',' credit ',' question ',' kmana ',' pulse ',' missing ',' times', 'it happened', '']")</f>
        <v>['leftover', 'balance', 'pulse', 'date', 'July', 'contents',' pulse ',' date ',' July ',' buy ',' package ',' combo ',' Wonder ',' leftover ',' credit ',' question ',' kmana ',' pulse ',' missing ',' times', 'it happened', '']</v>
      </c>
      <c r="D2235" s="3">
        <v>1.0</v>
      </c>
    </row>
    <row r="2236" ht="15.75" customHeight="1">
      <c r="A2236" s="1">
        <v>2234.0</v>
      </c>
      <c r="B2236" s="3" t="s">
        <v>2237</v>
      </c>
      <c r="C2236" s="3" t="str">
        <f>IFERROR(__xludf.DUMMYFUNCTION("GOOGLETRANSLATE(B2236,""id"",""en"")"),"['Package', 'Disney', 'What's',' like ',' Buy ',' buy ',' already ',' number ',' change ',' rich ',' that's', 'loss',' rb ',' number ',' right ']")</f>
        <v>['Package', 'Disney', 'What's',' like ',' Buy ',' buy ',' already ',' number ',' change ',' rich ',' that's', 'loss',' rb ',' number ',' right ']</v>
      </c>
      <c r="D2236" s="3">
        <v>1.0</v>
      </c>
    </row>
    <row r="2237" ht="15.75" customHeight="1">
      <c r="A2237" s="1">
        <v>2235.0</v>
      </c>
      <c r="B2237" s="3" t="s">
        <v>2238</v>
      </c>
      <c r="C2237" s="3" t="str">
        <f>IFERROR(__xludf.DUMMYFUNCTION("GOOGLETRANSLATE(B2237,""id"",""en"")"),"['apk', 'garbage', 'update', 'GBSA', 'dipake', 'signal', 'ugly', 'position', 'city', 'provider', 'BUMN', 'quality', ' Class', 'Teri', 'Disappointed', '']")</f>
        <v>['apk', 'garbage', 'update', 'GBSA', 'dipake', 'signal', 'ugly', 'position', 'city', 'provider', 'BUMN', 'quality', ' Class', 'Teri', 'Disappointed', '']</v>
      </c>
      <c r="D2237" s="3">
        <v>1.0</v>
      </c>
    </row>
    <row r="2238" ht="15.75" customHeight="1">
      <c r="A2238" s="1">
        <v>2236.0</v>
      </c>
      <c r="B2238" s="3" t="s">
        <v>2239</v>
      </c>
      <c r="C2238" s="3" t="str">
        <f>IFERROR(__xludf.DUMMYFUNCTION("GOOGLETRANSLATE(B2238,""id"",""en"")"),"['Nahh', 'Litu', 'Min', 'choice', 'package', 'combo', 'saktinya', 'until', 'open', 'mytsel', 'make', 'ask', ' Buy ',' Package ',' Combonya ',' Thank ',' Min ',' Maintain ',' Menu ',' Choice ',' Combo ',' Seat ', ""]")</f>
        <v>['Nahh', 'Litu', 'Min', 'choice', 'package', 'combo', 'saktinya', 'until', 'open', 'mytsel', 'make', 'ask', ' Buy ',' Package ',' Combonya ',' Thank ',' Min ',' Maintain ',' Menu ',' Choice ',' Combo ',' Seat ', "]</v>
      </c>
      <c r="D2238" s="3">
        <v>5.0</v>
      </c>
    </row>
    <row r="2239" ht="15.75" customHeight="1">
      <c r="A2239" s="1">
        <v>2237.0</v>
      </c>
      <c r="B2239" s="3" t="s">
        <v>2240</v>
      </c>
      <c r="C2239" s="3" t="str">
        <f>IFERROR(__xludf.DUMMYFUNCTION("GOOGLETRANSLATE(B2239,""id"",""en"")"),"['Network', 'Telkomsel', 'stable', 'taste', 'bet', 'play', 'games',' nge ',' lag ',' severe ',' launch ',' network ',' kek ',' network ',' feasible ',' play ',' games ',' moved ',' provider ',' good ',' as soon as possible, 'repair', 'server']")</f>
        <v>['Network', 'Telkomsel', 'stable', 'taste', 'bet', 'play', 'games',' nge ',' lag ',' severe ',' launch ',' network ',' kek ',' network ',' feasible ',' play ',' games ',' moved ',' provider ',' good ',' as soon as possible, 'repair', 'server']</v>
      </c>
      <c r="D2239" s="3">
        <v>1.0</v>
      </c>
    </row>
    <row r="2240" ht="15.75" customHeight="1">
      <c r="A2240" s="1">
        <v>2238.0</v>
      </c>
      <c r="B2240" s="3" t="s">
        <v>2241</v>
      </c>
      <c r="C2240" s="3" t="str">
        <f>IFERROR(__xludf.DUMMYFUNCTION("GOOGLETRANSLATE(B2240,""id"",""en"")"),"['Ngeluh', 'package', 'expensive', 'customers',' loyal ',' Telkomsel ',' love ',' reward ',' customer ',' loyal ',' Telkomsel ',' gave ',' Promos', 'customers',' loyal ',' cheap ',' packages', 'operators',' ']")</f>
        <v>['Ngeluh', 'package', 'expensive', 'customers',' loyal ',' Telkomsel ',' love ',' reward ',' customer ',' loyal ',' Telkomsel ',' gave ',' Promos', 'customers',' loyal ',' cheap ',' packages', 'operators',' ']</v>
      </c>
      <c r="D2240" s="3">
        <v>5.0</v>
      </c>
    </row>
    <row r="2241" ht="15.75" customHeight="1">
      <c r="A2241" s="1">
        <v>2239.0</v>
      </c>
      <c r="B2241" s="3" t="s">
        <v>2242</v>
      </c>
      <c r="C2241" s="3" t="str">
        <f>IFERROR(__xludf.DUMMYFUNCTION("GOOGLETRANSLATE(B2241,""id"",""en"")"),"['bad', 'application', 'pulse', 'like', 'lost', 'gift', 'check', 'claim', 'update', 'application', 'bad', 'gift', ' Check ',' Confirmed ',' Considered ',' Gift ',' Thank ', ""]")</f>
        <v>['bad', 'application', 'pulse', 'like', 'lost', 'gift', 'check', 'claim', 'update', 'application', 'bad', 'gift', ' Check ',' Confirmed ',' Considered ',' Gift ',' Thank ', "]</v>
      </c>
      <c r="D2241" s="3">
        <v>1.0</v>
      </c>
    </row>
    <row r="2242" ht="15.75" customHeight="1">
      <c r="A2242" s="1">
        <v>2240.0</v>
      </c>
      <c r="B2242" s="3" t="s">
        <v>2243</v>
      </c>
      <c r="C2242" s="3" t="str">
        <f>IFERROR(__xludf.DUMMYFUNCTION("GOOGLETRANSLATE(B2242,""id"",""en"")"),"['Please', 'Sorry', 'Package', 'Unlimited', 'Limit', 'FUP', 'Please', 'Restore', 'Unlimited', ""]")</f>
        <v>['Please', 'Sorry', 'Package', 'Unlimited', 'Limit', 'FUP', 'Please', 'Restore', 'Unlimited', "]</v>
      </c>
      <c r="D2242" s="3">
        <v>3.0</v>
      </c>
    </row>
    <row r="2243" ht="15.75" customHeight="1">
      <c r="A2243" s="1">
        <v>2241.0</v>
      </c>
      <c r="B2243" s="3" t="s">
        <v>2244</v>
      </c>
      <c r="C2243" s="3" t="str">
        <f>IFERROR(__xludf.DUMMYFUNCTION("GOOGLETRANSLATE(B2243,""id"",""en"")"),"['Love', 'Star', 'Chief', 'Package', 'Cheerful', 'GB', 'Disabled', 'Help', 'Day', ""]")</f>
        <v>['Love', 'Star', 'Chief', 'Package', 'Cheerful', 'GB', 'Disabled', 'Help', 'Day', "]</v>
      </c>
      <c r="D2243" s="3">
        <v>4.0</v>
      </c>
    </row>
    <row r="2244" ht="15.75" customHeight="1">
      <c r="A2244" s="1">
        <v>2242.0</v>
      </c>
      <c r="B2244" s="3" t="s">
        <v>2245</v>
      </c>
      <c r="C2244" s="3" t="str">
        <f>IFERROR(__xludf.DUMMYFUNCTION("GOOGLETRANSLATE(B2244,""id"",""en"")"),"['buy', 'quota', 'emergency', 'bills',' emergency ',' quota ',' abis', 'pulse', 'entry', 'thousand', 'fill', 'pulses',' Suck ',' Telkomsel ',' Customer ',' Telkomsel ',' here ',' Bad ',' Service ',' Please ']")</f>
        <v>['buy', 'quota', 'emergency', 'bills',' emergency ',' quota ',' abis', 'pulse', 'entry', 'thousand', 'fill', 'pulses',' Suck ',' Telkomsel ',' Customer ',' Telkomsel ',' here ',' Bad ',' Service ',' Please ']</v>
      </c>
      <c r="D2244" s="3">
        <v>1.0</v>
      </c>
    </row>
    <row r="2245" ht="15.75" customHeight="1">
      <c r="A2245" s="1">
        <v>2243.0</v>
      </c>
      <c r="B2245" s="3" t="s">
        <v>2246</v>
      </c>
      <c r="C2245" s="3" t="str">
        <f>IFERROR(__xludf.DUMMYFUNCTION("GOOGLETRANSLATE(B2245,""id"",""en"")"),"['contents',' pulse ',' sumps', 'yesterday', 'check', 'pulse', 'thousand', 'morning', 'checked', 'stay', 'rupiah', 'buy', ' pulse ',' mending ',' card ',' cheap ',' festive ',' see ',' love ',' star ',' complaint ', ""]")</f>
        <v>['contents',' pulse ',' sumps', 'yesterday', 'check', 'pulse', 'thousand', 'morning', 'checked', 'stay', 'rupiah', 'buy', ' pulse ',' mending ',' card ',' cheap ',' festive ',' see ',' love ',' star ',' complaint ', "]</v>
      </c>
      <c r="D2245" s="3">
        <v>1.0</v>
      </c>
    </row>
    <row r="2246" ht="15.75" customHeight="1">
      <c r="A2246" s="1">
        <v>2244.0</v>
      </c>
      <c r="B2246" s="3" t="s">
        <v>2247</v>
      </c>
      <c r="C2246" s="3" t="str">
        <f>IFERROR(__xludf.DUMMYFUNCTION("GOOGLETRANSLATE(B2246,""id"",""en"")"),"['Help', 'fast', 'open', 'info', 'package', 'promo', 'program', 'steady', 'deh', 'telkomsel', 'point', 'exchange', ' Points', 'difficult', 'lucky', 'hockey', 'fate', ""]")</f>
        <v>['Help', 'fast', 'open', 'info', 'package', 'promo', 'program', 'steady', 'deh', 'telkomsel', 'point', 'exchange', ' Points', 'difficult', 'lucky', 'hockey', 'fate', "]</v>
      </c>
      <c r="D2246" s="3">
        <v>3.0</v>
      </c>
    </row>
    <row r="2247" ht="15.75" customHeight="1">
      <c r="A2247" s="1">
        <v>2245.0</v>
      </c>
      <c r="B2247" s="3" t="s">
        <v>2248</v>
      </c>
      <c r="C2247" s="3" t="str">
        <f>IFERROR(__xludf.DUMMYFUNCTION("GOOGLETRANSLATE(B2247,""id"",""en"")"),"['Telkomsel', 'Package', 'Special', 'Full', 'Internet', 'Example', 'Package', 'Ngak', 'Mix', 'Package', 'GB', 'Special', ' Internet ',' Mix ',' Quota ',' Thank you ', ""]")</f>
        <v>['Telkomsel', 'Package', 'Special', 'Full', 'Internet', 'Example', 'Package', 'Ngak', 'Mix', 'Package', 'GB', 'Special', ' Internet ',' Mix ',' Quota ',' Thank you ', "]</v>
      </c>
      <c r="D2247" s="3">
        <v>5.0</v>
      </c>
    </row>
    <row r="2248" ht="15.75" customHeight="1">
      <c r="A2248" s="1">
        <v>2246.0</v>
      </c>
      <c r="B2248" s="3" t="s">
        <v>2249</v>
      </c>
      <c r="C2248" s="3" t="str">
        <f>IFERROR(__xludf.DUMMYFUNCTION("GOOGLETRANSLATE(B2248,""id"",""en"")"),"['Please', 'repaired', 'bug', 'daily', 'check', 'claim', 'GB', 'free', 'data', 'MyTelkom', 'missing', 'Where', ' free ',' check ',' code ',' USSD ',' please ',' repaired ',' app ',' downhill ']")</f>
        <v>['Please', 'repaired', 'bug', 'daily', 'check', 'claim', 'GB', 'free', 'data', 'MyTelkom', 'missing', 'Where', ' free ',' check ',' code ',' USSD ',' please ',' repaired ',' app ',' downhill ']</v>
      </c>
      <c r="D2248" s="3">
        <v>2.0</v>
      </c>
    </row>
    <row r="2249" ht="15.75" customHeight="1">
      <c r="A2249" s="1">
        <v>2247.0</v>
      </c>
      <c r="B2249" s="3" t="s">
        <v>2250</v>
      </c>
      <c r="C2249" s="3" t="str">
        <f>IFERROR(__xludf.DUMMYFUNCTION("GOOGLETRANSLATE(B2249,""id"",""en"")"),"['Package', 'Combo', 'Sakti', 'Disappear', 'Please', 'Telkomsel', 'Package', 'Expensive', 'Quality', 'Network', 'Erratic', 'Persulit', ' subscribe ',' package ',' already ',' difficult ',' plus', 'package', 'expensive', '']")</f>
        <v>['Package', 'Combo', 'Sakti', 'Disappear', 'Please', 'Telkomsel', 'Package', 'Expensive', 'Quality', 'Network', 'Erratic', 'Persulit', ' subscribe ',' package ',' already ',' difficult ',' plus', 'package', 'expensive', '']</v>
      </c>
      <c r="D2249" s="3">
        <v>1.0</v>
      </c>
    </row>
    <row r="2250" ht="15.75" customHeight="1">
      <c r="A2250" s="1">
        <v>2248.0</v>
      </c>
      <c r="B2250" s="3" t="s">
        <v>2251</v>
      </c>
      <c r="C2250" s="3" t="str">
        <f>IFERROR(__xludf.DUMMYFUNCTION("GOOGLETRANSLATE(B2250,""id"",""en"")"),"['Satisfied', 'work', 'system', 'TPI', 'in', 'suggest', 'please', 'please', 'level', 'lgi', 'speed', 'access',' Frequency ',' enter ',' slow ',' minutes', 'Mawar', 'SJA', 'Thank', 'Love', ""]")</f>
        <v>['Satisfied', 'work', 'system', 'TPI', 'in', 'suggest', 'please', 'please', 'level', 'lgi', 'speed', 'access',' Frequency ',' enter ',' slow ',' minutes', 'Mawar', 'SJA', 'Thank', 'Love', "]</v>
      </c>
      <c r="D2250" s="3">
        <v>5.0</v>
      </c>
    </row>
    <row r="2251" ht="15.75" customHeight="1">
      <c r="A2251" s="1">
        <v>2249.0</v>
      </c>
      <c r="B2251" s="3" t="s">
        <v>2252</v>
      </c>
      <c r="C2251" s="3" t="str">
        <f>IFERROR(__xludf.DUMMYFUNCTION("GOOGLETRANSLATE(B2251,""id"",""en"")"),"['Covid', 'Herrate', 'Love', 'Service', 'Network', 'Internet', 'Telkomsel', 'Hopefully', 'In the future', ""]")</f>
        <v>['Covid', 'Herrate', 'Love', 'Service', 'Network', 'Internet', 'Telkomsel', 'Hopefully', 'In the future', "]</v>
      </c>
      <c r="D2251" s="3">
        <v>5.0</v>
      </c>
    </row>
    <row r="2252" ht="15.75" customHeight="1">
      <c r="A2252" s="1">
        <v>2250.0</v>
      </c>
      <c r="B2252" s="3" t="s">
        <v>2253</v>
      </c>
      <c r="C2252" s="3" t="str">
        <f>IFERROR(__xludf.DUMMYFUNCTION("GOOGLETRANSLATE(B2252,""id"",""en"")"),"['What', 'Application', 'Enter', 'Send', 'Link', 'Opened', 'Enter', 'Via', 'Google', 'Method', 'Purpose', 'How', ' Application ',' issued ',' trial ',' troubles']")</f>
        <v>['What', 'Application', 'Enter', 'Send', 'Link', 'Opened', 'Enter', 'Via', 'Google', 'Method', 'Purpose', 'How', ' Application ',' issued ',' trial ',' troubles']</v>
      </c>
      <c r="D2252" s="3">
        <v>1.0</v>
      </c>
    </row>
    <row r="2253" ht="15.75" customHeight="1">
      <c r="A2253" s="1">
        <v>2251.0</v>
      </c>
      <c r="B2253" s="3" t="s">
        <v>2254</v>
      </c>
      <c r="C2253" s="3" t="str">
        <f>IFERROR(__xludf.DUMMYFUNCTION("GOOGLETRANSLATE(B2253,""id"",""en"")"),"['already', 'buy', 'pulse', 'buy', 'package', 'internet', 'buy', 'package', 'use', 'application', 'fail', 'pulse', ' use ',' application ',' reduce ',' pulse ',' already ',' bought ',' gobbyk ',' really ',' developer ',' provider ',' Telkomsel ', ""]")</f>
        <v>['already', 'buy', 'pulse', 'buy', 'package', 'internet', 'buy', 'package', 'use', 'application', 'fail', 'pulse', ' use ',' application ',' reduce ',' pulse ',' already ',' bought ',' gobbyk ',' really ',' developer ',' provider ',' Telkomsel ', "]</v>
      </c>
      <c r="D2253" s="3">
        <v>5.0</v>
      </c>
    </row>
    <row r="2254" ht="15.75" customHeight="1">
      <c r="A2254" s="1">
        <v>2252.0</v>
      </c>
      <c r="B2254" s="3" t="s">
        <v>2255</v>
      </c>
      <c r="C2254" s="3" t="str">
        <f>IFERROR(__xludf.DUMMYFUNCTION("GOOGLETRANSLATE(B2254,""id"",""en"")"),"['quota', 'local', 'Vocer', 'already', 'written', 'Region', 'Bengkulu', 'Jambi', 'Sum', 'cell', 'Lampung', 'Live', ' Palembang ',' Sumsel ',' quota ',' local ']")</f>
        <v>['quota', 'local', 'Vocer', 'already', 'written', 'Region', 'Bengkulu', 'Jambi', 'Sum', 'cell', 'Lampung', 'Live', ' Palembang ',' Sumsel ',' quota ',' local ']</v>
      </c>
      <c r="D2254" s="3">
        <v>1.0</v>
      </c>
    </row>
    <row r="2255" ht="15.75" customHeight="1">
      <c r="A2255" s="1">
        <v>2253.0</v>
      </c>
      <c r="B2255" s="3" t="s">
        <v>2256</v>
      </c>
      <c r="C2255" s="3" t="str">
        <f>IFERROR(__xludf.DUMMYFUNCTION("GOOGLETRANSLATE(B2255,""id"",""en"")"),"['ugly', 'the application', 'send', 'gift', 'tmn', 'skg', 'pulse', 'send', 'package', 'enter', 'bill', 'knp', ' skg ',' blg ',' pulse ',' pdhl ',' limid ',' quota ',' difficult ',' sometimes', 'press',' send ',' loading ',' menu ',' main ' , '']")</f>
        <v>['ugly', 'the application', 'send', 'gift', 'tmn', 'skg', 'pulse', 'send', 'package', 'enter', 'bill', 'knp', ' skg ',' blg ',' pulse ',' pdhl ',' limid ',' quota ',' difficult ',' sometimes', 'press',' send ',' loading ',' menu ',' main ' , '']</v>
      </c>
      <c r="D2255" s="3">
        <v>1.0</v>
      </c>
    </row>
    <row r="2256" ht="15.75" customHeight="1">
      <c r="A2256" s="1">
        <v>2254.0</v>
      </c>
      <c r="B2256" s="3" t="s">
        <v>2257</v>
      </c>
      <c r="C2256" s="3" t="str">
        <f>IFERROR(__xludf.DUMMYFUNCTION("GOOGLETRANSLATE(B2256,""id"",""en"")"),"['Contents',' Credit ',' Claims', 'Gifts',' Check ',' Daily ',' get ',' Remnant ',' Credit ',' right ',' Night ',' Claim ',' gifts', 'check', 'daily', 'pulses',' times', 'already', 'leftover', 'quota', 'TPI', 'pulse', 'always',' sucked ',' entered ' , 'se"&amp;"nse', 'severe', '']")</f>
        <v>['Contents',' Credit ',' Claims', 'Gifts',' Check ',' Daily ',' get ',' Remnant ',' Credit ',' right ',' Night ',' Claim ',' gifts', 'check', 'daily', 'pulses',' times', 'already', 'leftover', 'quota', 'TPI', 'pulse', 'always',' sucked ',' entered ' , 'sense', 'severe', '']</v>
      </c>
      <c r="D2256" s="3">
        <v>1.0</v>
      </c>
    </row>
    <row r="2257" ht="15.75" customHeight="1">
      <c r="A2257" s="1">
        <v>2255.0</v>
      </c>
      <c r="B2257" s="3" t="s">
        <v>2258</v>
      </c>
      <c r="C2257" s="3" t="str">
        <f>IFERROR(__xludf.DUMMYFUNCTION("GOOGLETRANSLATE(B2257,""id"",""en"")"),"['Package', 'Combo', 'Season', 'Divided', 'Internet', 'Multimedia', 'Multimedia', 'Multimedia', 'Jam', 'Game', 'Enter', 'in' Register ',' gamemax ',' ']")</f>
        <v>['Package', 'Combo', 'Season', 'Divided', 'Internet', 'Multimedia', 'Multimedia', 'Multimedia', 'Jam', 'Game', 'Enter', 'in' Register ',' gamemax ',' ']</v>
      </c>
      <c r="D2257" s="3">
        <v>1.0</v>
      </c>
    </row>
    <row r="2258" ht="15.75" customHeight="1">
      <c r="A2258" s="1">
        <v>2256.0</v>
      </c>
      <c r="B2258" s="3" t="s">
        <v>2259</v>
      </c>
      <c r="C2258" s="3" t="str">
        <f>IFERROR(__xludf.DUMMYFUNCTION("GOOGLETRANSLATE(B2258,""id"",""en"")"),"['Please', 'Breeping', 'Customer', 'Servicenya', 'Miss',' Information ',' User ',' Credit ',' Cut ',' Transaction ',' Googeplay ',' Weak ',' really ',' security ',' Telkomsel ',' shy ',' shyin ']")</f>
        <v>['Please', 'Breeping', 'Customer', 'Servicenya', 'Miss',' Information ',' User ',' Credit ',' Cut ',' Transaction ',' Googeplay ',' Weak ',' really ',' security ',' Telkomsel ',' shy ',' shyin ']</v>
      </c>
      <c r="D2258" s="3">
        <v>1.0</v>
      </c>
    </row>
    <row r="2259" ht="15.75" customHeight="1">
      <c r="A2259" s="1">
        <v>2257.0</v>
      </c>
      <c r="B2259" s="3" t="s">
        <v>2260</v>
      </c>
      <c r="C2259" s="3" t="str">
        <f>IFERROR(__xludf.DUMMYFUNCTION("GOOGLETRANSLATE(B2259,""id"",""en"")"),"['What', 'Operator', 'Knp', 'Network', 'Lost', 'Klian', 'Intention', 'Work', 'Please', 'Fix', 'Network', 'Telkomsel', ' package ',' expensive ',' network ',' quality ',' please ',' fix ',' as fast ',' fix ',' spread ',' media ',' telkomsel ',' closed ',' "&amp;"karna ' , 'quality', 'network', 'good', 'effective']")</f>
        <v>['What', 'Operator', 'Knp', 'Network', 'Lost', 'Klian', 'Intention', 'Work', 'Please', 'Fix', 'Network', 'Telkomsel', ' package ',' expensive ',' network ',' quality ',' please ',' fix ',' as fast ',' fix ',' spread ',' media ',' telkomsel ',' closed ',' karna ' , 'quality', 'network', 'good', 'effective']</v>
      </c>
      <c r="D2259" s="3">
        <v>1.0</v>
      </c>
    </row>
    <row r="2260" ht="15.75" customHeight="1">
      <c r="A2260" s="1">
        <v>2258.0</v>
      </c>
      <c r="B2260" s="3" t="s">
        <v>2261</v>
      </c>
      <c r="C2260" s="3" t="str">
        <f>IFERROR(__xludf.DUMMYFUNCTION("GOOGLETRANSLATE(B2260,""id"",""en"")"),"['Perovider', 'wifi', 'card', 'SIM', 'transition', 'expected']")</f>
        <v>['Perovider', 'wifi', 'card', 'SIM', 'transition', 'expected']</v>
      </c>
      <c r="D2260" s="3">
        <v>1.0</v>
      </c>
    </row>
    <row r="2261" ht="15.75" customHeight="1">
      <c r="A2261" s="1">
        <v>2259.0</v>
      </c>
      <c r="B2261" s="3" t="s">
        <v>2262</v>
      </c>
      <c r="C2261" s="3" t="str">
        <f>IFERROR(__xludf.DUMMYFUNCTION("GOOGLETRANSLATE(B2261,""id"",""en"")"),"['Severe', 'Telkomsel', 'Disappointed', 'Network', 'Mending', 'Dubarin', 'WOI', 'Founder', 'Telkomsel', 'Becus',' Stay ',' Urban ',' Signal ',' full ',' slow ',' earnings', 'already', 'rich', 'disconnected', 'fix', 'woy', 'gamau', 'your customer', 'run', "&amp;"'pke' , 'Game', 'online', 'rich', 'already', 'auto', 'AFK', 'ANJIM', 'really']")</f>
        <v>['Severe', 'Telkomsel', 'Disappointed', 'Network', 'Mending', 'Dubarin', 'WOI', 'Founder', 'Telkomsel', 'Becus',' Stay ',' Urban ',' Signal ',' full ',' slow ',' earnings', 'already', 'rich', 'disconnected', 'fix', 'woy', 'gamau', 'your customer', 'run', 'pke' , 'Game', 'online', 'rich', 'already', 'auto', 'AFK', 'ANJIM', 'really']</v>
      </c>
      <c r="D2261" s="3">
        <v>1.0</v>
      </c>
    </row>
    <row r="2262" ht="15.75" customHeight="1">
      <c r="A2262" s="1">
        <v>2260.0</v>
      </c>
      <c r="B2262" s="3" t="s">
        <v>2263</v>
      </c>
      <c r="C2262" s="3" t="str">
        <f>IFERROR(__xludf.DUMMYFUNCTION("GOOGLETRANSLATE(B2262,""id"",""en"")"),"['Disappointed', 'really', 'Telkomsel', 'cave', 'user', 'Telkomsel', 'rich', 'gini', 'signal', 'down', 'Ujan', 'wind', ' Buy ',' Package ',' Telkomsel ',' Slow ',' Bener ',' Bener ',' Disappointed ',' Bangetttt ']")</f>
        <v>['Disappointed', 'really', 'Telkomsel', 'cave', 'user', 'Telkomsel', 'rich', 'gini', 'signal', 'down', 'Ujan', 'wind', ' Buy ',' Package ',' Telkomsel ',' Slow ',' Bener ',' Bener ',' Disappointed ',' Bangetttt ']</v>
      </c>
      <c r="D2262" s="3">
        <v>1.0</v>
      </c>
    </row>
    <row r="2263" ht="15.75" customHeight="1">
      <c r="A2263" s="1">
        <v>2261.0</v>
      </c>
      <c r="B2263" s="3" t="s">
        <v>2264</v>
      </c>
      <c r="C2263" s="3" t="str">
        <f>IFERROR(__xludf.DUMMYFUNCTION("GOOGLETRANSLATE(B2263,""id"",""en"")"),"['Telkomsel', 'here', 'expensive', 'thousand', 'thousand', 'package', 'unlimited', 'thousand', 'youtube', 'thousand', 'youtube', 'loop', ' Price ',' expensive ',' quality ',' down ',' Telkomsel ',' ']")</f>
        <v>['Telkomsel', 'here', 'expensive', 'thousand', 'thousand', 'package', 'unlimited', 'thousand', 'youtube', 'thousand', 'youtube', 'loop', ' Price ',' expensive ',' quality ',' down ',' Telkomsel ',' ']</v>
      </c>
      <c r="D2263" s="3">
        <v>1.0</v>
      </c>
    </row>
    <row r="2264" ht="15.75" customHeight="1">
      <c r="A2264" s="1">
        <v>2262.0</v>
      </c>
      <c r="B2264" s="3" t="s">
        <v>2265</v>
      </c>
      <c r="C2264" s="3" t="str">
        <f>IFERROR(__xludf.DUMMYFUNCTION("GOOGLETRANSLATE(B2264,""id"",""en"")"),"['Hold', 'Kisah', 'Telkomsel', 'Network', 'Review', 'Reting', 'Star', 'Presentation', 'Reting', 'Star', 'Playstore', 'Close', ' App ',' ']")</f>
        <v>['Hold', 'Kisah', 'Telkomsel', 'Network', 'Review', 'Reting', 'Star', 'Presentation', 'Reting', 'Star', 'Playstore', 'Close', ' App ',' ']</v>
      </c>
      <c r="D2264" s="3">
        <v>1.0</v>
      </c>
    </row>
    <row r="2265" ht="15.75" customHeight="1">
      <c r="A2265" s="1">
        <v>2263.0</v>
      </c>
      <c r="B2265" s="3" t="s">
        <v>2266</v>
      </c>
      <c r="C2265" s="3" t="str">
        <f>IFERROR(__xludf.DUMMYFUNCTION("GOOGLETRANSLATE(B2265,""id"",""en"")"),"['quota', 'expensive', 'network', 'threat', 'city', 'bandung', 'network', 'slow', 'rich', 'emang', 'change', 'product', ' Already ',' tens', 'use', 'Telkomsel', '']")</f>
        <v>['quota', 'expensive', 'network', 'threat', 'city', 'bandung', 'network', 'slow', 'rich', 'emang', 'change', 'product', ' Already ',' tens', 'use', 'Telkomsel', '']</v>
      </c>
      <c r="D2265" s="3">
        <v>1.0</v>
      </c>
    </row>
    <row r="2266" ht="15.75" customHeight="1">
      <c r="A2266" s="1">
        <v>2264.0</v>
      </c>
      <c r="B2266" s="3" t="s">
        <v>2267</v>
      </c>
      <c r="C2266" s="3" t="str">
        <f>IFERROR(__xludf.DUMMYFUNCTION("GOOGLETRANSLATE(B2266,""id"",""en"")"),"['RUWET', 'RUWET', 'Check', 'Kyak', 'Child', 'Learning', 'zero', 'Lemot', 'GRA', 'Rating', 'Kaleee', 'Package', ' load ',' MKnya ',' update ',' device ',' soft ',' civilization ',' bgsa ',' standard ',' lust ',' nich ',' chasing ',' target ',' yyyyyyyyyya"&amp;"aa ' ]")</f>
        <v>['RUWET', 'RUWET', 'Check', 'Kyak', 'Child', 'Learning', 'zero', 'Lemot', 'GRA', 'Rating', 'Kaleee', 'Package', ' load ',' MKnya ',' update ',' device ',' soft ',' civilization ',' bgsa ',' standard ',' lust ',' nich ',' chasing ',' target ',' yyyyyyyyyyaaa ' ]</v>
      </c>
      <c r="D2266" s="3">
        <v>5.0</v>
      </c>
    </row>
    <row r="2267" ht="15.75" customHeight="1">
      <c r="A2267" s="1">
        <v>2265.0</v>
      </c>
      <c r="B2267" s="3" t="s">
        <v>2268</v>
      </c>
      <c r="C2267" s="3" t="str">
        <f>IFERROR(__xludf.DUMMYFUNCTION("GOOGLETRANSLATE(B2267,""id"",""en"")"),"['I', 'Follow', 'Daily', 'Check', 'I', 'Disappointed', 'Bonus',' Quota ',' Gift ',' Check ',' Gue ',' Check ',' Absent ',' gave ', ""]")</f>
        <v>['I', 'Follow', 'Daily', 'Check', 'I', 'Disappointed', 'Bonus',' Quota ',' Gift ',' Check ',' Gue ',' Check ',' Absent ',' gave ', "]</v>
      </c>
      <c r="D2267" s="3">
        <v>1.0</v>
      </c>
    </row>
    <row r="2268" ht="15.75" customHeight="1">
      <c r="A2268" s="1">
        <v>2266.0</v>
      </c>
      <c r="B2268" s="3" t="s">
        <v>2269</v>
      </c>
      <c r="C2268" s="3" t="str">
        <f>IFERROR(__xludf.DUMMYFUNCTION("GOOGLETRANSLATE(B2268,""id"",""en"")"),"['Package', 'buy', 'already', 'bedin', 'buy', 'already', 'price', 'buy', 'already', 'available', 'reason', 'location', ' Already ',' comfortable ',' Pakek ',' Application ',' Ujung ',' Ngilu ',' Heart ',' Disappointed ']")</f>
        <v>['Package', 'buy', 'already', 'bedin', 'buy', 'already', 'price', 'buy', 'already', 'available', 'reason', 'location', ' Already ',' comfortable ',' Pakek ',' Application ',' Ujung ',' Ngilu ',' Heart ',' Disappointed ']</v>
      </c>
      <c r="D2268" s="3">
        <v>1.0</v>
      </c>
    </row>
    <row r="2269" ht="15.75" customHeight="1">
      <c r="A2269" s="1">
        <v>2267.0</v>
      </c>
      <c r="B2269" s="3" t="s">
        <v>2270</v>
      </c>
      <c r="C2269" s="3" t="str">
        <f>IFERROR(__xludf.DUMMYFUNCTION("GOOGLETRANSLATE(B2269,""id"",""en"")"),"['Sorry', 'price', 'expensive', 'package', 'next door', 'network', 'slow', 'psti', 'sorry', 'mulu', 'sorry', 'understand', ' discuss', '']")</f>
        <v>['Sorry', 'price', 'expensive', 'package', 'next door', 'network', 'slow', 'psti', 'sorry', 'mulu', 'sorry', 'understand', ' discuss', '']</v>
      </c>
      <c r="D2269" s="3">
        <v>1.0</v>
      </c>
    </row>
    <row r="2270" ht="15.75" customHeight="1">
      <c r="A2270" s="1">
        <v>2268.0</v>
      </c>
      <c r="B2270" s="3" t="s">
        <v>2271</v>
      </c>
      <c r="C2270" s="3" t="str">
        <f>IFERROR(__xludf.DUMMYFUNCTION("GOOGLETRANSLATE(B2270,""id"",""en"")"),"['promo', 'update', 'good', 'destroyed', 'network', 'signal', 'Telkomsel', 'Please', 'provider', 'Telkomsel', 'fix', 'network', ' signal ',' lbih ',' good ',' most ',' update ',' promo ',' network ',' telkomsel ',' rotten ',' rotten ',' rot ', ""]")</f>
        <v>['promo', 'update', 'good', 'destroyed', 'network', 'signal', 'Telkomsel', 'Please', 'provider', 'Telkomsel', 'fix', 'network', ' signal ',' lbih ',' good ',' most ',' update ',' promo ',' network ',' telkomsel ',' rotten ',' rotten ',' rot ', "]</v>
      </c>
      <c r="D2270" s="3">
        <v>1.0</v>
      </c>
    </row>
    <row r="2271" ht="15.75" customHeight="1">
      <c r="A2271" s="1">
        <v>2269.0</v>
      </c>
      <c r="B2271" s="3" t="s">
        <v>2272</v>
      </c>
      <c r="C2271" s="3" t="str">
        <f>IFERROR(__xludf.DUMMYFUNCTION("GOOGLETRANSLATE(B2271,""id"",""en"")"),"['Bener', 'Bener', 'garbage', 'all', 'all-round', 'wasteful', 'network', 'defective', 'severe', 'Telkomsel', 'already', 'songgong', ' Mentang ',' already ',' predicate ',' highest ',' rank ',' user ',' network ',' thinking ',' consumer ', ""]")</f>
        <v>['Bener', 'Bener', 'garbage', 'all', 'all-round', 'wasteful', 'network', 'defective', 'severe', 'Telkomsel', 'already', 'songgong', ' Mentang ',' already ',' predicate ',' highest ',' rank ',' user ',' network ',' thinking ',' consumer ', "]</v>
      </c>
      <c r="D2271" s="3">
        <v>1.0</v>
      </c>
    </row>
    <row r="2272" ht="15.75" customHeight="1">
      <c r="A2272" s="1">
        <v>2270.0</v>
      </c>
      <c r="B2272" s="3" t="s">
        <v>2273</v>
      </c>
      <c r="C2272" s="3" t="str">
        <f>IFERROR(__xludf.DUMMYFUNCTION("GOOGLETRANSLATE(B2272,""id"",""en"")"),"['Provider', 'The worst', 'Meet', 'Network', 'Contents',' Credit ',' Raib ',' Mulu ',' Polls', 'Nuker', 'Ampe', 'Many', ' Folding ',' Nuker ',' Quota ',' Severe ',' ']")</f>
        <v>['Provider', 'The worst', 'Meet', 'Network', 'Contents',' Credit ',' Raib ',' Mulu ',' Polls', 'Nuker', 'Ampe', 'Many', ' Folding ',' Nuker ',' Quota ',' Severe ',' ']</v>
      </c>
      <c r="D2272" s="3">
        <v>1.0</v>
      </c>
    </row>
    <row r="2273" ht="15.75" customHeight="1">
      <c r="A2273" s="1">
        <v>2271.0</v>
      </c>
      <c r="B2273" s="3" t="s">
        <v>2274</v>
      </c>
      <c r="C2273" s="3" t="str">
        <f>IFERROR(__xludf.DUMMYFUNCTION("GOOGLETRANSLATE(B2273,""id"",""en"")"),"['Buy', 'Package', 'Pay', 'Gopay', 'Credit', 'Card', 'Perdana', 'Update', 'Tsel', 'Card', 'Sultan', 'TPI', ' network ',' good ',' play ',' game ']")</f>
        <v>['Buy', 'Package', 'Pay', 'Gopay', 'Credit', 'Card', 'Perdana', 'Update', 'Tsel', 'Card', 'Sultan', 'TPI', ' network ',' good ',' play ',' game ']</v>
      </c>
      <c r="D2273" s="3">
        <v>2.0</v>
      </c>
    </row>
    <row r="2274" ht="15.75" customHeight="1">
      <c r="A2274" s="1">
        <v>2272.0</v>
      </c>
      <c r="B2274" s="3" t="s">
        <v>2275</v>
      </c>
      <c r="C2274" s="3" t="str">
        <f>IFERROR(__xludf.DUMMYFUNCTION("GOOGLETRANSLATE(B2274,""id"",""en"")"),"['woii', 'already', 'tired', 'chek', 'already', 'until', 'all', 'GB', 'SMA', 'GB', 'Claim', 'already', ' Until ',' boundary ',' exchange ',' Telkomsel ',' gada ',' repairs']")</f>
        <v>['woii', 'already', 'tired', 'chek', 'already', 'until', 'all', 'GB', 'SMA', 'GB', 'Claim', 'already', ' Until ',' boundary ',' exchange ',' Telkomsel ',' gada ',' repairs']</v>
      </c>
      <c r="D2274" s="3">
        <v>1.0</v>
      </c>
    </row>
    <row r="2275" ht="15.75" customHeight="1">
      <c r="A2275" s="1">
        <v>2273.0</v>
      </c>
      <c r="B2275" s="3" t="s">
        <v>2276</v>
      </c>
      <c r="C2275" s="3" t="str">
        <f>IFERROR(__xludf.DUMMYFUNCTION("GOOGLETRANSLATE(B2275,""id"",""en"")"),"['', 'Telkomsel', 'update', 'gajelas',' pulse ',' cut ',' buy ',' package ',' enter ',' his writing ',' already ',' managed ',' credit ',' Cut ',' Sampe ',' stay ',' credit ',' data ',' cellular ',' smartfren ',' credit ',' Telkomsel ',' Cut ',' please ',"&amp;"' fix ',' fix ', 'quota', 'game', 'Nge', 'game', 'loby', 'doang', 'gabisa', 'entry', 'match', 'gajelas']")</f>
        <v>['', 'Telkomsel', 'update', 'gajelas',' pulse ',' cut ',' buy ',' package ',' enter ',' his writing ',' already ',' managed ',' credit ',' Cut ',' Sampe ',' stay ',' credit ',' data ',' cellular ',' smartfren ',' credit ',' Telkomsel ',' Cut ',' please ',' fix ',' fix ', 'quota', 'game', 'Nge', 'game', 'loby', 'doang', 'gabisa', 'entry', 'match', 'gajelas']</v>
      </c>
      <c r="D2275" s="3">
        <v>1.0</v>
      </c>
    </row>
    <row r="2276" ht="15.75" customHeight="1">
      <c r="A2276" s="1">
        <v>2274.0</v>
      </c>
      <c r="B2276" s="3" t="s">
        <v>2277</v>
      </c>
      <c r="C2276" s="3" t="str">
        <f>IFERROR(__xludf.DUMMYFUNCTION("GOOGLETRANSLATE(B2276,""id"",""en"")"),"['Love', 'Bintan', 'right', 'buy', 'package', 'APK', 'Telkomsel', 'Sometimes',' notification ',' slow ',' contents', 'pulses',' Buy ',' Package ',' Galween ',' Enter ',' Pulses', 'Cut', 'Gara', 'Gara', 'Non', 'Kouta']")</f>
        <v>['Love', 'Bintan', 'right', 'buy', 'package', 'APK', 'Telkomsel', 'Sometimes',' notification ',' slow ',' contents', 'pulses',' Buy ',' Package ',' Galween ',' Enter ',' Pulses', 'Cut', 'Gara', 'Gara', 'Non', 'Kouta']</v>
      </c>
      <c r="D2276" s="3">
        <v>3.0</v>
      </c>
    </row>
    <row r="2277" ht="15.75" customHeight="1">
      <c r="A2277" s="1">
        <v>2275.0</v>
      </c>
      <c r="B2277" s="3" t="s">
        <v>2278</v>
      </c>
      <c r="C2277" s="3" t="str">
        <f>IFERROR(__xludf.DUMMYFUNCTION("GOOGLETRANSLATE(B2277,""id"",""en"")"),"['Good', 'bad', 'choice', 'buy', 'package', 'choice', 'buy', 'package', 'choice', 'Telkomsel', 'bad', 'application']")</f>
        <v>['Good', 'bad', 'choice', 'buy', 'package', 'choice', 'buy', 'package', 'choice', 'Telkomsel', 'bad', 'application']</v>
      </c>
      <c r="D2277" s="3">
        <v>1.0</v>
      </c>
    </row>
    <row r="2278" ht="15.75" customHeight="1">
      <c r="A2278" s="1">
        <v>2276.0</v>
      </c>
      <c r="B2278" s="3" t="s">
        <v>2279</v>
      </c>
      <c r="C2278" s="3" t="str">
        <f>IFERROR(__xludf.DUMMYFUNCTION("GOOGLETRANSLATE(B2278,""id"",""en"")"),"['Please', 'made easier', 'activate', 'package', 'emergency', 'appears',' system ',' busy ',' return ',' debt ',' package ',' emergency ',' Emergency ',' activated ']")</f>
        <v>['Please', 'made easier', 'activate', 'package', 'emergency', 'appears',' system ',' busy ',' return ',' debt ',' package ',' emergency ',' Emergency ',' activated ']</v>
      </c>
      <c r="D2278" s="3">
        <v>1.0</v>
      </c>
    </row>
    <row r="2279" ht="15.75" customHeight="1">
      <c r="A2279" s="1">
        <v>2277.0</v>
      </c>
      <c r="B2279" s="3" t="s">
        <v>2280</v>
      </c>
      <c r="C2279" s="3" t="str">
        <f>IFERROR(__xludf.DUMMYFUNCTION("GOOGLETRANSLATE(B2279,""id"",""en"")"),"['sorry', 'migrated', 'card', 'Hello', 'billion', 'bill', 'use', 'stengah', 'appears',' bill ',' rb ',' quota ',' GB ',' bln ',' run out ',' loss', 'cellphone', 'sya', 'use', 'years',' dri ',' boyar ',' rb ',' quota ',' enter ' , 'sense', 'disappointed', "&amp;"'sorry']")</f>
        <v>['sorry', 'migrated', 'card', 'Hello', 'billion', 'bill', 'use', 'stengah', 'appears',' bill ',' rb ',' quota ',' GB ',' bln ',' run out ',' loss', 'cellphone', 'sya', 'use', 'years',' dri ',' boyar ',' rb ',' quota ',' enter ' , 'sense', 'disappointed', 'sorry']</v>
      </c>
      <c r="D2279" s="3">
        <v>1.0</v>
      </c>
    </row>
    <row r="2280" ht="15.75" customHeight="1">
      <c r="A2280" s="1">
        <v>2278.0</v>
      </c>
      <c r="B2280" s="3" t="s">
        <v>2281</v>
      </c>
      <c r="C2280" s="3" t="str">
        <f>IFERROR(__xludf.DUMMYFUNCTION("GOOGLETRANSLATE(B2280,""id"",""en"")"),"['quota', 'lap', 'main', 'please', 'active', 'extended', 'buy', 'package', 'lap', 'main', 'the rest', 'please', ' Extended ',' term ']")</f>
        <v>['quota', 'lap', 'main', 'please', 'active', 'extended', 'buy', 'package', 'lap', 'main', 'the rest', 'please', ' Extended ',' term ']</v>
      </c>
      <c r="D2280" s="3">
        <v>1.0</v>
      </c>
    </row>
    <row r="2281" ht="15.75" customHeight="1">
      <c r="A2281" s="1">
        <v>2279.0</v>
      </c>
      <c r="B2281" s="3" t="s">
        <v>2282</v>
      </c>
      <c r="C2281" s="3" t="str">
        <f>IFERROR(__xludf.DUMMYFUNCTION("GOOGLETRANSLATE(B2281,""id"",""en"")"),"['quota', 'multimedia', 'handy', 'tetep', 'lag', 'slow', 'mending', 'replace', 'card', 'already', 'package', 'expensive', ' quota ',' sumps', 'fast', 'really', 'run out', 'efficient', '']")</f>
        <v>['quota', 'multimedia', 'handy', 'tetep', 'lag', 'slow', 'mending', 'replace', 'card', 'already', 'package', 'expensive', ' quota ',' sumps', 'fast', 'really', 'run out', 'efficient', '']</v>
      </c>
      <c r="D2281" s="3">
        <v>1.0</v>
      </c>
    </row>
    <row r="2282" ht="15.75" customHeight="1">
      <c r="A2282" s="1">
        <v>2280.0</v>
      </c>
      <c r="B2282" s="3" t="s">
        <v>2283</v>
      </c>
      <c r="C2282" s="3" t="str">
        <f>IFERROR(__xludf.DUMMYFUNCTION("GOOGLETRANSLATE(B2282,""id"",""en"")"),"['kmren', 'unlimited', 'chat', 'social', 'game', 'etc.', 'quota', 'main', 'omg', 'GB', 'clean', 'internet', ' smlm ',' extend ',' quota ',' main ',' omg ',' internet ',' cma ',' chat ',' doang ',' please ',' kayak ',' gni ',' pandemic ' , 'org', 'difficul"&amp;"t']")</f>
        <v>['kmren', 'unlimited', 'chat', 'social', 'game', 'etc.', 'quota', 'main', 'omg', 'GB', 'clean', 'internet', ' smlm ',' extend ',' quota ',' main ',' omg ',' internet ',' cma ',' chat ',' doang ',' please ',' kayak ',' gni ',' pandemic ' , 'org', 'difficult']</v>
      </c>
      <c r="D2282" s="3">
        <v>1.0</v>
      </c>
    </row>
    <row r="2283" ht="15.75" customHeight="1">
      <c r="A2283" s="1">
        <v>2281.0</v>
      </c>
      <c r="B2283" s="3" t="s">
        <v>2284</v>
      </c>
      <c r="C2283" s="3" t="str">
        <f>IFERROR(__xludf.DUMMYFUNCTION("GOOGLETRANSLATE(B2283,""id"",""en"")"),"['update', 'package', 'data', 'buy', 'thereaa', 'package', 'combo', 'magic', 'regret', 'update']")</f>
        <v>['update', 'package', 'data', 'buy', 'thereaa', 'package', 'combo', 'magic', 'regret', 'update']</v>
      </c>
      <c r="D2283" s="3">
        <v>1.0</v>
      </c>
    </row>
    <row r="2284" ht="15.75" customHeight="1">
      <c r="A2284" s="1">
        <v>2282.0</v>
      </c>
      <c r="B2284" s="3" t="s">
        <v>2285</v>
      </c>
      <c r="C2284" s="3" t="str">
        <f>IFERROR(__xludf.DUMMYFUNCTION("GOOGLETRANSLATE(B2284,""id"",""en"")"),"['application', 'slow', 'network', 'missing', 'menuntu', 'already', 'price', 'package', 'internet', 'expensive', 'ahh', 'mending', ' Run ',' Provider ',' Thank "", 'Love', 'Telkomsel', 'Emotion',""]")</f>
        <v>['application', 'slow', 'network', 'missing', 'menuntu', 'already', 'price', 'package', 'internet', 'expensive', 'ahh', 'mending', ' Run ',' Provider ',' Thank ", 'Love', 'Telkomsel', 'Emotion',"]</v>
      </c>
      <c r="D2284" s="3">
        <v>1.0</v>
      </c>
    </row>
    <row r="2285" ht="15.75" customHeight="1">
      <c r="A2285" s="1">
        <v>2283.0</v>
      </c>
      <c r="B2285" s="3" t="s">
        <v>2286</v>
      </c>
      <c r="C2285" s="3" t="str">
        <f>IFERROR(__xludf.DUMMYFUNCTION("GOOGLETRANSLATE(B2285,""id"",""en"")"),"['Hay', 'Telkomsel', 'Yesterday', 'Fill', 'Credit', 'Pay', 'Package', 'Emergency', 'Contents',' Hibus', 'Buy', 'Quota', ' worth ',' GB ',' times', 'leftover', 'thousand', 'yesterday', 'take', 'thousand', 'pay', 'package', 'emergency', 'buy', 'package' , '"&amp;"Emergency', 'Declaration', 'thousand', 'take', 'please', 'fix', 'happy', 'play', 'apk', 'Telkomsel', 'so', 'thank', ' love', '']")</f>
        <v>['Hay', 'Telkomsel', 'Yesterday', 'Fill', 'Credit', 'Pay', 'Package', 'Emergency', 'Contents',' Hibus', 'Buy', 'Quota', ' worth ',' GB ',' times', 'leftover', 'thousand', 'yesterday', 'take', 'thousand', 'pay', 'package', 'emergency', 'buy', 'package' , 'Emergency', 'Declaration', 'thousand', 'take', 'please', 'fix', 'happy', 'play', 'apk', 'Telkomsel', 'so', 'thank', ' love', '']</v>
      </c>
      <c r="D2285" s="3">
        <v>2.0</v>
      </c>
    </row>
    <row r="2286" ht="15.75" customHeight="1">
      <c r="A2286" s="1">
        <v>2284.0</v>
      </c>
      <c r="B2286" s="3" t="s">
        <v>2287</v>
      </c>
      <c r="C2286" s="3" t="str">
        <f>IFERROR(__xludf.DUMMYFUNCTION("GOOGLETRANSLATE(B2286,""id"",""en"")"),"['Sorry', 'before', 'gave', 'suggestion', 'quota', 'unlimited', 'GB', 'get', 'Fup', 'yesterday', 'buy', 'now' FUPnya ',' easy ',' hopefully ',' quota ',' fupnya ',' because ',' consumer ',' buy ',' quota ',' card ',' internet ',' unlimited ',' no ' , 'FUP"&amp;"', 'No', 'Fup', 'Thank', 'Love']")</f>
        <v>['Sorry', 'before', 'gave', 'suggestion', 'quota', 'unlimited', 'GB', 'get', 'Fup', 'yesterday', 'buy', 'now' FUPnya ',' easy ',' hopefully ',' quota ',' fupnya ',' because ',' consumer ',' buy ',' quota ',' card ',' internet ',' unlimited ',' no ' , 'FUP', 'No', 'Fup', 'Thank', 'Love']</v>
      </c>
      <c r="D2286" s="3">
        <v>2.0</v>
      </c>
    </row>
    <row r="2287" ht="15.75" customHeight="1">
      <c r="A2287" s="1">
        <v>2285.0</v>
      </c>
      <c r="B2287" s="3" t="s">
        <v>2288</v>
      </c>
      <c r="C2287" s="3" t="str">
        <f>IFERROR(__xludf.DUMMYFUNCTION("GOOGLETRANSLATE(B2287,""id"",""en"")"),"['package', 'internet', 'GB', 'bought', 'please', 'explanation', 'Telkomsel', 'klw', 'bought', 'delete', 'customer', 'disappointed', ' ']")</f>
        <v>['package', 'internet', 'GB', 'bought', 'please', 'explanation', 'Telkomsel', 'klw', 'bought', 'delete', 'customer', 'disappointed', ' ']</v>
      </c>
      <c r="D2287" s="3">
        <v>1.0</v>
      </c>
    </row>
    <row r="2288" ht="15.75" customHeight="1">
      <c r="A2288" s="1">
        <v>2286.0</v>
      </c>
      <c r="B2288" s="3" t="s">
        <v>2289</v>
      </c>
      <c r="C2288" s="3" t="str">
        <f>IFERROR(__xludf.DUMMYFUNCTION("GOOGLETRANSLATE(B2288,""id"",""en"")"),"['Severe', 'haze', 'brain', 'kelen', 'disappointing', 'customer', 'loyal', 'kelen', 'buy', 'package', 'combo', 'Sakti', ' active ',' network ',' kelen ',' package ',' haaa ',' jangenam ',' brain ',' kelen ',' little ',' kelen ',' ad ',' repair ',' network"&amp;" ' , 'kelen']")</f>
        <v>['Severe', 'haze', 'brain', 'kelen', 'disappointing', 'customer', 'loyal', 'kelen', 'buy', 'package', 'combo', 'Sakti', ' active ',' network ',' kelen ',' package ',' haaa ',' jangenam ',' brain ',' kelen ',' little ',' kelen ',' ad ',' repair ',' network ' , 'kelen']</v>
      </c>
      <c r="D2288" s="3">
        <v>1.0</v>
      </c>
    </row>
    <row r="2289" ht="15.75" customHeight="1">
      <c r="A2289" s="1">
        <v>2287.0</v>
      </c>
      <c r="B2289" s="3" t="s">
        <v>2290</v>
      </c>
      <c r="C2289" s="3" t="str">
        <f>IFERROR(__xludf.DUMMYFUNCTION("GOOGLETRANSLATE(B2289,""id"",""en"")"),"['Liking', 'application', 'according to', 'needs', 'operation', 'simple', 'circles', 'trims', 'Telkomsel', ""]")</f>
        <v>['Liking', 'application', 'according to', 'needs', 'operation', 'simple', 'circles', 'trims', 'Telkomsel', "]</v>
      </c>
      <c r="D2289" s="3">
        <v>5.0</v>
      </c>
    </row>
    <row r="2290" ht="15.75" customHeight="1">
      <c r="A2290" s="1">
        <v>2288.0</v>
      </c>
      <c r="B2290" s="3" t="s">
        <v>2291</v>
      </c>
      <c r="C2290" s="3" t="str">
        <f>IFERROR(__xludf.DUMMYFUNCTION("GOOGLETRANSLATE(B2290,""id"",""en"")"),"['Severe', 'price', 'package', 'expensive', 'pandemic', 'convenience', 'expensive', 'use', 'GB', 'thousand', 'expensive', 'chao', ' Telkomsel ',' ']")</f>
        <v>['Severe', 'price', 'package', 'expensive', 'pandemic', 'convenience', 'expensive', 'use', 'GB', 'thousand', 'expensive', 'chao', ' Telkomsel ',' ']</v>
      </c>
      <c r="D2290" s="3">
        <v>3.0</v>
      </c>
    </row>
    <row r="2291" ht="15.75" customHeight="1">
      <c r="A2291" s="1">
        <v>2289.0</v>
      </c>
      <c r="B2291" s="3" t="s">
        <v>2292</v>
      </c>
      <c r="C2291" s="3" t="str">
        <f>IFERROR(__xludf.DUMMYFUNCTION("GOOGLETRANSLATE(B2291,""id"",""en"")"),"['here', 'Bener', 'signal', 'bikang', 'anti', 'slow', 'network', 'good', 'Damn', 'network', 'ajah', 'rich', ' network ',' good ',' malem ',' doang ',' katong ',' kalong ',' time ',' told ',' staying up ',' melulubiap ',' malem ',' network ',' good ' , 'Ro"&amp;"long', 'Ding', 'fix', '']")</f>
        <v>['here', 'Bener', 'signal', 'bikang', 'anti', 'slow', 'network', 'good', 'Damn', 'network', 'ajah', 'rich', ' network ',' good ',' malem ',' doang ',' katong ',' kalong ',' time ',' told ',' staying up ',' melulubiap ',' malem ',' network ',' good ' , 'Rolong', 'Ding', 'fix', '']</v>
      </c>
      <c r="D2291" s="3">
        <v>1.0</v>
      </c>
    </row>
    <row r="2292" ht="15.75" customHeight="1">
      <c r="A2292" s="1">
        <v>2290.0</v>
      </c>
      <c r="B2292" s="3" t="s">
        <v>2293</v>
      </c>
      <c r="C2292" s="3" t="str">
        <f>IFERROR(__xludf.DUMMYFUNCTION("GOOGLETRANSLATE(B2292,""id"",""en"")"),"['', 'really', 'buy', 'package', 'quota', 'lap', 'unlimited', 'tiktok', 'buy', 'clock', 'delete', 'Riionata', 'Tiktok ',' already ',' package ',' money ',' snack ',' a day ',' willing ',' buy ',' quota ',' all ',' results', 'zonk', ""]")</f>
        <v>['', 'really', 'buy', 'package', 'quota', 'lap', 'unlimited', 'tiktok', 'buy', 'clock', 'delete', 'Riionata', 'Tiktok ',' already ',' package ',' money ',' snack ',' a day ',' willing ',' buy ',' quota ',' all ',' results', 'zonk', "]</v>
      </c>
      <c r="D2292" s="3">
        <v>1.0</v>
      </c>
    </row>
    <row r="2293" ht="15.75" customHeight="1">
      <c r="A2293" s="1">
        <v>2291.0</v>
      </c>
      <c r="B2293" s="3" t="s">
        <v>2294</v>
      </c>
      <c r="C2293" s="3" t="str">
        <f>IFERROR(__xludf.DUMMYFUNCTION("GOOGLETRANSLATE(B2293,""id"",""en"")"),"['Points',' spend ',' Alfamart ',' Indomaret ',' leftover ',' Points', 'cash', 'Banking', 'Banking', 'EasyCash', 'noon', 'Tlpn', ' Wrong ',' Program ',' MyTelkomsel ',' ']")</f>
        <v>['Points',' spend ',' Alfamart ',' Indomaret ',' leftover ',' Points', 'cash', 'Banking', 'Banking', 'EasyCash', 'noon', 'Tlpn', ' Wrong ',' Program ',' MyTelkomsel ',' ']</v>
      </c>
      <c r="D2293" s="3">
        <v>4.0</v>
      </c>
    </row>
    <row r="2294" ht="15.75" customHeight="1">
      <c r="A2294" s="1">
        <v>2292.0</v>
      </c>
      <c r="B2294" s="3" t="s">
        <v>2295</v>
      </c>
      <c r="C2294" s="3" t="str">
        <f>IFERROR(__xludf.DUMMYFUNCTION("GOOGLETRANSLATE(B2294,""id"",""en"")"),"['Woy', 'Ngeta', 'Login', 'Telkomsel', 'Really', 'Wait', 'SMS', 'Enter', 'Wonder', 'sophisticated', 'slow', ""]")</f>
        <v>['Woy', 'Ngeta', 'Login', 'Telkomsel', 'Really', 'Wait', 'SMS', 'Enter', 'Wonder', 'sophisticated', 'slow', "]</v>
      </c>
      <c r="D2294" s="3">
        <v>1.0</v>
      </c>
    </row>
    <row r="2295" ht="15.75" customHeight="1">
      <c r="A2295" s="1">
        <v>2293.0</v>
      </c>
      <c r="B2295" s="3" t="s">
        <v>2296</v>
      </c>
      <c r="C2295" s="3" t="str">
        <f>IFERROR(__xludf.DUMMYFUNCTION("GOOGLETRANSLATE(B2295,""id"",""en"")"),"['Woy', 'Telkomsel', 'selling', 'quota', 'expensive', 'expensive', 'buy', 'package', 'MB', 'price', 'Kasian', 'buy', ' money ',' price ',' millions', 'hundreds',' collapsed ',' gini ',' moved ',' card ',' Telkomsel ',' kek ',' ginian ',' price ',' quota '"&amp;" , 'expensive', 'expensive', 'wonder', 'wanted', 'popular', 'moved', 'card', 'card', 'sultan', 'uuuu']")</f>
        <v>['Woy', 'Telkomsel', 'selling', 'quota', 'expensive', 'expensive', 'buy', 'package', 'MB', 'price', 'Kasian', 'buy', ' money ',' price ',' millions', 'hundreds',' collapsed ',' gini ',' moved ',' card ',' Telkomsel ',' kek ',' ginian ',' price ',' quota ' , 'expensive', 'expensive', 'wonder', 'wanted', 'popular', 'moved', 'card', 'card', 'sultan', 'uuuu']</v>
      </c>
      <c r="D2295" s="3">
        <v>1.0</v>
      </c>
    </row>
    <row r="2296" ht="15.75" customHeight="1">
      <c r="A2296" s="1">
        <v>2294.0</v>
      </c>
      <c r="B2296" s="3" t="s">
        <v>2297</v>
      </c>
      <c r="C2296" s="3" t="str">
        <f>IFERROR(__xludf.DUMMYFUNCTION("GOOGLETRANSLATE(B2296,""id"",""en"")"),"['Telkomsel', 'Please', 'Look', 'See', 'System', 'Error', 'Please', 'Fast', 'Fast', 'Respond', 'In the future', 'Telkomsel', ' use ',' among ',' community ',' so ',' thank you ']")</f>
        <v>['Telkomsel', 'Please', 'Look', 'See', 'System', 'Error', 'Please', 'Fast', 'Fast', 'Respond', 'In the future', 'Telkomsel', ' use ',' among ',' community ',' so ',' thank you ']</v>
      </c>
      <c r="D2296" s="3">
        <v>5.0</v>
      </c>
    </row>
    <row r="2297" ht="15.75" customHeight="1">
      <c r="A2297" s="1">
        <v>2295.0</v>
      </c>
      <c r="B2297" s="3" t="s">
        <v>2298</v>
      </c>
      <c r="C2297" s="3" t="str">
        <f>IFERROR(__xludf.DUMMYFUNCTION("GOOGLETRANSLATE(B2297,""id"",""en"")"),"['rating', 'star', 'accepted', 'provider', 'cellular', 'price', 'expensive', 'really', 'quality', 'network', 'kayak', 'free', ' Buy ',' Money ',' Free ',' Provider ',' Cheats', 'Thieves',' Money ',' Customer ',' Buy ',' Package ',' Game ',' GB ',' Package"&amp;" ' , 'main', 'chick', 'lag', 'until', 'ping', 'ms', 'hopefully', 'soon', 'bankrupt', 'provider', 'cellular', ""]")</f>
        <v>['rating', 'star', 'accepted', 'provider', 'cellular', 'price', 'expensive', 'really', 'quality', 'network', 'kayak', 'free', ' Buy ',' Money ',' Free ',' Provider ',' Cheats', 'Thieves',' Money ',' Customer ',' Buy ',' Package ',' Game ',' GB ',' Package ' , 'main', 'chick', 'lag', 'until', 'ping', 'ms', 'hopefully', 'soon', 'bankrupt', 'provider', 'cellular', "]</v>
      </c>
      <c r="D2297" s="3">
        <v>1.0</v>
      </c>
    </row>
    <row r="2298" ht="15.75" customHeight="1">
      <c r="A2298" s="1">
        <v>2296.0</v>
      </c>
      <c r="B2298" s="3" t="s">
        <v>2299</v>
      </c>
      <c r="C2298" s="3" t="str">
        <f>IFERROR(__xludf.DUMMYFUNCTION("GOOGLETRANSLATE(B2298,""id"",""en"")"),"['Network', 'Serasa', 'Price', 'Quality', 'Pantes',' Index ',' Stock ',' Slumping ',' Service ',' Appropriate ',' Price ',' Sell ',' ']")</f>
        <v>['Network', 'Serasa', 'Price', 'Quality', 'Pantes',' Index ',' Stock ',' Slumping ',' Service ',' Appropriate ',' Price ',' Sell ',' ']</v>
      </c>
      <c r="D2298" s="3">
        <v>1.0</v>
      </c>
    </row>
    <row r="2299" ht="15.75" customHeight="1">
      <c r="A2299" s="1">
        <v>2297.0</v>
      </c>
      <c r="B2299" s="3" t="s">
        <v>2300</v>
      </c>
      <c r="C2299" s="3" t="str">
        <f>IFERROR(__xludf.DUMMYFUNCTION("GOOGLETRANSLATE(B2299,""id"",""en"")"),"['Contents', 'pulse', 'trs', 'data', 'Activate', 'pulses', 'Cut', 'already', 'quota', ""]")</f>
        <v>['Contents', 'pulse', 'trs', 'data', 'Activate', 'pulses', 'Cut', 'already', 'quota', "]</v>
      </c>
      <c r="D2299" s="3">
        <v>1.0</v>
      </c>
    </row>
    <row r="2300" ht="15.75" customHeight="1">
      <c r="A2300" s="1">
        <v>2298.0</v>
      </c>
      <c r="B2300" s="3" t="s">
        <v>2301</v>
      </c>
      <c r="C2300" s="3" t="str">
        <f>IFERROR(__xludf.DUMMYFUNCTION("GOOGLETRANSLATE(B2300,""id"",""en"")"),"['application', 'pulp', 'buy', 'pulse', 'rb', 'entered', 'already', 'before', 'pulse', 'gamukun', 'rb', 'reversed', ' turning back ',' already ',' report ',' tetep ',' reversed ',' poor ',' Telkomsel ',' back ',' pulses', 'already', 'paid', 'told', 'repla"&amp;"ce' ]")</f>
        <v>['application', 'pulp', 'buy', 'pulse', 'rb', 'entered', 'already', 'before', 'pulse', 'gamukun', 'rb', 'reversed', ' turning back ',' already ',' report ',' tetep ',' reversed ',' poor ',' Telkomsel ',' back ',' pulses', 'already', 'paid', 'told', 'replace' ]</v>
      </c>
      <c r="D2300" s="3">
        <v>1.0</v>
      </c>
    </row>
    <row r="2301" ht="15.75" customHeight="1">
      <c r="A2301" s="1">
        <v>2299.0</v>
      </c>
      <c r="B2301" s="3" t="s">
        <v>2302</v>
      </c>
      <c r="C2301" s="3" t="str">
        <f>IFERROR(__xludf.DUMMYFUNCTION("GOOGLETRANSLATE(B2301,""id"",""en"")"),"['application', 'ugly', 'times',' open ',' blank ',' screen ',' white ',' closed ',' times', 'kayak', 'that's',' uninstall ',' "", 'application', 'deh', 'artificial', 'dlm', 'country', 'disappointing', 'guardtttt']")</f>
        <v>['application', 'ugly', 'times',' open ',' blank ',' screen ',' white ',' closed ',' times', 'kayak', 'that's',' uninstall ',' ", 'application', 'deh', 'artificial', 'dlm', 'country', 'disappointing', 'guardtttt']</v>
      </c>
      <c r="D2301" s="3">
        <v>1.0</v>
      </c>
    </row>
    <row r="2302" ht="15.75" customHeight="1">
      <c r="A2302" s="1">
        <v>2300.0</v>
      </c>
      <c r="B2302" s="3" t="s">
        <v>2303</v>
      </c>
      <c r="C2302" s="3" t="str">
        <f>IFERROR(__xludf.DUMMYFUNCTION("GOOGLETRANSLATE(B2302,""id"",""en"")"),"['Service', 'Okokkkkkk', 'Network', 'Matiiiii', 'Usefulaaaaaaa', 'Customer', 'service', 'nokk', 'becussss',' comnetar ',' tangjapiii ',' service ',' Experience ',' Hurrykkkkkkkk ',' ']")</f>
        <v>['Service', 'Okokkkkkk', 'Network', 'Matiiiii', 'Usefulaaaaaaa', 'Customer', 'service', 'nokk', 'becussss',' comnetar ',' tangjapiii ',' service ',' Experience ',' Hurrykkkkkkkk ',' ']</v>
      </c>
      <c r="D2302" s="3">
        <v>1.0</v>
      </c>
    </row>
    <row r="2303" ht="15.75" customHeight="1">
      <c r="A2303" s="1">
        <v>2301.0</v>
      </c>
      <c r="B2303" s="3" t="s">
        <v>2304</v>
      </c>
      <c r="C2303" s="3" t="str">
        <f>IFERROR(__xludf.DUMMYFUNCTION("GOOGLETRANSLATE(B2303,""id"",""en"")"),"['The application', 'satisfying', 'Telkomsel', 'take', 'pulse', 'package', 'clock', 'available', 'sms',' internet ',' quota ',' huh ',' ']")</f>
        <v>['The application', 'satisfying', 'Telkomsel', 'take', 'pulse', 'package', 'clock', 'available', 'sms',' internet ',' quota ',' huh ',' ']</v>
      </c>
      <c r="D2303" s="3">
        <v>4.0</v>
      </c>
    </row>
    <row r="2304" ht="15.75" customHeight="1">
      <c r="A2304" s="1">
        <v>2302.0</v>
      </c>
      <c r="B2304" s="3" t="s">
        <v>2305</v>
      </c>
      <c r="C2304" s="3" t="str">
        <f>IFERROR(__xludf.DUMMYFUNCTION("GOOGLETRANSLATE(B2304,""id"",""en"")"),"['Fill', 'reset', 'pulse', 'sucked', 'pulses',' buy ',' peket ',' internet ',' error ',' mulu ',' Please ',' Telkomsel ',' Segretah ',' fix ',' system ',' detrimental ',' customer ',' disappointed ']")</f>
        <v>['Fill', 'reset', 'pulse', 'sucked', 'pulses',' buy ',' peket ',' internet ',' error ',' mulu ',' Please ',' Telkomsel ',' Segretah ',' fix ',' system ',' detrimental ',' customer ',' disappointed ']</v>
      </c>
      <c r="D2304" s="3">
        <v>1.0</v>
      </c>
    </row>
    <row r="2305" ht="15.75" customHeight="1">
      <c r="A2305" s="1">
        <v>2303.0</v>
      </c>
      <c r="B2305" s="3" t="s">
        <v>2306</v>
      </c>
      <c r="C2305" s="3" t="str">
        <f>IFERROR(__xludf.DUMMYFUNCTION("GOOGLETRANSLATE(B2305,""id"",""en"")"),"['mqntap', 'update', 'smooth', 'no', 'smooth', 'see', 'Loe', 'use', 'tmram', 'hahaha', 'slow', 'error', ' Blame ',' Application ',' Blame ',' You ',' wkwkwkw ',' Mantap ',' Telkomsel ',' Jaya ',' Slalu ']")</f>
        <v>['mqntap', 'update', 'smooth', 'no', 'smooth', 'see', 'Loe', 'use', 'tmram', 'hahaha', 'slow', 'error', ' Blame ',' Application ',' Blame ',' You ',' wkwkwkw ',' Mantap ',' Telkomsel ',' Jaya ',' Slalu ']</v>
      </c>
      <c r="D2305" s="3">
        <v>5.0</v>
      </c>
    </row>
    <row r="2306" ht="15.75" customHeight="1">
      <c r="A2306" s="1">
        <v>2304.0</v>
      </c>
      <c r="B2306" s="3" t="s">
        <v>2307</v>
      </c>
      <c r="C2306" s="3" t="str">
        <f>IFERROR(__xludf.DUMMYFUNCTION("GOOGLETRANSLATE(B2306,""id"",""en"")"),"['forgive', 'Telkomsel', 'price', 'package', 'expensive', 'compare', 'groups',' medium ',' maybe ',' buddy ',' misquin ',' quota ',' Telkomsel ',' expensive ',' network ',' Sometimes', 'Le', 'Next to', 'RB', 'UDH', 'Get', 'GB', 'DSNI', 'RB', 'Get' , 'GB',"&amp;" 'and that', 'number', 'special', 'hope', 'input', 'Telkomsel', 'Enjoy', 'circles', ""]")</f>
        <v>['forgive', 'Telkomsel', 'price', 'package', 'expensive', 'compare', 'groups',' medium ',' maybe ',' buddy ',' misquin ',' quota ',' Telkomsel ',' expensive ',' network ',' Sometimes', 'Le', 'Next to', 'RB', 'UDH', 'Get', 'GB', 'DSNI', 'RB', 'Get' , 'GB', 'and that', 'number', 'special', 'hope', 'input', 'Telkomsel', 'Enjoy', 'circles', "]</v>
      </c>
      <c r="D2306" s="3">
        <v>1.0</v>
      </c>
    </row>
    <row r="2307" ht="15.75" customHeight="1">
      <c r="A2307" s="1">
        <v>2305.0</v>
      </c>
      <c r="B2307" s="3" t="s">
        <v>2308</v>
      </c>
      <c r="C2307" s="3" t="str">
        <f>IFERROR(__xludf.DUMMYFUNCTION("GOOGLETRANSLATE(B2307,""id"",""en"")"),"['good', 'network', 'disappointed', 'cave', 'network', 'package', 'price', 'expensive', 'responsibility', 'Telkomsel', 'fix', 'network', ' Horrified ',' really ', ""]")</f>
        <v>['good', 'network', 'disappointed', 'cave', 'network', 'package', 'price', 'expensive', 'responsibility', 'Telkomsel', 'fix', 'network', ' Horrified ',' really ', "]</v>
      </c>
      <c r="D2307" s="3">
        <v>1.0</v>
      </c>
    </row>
    <row r="2308" ht="15.75" customHeight="1">
      <c r="A2308" s="1">
        <v>2306.0</v>
      </c>
      <c r="B2308" s="3" t="s">
        <v>2309</v>
      </c>
      <c r="C2308" s="3" t="str">
        <f>IFERROR(__xludf.DUMMYFUNCTION("GOOGLETRANSLATE(B2308,""id"",""en"")"),"['What', 'Telkomsel', 'Credit', 'Sucked', 'Open', 'APK', 'Gift', 'Check', 'Enter', 'Please', 'Repaired', 'Telkomsel']")</f>
        <v>['What', 'Telkomsel', 'Credit', 'Sucked', 'Open', 'APK', 'Gift', 'Check', 'Enter', 'Please', 'Repaired', 'Telkomsel']</v>
      </c>
      <c r="D2308" s="3">
        <v>1.0</v>
      </c>
    </row>
    <row r="2309" ht="15.75" customHeight="1">
      <c r="A2309" s="1">
        <v>2307.0</v>
      </c>
      <c r="B2309" s="3" t="s">
        <v>2310</v>
      </c>
      <c r="C2309" s="3" t="str">
        <f>IFERROR(__xludf.DUMMYFUNCTION("GOOGLETRANSLATE(B2309,""id"",""en"")"),"['easy', 'cheap', 'buy', 'package', 'internet', 'monthly', 'times',' active ',' buy ',' quota ',' unlimited ',' just ',' thousand ',' access', 'a month', 'package', 'run out', 'active', 'internet', 'monthly', 'run out', 'congratulations',' try ',' save ',"&amp;"' ']")</f>
        <v>['easy', 'cheap', 'buy', 'package', 'internet', 'monthly', 'times',' active ',' buy ',' quota ',' unlimited ',' just ',' thousand ',' access', 'a month', 'package', 'run out', 'active', 'internet', 'monthly', 'run out', 'congratulations',' try ',' save ',' ']</v>
      </c>
      <c r="D2309" s="3">
        <v>5.0</v>
      </c>
    </row>
    <row r="2310" ht="15.75" customHeight="1">
      <c r="A2310" s="1">
        <v>2308.0</v>
      </c>
      <c r="B2310" s="3" t="s">
        <v>2311</v>
      </c>
      <c r="C2310" s="3" t="str">
        <f>IFERROR(__xludf.DUMMYFUNCTION("GOOGLETRANSLATE(B2310,""id"",""en"")"),"['Shargo', 'Woy', 'Telkomsel', 'Fix', 'Network', 'Fix', 'Waiter', 'Society', 'Thinking', 'Purchase', 'Package', 'Biay', ' error ',' card ',' price ',' purchase ',' package ',' data ',' think ',' economy ',' people ',' thinking ',' do "", 'pulses', 'take' "&amp;", 'Lagih', 'Telkom', 'Shargo']")</f>
        <v>['Shargo', 'Woy', 'Telkomsel', 'Fix', 'Network', 'Fix', 'Waiter', 'Society', 'Thinking', 'Purchase', 'Package', 'Biay', ' error ',' card ',' price ',' purchase ',' package ',' data ',' think ',' economy ',' people ',' thinking ',' do ", 'pulses', 'take' , 'Lagih', 'Telkom', 'Shargo']</v>
      </c>
      <c r="D2310" s="3">
        <v>1.0</v>
      </c>
    </row>
    <row r="2311" ht="15.75" customHeight="1">
      <c r="A2311" s="1">
        <v>2309.0</v>
      </c>
      <c r="B2311" s="3" t="s">
        <v>2312</v>
      </c>
      <c r="C2311" s="3" t="str">
        <f>IFERROR(__xludf.DUMMYFUNCTION("GOOGLETRANSLATE(B2311,""id"",""en"")"),"['min', 'buy', 'package', 'applied', 'since', 'update', 'add', 'chaotic', 'quota', 'college', 'already', ""]")</f>
        <v>['min', 'buy', 'package', 'applied', 'since', 'update', 'add', 'chaotic', 'quota', 'college', 'already', "]</v>
      </c>
      <c r="D2311" s="3">
        <v>1.0</v>
      </c>
    </row>
    <row r="2312" ht="15.75" customHeight="1">
      <c r="A2312" s="1">
        <v>2310.0</v>
      </c>
      <c r="B2312" s="3" t="s">
        <v>2313</v>
      </c>
      <c r="C2312" s="3" t="str">
        <f>IFERROR(__xludf.DUMMYFUNCTION("GOOGLETRANSLATE(B2312,""id"",""en"")"),"['Please', 'Untk', 'Telkomsel', 'Credit', 'Reduced', 'Sedangkn', 'Package', 'Internet', 'NLP', 'SMS', 'Telkomsel', 'Harm', ' Planggan ',' ']")</f>
        <v>['Please', 'Untk', 'Telkomsel', 'Credit', 'Reduced', 'Sedangkn', 'Package', 'Internet', 'NLP', 'SMS', 'Telkomsel', 'Harm', ' Planggan ',' ']</v>
      </c>
      <c r="D2312" s="3">
        <v>1.0</v>
      </c>
    </row>
    <row r="2313" ht="15.75" customHeight="1">
      <c r="A2313" s="1">
        <v>2311.0</v>
      </c>
      <c r="B2313" s="3" t="s">
        <v>2314</v>
      </c>
      <c r="C2313" s="3" t="str">
        <f>IFERROR(__xludf.DUMMYFUNCTION("GOOGLETRANSLATE(B2313,""id"",""en"")"),"['Rate', 'where', 'contents',' pulse ',' data ',' internet ',' pulse ',' regular ',' reduced ',' Rp ',' leftover ',' pulses', ' Register ',' Package ',' Out ',' Sucked ',' Lapoer ',' Via ',' Email ',' Karna ',' GPRS ',' Ngaco ',' Brand ',' Laen ',' Gaada "&amp;"' , 'That's', 'Gituan', 'credit', 'I', 'buy', 'Yesterday', 'fix', 'change', 'card', '']")</f>
        <v>['Rate', 'where', 'contents',' pulse ',' data ',' internet ',' pulse ',' regular ',' reduced ',' Rp ',' leftover ',' pulses', ' Register ',' Package ',' Out ',' Sucked ',' Lapoer ',' Via ',' Email ',' Karna ',' GPRS ',' Ngaco ',' Brand ',' Laen ',' Gaada ' , 'That's', 'Gituan', 'credit', 'I', 'buy', 'Yesterday', 'fix', 'change', 'card', '']</v>
      </c>
      <c r="D2313" s="3">
        <v>1.0</v>
      </c>
    </row>
    <row r="2314" ht="15.75" customHeight="1">
      <c r="A2314" s="1">
        <v>2312.0</v>
      </c>
      <c r="B2314" s="3" t="s">
        <v>2315</v>
      </c>
      <c r="C2314" s="3" t="str">
        <f>IFERROR(__xludf.DUMMYFUNCTION("GOOGLETRANSLATE(B2314,""id"",""en"")"),"['Just', 'suggest', 'how', 'Telkomsel', 'have', 'widget', 'leftover', 'quota', 'package', 'internet', 'etc.', 'screen', ' Open ',' Application ',' Thank you ',' Just ',' Suggestions', 'Moga', 'Considered', '']")</f>
        <v>['Just', 'suggest', 'how', 'Telkomsel', 'have', 'widget', 'leftover', 'quota', 'package', 'internet', 'etc.', 'screen', ' Open ',' Application ',' Thank you ',' Just ',' Suggestions', 'Moga', 'Considered', '']</v>
      </c>
      <c r="D2314" s="3">
        <v>5.0</v>
      </c>
    </row>
    <row r="2315" ht="15.75" customHeight="1">
      <c r="A2315" s="1">
        <v>2313.0</v>
      </c>
      <c r="B2315" s="3" t="s">
        <v>2316</v>
      </c>
      <c r="C2315" s="3" t="str">
        <f>IFERROR(__xludf.DUMMYFUNCTION("GOOGLETRANSLATE(B2315,""id"",""en"")"),"['Abis',' content ',' pulse ',' pulses', 'like', 'little', 'turn on', 'quota', 'pke', 'card', 'Telkomsel', 'corruption', ' His name is', 'taking', 'pulse', 'forced', 'Telkomsel', ""]")</f>
        <v>['Abis',' content ',' pulse ',' pulses', 'like', 'little', 'turn on', 'quota', 'pke', 'card', 'Telkomsel', 'corruption', ' His name is', 'taking', 'pulse', 'forced', 'Telkomsel', "]</v>
      </c>
      <c r="D2315" s="3">
        <v>1.0</v>
      </c>
    </row>
    <row r="2316" ht="15.75" customHeight="1">
      <c r="A2316" s="1">
        <v>2314.0</v>
      </c>
      <c r="B2316" s="3" t="s">
        <v>2317</v>
      </c>
      <c r="C2316" s="3" t="str">
        <f>IFERROR(__xludf.DUMMYFUNCTION("GOOGLETRANSLATE(B2316,""id"",""en"")"),"['love', 'star', 'read', 'already', 'a week', 'card', 'accept', 'message', 'need', 'code', 'otp', 'jdi', ' difficult ',' because ',' message ',' msuk ',' arrangement ',' udh ',' bner ',' block ',' gmna ',' solution ',' telkomsel ',' thank ',' love ' ]")</f>
        <v>['love', 'star', 'read', 'already', 'a week', 'card', 'accept', 'message', 'need', 'code', 'otp', 'jdi', ' difficult ',' because ',' message ',' msuk ',' arrangement ',' udh ',' bner ',' block ',' gmna ',' solution ',' telkomsel ',' thank ',' love ' ]</v>
      </c>
      <c r="D2316" s="3">
        <v>5.0</v>
      </c>
    </row>
    <row r="2317" ht="15.75" customHeight="1">
      <c r="A2317" s="1">
        <v>2315.0</v>
      </c>
      <c r="B2317" s="3" t="s">
        <v>2318</v>
      </c>
      <c r="C2317" s="3" t="str">
        <f>IFERROR(__xludf.DUMMYFUNCTION("GOOGLETRANSLATE(B2317,""id"",""en"")"),"['update', 'application', 'difficult', 'access',' Telkomsel ',' purchase ',' package ',' quota ',' internet ',' difficult ',' do ',' Please ',' Telkomsel ',' fix ',' the application ',' thank ',' love ']")</f>
        <v>['update', 'application', 'difficult', 'access',' Telkomsel ',' purchase ',' package ',' quota ',' internet ',' difficult ',' do ',' Please ',' Telkomsel ',' fix ',' the application ',' thank ',' love ']</v>
      </c>
      <c r="D2317" s="3">
        <v>1.0</v>
      </c>
    </row>
    <row r="2318" ht="15.75" customHeight="1">
      <c r="A2318" s="1">
        <v>2316.0</v>
      </c>
      <c r="B2318" s="3" t="s">
        <v>2319</v>
      </c>
      <c r="C2318" s="3" t="str">
        <f>IFERROR(__xludf.DUMMYFUNCTION("GOOGLETRANSLATE(B2318,""id"",""en"")"),"['Telkomsel', 'Price', 'Package', 'Expensive', 'Signal', 'Down', 'Buy', 'Package', 'Credit', 'Cut', 'Package', 'Internet', ' Please, 'Pandemic', 'Price', '']")</f>
        <v>['Telkomsel', 'Price', 'Package', 'Expensive', 'Signal', 'Down', 'Buy', 'Package', 'Credit', 'Cut', 'Package', 'Internet', ' Please, 'Pandemic', 'Price', '']</v>
      </c>
      <c r="D2318" s="3">
        <v>1.0</v>
      </c>
    </row>
    <row r="2319" ht="15.75" customHeight="1">
      <c r="A2319" s="1">
        <v>2317.0</v>
      </c>
      <c r="B2319" s="3" t="s">
        <v>2320</v>
      </c>
      <c r="C2319" s="3" t="str">
        <f>IFERROR(__xludf.DUMMYFUNCTION("GOOGLETRANSLATE(B2319,""id"",""en"")"),"['Hi', 'Sis',' input ',' related ',' upgrade ',' application ',' menu ',' entertainment ',' streaming ',' music ',' music ',' rotate ',' Songs', 'Menu', 'Entertainment', 'Streaming', 'Video', 'Direct', 'Link', 'MaxStream', 'Select', 'Video', 'Play', 'Sett"&amp;"ings',' Video ' , 'Quality', 'and', 'More', '']")</f>
        <v>['Hi', 'Sis',' input ',' related ',' upgrade ',' application ',' menu ',' entertainment ',' streaming ',' music ',' music ',' rotate ',' Songs', 'Menu', 'Entertainment', 'Streaming', 'Video', 'Direct', 'Link', 'MaxStream', 'Select', 'Video', 'Play', 'Settings',' Video ' , 'Quality', 'and', 'More', '']</v>
      </c>
      <c r="D2319" s="3">
        <v>5.0</v>
      </c>
    </row>
    <row r="2320" ht="15.75" customHeight="1">
      <c r="A2320" s="1">
        <v>2318.0</v>
      </c>
      <c r="B2320" s="3" t="s">
        <v>2321</v>
      </c>
      <c r="C2320" s="3" t="str">
        <f>IFERROR(__xludf.DUMMYFUNCTION("GOOGLETRANSLATE(B2320,""id"",""en"")"),"['Telkomsel', 'constrained', 'signal', 'game', 'please', 'noticed', 'related', 'customer', 'disappointed', 'accept', 'love', 'customer', ' Move ',' card ',' disappointment ',' threat ',' ']")</f>
        <v>['Telkomsel', 'constrained', 'signal', 'game', 'please', 'noticed', 'related', 'customer', 'disappointed', 'accept', 'love', 'customer', ' Move ',' card ',' disappointment ',' threat ',' ']</v>
      </c>
      <c r="D2320" s="3">
        <v>1.0</v>
      </c>
    </row>
    <row r="2321" ht="15.75" customHeight="1">
      <c r="A2321" s="1">
        <v>2319.0</v>
      </c>
      <c r="B2321" s="3" t="s">
        <v>2322</v>
      </c>
      <c r="C2321" s="3" t="str">
        <f>IFERROR(__xludf.DUMMYFUNCTION("GOOGLETRANSLATE(B2321,""id"",""en"")"),"['Disappointed', 'buy', 'unlimited', 'youtube', 'already', 'succes',' right ',' open ',' youtube ',' muter ',' muter ',' pulse ',' Cut ',' Bela ',' Belain ',' Dri ',' balance ',' Ojol ',' bgtu ',' mah ',' better ',' snack ',' child ', ""]")</f>
        <v>['Disappointed', 'buy', 'unlimited', 'youtube', 'already', 'succes',' right ',' open ',' youtube ',' muter ',' muter ',' pulse ',' Cut ',' Bela ',' Belain ',' Dri ',' balance ',' Ojol ',' bgtu ',' mah ',' better ',' snack ',' child ', "]</v>
      </c>
      <c r="D2321" s="3">
        <v>1.0</v>
      </c>
    </row>
    <row r="2322" ht="15.75" customHeight="1">
      <c r="A2322" s="1">
        <v>2320.0</v>
      </c>
      <c r="B2322" s="3" t="s">
        <v>2323</v>
      </c>
      <c r="C2322" s="3" t="str">
        <f>IFERROR(__xludf.DUMMYFUNCTION("GOOGLETRANSLATE(B2322,""id"",""en"")"),"['Tsel', 'old', 'senile', 'system', 'quota', 'all', 'net', 'active', 'internet', 'credit', 'cut out', 'many' times', 'diginin', '']")</f>
        <v>['Tsel', 'old', 'senile', 'system', 'quota', 'all', 'net', 'active', 'internet', 'credit', 'cut out', 'many' times', 'diginin', '']</v>
      </c>
      <c r="D2322" s="3">
        <v>1.0</v>
      </c>
    </row>
    <row r="2323" ht="15.75" customHeight="1">
      <c r="A2323" s="1">
        <v>2321.0</v>
      </c>
      <c r="B2323" s="3" t="s">
        <v>2324</v>
      </c>
      <c r="C2323" s="3" t="str">
        <f>IFERROR(__xludf.DUMMYFUNCTION("GOOGLETRANSLATE(B2323,""id"",""en"")"),"['sorry', 'star', 'network', 'internet', 'slow', 'open', 'canaaa', 'Allah', 'experience', 'right', 'collect', 'UTS', ' Minutes', 'Minutes',' ehh ',' signal ',' missing ',' how ',' here ',' Nambah ',' bad ',' pdhl ',' provider ',' expensive ',' lho ' , 'Co"&amp;"mpared', 'provider', 'provider', 'quality', 'really']")</f>
        <v>['sorry', 'star', 'network', 'internet', 'slow', 'open', 'canaaa', 'Allah', 'experience', 'right', 'collect', 'UTS', ' Minutes', 'Minutes',' ehh ',' signal ',' missing ',' how ',' here ',' Nambah ',' bad ',' pdhl ',' provider ',' expensive ',' lho ' , 'Compared', 'provider', 'provider', 'quality', 'really']</v>
      </c>
      <c r="D2323" s="3">
        <v>1.0</v>
      </c>
    </row>
    <row r="2324" ht="15.75" customHeight="1">
      <c r="A2324" s="1">
        <v>2322.0</v>
      </c>
      <c r="B2324" s="3" t="s">
        <v>2325</v>
      </c>
      <c r="C2324" s="3" t="str">
        <f>IFERROR(__xludf.DUMMYFUNCTION("GOOGLETRANSLATE(B2324,""id"",""en"")"),"['admin', 'star', 'network', 'Telkomsel', 'sul', 'cell', 'kab', 'maros',' sub-district ',' bantimurung ',' severe ',' package ',' Buy ',' expensive ',' expensive ',' service ',' network ',' just ',' equivalent ',' high school ',' network ',' DLUAR ',' pac"&amp;"kage ',' cheap ',' exactly ' , 'Different', 'admin', 'jngan', 'just', 'silent', 'ngepain', 'package', 'expensive', 'number', 'yes',' high ',' quality ',' Network ',' cheap ',' ']")</f>
        <v>['admin', 'star', 'network', 'Telkomsel', 'sul', 'cell', 'kab', 'maros',' sub-district ',' bantimurung ',' severe ',' package ',' Buy ',' expensive ',' expensive ',' service ',' network ',' just ',' equivalent ',' high school ',' network ',' DLUAR ',' package ',' cheap ',' exactly ' , 'Different', 'admin', 'jngan', 'just', 'silent', 'ngepain', 'package', 'expensive', 'number', 'yes',' high ',' quality ',' Network ',' cheap ',' ']</v>
      </c>
      <c r="D2324" s="3">
        <v>1.0</v>
      </c>
    </row>
    <row r="2325" ht="15.75" customHeight="1">
      <c r="A2325" s="1">
        <v>2323.0</v>
      </c>
      <c r="B2325" s="3" t="s">
        <v>2326</v>
      </c>
      <c r="C2325" s="3" t="str">
        <f>IFERROR(__xludf.DUMMYFUNCTION("GOOGLETRANSLATE(B2325,""id"",""en"")"),"['The application', 'quota', 'family', 'missing', 'looks',' difficult ',' find it ',' complicated ',' sampe ',' contact ',' service ',' call ',' Center ',' ']")</f>
        <v>['The application', 'quota', 'family', 'missing', 'looks',' difficult ',' find it ',' complicated ',' sampe ',' contact ',' service ',' call ',' Center ',' ']</v>
      </c>
      <c r="D2325" s="3">
        <v>1.0</v>
      </c>
    </row>
    <row r="2326" ht="15.75" customHeight="1">
      <c r="A2326" s="1">
        <v>2324.0</v>
      </c>
      <c r="B2326" s="3" t="s">
        <v>2327</v>
      </c>
      <c r="C2326" s="3" t="str">
        <f>IFERROR(__xludf.DUMMYFUNCTION("GOOGLETRANSLATE(B2326,""id"",""en"")"),"['Please', 'Fix', 'Tower', 'Telkomsel', 'Village', 'Gulf', 'Rattak', 'Langgam', 'Muara', 'Rain', 'Lightning', 'Network', ' Slalu ',' lost ',' tower ',' wake up ',' network ',' village ',' slalu ',' good ',' tower ',' wake up ',' network ',' village ',' sl"&amp;"alu ' , 'is lost']")</f>
        <v>['Please', 'Fix', 'Tower', 'Telkomsel', 'Village', 'Gulf', 'Rattak', 'Langgam', 'Muara', 'Rain', 'Lightning', 'Network', ' Slalu ',' lost ',' tower ',' wake up ',' network ',' village ',' slalu ',' good ',' tower ',' wake up ',' network ',' village ',' slalu ' , 'is lost']</v>
      </c>
      <c r="D2326" s="3">
        <v>1.0</v>
      </c>
    </row>
    <row r="2327" ht="15.75" customHeight="1">
      <c r="A2327" s="1">
        <v>2325.0</v>
      </c>
      <c r="B2327" s="3" t="s">
        <v>2328</v>
      </c>
      <c r="C2327" s="3" t="str">
        <f>IFERROR(__xludf.DUMMYFUNCTION("GOOGLETRANSLATE(B2327,""id"",""en"")"),"['quota', 'multimedia', 'open', 'VIU', 'quota', 'function', 'pay', 'service', 'good', 'bad', ""]")</f>
        <v>['quota', 'multimedia', 'open', 'VIU', 'quota', 'function', 'pay', 'service', 'good', 'bad', "]</v>
      </c>
      <c r="D2327" s="3">
        <v>1.0</v>
      </c>
    </row>
    <row r="2328" ht="15.75" customHeight="1">
      <c r="A2328" s="1">
        <v>2326.0</v>
      </c>
      <c r="B2328" s="3" t="s">
        <v>2329</v>
      </c>
      <c r="C2328" s="3" t="str">
        <f>IFERROR(__xludf.DUMMYFUNCTION("GOOGLETRANSLATE(B2328,""id"",""en"")"),"['logo', 'merta', 'service', 'app', 'tsel', 'restart', 'nominal', 'transfer', 'pulse', 'entered', 'forced', 'use', ' ']")</f>
        <v>['logo', 'merta', 'service', 'app', 'tsel', 'restart', 'nominal', 'transfer', 'pulse', 'entered', 'forced', 'use', ' ']</v>
      </c>
      <c r="D2328" s="3">
        <v>2.0</v>
      </c>
    </row>
    <row r="2329" ht="15.75" customHeight="1">
      <c r="A2329" s="1">
        <v>2327.0</v>
      </c>
      <c r="B2329" s="3" t="s">
        <v>2330</v>
      </c>
      <c r="C2329" s="3" t="str">
        <f>IFERROR(__xludf.DUMMYFUNCTION("GOOGLETRANSLATE(B2329,""id"",""en"")"),"['Gini', 'Telkomsel', 'difficult', 'really', 'entry', 'valid', 'already', 'tried', 'link', 'sent', 'via', 'sms',' Valid ',' expiration ',' sent ',' registered ',' registered ',' failed ',' login ',' Help ',' Your ',' session ',' expired ',' Try ',' Method"&amp;" ' , 'ccoba', 'love', 'solution', '']")</f>
        <v>['Gini', 'Telkomsel', 'difficult', 'really', 'entry', 'valid', 'already', 'tried', 'link', 'sent', 'via', 'sms',' Valid ',' expiration ',' sent ',' registered ',' registered ',' failed ',' login ',' Help ',' Your ',' session ',' expired ',' Try ',' Method ' , 'ccoba', 'love', 'solution', '']</v>
      </c>
      <c r="D2329" s="3">
        <v>1.0</v>
      </c>
    </row>
    <row r="2330" ht="15.75" customHeight="1">
      <c r="A2330" s="1">
        <v>2328.0</v>
      </c>
      <c r="B2330" s="3" t="s">
        <v>2331</v>
      </c>
      <c r="C2330" s="3" t="str">
        <f>IFERROR(__xludf.DUMMYFUNCTION("GOOGLETRANSLATE(B2330,""id"",""en"")"),"['how', 'Telkomsel', 'updated', 'application', 'package', 'internet', 'expensive', 'package', 'combo', 'pain', 'already', 'choice', ' Different ',' ngak ',' package ',' back ',' kayak ',' ']")</f>
        <v>['how', 'Telkomsel', 'updated', 'application', 'package', 'internet', 'expensive', 'package', 'combo', 'pain', 'already', 'choice', ' Different ',' ngak ',' package ',' back ',' kayak ',' ']</v>
      </c>
      <c r="D2330" s="3">
        <v>1.0</v>
      </c>
    </row>
    <row r="2331" ht="15.75" customHeight="1">
      <c r="A2331" s="1">
        <v>2329.0</v>
      </c>
      <c r="B2331" s="3" t="s">
        <v>2332</v>
      </c>
      <c r="C2331" s="3" t="str">
        <f>IFERROR(__xludf.DUMMYFUNCTION("GOOGLETRANSLATE(B2331,""id"",""en"")"),"['advantages',' Telkomsel ',' weakness', 'offer', 'famous',' price ',' package ',' expensive ',' number ',' expensive ',' top ',' signal ',' Weak ',' Appeal ',' Privider ',' company ',' famous', 'Seindonesia', 'Lost', 'Credit', 'Most', 'Promo', 'Signal', "&amp;"'Dilapidated', 'Moto' , 'Reach', 'extensive', 'skrg', 'moto', 'missing', 'competitors',' advantages', 'Telkomsel', 'brand', 'famous',' cave ',' Thanks', ' inconvenience', '']")</f>
        <v>['advantages',' Telkomsel ',' weakness', 'offer', 'famous',' price ',' package ',' expensive ',' number ',' expensive ',' top ',' signal ',' Weak ',' Appeal ',' Privider ',' company ',' famous', 'Seindonesia', 'Lost', 'Credit', 'Most', 'Promo', 'Signal', 'Dilapidated', 'Moto' , 'Reach', 'extensive', 'skrg', 'moto', 'missing', 'competitors',' advantages', 'Telkomsel', 'brand', 'famous',' cave ',' Thanks', ' inconvenience', '']</v>
      </c>
      <c r="D2331" s="3">
        <v>1.0</v>
      </c>
    </row>
    <row r="2332" ht="15.75" customHeight="1">
      <c r="A2332" s="1">
        <v>2330.0</v>
      </c>
      <c r="B2332" s="3" t="s">
        <v>2333</v>
      </c>
      <c r="C2332" s="3" t="str">
        <f>IFERROR(__xludf.DUMMYFUNCTION("GOOGLETRANSLATE(B2332,""id"",""en"")"),"['Come', 'Network', 'Bad', 'Price', 'Expensive', 'Please', 'Increase', 'Facilities',' Telkomsel ',' Times', 'Signal', 'Slow', ' Until ',' Ber ',' Sunday ',' ']")</f>
        <v>['Come', 'Network', 'Bad', 'Price', 'Expensive', 'Please', 'Increase', 'Facilities',' Telkomsel ',' Times', 'Signal', 'Slow', ' Until ',' Ber ',' Sunday ',' ']</v>
      </c>
      <c r="D2332" s="3">
        <v>1.0</v>
      </c>
    </row>
    <row r="2333" ht="15.75" customHeight="1">
      <c r="A2333" s="1">
        <v>2331.0</v>
      </c>
      <c r="B2333" s="3" t="s">
        <v>2334</v>
      </c>
      <c r="C2333" s="3" t="str">
        <f>IFERROR(__xludf.DUMMYFUNCTION("GOOGLETRANSLATE(B2333,""id"",""en"")"),"['Sorry', 'Update', 'Telkomsel', 'Disright', 'Credit', 'Sumpot', 'Karna', 'Ngelag', 'Buy', 'Quota', 'Price', 'Access',' Reduced ',' Disight ',' Filling ',' Pulse ',' Please ',' Untum ',' Telkomsel ',' justify ',' Application ',' Loss', 'Kasian', 'User', '"&amp;"Look' , 'Star', 'Untum', 'Rating', 'Telkomsel', 'Disappointed']")</f>
        <v>['Sorry', 'Update', 'Telkomsel', 'Disright', 'Credit', 'Sumpot', 'Karna', 'Ngelag', 'Buy', 'Quota', 'Price', 'Access',' Reduced ',' Disight ',' Filling ',' Pulse ',' Please ',' Untum ',' Telkomsel ',' justify ',' Application ',' Loss', 'Kasian', 'User', 'Look' , 'Star', 'Untum', 'Rating', 'Telkomsel', 'Disappointed']</v>
      </c>
      <c r="D2333" s="3">
        <v>1.0</v>
      </c>
    </row>
    <row r="2334" ht="15.75" customHeight="1">
      <c r="A2334" s="1">
        <v>2332.0</v>
      </c>
      <c r="B2334" s="3" t="s">
        <v>2335</v>
      </c>
      <c r="C2334" s="3" t="str">
        <f>IFERROR(__xludf.DUMMYFUNCTION("GOOGLETRANSLATE(B2334,""id"",""en"")"),"['Telkomsel', 'deteriorating', 'nets',' signal ',' full ',' slow ',' udh ',' lam ',' kyk ',' gini ',' bk ',' lbih ',' Smkin ',' JSTRU ',' slow ',' ']")</f>
        <v>['Telkomsel', 'deteriorating', 'nets',' signal ',' full ',' slow ',' udh ',' lam ',' kyk ',' gini ',' bk ',' lbih ',' Smkin ',' JSTRU ',' slow ',' ']</v>
      </c>
      <c r="D2334" s="3">
        <v>1.0</v>
      </c>
    </row>
    <row r="2335" ht="15.75" customHeight="1">
      <c r="A2335" s="1">
        <v>2333.0</v>
      </c>
      <c r="B2335" s="3" t="s">
        <v>2336</v>
      </c>
      <c r="C2335" s="3" t="str">
        <f>IFERROR(__xludf.DUMMYFUNCTION("GOOGLETRANSLATE(B2335,""id"",""en"")"),"['good', 'love', 'star', 'paliiiiiiiiiiiiiiiiiiiiiiiiiiiiiiiiiiiiiiiiiiiiiiiiiiiiiiiiiiiiiiiiiiiiiiiiiiiiiiiiiiiiiiiiiiiiiiiiiiiiiiiiiing', 'ugly', 'appeal', 'competitor', 'area', 'jatinangor', 'jabar', 'repair', 'just', ' Read ',' Movement ',' repaired '"&amp;"]")</f>
        <v>['good', 'love', 'star', 'paliiiiiiiiiiiiiiiiiiiiiiiiiiiiiiiiiiiiiiiiiiiiiiiiiiiiiiiiiiiiiiiiiiiiiiiiiiiiiiiiiiiiiiiiiiiiiiiiiiiiiiiiiing', 'ugly', 'appeal', 'competitor', 'area', 'jatinangor', 'jabar', 'repair', 'just', ' Read ',' Movement ',' repaired ']</v>
      </c>
      <c r="D2335" s="3">
        <v>2.0</v>
      </c>
    </row>
    <row r="2336" ht="15.75" customHeight="1">
      <c r="A2336" s="1">
        <v>2334.0</v>
      </c>
      <c r="B2336" s="3" t="s">
        <v>2337</v>
      </c>
      <c r="C2336" s="3" t="str">
        <f>IFERROR(__xludf.DUMMYFUNCTION("GOOGLETRANSLATE(B2336,""id"",""en"")"),"['Menteng', 'Menteng', 'Telkomsel', 'company', 'owned', 'state', 'treatment', 'community', 'service', 'bad', 'access',' Telkomsel ',' use ',' signal ',' What's', 'buy', 'package', 'a month', 'slow', 'play', 'internet', 'bad', 'run out', 'hawa' , 'Ruler', "&amp;"'allotment', 'there', 'Come on', 'service', 'good', ""]")</f>
        <v>['Menteng', 'Menteng', 'Telkomsel', 'company', 'owned', 'state', 'treatment', 'community', 'service', 'bad', 'access',' Telkomsel ',' use ',' signal ',' What's', 'buy', 'package', 'a month', 'slow', 'play', 'internet', 'bad', 'run out', 'hawa' , 'Ruler', 'allotment', 'there', 'Come on', 'service', 'good', "]</v>
      </c>
      <c r="D2336" s="3">
        <v>5.0</v>
      </c>
    </row>
    <row r="2337" ht="15.75" customHeight="1">
      <c r="A2337" s="1">
        <v>2335.0</v>
      </c>
      <c r="B2337" s="3" t="s">
        <v>2338</v>
      </c>
      <c r="C2337" s="3" t="str">
        <f>IFERROR(__xludf.DUMMYFUNCTION("GOOGLETRANSLATE(B2337,""id"",""en"")"),"['slow', 'network', 'happy', 'really', 'already', 'Daikan', 'network', 'Telkomsel', 'slow', ""]")</f>
        <v>['slow', 'network', 'happy', 'really', 'already', 'Daikan', 'network', 'Telkomsel', 'slow', "]</v>
      </c>
      <c r="D2337" s="3">
        <v>2.0</v>
      </c>
    </row>
    <row r="2338" ht="15.75" customHeight="1">
      <c r="A2338" s="1">
        <v>2336.0</v>
      </c>
      <c r="B2338" s="3" t="s">
        <v>2339</v>
      </c>
      <c r="C2338" s="3" t="str">
        <f>IFERROR(__xludf.DUMMYFUNCTION("GOOGLETRANSLATE(B2338,""id"",""en"")"),"['Network', 'signal', 'Ngehang', 'then', 'contents',' package ',' quota ',' use ',' application ',' Telkomsel ',' already ',' failed ',' Balance ',' Top ',' Cutting ',' Disappointed ',' User ',' Telkomsel ',' ']")</f>
        <v>['Network', 'signal', 'Ngehang', 'then', 'contents',' package ',' quota ',' use ',' application ',' Telkomsel ',' already ',' failed ',' Balance ',' Top ',' Cutting ',' Disappointed ',' User ',' Telkomsel ',' ']</v>
      </c>
      <c r="D2338" s="3">
        <v>2.0</v>
      </c>
    </row>
    <row r="2339" ht="15.75" customHeight="1">
      <c r="A2339" s="1">
        <v>2337.0</v>
      </c>
      <c r="B2339" s="3" t="s">
        <v>2340</v>
      </c>
      <c r="C2339" s="3" t="str">
        <f>IFERROR(__xludf.DUMMYFUNCTION("GOOGLETRANSLATE(B2339,""id"",""en"")"),"['Telkomsel', 'bad', 'price', 'exorbitant', 'connection', 'signal', 'adequate', 'disappointing', 'signal', 'rich', 'disappointed', 'Telkomsel']")</f>
        <v>['Telkomsel', 'bad', 'price', 'exorbitant', 'connection', 'signal', 'adequate', 'disappointing', 'signal', 'rich', 'disappointed', 'Telkomsel']</v>
      </c>
      <c r="D2339" s="3">
        <v>1.0</v>
      </c>
    </row>
    <row r="2340" ht="15.75" customHeight="1">
      <c r="A2340" s="1">
        <v>2338.0</v>
      </c>
      <c r="B2340" s="3" t="s">
        <v>2341</v>
      </c>
      <c r="C2340" s="3" t="str">
        <f>IFERROR(__xludf.DUMMYFUNCTION("GOOGLETRANSLATE(B2340,""id"",""en"")"),"['forgiveness',' application ',' config ',' android ',' open ',' application ',' hose ',' writing ',' google ',' play ',' stop ',' please ',' repaired ',' yak ',' name ',' Telkomsel ',' shy ',' see ',' SPT ',' vendor ',' next door ',' safe ',' open ',' an"&amp;"droid ',' ']")</f>
        <v>['forgiveness',' application ',' config ',' android ',' open ',' application ',' hose ',' writing ',' google ',' play ',' stop ',' please ',' repaired ',' yak ',' name ',' Telkomsel ',' shy ',' see ',' SPT ',' vendor ',' next door ',' safe ',' open ',' android ',' ']</v>
      </c>
      <c r="D2340" s="3">
        <v>1.0</v>
      </c>
    </row>
    <row r="2341" ht="15.75" customHeight="1">
      <c r="A2341" s="1">
        <v>2339.0</v>
      </c>
      <c r="B2341" s="3" t="s">
        <v>2342</v>
      </c>
      <c r="C2341" s="3" t="str">
        <f>IFERROR(__xludf.DUMMYFUNCTION("GOOGLETRANSLATE(B2341,""id"",""en"")"),"['Telkomsel', 'how', 'pulse', 'missing', 'subscribe', 'please', 'pulse', 'kaga', 'dipake', 'ilang']")</f>
        <v>['Telkomsel', 'how', 'pulse', 'missing', 'subscribe', 'please', 'pulse', 'kaga', 'dipake', 'ilang']</v>
      </c>
      <c r="D2341" s="3">
        <v>1.0</v>
      </c>
    </row>
    <row r="2342" ht="15.75" customHeight="1">
      <c r="A2342" s="1">
        <v>2340.0</v>
      </c>
      <c r="B2342" s="3" t="s">
        <v>2343</v>
      </c>
      <c r="C2342" s="3" t="str">
        <f>IFERROR(__xludf.DUMMYFUNCTION("GOOGLETRANSLATE(B2342,""id"",""en"")"),"['strange', 'notification', 'fromo', 'contents',' quota ',' price ',' thousand ',' right ',' fill in ',' pulse ',' from his', 'missing', ' TLP ',' Telkomsel ',' Fromo ',' Mauenara ',' What ']")</f>
        <v>['strange', 'notification', 'fromo', 'contents',' quota ',' price ',' thousand ',' right ',' fill in ',' pulse ',' from his', 'missing', ' TLP ',' Telkomsel ',' Fromo ',' Mauenara ',' What ']</v>
      </c>
      <c r="D2342" s="3">
        <v>1.0</v>
      </c>
    </row>
    <row r="2343" ht="15.75" customHeight="1">
      <c r="A2343" s="1">
        <v>2341.0</v>
      </c>
      <c r="B2343" s="3" t="s">
        <v>2344</v>
      </c>
      <c r="C2343" s="3" t="str">
        <f>IFERROR(__xludf.DUMMYFUNCTION("GOOGLETRANSLATE(B2343,""id"",""en"")"),"['Review', 'Updated', 'Playstore', 'Review', 'Fact', 'Worst', 'Sophistication', 'Technology', 'Telkomsel', 'Service', 'Served', 'System', ' Answering, 'system', 'robot', 'as' customer', 'service', 'as',' response ',' linkages', 'consumers',' see ',' all '"&amp;",' response ' , 'Review', 'Under', 'all', 'diverted', 'virtual', 'bot', 'because', 'loss',' trust ',' quality ',' operator ',' Telkomsel ',' Make ',' Telkomsel ',' Needs', 'Jarkom', 'work', ""]")</f>
        <v>['Review', 'Updated', 'Playstore', 'Review', 'Fact', 'Worst', 'Sophistication', 'Technology', 'Telkomsel', 'Service', 'Served', 'System', ' Answering, 'system', 'robot', 'as' customer', 'service', 'as',' response ',' linkages', 'consumers',' see ',' all ',' response ' , 'Review', 'Under', 'all', 'diverted', 'virtual', 'bot', 'because', 'loss',' trust ',' quality ',' operator ',' Telkomsel ',' Make ',' Telkomsel ',' Needs', 'Jarkom', 'work', "]</v>
      </c>
      <c r="D2343" s="3">
        <v>1.0</v>
      </c>
    </row>
    <row r="2344" ht="15.75" customHeight="1">
      <c r="A2344" s="1">
        <v>2342.0</v>
      </c>
      <c r="B2344" s="3" t="s">
        <v>2345</v>
      </c>
      <c r="C2344" s="3" t="str">
        <f>IFERROR(__xludf.DUMMYFUNCTION("GOOGLETRANSLATE(B2344,""id"",""en"")"),"['card', 'get', 'price', 'internet', 'cheap', 'choice', 'expensive', 'number', 'card', 'friend', 'choice', 'price', ' package ',' internet ',' cheap ',' no ',' fair ',' samarakan ',' rich ',' gini ']")</f>
        <v>['card', 'get', 'price', 'internet', 'cheap', 'choice', 'expensive', 'number', 'card', 'friend', 'choice', 'price', ' package ',' internet ',' cheap ',' no ',' fair ',' samarakan ',' rich ',' gini ']</v>
      </c>
      <c r="D2344" s="3">
        <v>1.0</v>
      </c>
    </row>
    <row r="2345" ht="15.75" customHeight="1">
      <c r="A2345" s="1">
        <v>2343.0</v>
      </c>
      <c r="B2345" s="3" t="s">
        <v>2346</v>
      </c>
      <c r="C2345" s="3" t="str">
        <f>IFERROR(__xludf.DUMMYFUNCTION("GOOGLETRANSLATE(B2345,""id"",""en"")"),"['', 'times',' send ',' pulse ',' link ',' reported ',' vain ',' vain ',' add ',' waste ',' waste ',' credit ',' call ',' Operator ',' Link ',' Telkomsel ',' enter ',' Points', 'Fill', 'reset', 'Doang']")</f>
        <v>['', 'times',' send ',' pulse ',' link ',' reported ',' vain ',' vain ',' add ',' waste ',' waste ',' credit ',' call ',' Operator ',' Link ',' Telkomsel ',' enter ',' Points', 'Fill', 'reset', 'Doang']</v>
      </c>
      <c r="D2345" s="3">
        <v>1.0</v>
      </c>
    </row>
    <row r="2346" ht="15.75" customHeight="1">
      <c r="A2346" s="1">
        <v>2344.0</v>
      </c>
      <c r="B2346" s="3" t="s">
        <v>2347</v>
      </c>
      <c r="C2346" s="3" t="str">
        <f>IFERROR(__xludf.DUMMYFUNCTION("GOOGLETRANSLATE(B2346,""id"",""en"")"),"['ugly', 'bad', 'difficult', 'enter', 'application', 'professional', 'good', 'image', 'ugly', 'signal', 'good', 'entered', ' APK ',' Jugak ',' Bath ',' ']")</f>
        <v>['ugly', 'bad', 'difficult', 'enter', 'application', 'professional', 'good', 'image', 'ugly', 'signal', 'good', 'entered', ' APK ',' Jugak ',' Bath ',' ']</v>
      </c>
      <c r="D2346" s="3">
        <v>1.0</v>
      </c>
    </row>
    <row r="2347" ht="15.75" customHeight="1">
      <c r="A2347" s="1">
        <v>2345.0</v>
      </c>
      <c r="B2347" s="3" t="s">
        <v>2348</v>
      </c>
      <c r="C2347" s="3" t="str">
        <f>IFERROR(__xludf.DUMMYFUNCTION("GOOGLETRANSLATE(B2347,""id"",""en"")"),"['Package', 'cheerful', 'quota', 'pulse', 'used', 'sucked', 'internet', 'trs',' warning ',' telkomsel ',' smoke ',' internet ',' rates', 'non', 'package', 'strange', 'check', 'package', 'active', 'quota', 'pulse', 'finished', 'sucked', 'use', 'card' , 'si"&amp;"gnal', 'RAM', 'Storege', 'broad', 'connection', 'internet', 'road', 'Kbps',' Dichat ',' via ',' Telkomsel ',' Veronika ',' response', '']")</f>
        <v>['Package', 'cheerful', 'quota', 'pulse', 'used', 'sucked', 'internet', 'trs',' warning ',' telkomsel ',' smoke ',' internet ',' rates', 'non', 'package', 'strange', 'check', 'package', 'active', 'quota', 'pulse', 'finished', 'sucked', 'use', 'card' , 'signal', 'RAM', 'Storege', 'broad', 'connection', 'internet', 'road', 'Kbps',' Dichat ',' via ',' Telkomsel ',' Veronika ',' response', '']</v>
      </c>
      <c r="D2347" s="3">
        <v>1.0</v>
      </c>
    </row>
    <row r="2348" ht="15.75" customHeight="1">
      <c r="A2348" s="1">
        <v>2346.0</v>
      </c>
      <c r="B2348" s="3" t="s">
        <v>2349</v>
      </c>
      <c r="C2348" s="3" t="str">
        <f>IFERROR(__xludf.DUMMYFUNCTION("GOOGLETRANSLATE(B2348,""id"",""en"")"),"['Telkomsel', 'knp', 'jdi', 'cool', 'quota', 'msh', 'download', 'buy', 'quota', 'package', 'emergency', 'msh', ' active ',' trs', 'quota', 'sya', 'GB', 'skrg', 'feels',' cpt ',' abis', 'pdhl', 'ckp', 'a month', 'now' , 'Hadeeehhh', 'ilang', 'kmn', ""]")</f>
        <v>['Telkomsel', 'knp', 'jdi', 'cool', 'quota', 'msh', 'download', 'buy', 'quota', 'package', 'emergency', 'msh', ' active ',' trs', 'quota', 'sya', 'GB', 'skrg', 'feels',' cpt ',' abis', 'pdhl', 'ckp', 'a month', 'now' , 'Hadeeehhh', 'ilang', 'kmn', "]</v>
      </c>
      <c r="D2348" s="3">
        <v>2.0</v>
      </c>
    </row>
    <row r="2349" ht="15.75" customHeight="1">
      <c r="A2349" s="1">
        <v>2347.0</v>
      </c>
      <c r="B2349" s="3" t="s">
        <v>2350</v>
      </c>
      <c r="C2349" s="3" t="str">
        <f>IFERROR(__xludf.DUMMYFUNCTION("GOOGLETRANSLATE(B2349,""id"",""en"")"),"['Telkomsel', 'Dajjal', 'Laknatulloh', 'Honest', 'Genesis',' Real ',' BOOGAN ',' Just ',' Main ',' Game ',' Package ',' Remnant ',' Skrng ',' run out ',' open ',' open ',' package ',' skrng ',' shocked ',' minded ',' ngellag ',' apkny ',' right ',' minute"&amp;" ',' package ' , 'run out', 'honest', 'fortuneness',' puny ',' patience ',' package ',' quota ',' sucked ',' Telkomsel ',' pray for ',' hopefully ',' Telkomsle ',' Bankrupt ',' Aminnnn ']")</f>
        <v>['Telkomsel', 'Dajjal', 'Laknatulloh', 'Honest', 'Genesis',' Real ',' BOOGAN ',' Just ',' Main ',' Game ',' Package ',' Remnant ',' Skrng ',' run out ',' open ',' open ',' package ',' skrng ',' shocked ',' minded ',' ngellag ',' apkny ',' right ',' minute ',' package ' , 'run out', 'honest', 'fortuneness',' puny ',' patience ',' package ',' quota ',' sucked ',' Telkomsel ',' pray for ',' hopefully ',' Telkomsle ',' Bankrupt ',' Aminnnn ']</v>
      </c>
      <c r="D2349" s="3">
        <v>1.0</v>
      </c>
    </row>
    <row r="2350" ht="15.75" customHeight="1">
      <c r="A2350" s="1">
        <v>2348.0</v>
      </c>
      <c r="B2350" s="3" t="s">
        <v>2351</v>
      </c>
      <c r="C2350" s="3" t="str">
        <f>IFERROR(__xludf.DUMMYFUNCTION("GOOGLETRANSLATE(B2350,""id"",""en"")"),"['What's',' Telkomsel ',' extortion ',' danger ',' base ',' emang ',' money ',' Add ',' list ',' donation ',' Telkomsel ',' fill ',' Credit ',' Direct ',' Out ',' Belom ',' Play ',' Cut ',' Disappointed ',' Lost ',' Card ',' Shy ',' Card ',' Play ',' Cut "&amp;"' , 'night', 'bonus', 'rich', 'path', 'extortion', '']")</f>
        <v>['What's',' Telkomsel ',' extortion ',' danger ',' base ',' emang ',' money ',' Add ',' list ',' donation ',' Telkomsel ',' fill ',' Credit ',' Direct ',' Out ',' Belom ',' Play ',' Cut ',' Disappointed ',' Lost ',' Card ',' Shy ',' Card ',' Play ',' Cut ' , 'night', 'bonus', 'rich', 'path', 'extortion', '']</v>
      </c>
      <c r="D2350" s="3">
        <v>1.0</v>
      </c>
    </row>
    <row r="2351" ht="15.75" customHeight="1">
      <c r="A2351" s="1">
        <v>2349.0</v>
      </c>
      <c r="B2351" s="3" t="s">
        <v>2352</v>
      </c>
      <c r="C2351" s="3" t="str">
        <f>IFERROR(__xludf.DUMMYFUNCTION("GOOGLETRANSLATE(B2351,""id"",""en"")"),"['Telkomsel', 'Pliss',' Tide ',' Signal ',' City ',' Tangerang ',' Tide ',' Current ',' City ',' Tangerang ',' Sousal ',' Down ',' Lucky ',' and then ',' speed ',' Mbps', 'Doang', 'Pliss',' Telkomsel ',' Dragus', 'Sinyal', 'City', 'Tangerang', 'No', 'Chan"&amp;"ge' , 'number', '']")</f>
        <v>['Telkomsel', 'Pliss',' Tide ',' Signal ',' City ',' Tangerang ',' Tide ',' Current ',' City ',' Tangerang ',' Sousal ',' Down ',' Lucky ',' and then ',' speed ',' Mbps', 'Doang', 'Pliss',' Telkomsel ',' Dragus', 'Sinyal', 'City', 'Tangerang', 'No', 'Change' , 'number', '']</v>
      </c>
      <c r="D2351" s="3">
        <v>1.0</v>
      </c>
    </row>
    <row r="2352" ht="15.75" customHeight="1">
      <c r="A2352" s="1">
        <v>2350.0</v>
      </c>
      <c r="B2352" s="3" t="s">
        <v>2353</v>
      </c>
      <c r="C2352" s="3" t="str">
        <f>IFERROR(__xludf.DUMMYFUNCTION("GOOGLETRANSLATE(B2352,""id"",""en"")"),"['users',' Telkomsel ',' Not bad ',' blogan ',' signal ',' ugly ',' signal ',' jdi ',' ugly ',' before ',' safe ',' safe ',' SBELUM ',' came ',' play ',' game ',' stable ',' before ',' skarang ',' a month ',' feel ',' signal ',' Telkomsel ',' ugly ',' gam"&amp;"e ' , 'because', 'came', 'please', 'return', 'speed', 'signal', 'Telkomsel']")</f>
        <v>['users',' Telkomsel ',' Not bad ',' blogan ',' signal ',' ugly ',' signal ',' jdi ',' ugly ',' before ',' safe ',' safe ',' SBELUM ',' came ',' play ',' game ',' stable ',' before ',' skarang ',' a month ',' feel ',' signal ',' Telkomsel ',' ugly ',' game ' , 'because', 'came', 'please', 'return', 'speed', 'signal', 'Telkomsel']</v>
      </c>
      <c r="D2352" s="3">
        <v>1.0</v>
      </c>
    </row>
    <row r="2353" ht="15.75" customHeight="1">
      <c r="A2353" s="1">
        <v>2351.0</v>
      </c>
      <c r="B2353" s="3" t="s">
        <v>2354</v>
      </c>
      <c r="C2353" s="3" t="str">
        <f>IFERROR(__xludf.DUMMYFUNCTION("GOOGLETRANSLATE(B2353,""id"",""en"")"),"['Mercidity', 'star', 'please', 'harmed', 'reduced', 'star', 'rame', 'ksi', 'star', 'spya', 'understand', 'understand' Packages', 'expensive', 'Ribet', '']")</f>
        <v>['Mercidity', 'star', 'please', 'harmed', 'reduced', 'star', 'rame', 'ksi', 'star', 'spya', 'understand', 'understand' Packages', 'expensive', 'Ribet', '']</v>
      </c>
      <c r="D2353" s="3">
        <v>1.0</v>
      </c>
    </row>
    <row r="2354" ht="15.75" customHeight="1">
      <c r="A2354" s="1">
        <v>2352.0</v>
      </c>
      <c r="B2354" s="3" t="s">
        <v>2355</v>
      </c>
      <c r="C2354" s="3" t="str">
        <f>IFERROR(__xludf.DUMMYFUNCTION("GOOGLETRANSLATE(B2354,""id"",""en"")"),"['What', 'pulse', 'run out', 'sumps',' internet ',' package ',' internet ',' apply ',' week ',' left ',' Please ',' repair ',' Afraid ',' Contents', 'Credit', 'Fear', 'fill', 'Direct', 'Out', '']")</f>
        <v>['What', 'pulse', 'run out', 'sumps',' internet ',' package ',' internet ',' apply ',' week ',' left ',' Please ',' repair ',' Afraid ',' Contents', 'Credit', 'Fear', 'fill', 'Direct', 'Out', '']</v>
      </c>
      <c r="D2354" s="3">
        <v>1.0</v>
      </c>
    </row>
    <row r="2355" ht="15.75" customHeight="1">
      <c r="A2355" s="1">
        <v>2353.0</v>
      </c>
      <c r="B2355" s="3" t="s">
        <v>2356</v>
      </c>
      <c r="C2355" s="3" t="str">
        <f>IFERROR(__xludf.DUMMYFUNCTION("GOOGLETRANSLATE(B2355,""id"",""en"")"),"['Points',' Telkomsel ',' Nongol ',' Contents', 'Special', 'Level', 'above', 'Silver', 'Points',' Download ',' MyTelkomsel ',' Benefit ',' package ',' data ',' run out ',' direct ',' suck ',' pulse ',' permission ',' ']")</f>
        <v>['Points',' Telkomsel ',' Nongol ',' Contents', 'Special', 'Level', 'above', 'Silver', 'Points',' Download ',' MyTelkomsel ',' Benefit ',' package ',' data ',' run out ',' direct ',' suck ',' pulse ',' permission ',' ']</v>
      </c>
      <c r="D2355" s="3">
        <v>1.0</v>
      </c>
    </row>
    <row r="2356" ht="15.75" customHeight="1">
      <c r="A2356" s="1">
        <v>2354.0</v>
      </c>
      <c r="B2356" s="3" t="s">
        <v>2357</v>
      </c>
      <c r="C2356" s="3" t="str">
        <f>IFERROR(__xludf.DUMMYFUNCTION("GOOGLETRANSLATE(B2356,""id"",""en"")"),"['Network', 'Telkomsel', 'Lombok', 'West', 'Burik', 'already', 'That's', 'Contents', 'Credit', 'Pulses', 'Like', 'Did "",' use ',' Males', 'use', 'Telkomsel', 'sorry', 'facts',' Telkomsel ',' already ',' Burik ', ""]")</f>
        <v>['Network', 'Telkomsel', 'Lombok', 'West', 'Burik', 'already', 'That's', 'Contents', 'Credit', 'Pulses', 'Like', 'Did ",' use ',' Males', 'use', 'Telkomsel', 'sorry', 'facts',' Telkomsel ',' already ',' Burik ', "]</v>
      </c>
      <c r="D2356" s="3">
        <v>1.0</v>
      </c>
    </row>
    <row r="2357" ht="15.75" customHeight="1">
      <c r="A2357" s="1">
        <v>2355.0</v>
      </c>
      <c r="B2357" s="3" t="s">
        <v>2358</v>
      </c>
      <c r="C2357" s="3" t="str">
        <f>IFERROR(__xludf.DUMMYFUNCTION("GOOGLETRANSLATE(B2357,""id"",""en"")"),"['mine', 'gabisa', 'take a reward', 'stamp', 'below it', 'UDH', 'Taken', 'lock', 'login', 'reset', ' Take ',' reward ',' quota ',' sent ',' message ',' reach ',' limit ',' exchange ',' times', 'blom', 'taken', 'wish', 'what' , '']")</f>
        <v>['mine', 'gabisa', 'take a reward', 'stamp', 'below it', 'UDH', 'Taken', 'lock', 'login', 'reset', ' Take ',' reward ',' quota ',' sent ',' message ',' reach ',' limit ',' exchange ',' times', 'blom', 'taken', 'wish', 'what' , '']</v>
      </c>
      <c r="D2357" s="3">
        <v>2.0</v>
      </c>
    </row>
    <row r="2358" ht="15.75" customHeight="1">
      <c r="A2358" s="1">
        <v>2356.0</v>
      </c>
      <c r="B2358" s="3" t="s">
        <v>2359</v>
      </c>
      <c r="C2358" s="3" t="str">
        <f>IFERROR(__xludf.DUMMYFUNCTION("GOOGLETRANSLATE(B2358,""id"",""en"")"),"['partner', 'Telkomsel', 'Dear', 'experience', 'complaints',' pulse ',' truncated ',' signal ',' slow ',' signal ',' slow ',' Kawa ',' Telkomsel ',' signal ',' good ',' network ',' ']")</f>
        <v>['partner', 'Telkomsel', 'Dear', 'experience', 'complaints',' pulse ',' truncated ',' signal ',' slow ',' signal ',' slow ',' Kawa ',' Telkomsel ',' signal ',' good ',' network ',' ']</v>
      </c>
      <c r="D2358" s="3">
        <v>1.0</v>
      </c>
    </row>
    <row r="2359" ht="15.75" customHeight="1">
      <c r="A2359" s="1">
        <v>2357.0</v>
      </c>
      <c r="B2359" s="3" t="s">
        <v>2360</v>
      </c>
      <c r="C2359" s="3" t="str">
        <f>IFERROR(__xludf.DUMMYFUNCTION("GOOGLETRANSLATE(B2359,""id"",""en"")"),"['The application', 'jelekkkkkkk', 'bangggeeettt', 'use', 'regret', 'mending', 'apus',' application ',' ngeselinnn ',' buy ',' quota ',' missing ',' ']")</f>
        <v>['The application', 'jelekkkkkkk', 'bangggeeettt', 'use', 'regret', 'mending', 'apus',' application ',' ngeselinnn ',' buy ',' quota ',' missing ',' ']</v>
      </c>
      <c r="D2359" s="3">
        <v>1.0</v>
      </c>
    </row>
    <row r="2360" ht="15.75" customHeight="1">
      <c r="A2360" s="1">
        <v>2358.0</v>
      </c>
      <c r="B2360" s="3" t="s">
        <v>2361</v>
      </c>
      <c r="C2360" s="3" t="str">
        <f>IFERROR(__xludf.DUMMYFUNCTION("GOOGLETRANSLATE(B2360,""id"",""en"")"),"['APK', 'name', 'squeeze', 'pelangement', 'masi', 'package', 'internet', 'credit', 'reduced', 'means', ""]")</f>
        <v>['APK', 'name', 'squeeze', 'pelangement', 'masi', 'package', 'internet', 'credit', 'reduced', 'means', "]</v>
      </c>
      <c r="D2360" s="3">
        <v>1.0</v>
      </c>
    </row>
    <row r="2361" ht="15.75" customHeight="1">
      <c r="A2361" s="1">
        <v>2359.0</v>
      </c>
      <c r="B2361" s="3" t="s">
        <v>2362</v>
      </c>
      <c r="C2361" s="3" t="str">
        <f>IFERROR(__xludf.DUMMYFUNCTION("GOOGLETRANSLATE(B2361,""id"",""en"")"),"['application', 'raw', 'forced', 'display', 'menu', 'feature', 'check', 'pulse', 'kouta', 'klu', 'success',' addin ',' Buy ',' Server ',' Location ',' Secrets', 'Hope', 'Enhanced', 'Because', 'Secret', 'Difficult', 'Maintance', 'Poor', 'Customer', 'Disord"&amp;"ers' , 'confidential', '']")</f>
        <v>['application', 'raw', 'forced', 'display', 'menu', 'feature', 'check', 'pulse', 'kouta', 'klu', 'success',' addin ',' Buy ',' Server ',' Location ',' Secrets', 'Hope', 'Enhanced', 'Because', 'Secret', 'Difficult', 'Maintance', 'Poor', 'Customer', 'Disorders' , 'confidential', '']</v>
      </c>
      <c r="D2361" s="3">
        <v>1.0</v>
      </c>
    </row>
    <row r="2362" ht="15.75" customHeight="1">
      <c r="A2362" s="1">
        <v>2360.0</v>
      </c>
      <c r="B2362" s="3" t="s">
        <v>2363</v>
      </c>
      <c r="C2362" s="3" t="str">
        <f>IFERROR(__xludf.DUMMYFUNCTION("GOOGLETRANSLATE(B2362,""id"",""en"")"),"['Lose', 'SMA', 'Provider', 'Stop', 'Current', 'Data', 'Package', 'Data', 'Abis',' Credit ',' Cut ',' SNI ',' Sedooottt ',' Sampe ',' Abis', 'DTG', 'SMS', 'Spam', 'Credit', 'MNCKPI', 'BLA', 'BLA', 'BLA', 'BLA']")</f>
        <v>['Lose', 'SMA', 'Provider', 'Stop', 'Current', 'Data', 'Package', 'Data', 'Abis',' Credit ',' Cut ',' SNI ',' Sedooottt ',' Sampe ',' Abis', 'DTG', 'SMS', 'Spam', 'Credit', 'MNCKPI', 'BLA', 'BLA', 'BLA', 'BLA']</v>
      </c>
      <c r="D2362" s="3">
        <v>1.0</v>
      </c>
    </row>
    <row r="2363" ht="15.75" customHeight="1">
      <c r="A2363" s="1">
        <v>2361.0</v>
      </c>
      <c r="B2363" s="3" t="s">
        <v>2364</v>
      </c>
      <c r="C2363" s="3" t="str">
        <f>IFERROR(__xludf.DUMMYFUNCTION("GOOGLETRANSLATE(B2363,""id"",""en"")"),"['Sorry', 'gave', 'rating', 'UDH', 'Application', 'Fun', 'ane', 'buy', 'quota', 'call', 'ama', 'internet', ' Lansung ',' application ',' easy ',' ']")</f>
        <v>['Sorry', 'gave', 'rating', 'UDH', 'Application', 'Fun', 'ane', 'buy', 'quota', 'call', 'ama', 'internet', ' Lansung ',' application ',' easy ',' ']</v>
      </c>
      <c r="D2363" s="3">
        <v>5.0</v>
      </c>
    </row>
    <row r="2364" ht="15.75" customHeight="1">
      <c r="A2364" s="1">
        <v>2362.0</v>
      </c>
      <c r="B2364" s="3" t="s">
        <v>2365</v>
      </c>
      <c r="C2364" s="3" t="str">
        <f>IFERROR(__xludf.DUMMYFUNCTION("GOOGLETRANSLATE(B2364,""id"",""en"")"),"['annoying', 'waste', 'money', 'buy', 'package', 'internet', 'network', 'difficult', 'city', 'lho', 'lazy', 'pke', ' Telkomsel ',' ']")</f>
        <v>['annoying', 'waste', 'money', 'buy', 'package', 'internet', 'network', 'difficult', 'city', 'lho', 'lazy', 'pke', ' Telkomsel ',' ']</v>
      </c>
      <c r="D2364" s="3">
        <v>1.0</v>
      </c>
    </row>
    <row r="2365" ht="15.75" customHeight="1">
      <c r="A2365" s="1">
        <v>2363.0</v>
      </c>
      <c r="B2365" s="3" t="s">
        <v>2366</v>
      </c>
      <c r="C2365" s="3" t="str">
        <f>IFERROR(__xludf.DUMMYFUNCTION("GOOGLETRANSLATE(B2365,""id"",""en"")"),"['Signal', 'Telkomsel', 'Fix', 'Performance', 'Come', 'Reduced', 'How', 'Technology', 'Signal', 'Jakarta', 'Like', 'ilang', ' Embossed ',' Sometimes', 'Stable', 'Strength', 'Signal', 'Hadeeeh']")</f>
        <v>['Signal', 'Telkomsel', 'Fix', 'Performance', 'Come', 'Reduced', 'How', 'Technology', 'Signal', 'Jakarta', 'Like', 'ilang', ' Embossed ',' Sometimes', 'Stable', 'Strength', 'Signal', 'Hadeeeh']</v>
      </c>
      <c r="D2365" s="3">
        <v>1.0</v>
      </c>
    </row>
    <row r="2366" ht="15.75" customHeight="1">
      <c r="A2366" s="1">
        <v>2364.0</v>
      </c>
      <c r="B2366" s="3" t="s">
        <v>2367</v>
      </c>
      <c r="C2366" s="3" t="str">
        <f>IFERROR(__xludf.DUMMYFUNCTION("GOOGLETRANSLATE(B2366,""id"",""en"")"),"['Take', 'Item', 'already', 'buy', 'cutomer', 'hrs',' right ',' sell ',' buy ',' what ',' religion ',' forbid ',' argument ',' system ',' dizziness', 'system', 'artificial', 'human', 'wise', 'book', 'down', 'sang', 'creator', 'policy', 'raw' , 'example', "&amp;"'argument', 'system', 'bukin', 'system', 'wise']")</f>
        <v>['Take', 'Item', 'already', 'buy', 'cutomer', 'hrs',' right ',' sell ',' buy ',' what ',' religion ',' forbid ',' argument ',' system ',' dizziness', 'system', 'artificial', 'human', 'wise', 'book', 'down', 'sang', 'creator', 'policy', 'raw' , 'example', 'argument', 'system', 'bukin', 'system', 'wise']</v>
      </c>
      <c r="D2366" s="3">
        <v>5.0</v>
      </c>
    </row>
    <row r="2367" ht="15.75" customHeight="1">
      <c r="A2367" s="1">
        <v>2365.0</v>
      </c>
      <c r="B2367" s="3" t="s">
        <v>2368</v>
      </c>
      <c r="C2367" s="3" t="str">
        <f>IFERROR(__xludf.DUMMYFUNCTION("GOOGLETRANSLATE(B2367,""id"",""en"")"),"['Sorry', 'Telkomsel', 'annoying', 'already', 'expensive', 'network', 'down', 'go out', 'electricity', 'rich', 'org', 'stool', ' ngapa ',' in ',' signal ',' down ',' please ',' repaired ',' honest ',' already ',' Telkomsel ',' here ',' down ',' service ',"&amp;"' ']")</f>
        <v>['Sorry', 'Telkomsel', 'annoying', 'already', 'expensive', 'network', 'down', 'go out', 'electricity', 'rich', 'org', 'stool', ' ngapa ',' in ',' signal ',' down ',' please ',' repaired ',' honest ',' already ',' Telkomsel ',' here ',' down ',' service ',' ']</v>
      </c>
      <c r="D2367" s="3">
        <v>1.0</v>
      </c>
    </row>
    <row r="2368" ht="15.75" customHeight="1">
      <c r="A2368" s="1">
        <v>2366.0</v>
      </c>
      <c r="B2368" s="3" t="s">
        <v>2369</v>
      </c>
      <c r="C2368" s="3" t="str">
        <f>IFERROR(__xludf.DUMMYFUNCTION("GOOGLETRANSLATE(B2368,""id"",""en"")"),"['Most', 'update', 'login', 'entry', 'verification', 'password', 'price', 'package', 'expensive', 'kouta', 'phone', 'reduce', ' already ',' pandemic ',' folk ',' economy ',' declined ',' plus', 'net', 'slow', 'senanani', ""]")</f>
        <v>['Most', 'update', 'login', 'entry', 'verification', 'password', 'price', 'package', 'expensive', 'kouta', 'phone', 'reduce', ' already ',' pandemic ',' folk ',' economy ',' declined ',' plus', 'net', 'slow', 'senanani', "]</v>
      </c>
      <c r="D2368" s="3">
        <v>2.0</v>
      </c>
    </row>
    <row r="2369" ht="15.75" customHeight="1">
      <c r="A2369" s="1">
        <v>2367.0</v>
      </c>
      <c r="B2369" s="3" t="s">
        <v>2370</v>
      </c>
      <c r="C2369" s="3" t="str">
        <f>IFERROR(__xludf.DUMMYFUNCTION("GOOGLETRANSLATE(B2369,""id"",""en"")"),"['times',' update ',' problematic ',' times', 'update', 'star', 'subtract', 'update', 'times',' problematic ',' daily ',' check ',' program ',' button ',' check ',' active ',' suggest ',' Clear ',' data ',' clear ',' cache ',' do ',' suggest ',' contact '"&amp;",' call ' , 'Center', 'confusing', '']")</f>
        <v>['times',' update ',' problematic ',' times', 'update', 'star', 'subtract', 'update', 'times',' problematic ',' daily ',' check ',' program ',' button ',' check ',' active ',' suggest ',' Clear ',' data ',' clear ',' cache ',' do ',' suggest ',' contact ',' call ' , 'Center', 'confusing', '']</v>
      </c>
      <c r="D2369" s="3">
        <v>2.0</v>
      </c>
    </row>
    <row r="2370" ht="15.75" customHeight="1">
      <c r="A2370" s="1">
        <v>2368.0</v>
      </c>
      <c r="B2370" s="3" t="s">
        <v>2371</v>
      </c>
      <c r="C2370" s="3" t="str">
        <f>IFERROR(__xludf.DUMMYFUNCTION("GOOGLETRANSLATE(B2370,""id"",""en"")"),"['Samsung', 'Force', 'Close', 'Locking', 'Hape', 'Please', 'Attention', 'Interaction', 'MyTelkomsel', 'Explanation', 'MHN', 'repaired']")</f>
        <v>['Samsung', 'Force', 'Close', 'Locking', 'Hape', 'Please', 'Attention', 'Interaction', 'MyTelkomsel', 'Explanation', 'MHN', 'repaired']</v>
      </c>
      <c r="D2370" s="3">
        <v>1.0</v>
      </c>
    </row>
    <row r="2371" ht="15.75" customHeight="1">
      <c r="A2371" s="1">
        <v>2369.0</v>
      </c>
      <c r="B2371" s="3" t="s">
        <v>2372</v>
      </c>
      <c r="C2371" s="3" t="str">
        <f>IFERROR(__xludf.DUMMYFUNCTION("GOOGLETRANSLATE(B2371,""id"",""en"")"),"['Telkomsel', 'stem', 'attack', 'kec', 'stem', 'attack', 'North Sumatra', 'quality', 'severe', 'lag', 'symbol', 'Branda', ' You ',' Tube ',' Buffering ',' BGUz ',' Network ',' Axis', 'Quality', 'Telkomsel', ""]")</f>
        <v>['Telkomsel', 'stem', 'attack', 'kec', 'stem', 'attack', 'North Sumatra', 'quality', 'severe', 'lag', 'symbol', 'Branda', ' You ',' Tube ',' Buffering ',' BGUz ',' Network ',' Axis', 'Quality', 'Telkomsel', "]</v>
      </c>
      <c r="D2371" s="3">
        <v>1.0</v>
      </c>
    </row>
    <row r="2372" ht="15.75" customHeight="1">
      <c r="A2372" s="1">
        <v>2370.0</v>
      </c>
      <c r="B2372" s="3" t="s">
        <v>2373</v>
      </c>
      <c r="C2372" s="3" t="str">
        <f>IFERROR(__xludf.DUMMYFUNCTION("GOOGLETRANSLATE(B2372,""id"",""en"")"),"['Please', 'pulse', 'regular', 'separated', 'access',' internet ',' choice ',' use it ',' pulse ',' run out ',' package ',' internet ',' Many ',' times', 'customers',' experience ',' ']")</f>
        <v>['Please', 'pulse', 'regular', 'separated', 'access',' internet ',' choice ',' use it ',' pulse ',' run out ',' package ',' internet ',' Many ',' times', 'customers',' experience ',' ']</v>
      </c>
      <c r="D2372" s="3">
        <v>1.0</v>
      </c>
    </row>
    <row r="2373" ht="15.75" customHeight="1">
      <c r="A2373" s="1">
        <v>2371.0</v>
      </c>
      <c r="B2373" s="3" t="s">
        <v>2374</v>
      </c>
      <c r="C2373" s="3" t="str">
        <f>IFERROR(__xludf.DUMMYFUNCTION("GOOGLETRANSLATE(B2373,""id"",""en"")"),"['ugly', 'package', 'according to', 'menu', 'sample', 'contents',' pulse ',' rb ',' point ',' point ',' can ',' Veronika ',' Minimal ',' purchase ',' rb ',' menu ',' requirements', ""]")</f>
        <v>['ugly', 'package', 'according to', 'menu', 'sample', 'contents',' pulse ',' rb ',' point ',' point ',' can ',' Veronika ',' Minimal ',' purchase ',' rb ',' menu ',' requirements', "]</v>
      </c>
      <c r="D2373" s="3">
        <v>1.0</v>
      </c>
    </row>
    <row r="2374" ht="15.75" customHeight="1">
      <c r="A2374" s="1">
        <v>2372.0</v>
      </c>
      <c r="B2374" s="3" t="s">
        <v>2375</v>
      </c>
      <c r="C2374" s="3" t="str">
        <f>IFERROR(__xludf.DUMMYFUNCTION("GOOGLETRANSLATE(B2374,""id"",""en"")"),"['Region', 'Live', 'Special', 'City', 'Padang', 'Network', 'Telkomsel', 'Taik', 'Chicken', 'Minutes',' Lost ',' Total ',' network ',' second ',' then ',' on ',' package ',' expensive ',' network ',' taik ',' disappointed ',' player ',' gamer ',' special '"&amp;",' mobelegend ' ]")</f>
        <v>['Region', 'Live', 'Special', 'City', 'Padang', 'Network', 'Telkomsel', 'Taik', 'Chicken', 'Minutes',' Lost ',' Total ',' network ',' second ',' then ',' on ',' package ',' expensive ',' network ',' taik ',' disappointed ',' player ',' gamer ',' special ',' mobelegend ' ]</v>
      </c>
      <c r="D2374" s="3">
        <v>1.0</v>
      </c>
    </row>
    <row r="2375" ht="15.75" customHeight="1">
      <c r="A2375" s="1">
        <v>2373.0</v>
      </c>
      <c r="B2375" s="3" t="s">
        <v>2376</v>
      </c>
      <c r="C2375" s="3" t="str">
        <f>IFERROR(__xludf.DUMMYFUNCTION("GOOGLETRANSLATE(B2375,""id"",""en"")"),"['Telkomsel', 'just', 'capital', 'check', 'doang', 'weve', 'yes',' right ',' capital ',' check ',' do ',' already ',' times', 'Genesis',' Rich ',' Gini ',' Yesterday ',' already ',' Sempetin ',' check ',' redeem ',' transaction ',' fail ',' just ',' optio"&amp;"n ' , 'Option', 'pulse', 'already', 'reduced', 'silver', 'option', 'times',' account ',' different ',' next ',' mending ',' uninstall ',' MyTelkomsel ',' Switch ',' Provider ',' ']")</f>
        <v>['Telkomsel', 'just', 'capital', 'check', 'doang', 'weve', 'yes',' right ',' capital ',' check ',' do ',' already ',' times', 'Genesis',' Rich ',' Gini ',' Yesterday ',' already ',' Sempetin ',' check ',' redeem ',' transaction ',' fail ',' just ',' option ' , 'Option', 'pulse', 'already', 'reduced', 'silver', 'option', 'times',' account ',' different ',' next ',' mending ',' uninstall ',' MyTelkomsel ',' Switch ',' Provider ',' ']</v>
      </c>
      <c r="D2375" s="3">
        <v>1.0</v>
      </c>
    </row>
    <row r="2376" ht="15.75" customHeight="1">
      <c r="A2376" s="1">
        <v>2374.0</v>
      </c>
      <c r="B2376" s="3" t="s">
        <v>2377</v>
      </c>
      <c r="C2376" s="3" t="str">
        <f>IFERROR(__xludf.DUMMYFUNCTION("GOOGLETRANSLATE(B2376,""id"",""en"")"),"['buy', 'package', 'gamemax', 'quota', 'game', 'gabisa', 'dipake', 'game', 'network', 'like', 'ilang', 'dead', ' The data ',' Dinalin ',' Tap ',' Hand ',' Telkomsel ', ""]")</f>
        <v>['buy', 'package', 'gamemax', 'quota', 'game', 'gabisa', 'dipake', 'game', 'network', 'like', 'ilang', 'dead', ' The data ',' Dinalin ',' Tap ',' Hand ',' Telkomsel ', "]</v>
      </c>
      <c r="D2376" s="3">
        <v>1.0</v>
      </c>
    </row>
    <row r="2377" ht="15.75" customHeight="1">
      <c r="A2377" s="1">
        <v>2375.0</v>
      </c>
      <c r="B2377" s="3" t="s">
        <v>2378</v>
      </c>
      <c r="C2377" s="3" t="str">
        <f>IFERROR(__xludf.DUMMYFUNCTION("GOOGLETRANSLATE(B2377,""id"",""en"")"),"['already', 'Daily', 'checkin', 'can', 'quota', 'bonus',' already ',' kayak ',' gini ',' crazy ',' repair ',' complain ',' Call ',' Center ',' DPT ',' Solution ',' Ngefek ',' Mending ',' Gausah ',' Samsok ',' Bkin ',' Promo ',' Bonus', 'Quota']")</f>
        <v>['already', 'Daily', 'checkin', 'can', 'quota', 'bonus',' already ',' kayak ',' gini ',' crazy ',' repair ',' complain ',' Call ',' Center ',' DPT ',' Solution ',' Ngefek ',' Mending ',' Gausah ',' Samsok ',' Bkin ',' Promo ',' Bonus', 'Quota']</v>
      </c>
      <c r="D2377" s="3">
        <v>1.0</v>
      </c>
    </row>
    <row r="2378" ht="15.75" customHeight="1">
      <c r="A2378" s="1">
        <v>2376.0</v>
      </c>
      <c r="B2378" s="3" t="s">
        <v>2379</v>
      </c>
      <c r="C2378" s="3" t="str">
        <f>IFERROR(__xludf.DUMMYFUNCTION("GOOGLETRANSLATE(B2378,""id"",""en"")"),"['Please', 'Fix', 'Fast', 'What', 'Entrance', 'Application', 'Good', 'Real', 'Buy', 'Package', 'Disruption', 'Gifts',' hours', 'rich', 'gini', 'resulted in', 'trust', 'community', 'user', 'Telkomsel', ""]")</f>
        <v>['Please', 'Fix', 'Fast', 'What', 'Entrance', 'Application', 'Good', 'Real', 'Buy', 'Package', 'Disruption', 'Gifts',' hours', 'rich', 'gini', 'resulted in', 'trust', 'community', 'user', 'Telkomsel', "]</v>
      </c>
      <c r="D2378" s="3">
        <v>2.0</v>
      </c>
    </row>
    <row r="2379" ht="15.75" customHeight="1">
      <c r="A2379" s="1">
        <v>2377.0</v>
      </c>
      <c r="B2379" s="3" t="s">
        <v>2380</v>
      </c>
      <c r="C2379" s="3" t="str">
        <f>IFERROR(__xludf.DUMMYFUNCTION("GOOGLETRANSLATE(B2379,""id"",""en"")"),"['boro', 'boro', 'open', 'Telkomsel', 'open', 'lite', 'difficult', 'forgiveness',' unlimited ',' renewal ',' kyak ',' gini ',' Telkomsel ',' BNYAK ',' Interesters', 'Kyak', 'Gini', 'Yes',' Follow ',' Lockdown ',' Sinyall ', ""]")</f>
        <v>['boro', 'boro', 'open', 'Telkomsel', 'open', 'lite', 'difficult', 'forgiveness',' unlimited ',' renewal ',' kyak ',' gini ',' Telkomsel ',' BNYAK ',' Interesters', 'Kyak', 'Gini', 'Yes',' Follow ',' Lockdown ',' Sinyall ', "]</v>
      </c>
      <c r="D2379" s="3">
        <v>1.0</v>
      </c>
    </row>
    <row r="2380" ht="15.75" customHeight="1">
      <c r="A2380" s="1">
        <v>2378.0</v>
      </c>
      <c r="B2380" s="3" t="s">
        <v>2381</v>
      </c>
      <c r="C2380" s="3" t="str">
        <f>IFERROR(__xludf.DUMMYFUNCTION("GOOGLETRANSLATE(B2380,""id"",""en"")"),"['Network', 'The worst', 'in the world', 'Telkomsel', 'Life', 'Jakarta', 'CENTRALLOH', 'Network', 'Severe', 'His Way', 'Snail', 'Already', ' So ',' like ',' you've got ',' network ',' hope ',' company ',' fast ',' replacement ',' provider ']")</f>
        <v>['Network', 'The worst', 'in the world', 'Telkomsel', 'Life', 'Jakarta', 'CENTRALLOH', 'Network', 'Severe', 'His Way', 'Snail', 'Already', ' So ',' like ',' you've got ',' network ',' hope ',' company ',' fast ',' replacement ',' provider ']</v>
      </c>
      <c r="D2380" s="3">
        <v>1.0</v>
      </c>
    </row>
    <row r="2381" ht="15.75" customHeight="1">
      <c r="A2381" s="1">
        <v>2379.0</v>
      </c>
      <c r="B2381" s="3" t="s">
        <v>2382</v>
      </c>
      <c r="C2381" s="3" t="str">
        <f>IFERROR(__xludf.DUMMYFUNCTION("GOOGLETRANSLATE(B2381,""id"",""en"")"),"['Package', 'writing', 'Chatt', 'Music', 'Games',' Sosmed ',' Unlimited ',' right ',' notification ',' limit ',' Naturally ',' quota ',' Application ',' Out ',' Access', 'Internet', 'Unlimited', 'Out', 'Quota', 'Main', 'Notification', 'Limit', 'Naturally'"&amp;", 'Quota', ""]")</f>
        <v>['Package', 'writing', 'Chatt', 'Music', 'Games',' Sosmed ',' Unlimited ',' right ',' notification ',' limit ',' Naturally ',' quota ',' Application ',' Out ',' Access', 'Internet', 'Unlimited', 'Out', 'Quota', 'Main', 'Notification', 'Limit', 'Naturally', 'Quota', "]</v>
      </c>
      <c r="D2381" s="3">
        <v>1.0</v>
      </c>
    </row>
    <row r="2382" ht="15.75" customHeight="1">
      <c r="A2382" s="1">
        <v>2380.0</v>
      </c>
      <c r="B2382" s="3" t="s">
        <v>2383</v>
      </c>
      <c r="C2382" s="3" t="str">
        <f>IFERROR(__xludf.DUMMYFUNCTION("GOOGLETRANSLATE(B2382,""id"",""en"")"),"['tolanglah', 'gini', 'network', 'Try', 'Telkomsel', 'strengthen', 'network', 'region', 'region', 'remote', 'Best', 'already', ' Bangus', 'Love', 'Bintang', 'Mind', '']")</f>
        <v>['tolanglah', 'gini', 'network', 'Try', 'Telkomsel', 'strengthen', 'network', 'region', 'region', 'remote', 'Best', 'already', ' Bangus', 'Love', 'Bintang', 'Mind', '']</v>
      </c>
      <c r="D2382" s="3">
        <v>1.0</v>
      </c>
    </row>
    <row r="2383" ht="15.75" customHeight="1">
      <c r="A2383" s="1">
        <v>2381.0</v>
      </c>
      <c r="B2383" s="3" t="s">
        <v>2384</v>
      </c>
      <c r="C2383" s="3" t="str">
        <f>IFERROR(__xludf.DUMMYFUNCTION("GOOGLETRANSLATE(B2383,""id"",""en"")"),"['Mampus',' bnyak ',' star ',' package ',' collapse ',' price ',' already ',' mesk ',' card ',' package ',' expensive ',' in ',' karma ',' fill ',' pulse ',' right ',' check ',' rupiah ',' please ',' sms', 'expenditure', 'stupid', 'ush', 'maling', 'cook' "&amp;", 'wifi', 'must', 'tax', 'pulse', 'udh', 'bone', 'idiot']")</f>
        <v>['Mampus',' bnyak ',' star ',' package ',' collapse ',' price ',' already ',' mesk ',' card ',' package ',' expensive ',' in ',' karma ',' fill ',' pulse ',' right ',' check ',' rupiah ',' please ',' sms', 'expenditure', 'stupid', 'ush', 'maling', 'cook' , 'wifi', 'must', 'tax', 'pulse', 'udh', 'bone', 'idiot']</v>
      </c>
      <c r="D2383" s="3">
        <v>1.0</v>
      </c>
    </row>
    <row r="2384" ht="15.75" customHeight="1">
      <c r="A2384" s="1">
        <v>2382.0</v>
      </c>
      <c r="B2384" s="3" t="s">
        <v>2385</v>
      </c>
      <c r="C2384" s="3" t="str">
        <f>IFERROR(__xludf.DUMMYFUNCTION("GOOGLETRANSLATE(B2384,""id"",""en"")"),"['Telkomsel', 'please', 'signal', 'fix', 'easy', 'fix', 'network', 'pestured', 'please', 'try', 'signal', 'fast', ' Kanrugi ',' buy ',' City ',' expensive ',' network ',' ugly ']")</f>
        <v>['Telkomsel', 'please', 'signal', 'fix', 'easy', 'fix', 'network', 'pestured', 'please', 'try', 'signal', 'fast', ' Kanrugi ',' buy ',' City ',' expensive ',' network ',' ugly ']</v>
      </c>
      <c r="D2384" s="3">
        <v>2.0</v>
      </c>
    </row>
    <row r="2385" ht="15.75" customHeight="1">
      <c r="A2385" s="1">
        <v>2383.0</v>
      </c>
      <c r="B2385" s="3" t="s">
        <v>2386</v>
      </c>
      <c r="C2385" s="3" t="str">
        <f>IFERROR(__xludf.DUMMYFUNCTION("GOOGLETRANSLATE(B2385,""id"",""en"")"),"['automatic', 'subscribe', 'sky', 'music', 'premium', 'automatic', 'eat', 'pulse', 'disappointing', 'list', 'confirm', 'list', ' Direct ',' subscribe ',' ']")</f>
        <v>['automatic', 'subscribe', 'sky', 'music', 'premium', 'automatic', 'eat', 'pulse', 'disappointing', 'list', 'confirm', 'list', ' Direct ',' subscribe ',' ']</v>
      </c>
      <c r="D2385" s="3">
        <v>1.0</v>
      </c>
    </row>
    <row r="2386" ht="15.75" customHeight="1">
      <c r="A2386" s="1">
        <v>2384.0</v>
      </c>
      <c r="B2386" s="3" t="s">
        <v>2387</v>
      </c>
      <c r="C2386" s="3" t="str">
        <f>IFERROR(__xludf.DUMMYFUNCTION("GOOGLETRANSLATE(B2386,""id"",""en"")"),"['Good', 'the application', 'no', 'ngecewaiin', 'hopefully', 'stable', 'good', 'in the future', 'suprise', 'Dome', 'MOTHER', 'a month', ' Hopefully ',' in the future ',' promo ',' interesting ',' ']")</f>
        <v>['Good', 'the application', 'no', 'ngecewaiin', 'hopefully', 'stable', 'good', 'in the future', 'suprise', 'Dome', 'MOTHER', 'a month', ' Hopefully ',' in the future ',' promo ',' interesting ',' ']</v>
      </c>
      <c r="D2386" s="3">
        <v>5.0</v>
      </c>
    </row>
    <row r="2387" ht="15.75" customHeight="1">
      <c r="A2387" s="1">
        <v>2385.0</v>
      </c>
      <c r="B2387" s="3" t="s">
        <v>2388</v>
      </c>
      <c r="C2387" s="3" t="str">
        <f>IFERROR(__xludf.DUMMYFUNCTION("GOOGLETRANSLATE(B2387,""id"",""en"")"),"['Telkomsel', 'Overcoming', 'Network', 'Bad', 'Since', 'Change', 'Logo', 'Use', 'Work', 'Game', 'Etc.', 'Suitable', ' ']")</f>
        <v>['Telkomsel', 'Overcoming', 'Network', 'Bad', 'Since', 'Change', 'Logo', 'Use', 'Work', 'Game', 'Etc.', 'Suitable', ' ']</v>
      </c>
      <c r="D2387" s="3">
        <v>1.0</v>
      </c>
    </row>
    <row r="2388" ht="15.75" customHeight="1">
      <c r="A2388" s="1">
        <v>2386.0</v>
      </c>
      <c r="B2388" s="3" t="s">
        <v>2389</v>
      </c>
      <c r="C2388" s="3" t="str">
        <f>IFERROR(__xludf.DUMMYFUNCTION("GOOGLETRANSLATE(B2388,""id"",""en"")"),"['', 'update', 'log', 'verification', 'via', 'SMS', 'sent', 'try', 'log', 'via', 'email', 'said', 'email ',' Registered ',' Try ',' Help ',' Veronika ',' Try ',' Log ',' TTP ',' How ',' Telkomsel ',' Application ',' UDH ',' THN ',' THN ', 'times', 'proble"&amp;"matic', 'disappointed', '']")</f>
        <v>['', 'update', 'log', 'verification', 'via', 'SMS', 'sent', 'try', 'log', 'via', 'email', 'said', 'email ',' Registered ',' Try ',' Help ',' Veronika ',' Try ',' Log ',' TTP ',' How ',' Telkomsel ',' Application ',' UDH ',' THN ',' THN ', 'times', 'problematic', 'disappointed', '']</v>
      </c>
      <c r="D2388" s="3">
        <v>1.0</v>
      </c>
    </row>
    <row r="2389" ht="15.75" customHeight="1">
      <c r="A2389" s="1">
        <v>2387.0</v>
      </c>
      <c r="B2389" s="3" t="s">
        <v>2390</v>
      </c>
      <c r="C2389" s="3" t="str">
        <f>IFERROR(__xludf.DUMMYFUNCTION("GOOGLETRANSLATE(B2389,""id"",""en"")"),"['Buy', 'Package', 'Combo', 'Sakti', 'She', 'Quota', 'Internet', 'Doang', 'Quota', 'Multimdia', 'Manchester', 'Open', ' SOSMED ',' Games', 'Etc.', 'She', 'Quota', 'Internet', 'Doang', '']")</f>
        <v>['Buy', 'Package', 'Combo', 'Sakti', 'She', 'Quota', 'Internet', 'Doang', 'Quota', 'Multimdia', 'Manchester', 'Open', ' SOSMED ',' Games', 'Etc.', 'She', 'Quota', 'Internet', 'Doang', '']</v>
      </c>
      <c r="D2389" s="3">
        <v>2.0</v>
      </c>
    </row>
    <row r="2390" ht="15.75" customHeight="1">
      <c r="A2390" s="1">
        <v>2388.0</v>
      </c>
      <c r="B2390" s="3" t="s">
        <v>2391</v>
      </c>
      <c r="C2390" s="3" t="str">
        <f>IFERROR(__xludf.DUMMYFUNCTION("GOOGLETRANSLATE(B2390,""id"",""en"")"),"['update', 'please', 'specifically', 'use', 'usage', 'pulse', 'full', 'cut "",' automatic ',' nsp ',' package ',' other ' Credit ',' missing ']")</f>
        <v>['update', 'please', 'specifically', 'use', 'usage', 'pulse', 'full', 'cut ",' automatic ',' nsp ',' package ',' other ' Credit ',' missing ']</v>
      </c>
      <c r="D2390" s="3">
        <v>1.0</v>
      </c>
    </row>
    <row r="2391" ht="15.75" customHeight="1">
      <c r="A2391" s="1">
        <v>2389.0</v>
      </c>
      <c r="B2391" s="3" t="s">
        <v>2392</v>
      </c>
      <c r="C2391" s="3" t="str">
        <f>IFERROR(__xludf.DUMMYFUNCTION("GOOGLETRANSLATE(B2391,""id"",""en"")"),"['Telkomsel', 'Ancurrr', 'quota', 'wasteful', 'really', 'GB', 'lab', 'please', 'Jngan', 'Maruk', 'buy', 'quota', ' money ',' Telkomsel ',' Nyari ',' money ',' blessing ',' play ',' suck ', ""]")</f>
        <v>['Telkomsel', 'Ancurrr', 'quota', 'wasteful', 'really', 'GB', 'lab', 'please', 'Jngan', 'Maruk', 'buy', 'quota', ' money ',' Telkomsel ',' Nyari ',' money ',' blessing ',' play ',' suck ', "]</v>
      </c>
      <c r="D2391" s="3">
        <v>1.0</v>
      </c>
    </row>
    <row r="2392" ht="15.75" customHeight="1">
      <c r="A2392" s="1">
        <v>2390.0</v>
      </c>
      <c r="B2392" s="3" t="s">
        <v>2393</v>
      </c>
      <c r="C2392" s="3" t="str">
        <f>IFERROR(__xludf.DUMMYFUNCTION("GOOGLETRANSLATE(B2392,""id"",""en"")"),"['Quota', 'Not bad', 'area', 'KNP', 'area', 'inland', 'difficult', 'special', 'citerep', 'TLP', 'broke', 'open', ' SOSMET ',' Open ',' Disappointing ',' Cheats', 'Free', 'TLP', 'Regular', 'SMS', 'TLP', 'Direct', 'Dead', 'SMS', 'Betu' , 'Credit', 'sufficie"&amp;"nt', 'Free', 'TLP', 'MINIT', 'SMS', 'MESSAGE', 'Bid', ""]")</f>
        <v>['Quota', 'Not bad', 'area', 'KNP', 'area', 'inland', 'difficult', 'special', 'citerep', 'TLP', 'broke', 'open', ' SOSMET ',' Open ',' Disappointing ',' Cheats', 'Free', 'TLP', 'Regular', 'SMS', 'TLP', 'Direct', 'Dead', 'SMS', 'Betu' , 'Credit', 'sufficient', 'Free', 'TLP', 'MINIT', 'SMS', 'MESSAGE', 'Bid', "]</v>
      </c>
      <c r="D2392" s="3">
        <v>1.0</v>
      </c>
    </row>
    <row r="2393" ht="15.75" customHeight="1">
      <c r="A2393" s="1">
        <v>2391.0</v>
      </c>
      <c r="B2393" s="3" t="s">
        <v>2394</v>
      </c>
      <c r="C2393" s="3" t="str">
        <f>IFERROR(__xludf.DUMMYFUNCTION("GOOGLETRANSLATE(B2393,""id"",""en"")"),"['as soon as',' cut ',' pulse ',' registered ',' package ',' debt ',' credit ',' emergency ',' telephone ',' operator ',' Telkomsel ',' Cut ',' Cut ',' pulse ',' balance ',' notif ',' sms', 'Meng', 'access',' internet ',' non ',' package ',' times', 'lost"&amp;"', 'Rbu' , 'RbU', 'already', 'times', 'Notif', 'Genesis', 'Gtuh', 'jerk']")</f>
        <v>['as soon as',' cut ',' pulse ',' registered ',' package ',' debt ',' credit ',' emergency ',' telephone ',' operator ',' Telkomsel ',' Cut ',' Cut ',' pulse ',' balance ',' notif ',' sms', 'Meng', 'access',' internet ',' non ',' package ',' times', 'lost', 'Rbu' , 'RbU', 'already', 'times', 'Notif', 'Genesis', 'Gtuh', 'jerk']</v>
      </c>
      <c r="D2393" s="3">
        <v>1.0</v>
      </c>
    </row>
    <row r="2394" ht="15.75" customHeight="1">
      <c r="A2394" s="1">
        <v>2392.0</v>
      </c>
      <c r="B2394" s="3" t="s">
        <v>2395</v>
      </c>
      <c r="C2394" s="3" t="str">
        <f>IFERROR(__xludf.DUMMYFUNCTION("GOOGLETRANSLATE(B2394,""id"",""en"")"),"['Tsel', 'app', 'ugly', 'number', 'verification', 'difficult', 'verification', 'press',' link ',' link ',' sms', 'right', ' run out ',' enter ',' web ',' told ',' press', 'open', 'Telkomsel', 'app', 'reset', 'reset', 'until', 'lazy']")</f>
        <v>['Tsel', 'app', 'ugly', 'number', 'verification', 'difficult', 'verification', 'press',' link ',' link ',' sms', 'right', ' run out ',' enter ',' web ',' told ',' press', 'open', 'Telkomsel', 'app', 'reset', 'reset', 'until', 'lazy']</v>
      </c>
      <c r="D2394" s="3">
        <v>1.0</v>
      </c>
    </row>
    <row r="2395" ht="15.75" customHeight="1">
      <c r="A2395" s="1">
        <v>2393.0</v>
      </c>
      <c r="B2395" s="3" t="s">
        <v>2396</v>
      </c>
      <c r="C2395" s="3" t="str">
        <f>IFERROR(__xludf.DUMMYFUNCTION("GOOGLETRANSLATE(B2395,""id"",""en"")"),"['Suskes',' Telkomsel ',' Era ',' Build ',' Educate ',' Nation ',' Greetings', 'Papua', 'Papua', 'NKRI', 'Lord', 'blessing', ' Bhineka ',' single ',' Ika ',' ']")</f>
        <v>['Suskes',' Telkomsel ',' Era ',' Build ',' Educate ',' Nation ',' Greetings', 'Papua', 'Papua', 'NKRI', 'Lord', 'blessing', ' Bhineka ',' single ',' Ika ',' ']</v>
      </c>
      <c r="D2395" s="3">
        <v>5.0</v>
      </c>
    </row>
    <row r="2396" ht="15.75" customHeight="1">
      <c r="A2396" s="1">
        <v>2394.0</v>
      </c>
      <c r="B2396" s="3" t="s">
        <v>2397</v>
      </c>
      <c r="C2396" s="3" t="str">
        <f>IFERROR(__xludf.DUMMYFUNCTION("GOOGLETRANSLATE(B2396,""id"",""en"")"),"['Severe', 'Telkomsel', 'Muahal', 'Saranin', 'Moving', 'card', 'Hello', 'Raying', 'abysmal', 'expensive', 'Tawarin', 'Operator', ' according to ',' marketing ',' learning ',' Indosat ',' program ',' promo ',' yabg ',' interesting ',' promo ',' point ',' h"&amp;"andy ',' interesting ',' gini ' , 'Telkomsel', 'Karam', ""]")</f>
        <v>['Severe', 'Telkomsel', 'Muahal', 'Saranin', 'Moving', 'card', 'Hello', 'Raying', 'abysmal', 'expensive', 'Tawarin', 'Operator', ' according to ',' marketing ',' learning ',' Indosat ',' program ',' promo ',' yabg ',' interesting ',' promo ',' point ',' handy ',' interesting ',' gini ' , 'Telkomsel', 'Karam', "]</v>
      </c>
      <c r="D2396" s="3">
        <v>1.0</v>
      </c>
    </row>
    <row r="2397" ht="15.75" customHeight="1">
      <c r="A2397" s="1">
        <v>2395.0</v>
      </c>
      <c r="B2397" s="3" t="s">
        <v>2398</v>
      </c>
      <c r="C2397" s="3" t="str">
        <f>IFERROR(__xludf.DUMMYFUNCTION("GOOGLETRANSLATE(B2397,""id"",""en"")"),"['base', 'thief', 'bru', 'fill in', 'pulse', 'tomorrow', 'pulse', 'brush', 'abis',' jdi ',' cancel ',' buy ',' Package ',' Basic ',' Maling ',' Yee ',' Muke ',' gile ', ""]")</f>
        <v>['base', 'thief', 'bru', 'fill in', 'pulse', 'tomorrow', 'pulse', 'brush', 'abis',' jdi ',' cancel ',' buy ',' Package ',' Basic ',' Maling ',' Yee ',' Muke ',' gile ', "]</v>
      </c>
      <c r="D2397" s="3">
        <v>1.0</v>
      </c>
    </row>
    <row r="2398" ht="15.75" customHeight="1">
      <c r="A2398" s="1">
        <v>2396.0</v>
      </c>
      <c r="B2398" s="3" t="s">
        <v>2399</v>
      </c>
      <c r="C2398" s="3" t="str">
        <f>IFERROR(__xludf.DUMMYFUNCTION("GOOGLETRANSLATE(B2398,""id"",""en"")"),"['Disappointed', 'Service', 'Application', 'Telkomsel', 'Chat', 'Online', 'Slow', 'Responded', 'Spend', 'Informative', 'Turn', 'Claim', ' Prizes', 'Daily', 'Check', 'Error', 'Claims',' Out ',' Apply ',' Original ',' Application ',' Disappointed ',' Serasa"&amp;" ',' Cheated ', ""]")</f>
        <v>['Disappointed', 'Service', 'Application', 'Telkomsel', 'Chat', 'Online', 'Slow', 'Responded', 'Spend', 'Informative', 'Turn', 'Claim', ' Prizes', 'Daily', 'Check', 'Error', 'Claims',' Out ',' Apply ',' Original ',' Application ',' Disappointed ',' Serasa ',' Cheated ', "]</v>
      </c>
      <c r="D2398" s="3">
        <v>1.0</v>
      </c>
    </row>
    <row r="2399" ht="15.75" customHeight="1">
      <c r="A2399" s="1">
        <v>2397.0</v>
      </c>
      <c r="B2399" s="3" t="s">
        <v>2400</v>
      </c>
      <c r="C2399" s="3" t="str">
        <f>IFERROR(__xludf.DUMMYFUNCTION("GOOGLETRANSLATE(B2399,""id"",""en"")"),"['Disappointed', 'service', 'the application', 'heavy', 'failed', 'transaction', 'original', 'point', 'application', 'fix', 'uninstall', ""]")</f>
        <v>['Disappointed', 'service', 'the application', 'heavy', 'failed', 'transaction', 'original', 'point', 'application', 'fix', 'uninstall', "]</v>
      </c>
      <c r="D2399" s="3">
        <v>1.0</v>
      </c>
    </row>
    <row r="2400" ht="15.75" customHeight="1">
      <c r="A2400" s="1">
        <v>2398.0</v>
      </c>
      <c r="B2400" s="3" t="s">
        <v>2401</v>
      </c>
      <c r="C2400" s="3" t="str">
        <f>IFERROR(__xludf.DUMMYFUNCTION("GOOGLETRANSLATE(B2400,""id"",""en"")"),"['application', 'useful', 'makes it easy', 'users',' Telkomsel ',' buy ',' package ',' check ',' quota ',' promo ',' interesting ',' offered ',' Anyway ',' Mantapp ']")</f>
        <v>['application', 'useful', 'makes it easy', 'users',' Telkomsel ',' buy ',' package ',' check ',' quota ',' promo ',' interesting ',' offered ',' Anyway ',' Mantapp ']</v>
      </c>
      <c r="D2400" s="3">
        <v>5.0</v>
      </c>
    </row>
    <row r="2401" ht="15.75" customHeight="1">
      <c r="A2401" s="1">
        <v>2399.0</v>
      </c>
      <c r="B2401" s="3" t="s">
        <v>2402</v>
      </c>
      <c r="C2401" s="3" t="str">
        <f>IFERROR(__xludf.DUMMYFUNCTION("GOOGLETRANSLATE(B2401,""id"",""en"")"),"['Price', 'Package', 'Expensive', 'thousand', 'thousand', 'Telkomsel', 'thinking', 'Customer', 'thinking', 'Juragan', 'Sixai', 'Wrong', ' Providers', 'Leading', 'Understand', 'Concerned', 'Pelagan', 'Egoisss']")</f>
        <v>['Price', 'Package', 'Expensive', 'thousand', 'thousand', 'Telkomsel', 'thinking', 'Customer', 'thinking', 'Juragan', 'Sixai', 'Wrong', ' Providers', 'Leading', 'Understand', 'Concerned', 'Pelagan', 'Egoisss']</v>
      </c>
      <c r="D2401" s="3">
        <v>1.0</v>
      </c>
    </row>
    <row r="2402" ht="15.75" customHeight="1">
      <c r="A2402" s="1">
        <v>2400.0</v>
      </c>
      <c r="B2402" s="3" t="s">
        <v>2403</v>
      </c>
      <c r="C2402" s="3" t="str">
        <f>IFERROR(__xludf.DUMMYFUNCTION("GOOGLETRANSLATE(B2402,""id"",""en"")"),"['please', 'Telkomsel', 'subscribe', 'purchase', 'package', 'data', 'aspect', 'price', 'please', 'dumped', 'kasi', 'promo', ' Subscribe ',' Makasi ', ""]")</f>
        <v>['please', 'Telkomsel', 'subscribe', 'purchase', 'package', 'data', 'aspect', 'price', 'please', 'dumped', 'kasi', 'promo', ' Subscribe ',' Makasi ', "]</v>
      </c>
      <c r="D2402" s="3">
        <v>5.0</v>
      </c>
    </row>
    <row r="2403" ht="15.75" customHeight="1">
      <c r="A2403" s="1">
        <v>2401.0</v>
      </c>
      <c r="B2403" s="3" t="s">
        <v>2404</v>
      </c>
      <c r="C2403" s="3" t="str">
        <f>IFERROR(__xludf.DUMMYFUNCTION("GOOGLETRANSLATE(B2403,""id"",""en"")"),"['Provider', 'BANGJE', 'UKLU', 'BUMN', 'Fertoated', 'Package', 'Combo', 'Quota', 'Unlimited', 'blah', 'blah', 'blah', ' turn ',' Dipake ',' unlimited ',' severe ',' connection ',' product ',' Telkomsel ',' forced ', ""]")</f>
        <v>['Provider', 'BANGJE', 'UKLU', 'BUMN', 'Fertoated', 'Package', 'Combo', 'Quota', 'Unlimited', 'blah', 'blah', 'blah', ' turn ',' Dipake ',' unlimited ',' severe ',' connection ',' product ',' Telkomsel ',' forced ', "]</v>
      </c>
      <c r="D2403" s="3">
        <v>1.0</v>
      </c>
    </row>
    <row r="2404" ht="15.75" customHeight="1">
      <c r="A2404" s="1">
        <v>2402.0</v>
      </c>
      <c r="B2404" s="3" t="s">
        <v>2405</v>
      </c>
      <c r="C2404" s="3" t="str">
        <f>IFERROR(__xludf.DUMMYFUNCTION("GOOGLETRANSLATE(B2404,""id"",""en"")"),"['', 'application', 'smell', 'decay', 'buy', 'unlimited', 'daily', 'price', 'ehh', 'package', 'active', 'purchase', 'pulsa ',' Need ',' Costs', 'Administration', 'yaaa', 'hahaha', 'funny', 'Telkomsel', 'feeling', 'poor', 'consistent', 'price', 'right']")</f>
        <v>['', 'application', 'smell', 'decay', 'buy', 'unlimited', 'daily', 'price', 'ehh', 'package', 'active', 'purchase', 'pulsa ',' Need ',' Costs', 'Administration', 'yaaa', 'hahaha', 'funny', 'Telkomsel', 'feeling', 'poor', 'consistent', 'price', 'right']</v>
      </c>
      <c r="D2404" s="3">
        <v>1.0</v>
      </c>
    </row>
    <row r="2405" ht="15.75" customHeight="1">
      <c r="A2405" s="1">
        <v>2403.0</v>
      </c>
      <c r="B2405" s="3" t="s">
        <v>2406</v>
      </c>
      <c r="C2405" s="3" t="str">
        <f>IFERROR(__xludf.DUMMYFUNCTION("GOOGLETRANSLATE(B2405,""id"",""en"")"),"['suggest', 'ngebet', 'update', 'mending', 'smooth', 'signal', 'no', 'Telkomsel', 'signal', 'bad', 'network', 'satisfaction', ' Customers', 'nomers',' use ',' Telkomsel ',' no ',' want ',' replace ',' network ',' thank ',' love ',' Please ',' sorry ', ""]")</f>
        <v>['suggest', 'ngebet', 'update', 'mending', 'smooth', 'signal', 'no', 'Telkomsel', 'signal', 'bad', 'network', 'satisfaction', ' Customers', 'nomers',' use ',' Telkomsel ',' no ',' want ',' replace ',' network ',' thank ',' love ',' Please ',' sorry ', "]</v>
      </c>
      <c r="D2405" s="3">
        <v>1.0</v>
      </c>
    </row>
    <row r="2406" ht="15.75" customHeight="1">
      <c r="A2406" s="1">
        <v>2404.0</v>
      </c>
      <c r="B2406" s="3" t="s">
        <v>2407</v>
      </c>
      <c r="C2406" s="3" t="str">
        <f>IFERROR(__xludf.DUMMYFUNCTION("GOOGLETRANSLATE(B2406,""id"",""en"")"),"['Review', 'all', 'people', 'people', 'apk', 'Telkomsel', 'Telkomsel', 'cheats', 'please', ""]")</f>
        <v>['Review', 'all', 'people', 'people', 'apk', 'Telkomsel', 'Telkomsel', 'cheats', 'please', "]</v>
      </c>
      <c r="D2406" s="3">
        <v>5.0</v>
      </c>
    </row>
    <row r="2407" ht="15.75" customHeight="1">
      <c r="A2407" s="1">
        <v>2405.0</v>
      </c>
      <c r="B2407" s="3" t="s">
        <v>2408</v>
      </c>
      <c r="C2407" s="3" t="str">
        <f>IFERROR(__xludf.DUMMYFUNCTION("GOOGLETRANSLATE(B2407,""id"",""en"")"),"['Application', 'cheater', 'Gais', 'Say "",' Daily ',' Check ',' Free ',' Quota ',' Taunyun ',' Login ',' Tempo ',' Event ',' Expired ',' Direct ',' Uninstall ',' Move ',' Customer ',' ']")</f>
        <v>['Application', 'cheater', 'Gais', 'Say ",' Daily ',' Check ',' Free ',' Quota ',' Taunyun ',' Login ',' Tempo ',' Event ',' Expired ',' Direct ',' Uninstall ',' Move ',' Customer ',' ']</v>
      </c>
      <c r="D2407" s="3">
        <v>1.0</v>
      </c>
    </row>
    <row r="2408" ht="15.75" customHeight="1">
      <c r="A2408" s="1">
        <v>2406.0</v>
      </c>
      <c r="B2408" s="3" t="s">
        <v>2409</v>
      </c>
      <c r="C2408" s="3" t="str">
        <f>IFERROR(__xludf.DUMMYFUNCTION("GOOGLETRANSLATE(B2408,""id"",""en"")"),"['already', 'buy', 'package', 'call', 'operator', 'notification', 'package', 'already', 'active', 'checked', 'pulse', 'sudaj', ' Reduced ',' right ',' Anteng ',' Calls', 'Telkompron', 'Credit', 'Sumpot', 'Until', 'Disappointed', 'Disappointed', 'Severe', "&amp;"'Already', 'Healthy' , 'Cuk', 'Nihh', ""]")</f>
        <v>['already', 'buy', 'package', 'call', 'operator', 'notification', 'package', 'already', 'active', 'checked', 'pulse', 'sudaj', ' Reduced ',' right ',' Anteng ',' Calls', 'Telkompron', 'Credit', 'Sumpot', 'Until', 'Disappointed', 'Disappointed', 'Severe', 'Already', 'Healthy' , 'Cuk', 'Nihh', "]</v>
      </c>
      <c r="D2408" s="3">
        <v>1.0</v>
      </c>
    </row>
    <row r="2409" ht="15.75" customHeight="1">
      <c r="A2409" s="1">
        <v>2407.0</v>
      </c>
      <c r="B2409" s="3" t="s">
        <v>2410</v>
      </c>
      <c r="C2409" s="3" t="str">
        <f>IFERROR(__xludf.DUMMYFUNCTION("GOOGLETRANSLATE(B2409,""id"",""en"")"),"['already', 'price', 'expensive', 'network', 'ugly', 'please', 'min', 'fix', 'network', 'region', 'ugly', 'continued', ' Just ',' Telkomsel ',' good ',' axis', 'good', 'already', 'change', 'card']")</f>
        <v>['already', 'price', 'expensive', 'network', 'ugly', 'please', 'min', 'fix', 'network', 'region', 'ugly', 'continued', ' Just ',' Telkomsel ',' good ',' axis', 'good', 'already', 'change', 'card']</v>
      </c>
      <c r="D2409" s="3">
        <v>1.0</v>
      </c>
    </row>
    <row r="2410" ht="15.75" customHeight="1">
      <c r="A2410" s="1">
        <v>2408.0</v>
      </c>
      <c r="B2410" s="3" t="s">
        <v>2411</v>
      </c>
      <c r="C2410" s="3" t="str">
        <f>IFERROR(__xludf.DUMMYFUNCTION("GOOGLETRANSLATE(B2410,""id"",""en"")"),"['friend', 'Sya', 'Yesterday', 'Update', 'number', 'number', 'SMA', 'card', 'Different', 'over', 'pulsaxa', ' Suck ',' Question ',' Where ',' pulsaxa ', ""]")</f>
        <v>['friend', 'Sya', 'Yesterday', 'Update', 'number', 'number', 'SMA', 'card', 'Different', 'over', 'pulsaxa', ' Suck ',' Question ',' Where ',' pulsaxa ', "]</v>
      </c>
      <c r="D2410" s="3">
        <v>1.0</v>
      </c>
    </row>
    <row r="2411" ht="15.75" customHeight="1">
      <c r="A2411" s="1">
        <v>2409.0</v>
      </c>
      <c r="B2411" s="3" t="s">
        <v>2412</v>
      </c>
      <c r="C2411" s="3" t="str">
        <f>IFERROR(__xludf.DUMMYFUNCTION("GOOGLETRANSLATE(B2411,""id"",""en"")"),"['Telkomsel', 'Like', 'Take', 'Pulse', 'Regular', 'SMS', 'Confirm', 'Package', 'Data', 'Out', 'Kalu', 'SMS', ' coming ',' already ',' late ',' used ',' pulse ',' regular ',' taking ',' notification ',' turn off ',' bro ',' pulse ',' person ']")</f>
        <v>['Telkomsel', 'Like', 'Take', 'Pulse', 'Regular', 'SMS', 'Confirm', 'Package', 'Data', 'Out', 'Kalu', 'SMS', ' coming ',' already ',' late ',' used ',' pulse ',' regular ',' taking ',' notification ',' turn off ',' bro ',' pulse ',' person ']</v>
      </c>
      <c r="D2411" s="3">
        <v>1.0</v>
      </c>
    </row>
    <row r="2412" ht="15.75" customHeight="1">
      <c r="A2412" s="1">
        <v>2410.0</v>
      </c>
      <c r="B2412" s="3" t="s">
        <v>2413</v>
      </c>
      <c r="C2412" s="3" t="str">
        <f>IFERROR(__xludf.DUMMYFUNCTION("GOOGLETRANSLATE(B2412,""id"",""en"")"),"['notification', 'number', 'active', 'contents',' pulse ',' told ',' contact ',' feature ',' help ',' very ',' slow ',' respond ',' ']")</f>
        <v>['notification', 'number', 'active', 'contents',' pulse ',' told ',' contact ',' feature ',' help ',' very ',' slow ',' respond ',' ']</v>
      </c>
      <c r="D2412" s="3">
        <v>1.0</v>
      </c>
    </row>
    <row r="2413" ht="15.75" customHeight="1">
      <c r="A2413" s="1">
        <v>2411.0</v>
      </c>
      <c r="B2413" s="3" t="s">
        <v>2414</v>
      </c>
      <c r="C2413" s="3" t="str">
        <f>IFERROR(__xludf.DUMMYFUNCTION("GOOGLETRANSLATE(B2413,""id"",""en"")"),"['Hopefully', 'Telkomsel', 'provide', 'package', 'special', 'quota', 'main', 'price', 'affordable', 'division', 'quota', 'sosmed', ' Games', 'etc.', '']")</f>
        <v>['Hopefully', 'Telkomsel', 'provide', 'package', 'special', 'quota', 'main', 'price', 'affordable', 'division', 'quota', 'sosmed', ' Games', 'etc.', '']</v>
      </c>
      <c r="D2413" s="3">
        <v>5.0</v>
      </c>
    </row>
    <row r="2414" ht="15.75" customHeight="1">
      <c r="A2414" s="1">
        <v>2412.0</v>
      </c>
      <c r="B2414" s="3" t="s">
        <v>2415</v>
      </c>
      <c r="C2414" s="3" t="str">
        <f>IFERROR(__xludf.DUMMYFUNCTION("GOOGLETRANSLATE(B2414,""id"",""en"")"),"['Disappointed', 'Mulu', 'The network', 'pay "",' expensive ',' bye ',' bye ',' red ',' move ',' reply ',' bot ',' answer ',' geblek ']")</f>
        <v>['Disappointed', 'Mulu', 'The network', 'pay ",' expensive ',' bye ',' bye ',' red ',' move ',' reply ',' bot ',' answer ',' geblek ']</v>
      </c>
      <c r="D2414" s="3">
        <v>1.0</v>
      </c>
    </row>
    <row r="2415" ht="15.75" customHeight="1">
      <c r="A2415" s="1">
        <v>2413.0</v>
      </c>
      <c r="B2415" s="3" t="s">
        <v>2416</v>
      </c>
      <c r="C2415" s="3" t="str">
        <f>IFERROR(__xludf.DUMMYFUNCTION("GOOGLETRANSLATE(B2415,""id"",""en"")"),"['Buy', 'Package', 'Tsel', 'Kantel', 'Belu', 'reset', 'Double', 'Kantel', 'Credit', 'Rb', 'Sia', 'Sia', ' ""Double ',' Active ',' Kayak ',' Kayak ',' Akalan ',' Credit ',' Cut ',' Emang ',' Telkomsel ',' Suggest ',' Buy ',' Package ' , 'Telkomsel', 'Mendi"&amp;"ng', 'buy']")</f>
        <v>['Buy', 'Package', 'Tsel', 'Kantel', 'Belu', 'reset', 'Double', 'Kantel', 'Credit', 'Rb', 'Sia', 'Sia', ' "Double ',' Active ',' Kayak ',' Kayak ',' Akalan ',' Credit ',' Cut ',' Emang ',' Telkomsel ',' Suggest ',' Buy ',' Package ' , 'Telkomsel', 'Mending', 'buy']</v>
      </c>
      <c r="D2415" s="3">
        <v>1.0</v>
      </c>
    </row>
    <row r="2416" ht="15.75" customHeight="1">
      <c r="A2416" s="1">
        <v>2414.0</v>
      </c>
      <c r="B2416" s="3" t="s">
        <v>2417</v>
      </c>
      <c r="C2416" s="3" t="str">
        <f>IFERROR(__xludf.DUMMYFUNCTION("GOOGLETRANSLATE(B2416,""id"",""en"")"),"['Application', 'Login', 'Link', 'Tel', 'Click', 'Link', 'Season', 'Intention', 'Application', 'Customer', 'Disappointed']")</f>
        <v>['Application', 'Login', 'Link', 'Tel', 'Click', 'Link', 'Season', 'Intention', 'Application', 'Customer', 'Disappointed']</v>
      </c>
      <c r="D2416" s="3">
        <v>1.0</v>
      </c>
    </row>
    <row r="2417" ht="15.75" customHeight="1">
      <c r="A2417" s="1">
        <v>2415.0</v>
      </c>
      <c r="B2417" s="3" t="s">
        <v>2418</v>
      </c>
      <c r="C2417" s="3" t="str">
        <f>IFERROR(__xludf.DUMMYFUNCTION("GOOGLETRANSLATE(B2417,""id"",""en"")"),"['Disappointed', 'Telkomsel', 'Contents',' Credit ',' Direct ',' Sumpot ',' Out ',' Quota ',' Internet ',' Please ',' Fix ',' Disappointing ',' User ']")</f>
        <v>['Disappointed', 'Telkomsel', 'Contents',' Credit ',' Direct ',' Sumpot ',' Out ',' Quota ',' Internet ',' Please ',' Fix ',' Disappointing ',' User ']</v>
      </c>
      <c r="D2417" s="3">
        <v>1.0</v>
      </c>
    </row>
    <row r="2418" ht="15.75" customHeight="1">
      <c r="A2418" s="1">
        <v>2416.0</v>
      </c>
      <c r="B2418" s="3" t="s">
        <v>2419</v>
      </c>
      <c r="C2418" s="3" t="str">
        <f>IFERROR(__xludf.DUMMYFUNCTION("GOOGLETRANSLATE(B2418,""id"",""en"")"),"['Disappointed', 'Telkomsel', 'in the future', 'menu', 'package', 'Call', 'Customer', 'Telkomsel', 'a month', 'annual', 'July', 'date' check ',' package ',' call ',' monthly ',' for ',' buy ',' missing ',' package ',' published ',' Telkomsel ',' cheap ','"&amp;" expensive ',' hope ' , 'Telkomsel', 'distinguish', 'customers', 'customers']")</f>
        <v>['Disappointed', 'Telkomsel', 'in the future', 'menu', 'package', 'Call', 'Customer', 'Telkomsel', 'a month', 'annual', 'July', 'date' check ',' package ',' call ',' monthly ',' for ',' buy ',' missing ',' package ',' published ',' Telkomsel ',' cheap ',' expensive ',' hope ' , 'Telkomsel', 'distinguish', 'customers', 'customers']</v>
      </c>
      <c r="D2418" s="3">
        <v>1.0</v>
      </c>
    </row>
    <row r="2419" ht="15.75" customHeight="1">
      <c r="A2419" s="1">
        <v>2417.0</v>
      </c>
      <c r="B2419" s="3" t="s">
        <v>2420</v>
      </c>
      <c r="C2419" s="3" t="str">
        <f>IFERROR(__xludf.DUMMYFUNCTION("GOOGLETRANSLATE(B2419,""id"",""en"")"),"['YTH', 'Telkomsel', 'customers',' loyal ',' satisfied ',' service ',' complains', 'Mhon', 'Telkomsel', 'provide', 'Package', 'telephone', ' Special ',' telephone ',' office ',' home ',' call ',' nmor ',' telephone ',' office ',' spend ',' pulse ',' thank"&amp;" ',' love ']")</f>
        <v>['YTH', 'Telkomsel', 'customers',' loyal ',' satisfied ',' service ',' complains', 'Mhon', 'Telkomsel', 'provide', 'Package', 'telephone', ' Special ',' telephone ',' office ',' home ',' call ',' nmor ',' telephone ',' office ',' spend ',' pulse ',' thank ',' love ']</v>
      </c>
      <c r="D2419" s="3">
        <v>5.0</v>
      </c>
    </row>
    <row r="2420" ht="15.75" customHeight="1">
      <c r="A2420" s="1">
        <v>2418.0</v>
      </c>
      <c r="B2420" s="3" t="s">
        <v>2421</v>
      </c>
      <c r="C2420" s="3" t="str">
        <f>IFERROR(__xludf.DUMMYFUNCTION("GOOGLETRANSLATE(B2420,""id"",""en"")"),"['leave', 'service', 'improvement', 'price', 'fair', 'internet', 'run out', 'credit', 'Ludes',' info ',' package ',' hide ',' confused']")</f>
        <v>['leave', 'service', 'improvement', 'price', 'fair', 'internet', 'run out', 'credit', 'Ludes',' info ',' package ',' hide ',' confused']</v>
      </c>
      <c r="D2420" s="3">
        <v>1.0</v>
      </c>
    </row>
    <row r="2421" ht="15.75" customHeight="1">
      <c r="A2421" s="1">
        <v>2419.0</v>
      </c>
      <c r="B2421" s="3" t="s">
        <v>2422</v>
      </c>
      <c r="C2421" s="3" t="str">
        <f>IFERROR(__xludf.DUMMYFUNCTION("GOOGLETRANSLATE(B2421,""id"",""en"")"),"['Signal', 'Telkomsel', 'here', 'Good', 'Please', 'Improve', 'Telkomsel', 'Price', 'Package', 'Data', 'Internet', 'Expensive', ' Provider ',' ']")</f>
        <v>['Signal', 'Telkomsel', 'here', 'Good', 'Please', 'Improve', 'Telkomsel', 'Price', 'Package', 'Data', 'Internet', 'Expensive', ' Provider ',' ']</v>
      </c>
      <c r="D2421" s="3">
        <v>4.0</v>
      </c>
    </row>
    <row r="2422" ht="15.75" customHeight="1">
      <c r="A2422" s="1">
        <v>2420.0</v>
      </c>
      <c r="B2422" s="3" t="s">
        <v>2423</v>
      </c>
      <c r="C2422" s="3" t="str">
        <f>IFERROR(__xludf.DUMMYFUNCTION("GOOGLETRANSLATE(B2422,""id"",""en"")"),"['slow', 'signal', 'lost', 'JLS', 'Sinyal', 'really', 'appears',' connection ',' internet ',' bad ',' quota ',' lbh ',' Good ',' yellow ',' smooth ',' Jaya ']")</f>
        <v>['slow', 'signal', 'lost', 'JLS', 'Sinyal', 'really', 'appears',' connection ',' internet ',' bad ',' quota ',' lbh ',' Good ',' yellow ',' smooth ',' Jaya ']</v>
      </c>
      <c r="D2422" s="3">
        <v>3.0</v>
      </c>
    </row>
    <row r="2423" ht="15.75" customHeight="1">
      <c r="A2423" s="1">
        <v>2421.0</v>
      </c>
      <c r="B2423" s="3" t="s">
        <v>2424</v>
      </c>
      <c r="C2423" s="3" t="str">
        <f>IFERROR(__xludf.DUMMYFUNCTION("GOOGLETRANSLATE(B2423,""id"",""en"")"),"['yeah', 'friend', 'friend', 'Jan', 'forget', 'download', 'application', 'Telkomsel', 'makes it easy', 'pulse', 'quota', 'bnyak', ' BNGT ',' promo ',' quota ',' APK ',' MyTelkomsel ',' ACED ',' MONEY ',' Nambah ',' little ',' Thank you ', ""]")</f>
        <v>['yeah', 'friend', 'friend', 'Jan', 'forget', 'download', 'application', 'Telkomsel', 'makes it easy', 'pulse', 'quota', 'bnyak', ' BNGT ',' promo ',' quota ',' APK ',' MyTelkomsel ',' ACED ',' MONEY ',' Nambah ',' little ',' Thank you ', "]</v>
      </c>
      <c r="D2423" s="3">
        <v>5.0</v>
      </c>
    </row>
    <row r="2424" ht="15.75" customHeight="1">
      <c r="A2424" s="1">
        <v>2422.0</v>
      </c>
      <c r="B2424" s="3" t="s">
        <v>2425</v>
      </c>
      <c r="C2424" s="3" t="str">
        <f>IFERROR(__xludf.DUMMYFUNCTION("GOOGLETRANSLATE(B2424,""id"",""en"")"),"['Disappointed', 'Update', 'Telkomsel', 'Latest', 'NOT', 'Sejahtera', 'Features',' Package ',' Cheap ',' Call ',' Lost ',' Darling ',' Calls', 'Family', 'Lost', 'Buy', 'Package', 'Yesterday', '']")</f>
        <v>['Disappointed', 'Update', 'Telkomsel', 'Latest', 'NOT', 'Sejahtera', 'Features',' Package ',' Cheap ',' Call ',' Lost ',' Darling ',' Calls', 'Family', 'Lost', 'Buy', 'Package', 'Yesterday', '']</v>
      </c>
      <c r="D2424" s="3">
        <v>2.0</v>
      </c>
    </row>
    <row r="2425" ht="15.75" customHeight="1">
      <c r="A2425" s="1">
        <v>2423.0</v>
      </c>
      <c r="B2425" s="3" t="s">
        <v>2426</v>
      </c>
      <c r="C2425" s="3" t="str">
        <f>IFERROR(__xludf.DUMMYFUNCTION("GOOGLETRANSLATE(B2425,""id"",""en"")"),"['jerk', 'network', 'down', 'package', 'expensive', 'quality', 'sickening', 'network', 'stable', 'city', 'terrain', 'pretentious',' Stable ',' aware ',' ability ',' Telkomsel ']")</f>
        <v>['jerk', 'network', 'down', 'package', 'expensive', 'quality', 'sickening', 'network', 'stable', 'city', 'terrain', 'pretentious',' Stable ',' aware ',' ability ',' Telkomsel ']</v>
      </c>
      <c r="D2425" s="3">
        <v>1.0</v>
      </c>
    </row>
    <row r="2426" ht="15.75" customHeight="1">
      <c r="A2426" s="1">
        <v>2424.0</v>
      </c>
      <c r="B2426" s="3" t="s">
        <v>2427</v>
      </c>
      <c r="C2426" s="3" t="str">
        <f>IFERROR(__xludf.DUMMYFUNCTION("GOOGLETRANSLATE(B2426,""id"",""en"")"),"['Network', 'visits',' improved ',' Severe ',' attached to ',' speed ',' internet ',' complain ',' stability ',' network ',' Dimna ',' at "" network ',' deteriorating ',' network ',' improved ',' sometimes', 'network', 'smooth', 'broken', 'jringan', 'telk"&amp;"omsel', 'smooth', 'good', 'bad' , 'Continues', ""]")</f>
        <v>['Network', 'visits',' improved ',' Severe ',' attached to ',' speed ',' internet ',' complain ',' stability ',' network ',' Dimna ',' at " network ',' deteriorating ',' network ',' improved ',' sometimes', 'network', 'smooth', 'broken', 'jringan', 'telkomsel', 'smooth', 'good', 'bad' , 'Continues', "]</v>
      </c>
      <c r="D2426" s="3">
        <v>2.0</v>
      </c>
    </row>
    <row r="2427" ht="15.75" customHeight="1">
      <c r="A2427" s="1">
        <v>2425.0</v>
      </c>
      <c r="B2427" s="3" t="s">
        <v>2428</v>
      </c>
      <c r="C2427" s="3" t="str">
        <f>IFERROR(__xludf.DUMMYFUNCTION("GOOGLETRANSLATE(B2427,""id"",""en"")"),"['Before', 'Package', 'Unlimited', 'Gabisa', 'That's',' Mending ',' Gausah ',' Adin ',' Package ',' Unlimited ',' Package ',' Unlimited ',' ']")</f>
        <v>['Before', 'Package', 'Unlimited', 'Gabisa', 'That's',' Mending ',' Gausah ',' Adin ',' Package ',' Unlimited ',' Package ',' Unlimited ',' ']</v>
      </c>
      <c r="D2427" s="3">
        <v>1.0</v>
      </c>
    </row>
    <row r="2428" ht="15.75" customHeight="1">
      <c r="A2428" s="1">
        <v>2426.0</v>
      </c>
      <c r="B2428" s="3" t="s">
        <v>2429</v>
      </c>
      <c r="C2428" s="3" t="str">
        <f>IFERROR(__xludf.DUMMYFUNCTION("GOOGLETRANSLATE(B2428,""id"",""en"")"),"['Next', 'yellow', 'blue', 'green', 'Tetep', 'like', 'Telkomsel', 'buy', 'quota', 'real', 'php', 'sometimes' signal ',' like ',' disappear ',' but ',' all ',' best ']")</f>
        <v>['Next', 'yellow', 'blue', 'green', 'Tetep', 'like', 'Telkomsel', 'buy', 'quota', 'real', 'php', 'sometimes' signal ',' like ',' disappear ',' but ',' all ',' best ']</v>
      </c>
      <c r="D2428" s="3">
        <v>4.0</v>
      </c>
    </row>
    <row r="2429" ht="15.75" customHeight="1">
      <c r="A2429" s="1">
        <v>2427.0</v>
      </c>
      <c r="B2429" s="3" t="s">
        <v>2430</v>
      </c>
      <c r="C2429" s="3" t="str">
        <f>IFERROR(__xludf.DUMMYFUNCTION("GOOGLETRANSLATE(B2429,""id"",""en"")"),"['Telkomsel', 'Since', 'Change', 'Logo', 'Update', 'Leet', 'Network', 'Emotion', 'Bagusin', 'Network', 'User', 'Sorry', ' Moving ',' Network ',' ']")</f>
        <v>['Telkomsel', 'Since', 'Change', 'Logo', 'Update', 'Leet', 'Network', 'Emotion', 'Bagusin', 'Network', 'User', 'Sorry', ' Moving ',' Network ',' ']</v>
      </c>
      <c r="D2429" s="3">
        <v>1.0</v>
      </c>
    </row>
    <row r="2430" ht="15.75" customHeight="1">
      <c r="A2430" s="1">
        <v>2428.0</v>
      </c>
      <c r="B2430" s="3" t="s">
        <v>2431</v>
      </c>
      <c r="C2430" s="3" t="str">
        <f>IFERROR(__xludf.DUMMYFUNCTION("GOOGLETRANSLATE(B2430,""id"",""en"")"),"['Please', 'Fix', 'UDH', 'Updated', 'Gabisa', 'Opened', 'Loading', 'Emotion', 'PDHL', 'Network', 'Good', 'SBLM', ' Update ',' smooth ']")</f>
        <v>['Please', 'Fix', 'UDH', 'Updated', 'Gabisa', 'Opened', 'Loading', 'Emotion', 'PDHL', 'Network', 'Good', 'SBLM', ' Update ',' smooth ']</v>
      </c>
      <c r="D2430" s="3">
        <v>2.0</v>
      </c>
    </row>
    <row r="2431" ht="15.75" customHeight="1">
      <c r="A2431" s="1">
        <v>2429.0</v>
      </c>
      <c r="B2431" s="3" t="s">
        <v>2432</v>
      </c>
      <c r="C2431" s="3" t="str">
        <f>IFERROR(__xludf.DUMMYFUNCTION("GOOGLETRANSLATE(B2431,""id"",""en"")"),"['Help', 'plus',' displays', 'use', 'real', 'time', 'number', 'purpose', 'charge', 'charged', 'post', 'pay', ' Useful ',' Success', 'MyTelkomsel', '']")</f>
        <v>['Help', 'plus',' displays', 'use', 'real', 'time', 'number', 'purpose', 'charge', 'charged', 'post', 'pay', ' Useful ',' Success', 'MyTelkomsel', '']</v>
      </c>
      <c r="D2431" s="3">
        <v>4.0</v>
      </c>
    </row>
    <row r="2432" ht="15.75" customHeight="1">
      <c r="A2432" s="1">
        <v>2430.0</v>
      </c>
      <c r="B2432" s="3" t="s">
        <v>2433</v>
      </c>
      <c r="C2432" s="3" t="str">
        <f>IFERROR(__xludf.DUMMYFUNCTION("GOOGLETRANSLATE(B2432,""id"",""en"")"),"['application', 'bad', 'price', 'package', 'buy', 'subscribe', 'price', 'application', 'version', 'good', 'have', '']")</f>
        <v>['application', 'bad', 'price', 'package', 'buy', 'subscribe', 'price', 'application', 'version', 'good', 'have', '']</v>
      </c>
      <c r="D2432" s="3">
        <v>1.0</v>
      </c>
    </row>
    <row r="2433" ht="15.75" customHeight="1">
      <c r="A2433" s="1">
        <v>2431.0</v>
      </c>
      <c r="B2433" s="3" t="s">
        <v>2434</v>
      </c>
      <c r="C2433" s="3" t="str">
        <f>IFERROR(__xludf.DUMMYFUNCTION("GOOGLETRANSLATE(B2433,""id"",""en"")"),"['Where', 'complain', 'network', 'telkom', 'skrng', 'games',' telegram ',' ajah ',' likes', 'yutube', 'facebook', 'come on', ' column ',' comment ',' repair ',' telkom ',' rich ',' different ',' card ',' ']")</f>
        <v>['Where', 'complain', 'network', 'telkom', 'skrng', 'games',' telegram ',' ajah ',' likes', 'yutube', 'facebook', 'come on', ' column ',' comment ',' repair ',' telkom ',' rich ',' different ',' card ',' ']</v>
      </c>
      <c r="D2433" s="3">
        <v>5.0</v>
      </c>
    </row>
    <row r="2434" ht="15.75" customHeight="1">
      <c r="A2434" s="1">
        <v>2432.0</v>
      </c>
      <c r="B2434" s="3" t="s">
        <v>2435</v>
      </c>
      <c r="C2434" s="3" t="str">
        <f>IFERROR(__xludf.DUMMYFUNCTION("GOOGLETRANSLATE(B2434,""id"",""en"")"),"['users',' Telkomsel ',' signal ',' network ',' Telkomsel ',' good ',' trouble ',' network ',' hope ',' increase ',' quality ',' network ',' Internet ',' thank ',' love ',' ']")</f>
        <v>['users',' Telkomsel ',' signal ',' network ',' Telkomsel ',' good ',' trouble ',' network ',' hope ',' increase ',' quality ',' network ',' Internet ',' thank ',' love ',' ']</v>
      </c>
      <c r="D2434" s="3">
        <v>4.0</v>
      </c>
    </row>
    <row r="2435" ht="15.75" customHeight="1">
      <c r="A2435" s="1">
        <v>2433.0</v>
      </c>
      <c r="B2435" s="3" t="s">
        <v>2436</v>
      </c>
      <c r="C2435" s="3" t="str">
        <f>IFERROR(__xludf.DUMMYFUNCTION("GOOGLETRANSLATE(B2435,""id"",""en"")"),"['Telkomsel', 'detrimental', 'customers',' many years', 'pulses',' main ',' drained ',' out ',' quota ',' internet ',' finished ',' deliberate ',' System ',' Prevent ',' Credit ',' Used ',' Package ',' Internet ',' Out ',' Network ',' Internet ',' Down ',"&amp;"' Sometimes', 'right', 'at the time' , 'Advertising', 'Promotion', 'Zoonk', '']")</f>
        <v>['Telkomsel', 'detrimental', 'customers',' many years', 'pulses',' main ',' drained ',' out ',' quota ',' internet ',' finished ',' deliberate ',' System ',' Prevent ',' Credit ',' Used ',' Package ',' Internet ',' Out ',' Network ',' Internet ',' Down ',' Sometimes', 'right', 'at the time' , 'Advertising', 'Promotion', 'Zoonk', '']</v>
      </c>
      <c r="D2435" s="3">
        <v>1.0</v>
      </c>
    </row>
    <row r="2436" ht="15.75" customHeight="1">
      <c r="A2436" s="1">
        <v>2434.0</v>
      </c>
      <c r="B2436" s="3" t="s">
        <v>2437</v>
      </c>
      <c r="C2436" s="3" t="str">
        <f>IFERROR(__xludf.DUMMYFUNCTION("GOOGLETRANSLATE(B2436,""id"",""en"")"),"['Sincerely', 'Personal', 'Please', 'Paketan', 'Provided', 'Disappointing', 'Folding', 'Soar', 'Derast', 'Pandemic', 'Expensive']")</f>
        <v>['Sincerely', 'Personal', 'Please', 'Paketan', 'Provided', 'Disappointing', 'Folding', 'Soar', 'Derast', 'Pandemic', 'Expensive']</v>
      </c>
      <c r="D2436" s="3">
        <v>5.0</v>
      </c>
    </row>
    <row r="2437" ht="15.75" customHeight="1">
      <c r="A2437" s="1">
        <v>2435.0</v>
      </c>
      <c r="B2437" s="3" t="s">
        <v>2438</v>
      </c>
      <c r="C2437" s="3" t="str">
        <f>IFERROR(__xludf.DUMMYFUNCTION("GOOGLETRANSLATE(B2437,""id"",""en"")"),"['quota', 'multimedia', 'there', 'printed', 'chat', 'music', 'games',' sosmed ',' chat ',' play ',' game ',' sosmed ',' Reduced ',' quota ',' main ',' please ', ""]")</f>
        <v>['quota', 'multimedia', 'there', 'printed', 'chat', 'music', 'games',' sosmed ',' chat ',' play ',' game ',' sosmed ',' Reduced ',' quota ',' main ',' please ', "]</v>
      </c>
      <c r="D2437" s="3">
        <v>5.0</v>
      </c>
    </row>
    <row r="2438" ht="15.75" customHeight="1">
      <c r="A2438" s="1">
        <v>2436.0</v>
      </c>
      <c r="B2438" s="3" t="s">
        <v>2439</v>
      </c>
      <c r="C2438" s="3" t="str">
        <f>IFERROR(__xludf.DUMMYFUNCTION("GOOGLETRANSLATE(B2438,""id"",""en"")"),"['Network', 'Mengontoot', 'Good', 'Decreases',' Rank ',' Yaaa ',' Not bad ',' Price ',' Pas', 'Pouch', 'Sultan', 'Arabic', ' network ',' offer ',' match ',' mabar ',' pou ',' friend ']")</f>
        <v>['Network', 'Mengontoot', 'Good', 'Decreases',' Rank ',' Yaaa ',' Not bad ',' Price ',' Pas', 'Pouch', 'Sultan', 'Arabic', ' network ',' offer ',' match ',' mabar ',' pou ',' friend ']</v>
      </c>
      <c r="D2438" s="3">
        <v>5.0</v>
      </c>
    </row>
    <row r="2439" ht="15.75" customHeight="1">
      <c r="A2439" s="1">
        <v>2437.0</v>
      </c>
      <c r="B2439" s="3" t="s">
        <v>2440</v>
      </c>
      <c r="C2439" s="3" t="str">
        <f>IFERROR(__xludf.DUMMYFUNCTION("GOOGLETRANSLATE(B2439,""id"",""en"")"),"['unclean', 'clock', 'network', 'idiot', 'staying up late', 'finish', 'work', 'signal', 'good', 'pdhl', 'assisted', 'indihome', ' Samanya ',' Telkomsel ',' Indihome ',' msh ',' company ',' jakarta ',' lho ',' outside ',' jakarta ',' expensive ',' doank ',"&amp;" ""]")</f>
        <v>['unclean', 'clock', 'network', 'idiot', 'staying up late', 'finish', 'work', 'signal', 'good', 'pdhl', 'assisted', 'indihome', ' Samanya ',' Telkomsel ',' Indihome ',' msh ',' company ',' jakarta ',' lho ',' outside ',' jakarta ',' expensive ',' doank ', "]</v>
      </c>
      <c r="D2439" s="3">
        <v>1.0</v>
      </c>
    </row>
    <row r="2440" ht="15.75" customHeight="1">
      <c r="A2440" s="1">
        <v>2438.0</v>
      </c>
      <c r="B2440" s="3" t="s">
        <v>2441</v>
      </c>
      <c r="C2440" s="3" t="str">
        <f>IFERROR(__xludf.DUMMYFUNCTION("GOOGLETRANSLATE(B2440,""id"",""en"")"),"['cave', 'Season', 'service', 'internet', 'Tsel', 'ilang', 'cave', 'buy', 'quota', 'hundreds',' thousand ',' service ',' Trashhh ',' BUMN ',' Price ',' Doang ',' Naekin ',' Quality ',' Collapin ', ""]")</f>
        <v>['cave', 'Season', 'service', 'internet', 'Tsel', 'ilang', 'cave', 'buy', 'quota', 'hundreds',' thousand ',' service ',' Trashhh ',' BUMN ',' Price ',' Doang ',' Naekin ',' Quality ',' Collapin ', "]</v>
      </c>
      <c r="D2440" s="3">
        <v>1.0</v>
      </c>
    </row>
    <row r="2441" ht="15.75" customHeight="1">
      <c r="A2441" s="1">
        <v>2439.0</v>
      </c>
      <c r="B2441" s="3" t="s">
        <v>2442</v>
      </c>
      <c r="C2441" s="3" t="str">
        <f>IFERROR(__xludf.DUMMYFUNCTION("GOOGLETRANSLATE(B2441,""id"",""en"")"),"['hope', 'in the future', 'promo', 'Come', 'Telkomsel', 'lose', 'provider', 'promo', 'price', 'please', '' ']")</f>
        <v>['hope', 'in the future', 'promo', 'Come', 'Telkomsel', 'lose', 'provider', 'promo', 'price', 'please', '' ']</v>
      </c>
      <c r="D2441" s="3">
        <v>5.0</v>
      </c>
    </row>
    <row r="2442" ht="15.75" customHeight="1">
      <c r="A2442" s="1">
        <v>2440.0</v>
      </c>
      <c r="B2442" s="3" t="s">
        <v>2443</v>
      </c>
      <c r="C2442" s="3" t="str">
        <f>IFERROR(__xludf.DUMMYFUNCTION("GOOGLETRANSLATE(B2442,""id"",""en"")"),"['Update', 'complicated', 'check', 'quota', 'dsripada', 'application', 'update', 'quality', 'network', 'ugly', 'region', 'Garut', ' Check ',' Where ',' Location ',' Purpose ',' Complain ',' Office ',' The Reasons', 'GMANA', 'Telkomsel', 'User', 'Telkomsel"&amp;"', 'ugly', ""]")</f>
        <v>['Update', 'complicated', 'check', 'quota', 'dsripada', 'application', 'update', 'quality', 'network', 'ugly', 'region', 'Garut', ' Check ',' Where ',' Location ',' Purpose ',' Complain ',' Office ',' The Reasons', 'GMANA', 'Telkomsel', 'User', 'Telkomsel', 'ugly', "]</v>
      </c>
      <c r="D2442" s="3">
        <v>1.0</v>
      </c>
    </row>
    <row r="2443" ht="15.75" customHeight="1">
      <c r="A2443" s="1">
        <v>2441.0</v>
      </c>
      <c r="B2443" s="3" t="s">
        <v>2444</v>
      </c>
      <c r="C2443" s="3" t="str">
        <f>IFERROR(__xludf.DUMMYFUNCTION("GOOGLETRANSLATE(B2443,""id"",""en"")"),"['Sya', 'stay', 'Tangerang', 'night', 'signal', 'quota', 'data', 'difficult', 'get it', 'Telkomsel', 'weak', 'signal', ' Fix ',' signal ',' data ',' region ']")</f>
        <v>['Sya', 'stay', 'Tangerang', 'night', 'signal', 'quota', 'data', 'difficult', 'get it', 'Telkomsel', 'weak', 'signal', ' Fix ',' signal ',' data ',' region ']</v>
      </c>
      <c r="D2443" s="3">
        <v>1.0</v>
      </c>
    </row>
    <row r="2444" ht="15.75" customHeight="1">
      <c r="A2444" s="1">
        <v>2442.0</v>
      </c>
      <c r="B2444" s="3" t="s">
        <v>2445</v>
      </c>
      <c r="C2444" s="3" t="str">
        <f>IFERROR(__xludf.DUMMYFUNCTION("GOOGLETRANSLATE(B2444,""id"",""en"")"),"['application', 'Telkomsel', 'bother', 'lgi', 'check', 'pulse', 'package', 'data', 'active', 'Thanks', 'Telkomsel', ""]")</f>
        <v>['application', 'Telkomsel', 'bother', 'lgi', 'check', 'pulse', 'package', 'data', 'active', 'Thanks', 'Telkomsel', "]</v>
      </c>
      <c r="D2444" s="3">
        <v>5.0</v>
      </c>
    </row>
    <row r="2445" ht="15.75" customHeight="1">
      <c r="A2445" s="1">
        <v>2443.0</v>
      </c>
      <c r="B2445" s="3" t="s">
        <v>2446</v>
      </c>
      <c r="C2445" s="3" t="str">
        <f>IFERROR(__xludf.DUMMYFUNCTION("GOOGLETRANSLATE(B2445,""id"",""en"")"),"['Please', 'Fix', 'Sousal', 'Region', 'Surabaya', 'West', 'District', 'Benowo', 'Kelurahan', 'Kandangan', 'Customers',' Telkomsel ',' Confessing ',' Disappointed ',' Network ',' Telkomsel ', ""]")</f>
        <v>['Please', 'Fix', 'Sousal', 'Region', 'Surabaya', 'West', 'District', 'Benowo', 'Kelurahan', 'Kandangan', 'Customers',' Telkomsel ',' Confessing ',' Disappointed ',' Network ',' Telkomsel ', "]</v>
      </c>
      <c r="D2445" s="3">
        <v>1.0</v>
      </c>
    </row>
    <row r="2446" ht="15.75" customHeight="1">
      <c r="A2446" s="1">
        <v>2444.0</v>
      </c>
      <c r="B2446" s="3" t="s">
        <v>2447</v>
      </c>
      <c r="C2446" s="3" t="str">
        <f>IFERROR(__xludf.DUMMYFUNCTION("GOOGLETRANSLATE(B2446,""id"",""en"")"),"['Assalamualaikum', 'Dear', 'Telkomsel', 'Blogan', 'Network', 'Bad', 'Lost', 'Embossed', 'Customer', 'Faithful', 'Telkom', 'Skarang', ' Disappointed ',' Please ',' Network ',' Dinaiki ']")</f>
        <v>['Assalamualaikum', 'Dear', 'Telkomsel', 'Blogan', 'Network', 'Bad', 'Lost', 'Embossed', 'Customer', 'Faithful', 'Telkom', 'Skarang', ' Disappointed ',' Please ',' Network ',' Dinaiki ']</v>
      </c>
      <c r="D2446" s="3">
        <v>1.0</v>
      </c>
    </row>
    <row r="2447" ht="15.75" customHeight="1">
      <c r="A2447" s="1">
        <v>2445.0</v>
      </c>
      <c r="B2447" s="3" t="s">
        <v>2448</v>
      </c>
      <c r="C2447" s="3" t="str">
        <f>IFERROR(__xludf.DUMMYFUNCTION("GOOGLETRANSLATE(B2447,""id"",""en"")"),"['buy', 'package', 'failed', 'purchase', 'balance', 'truncated', 'many', 'times',' answer ',' system ',' repair ',' week ',' Returns', '']")</f>
        <v>['buy', 'package', 'failed', 'purchase', 'balance', 'truncated', 'many', 'times',' answer ',' system ',' repair ',' week ',' Returns', '']</v>
      </c>
      <c r="D2447" s="3">
        <v>1.0</v>
      </c>
    </row>
    <row r="2448" ht="15.75" customHeight="1">
      <c r="A2448" s="1">
        <v>2446.0</v>
      </c>
      <c r="B2448" s="3" t="s">
        <v>2449</v>
      </c>
      <c r="C2448" s="3" t="str">
        <f>IFERROR(__xludf.DUMMYFUNCTION("GOOGLETRANSLATE(B2448,""id"",""en"")"),"['egomu', 'subside', 'returns', 'waiting for you', 'angry', 'repair', 'Yoorrboyy', '']")</f>
        <v>['egomu', 'subside', 'returns', 'waiting for you', 'angry', 'repair', 'Yoorrboyy', '']</v>
      </c>
      <c r="D2448" s="3">
        <v>5.0</v>
      </c>
    </row>
    <row r="2449" ht="15.75" customHeight="1">
      <c r="A2449" s="1">
        <v>2447.0</v>
      </c>
      <c r="B2449" s="3" t="s">
        <v>2450</v>
      </c>
      <c r="C2449" s="3" t="str">
        <f>IFERROR(__xludf.DUMMYFUNCTION("GOOGLETRANSLATE(B2449,""id"",""en"")"),"['value', 'stingy', 'point', 'gift', 'exchange', 'point', 'ugly', 'season', 'forget', 'eat', 'fish', 'pindang', ' vegetables', 'lodeh', 'darling', 'subscription', 'change', 'deh']")</f>
        <v>['value', 'stingy', 'point', 'gift', 'exchange', 'point', 'ugly', 'season', 'forget', 'eat', 'fish', 'pindang', ' vegetables', 'lodeh', 'darling', 'subscription', 'change', 'deh']</v>
      </c>
      <c r="D2449" s="3">
        <v>1.0</v>
      </c>
    </row>
    <row r="2450" ht="15.75" customHeight="1">
      <c r="A2450" s="1">
        <v>2448.0</v>
      </c>
      <c r="B2450" s="3" t="s">
        <v>2451</v>
      </c>
      <c r="C2450" s="3" t="str">
        <f>IFERROR(__xludf.DUMMYFUNCTION("GOOGLETRANSLATE(B2450,""id"",""en"")"),"['how', 'Telkomsel', 'access',' internet ',' signal ',' full ',' patient ',' since ',' speed ',' internet ',' Telkomsel ',' downhill ',' night ',' speed ',' access', 'internet', 'fast', 'access',' internet ',' use ',' application ',' check ',' speed ',' r"&amp;"esult ',' really ' , 'Ping', 'Ping', 'Download', 'Kbps', 'Upload', 'Kbps', 'post', 'Image', 'Do', ""]")</f>
        <v>['how', 'Telkomsel', 'access',' internet ',' signal ',' full ',' patient ',' since ',' speed ',' internet ',' Telkomsel ',' downhill ',' night ',' speed ',' access', 'internet', 'fast', 'access',' internet ',' use ',' application ',' check ',' speed ',' result ',' really ' , 'Ping', 'Ping', 'Download', 'Kbps', 'Upload', 'Kbps', 'post', 'Image', 'Do', "]</v>
      </c>
      <c r="D2450" s="3">
        <v>1.0</v>
      </c>
    </row>
    <row r="2451" ht="15.75" customHeight="1">
      <c r="A2451" s="1">
        <v>2449.0</v>
      </c>
      <c r="B2451" s="3" t="s">
        <v>2452</v>
      </c>
      <c r="C2451" s="3" t="str">
        <f>IFERROR(__xludf.DUMMYFUNCTION("GOOGLETRANSLATE(B2451,""id"",""en"")"),"['Please', 'Application', 'Telkomsel', 'Optimized', 'Update', 'Constrained', 'Application', 'Good', 'Enter', 'Please', 'Donk', 'Complaint', ' column ',' comment ',' responded ',' kindness', 'smooth', 'service', 'Telkomsel', 'customer', '']")</f>
        <v>['Please', 'Application', 'Telkomsel', 'Optimized', 'Update', 'Constrained', 'Application', 'Good', 'Enter', 'Please', 'Donk', 'Complaint', ' column ',' comment ',' responded ',' kindness', 'smooth', 'service', 'Telkomsel', 'customer', '']</v>
      </c>
      <c r="D2451" s="3">
        <v>1.0</v>
      </c>
    </row>
    <row r="2452" ht="15.75" customHeight="1">
      <c r="A2452" s="1">
        <v>2450.0</v>
      </c>
      <c r="B2452" s="3" t="s">
        <v>2453</v>
      </c>
      <c r="C2452" s="3" t="str">
        <f>IFERROR(__xludf.DUMMYFUNCTION("GOOGLETRANSLATE(B2452,""id"",""en"")"),"['Reach', 'Network', 'Region', 'Bigss',' ping ',' stable ',' difficult ',' disconnected ',' continued ',' week ',' Kek ',' Gini ',' Comfortable ',' Mira ',' Moving ',' Provider ',' Asuuu ',' ']")</f>
        <v>['Reach', 'Network', 'Region', 'Bigss',' ping ',' stable ',' difficult ',' disconnected ',' continued ',' week ',' Kek ',' Gini ',' Comfortable ',' Mira ',' Moving ',' Provider ',' Asuuu ',' ']</v>
      </c>
      <c r="D2452" s="3">
        <v>1.0</v>
      </c>
    </row>
    <row r="2453" ht="15.75" customHeight="1">
      <c r="A2453" s="1">
        <v>2451.0</v>
      </c>
      <c r="B2453" s="3" t="s">
        <v>2454</v>
      </c>
      <c r="C2453" s="3" t="str">
        <f>IFERROR(__xludf.DUMMYFUNCTION("GOOGLETRANSLATE(B2453,""id"",""en"")"),"['Please', 'Expanded', 'Repaired', 'The Network', 'Disturbed', 'Causes',' Internet ',' Quotes', 'Expensive', 'Expensive', 'According to', 'Network', ' Cold ',' Thank you ', ""]")</f>
        <v>['Please', 'Expanded', 'Repaired', 'The Network', 'Disturbed', 'Causes',' Internet ',' Quotes', 'Expensive', 'Expensive', 'According to', 'Network', ' Cold ',' Thank you ', "]</v>
      </c>
      <c r="D2453" s="3">
        <v>5.0</v>
      </c>
    </row>
    <row r="2454" ht="15.75" customHeight="1">
      <c r="A2454" s="1">
        <v>2452.0</v>
      </c>
      <c r="B2454" s="3" t="s">
        <v>2455</v>
      </c>
      <c r="C2454" s="3" t="str">
        <f>IFERROR(__xludf.DUMMYFUNCTION("GOOGLETRANSLATE(B2454,""id"",""en"")"),"['help', 'Please', 'Language', 'Indonesia', 'except', 'default', 'easy', 'read', 'understand', 'success', 'MyTelkomsel', ""]")</f>
        <v>['help', 'Please', 'Language', 'Indonesia', 'except', 'default', 'easy', 'read', 'understand', 'success', 'MyTelkomsel', "]</v>
      </c>
      <c r="D2454" s="3">
        <v>5.0</v>
      </c>
    </row>
    <row r="2455" ht="15.75" customHeight="1">
      <c r="A2455" s="1">
        <v>2453.0</v>
      </c>
      <c r="B2455" s="3" t="s">
        <v>2456</v>
      </c>
      <c r="C2455" s="3" t="str">
        <f>IFERROR(__xludf.DUMMYFUNCTION("GOOGLETRANSLATE(B2455,""id"",""en"")"),"['please', 'confirm', 'Telkomsel', 'SMS', 'repayment', 'package', 'emergency', 'chronological', 'send', 'sms',' hey ',' Telkomsel ',' ']")</f>
        <v>['please', 'confirm', 'Telkomsel', 'SMS', 'repayment', 'package', 'emergency', 'chronological', 'send', 'sms',' hey ',' Telkomsel ',' ']</v>
      </c>
      <c r="D2455" s="3">
        <v>1.0</v>
      </c>
    </row>
    <row r="2456" ht="15.75" customHeight="1">
      <c r="A2456" s="1">
        <v>2454.0</v>
      </c>
      <c r="B2456" s="3" t="s">
        <v>2457</v>
      </c>
      <c r="C2456" s="3" t="str">
        <f>IFERROR(__xludf.DUMMYFUNCTION("GOOGLETRANSLATE(B2456,""id"",""en"")"),"['', 'update', 'pretentious',' pretentious', 'replace', 'model', 'display', 'fix', 'server', 'application', 'force', 'close', 'crash ',' Application ',' super ',' slow ',' mainly ',' full ',' minus', 'application']")</f>
        <v>['', 'update', 'pretentious',' pretentious', 'replace', 'model', 'display', 'fix', 'server', 'application', 'force', 'close', 'crash ',' Application ',' super ',' slow ',' mainly ',' full ',' minus', 'application']</v>
      </c>
      <c r="D2456" s="3">
        <v>1.0</v>
      </c>
    </row>
    <row r="2457" ht="15.75" customHeight="1">
      <c r="A2457" s="1">
        <v>2455.0</v>
      </c>
      <c r="B2457" s="3" t="s">
        <v>2458</v>
      </c>
      <c r="C2457" s="3" t="str">
        <f>IFERROR(__xludf.DUMMYFUNCTION("GOOGLETRANSLATE(B2457,""id"",""en"")"),"['Sorry', 'Review', 'Application', 'Network', 'Telkomsel', 'The', 'Best', 'Telkomsel', 'Satisfied', 'Quality', 'Internet', 'So Best ',' Sampe ',' gabisa ',' a day ',' disruption ',' price ',' package ',' internet ',' cheap ',' signal ',' full ',' thank yo"&amp;"u ',' Telkomsel ' , 'listen', '']")</f>
        <v>['Sorry', 'Review', 'Application', 'Network', 'Telkomsel', 'The', 'Best', 'Telkomsel', 'Satisfied', 'Quality', 'Internet', 'So Best ',' Sampe ',' gabisa ',' a day ',' disruption ',' price ',' package ',' internet ',' cheap ',' signal ',' full ',' thank you ',' Telkomsel ' , 'listen', '']</v>
      </c>
      <c r="D2457" s="3">
        <v>1.0</v>
      </c>
    </row>
    <row r="2458" ht="15.75" customHeight="1">
      <c r="A2458" s="1">
        <v>2456.0</v>
      </c>
      <c r="B2458" s="3" t="s">
        <v>2459</v>
      </c>
      <c r="C2458" s="3" t="str">
        <f>IFERROR(__xludf.DUMMYFUNCTION("GOOGLETRANSLATE(B2458,""id"",""en"")"),"['Sorry', 'star', 'Reduce', 'signal', 'Telkomsel', 'sick', 'head', 'hurt', 'heart', 'please', 'dislodial', 'signal', ' trash ',' use ',' please ',' note ',' signal ',' error ',' price ',' package ',' was tricked ',' trima ',' love ', ""]")</f>
        <v>['Sorry', 'star', 'Reduce', 'signal', 'Telkomsel', 'sick', 'head', 'hurt', 'heart', 'please', 'dislodial', 'signal', ' trash ',' use ',' please ',' note ',' signal ',' error ',' price ',' package ',' was tricked ',' trima ',' love ', "]</v>
      </c>
      <c r="D2458" s="3">
        <v>1.0</v>
      </c>
    </row>
    <row r="2459" ht="15.75" customHeight="1">
      <c r="A2459" s="1">
        <v>2457.0</v>
      </c>
      <c r="B2459" s="3" t="s">
        <v>2460</v>
      </c>
      <c r="C2459" s="3" t="str">
        <f>IFERROR(__xludf.DUMMYFUNCTION("GOOGLETRANSLATE(B2459,""id"",""en"")"),"['Sorry', 'Sya', 'sassy', 'write', 'message', 'Sya', 'org', 'buy', 'paketan', 'Telkomsel', 'knp', 'internet', ' slow ',' really ',' signal ',' normal ',' kouta ',' main ',' ']")</f>
        <v>['Sorry', 'Sya', 'sassy', 'write', 'message', 'Sya', 'org', 'buy', 'paketan', 'Telkomsel', 'knp', 'internet', ' slow ',' really ',' signal ',' normal ',' kouta ',' main ',' ']</v>
      </c>
      <c r="D2459" s="3">
        <v>2.0</v>
      </c>
    </row>
    <row r="2460" ht="15.75" customHeight="1">
      <c r="A2460" s="1">
        <v>2458.0</v>
      </c>
      <c r="B2460" s="3" t="s">
        <v>2461</v>
      </c>
      <c r="C2460" s="3" t="str">
        <f>IFERROR(__xludf.DUMMYFUNCTION("GOOGLETRANSLATE(B2460,""id"",""en"")"),"['Display', 'good', 'just', 'confusing', 'overall', 'good', 'in the future', 'fix', 'justice', 'the application', 'Telkomsel']")</f>
        <v>['Display', 'good', 'just', 'confusing', 'overall', 'good', 'in the future', 'fix', 'justice', 'the application', 'Telkomsel']</v>
      </c>
      <c r="D2460" s="3">
        <v>4.0</v>
      </c>
    </row>
    <row r="2461" ht="15.75" customHeight="1">
      <c r="A2461" s="1">
        <v>2459.0</v>
      </c>
      <c r="B2461" s="3" t="s">
        <v>2462</v>
      </c>
      <c r="C2461" s="3" t="str">
        <f>IFERROR(__xludf.DUMMYFUNCTION("GOOGLETRANSLATE(B2461,""id"",""en"")"),"['Telkomsel', 'expensive', 'doang', 'quota', 'internet', 'rich', 'Indosat', 'good', 'network', 'likes',' lag ',' error ',' buy ',' expensive ',' description ',' internet ',' the rest ',' quota ',' watch ',' sosmed ',' Disney ',' hotstar ',' please ',' ret"&amp;"urn ',' package ' , 'Internet', '']")</f>
        <v>['Telkomsel', 'expensive', 'doang', 'quota', 'internet', 'rich', 'Indosat', 'good', 'network', 'likes',' lag ',' error ',' buy ',' expensive ',' description ',' internet ',' the rest ',' quota ',' watch ',' sosmed ',' Disney ',' hotstar ',' please ',' return ',' package ' , 'Internet', '']</v>
      </c>
      <c r="D2461" s="3">
        <v>1.0</v>
      </c>
    </row>
    <row r="2462" ht="15.75" customHeight="1">
      <c r="A2462" s="1">
        <v>2460.0</v>
      </c>
      <c r="B2462" s="3" t="s">
        <v>2463</v>
      </c>
      <c r="C2462" s="3" t="str">
        <f>IFERROR(__xludf.DUMMYFUNCTION("GOOGLETRANSLATE(B2462,""id"",""en"")"),"['Complete', 'contents',' pls', 'Telkomsel', 'smooth', 'times',' contents', 'transaction', 'succeed', 'pls',' penny ',' add ',' ']")</f>
        <v>['Complete', 'contents',' pls', 'Telkomsel', 'smooth', 'times',' contents', 'transaction', 'succeed', 'pls',' penny ',' add ',' ']</v>
      </c>
      <c r="D2462" s="3">
        <v>2.0</v>
      </c>
    </row>
    <row r="2463" ht="15.75" customHeight="1">
      <c r="A2463" s="1">
        <v>2461.0</v>
      </c>
      <c r="B2463" s="3" t="s">
        <v>2464</v>
      </c>
      <c r="C2463" s="3" t="str">
        <f>IFERROR(__xludf.DUMMYFUNCTION("GOOGLETRANSLATE(B2463,""id"",""en"")"),"['updated', 'no', 'convenient', 'Display', 'Delete', 'Application', 'Language', 'Ngga', 'understood', 'trimakasih']")</f>
        <v>['updated', 'no', 'convenient', 'Display', 'Delete', 'Application', 'Language', 'Ngga', 'understood', 'trimakasih']</v>
      </c>
      <c r="D2463" s="3">
        <v>1.0</v>
      </c>
    </row>
    <row r="2464" ht="15.75" customHeight="1">
      <c r="A2464" s="1">
        <v>2462.0</v>
      </c>
      <c r="B2464" s="3" t="s">
        <v>2465</v>
      </c>
      <c r="C2464" s="3" t="str">
        <f>IFERROR(__xludf.DUMMYFUNCTION("GOOGLETRANSLATE(B2464,""id"",""en"")"),"['Telkomsel', 'good', 'network', 'reach out', 'remote', 'village', 'expensive', 'package', 'internet', 'love', 'salary', 'already', ' Look, ',' finance ',' school ',' online ',' heavy ',' expensive ', ""]")</f>
        <v>['Telkomsel', 'good', 'network', 'reach out', 'remote', 'village', 'expensive', 'package', 'internet', 'love', 'salary', 'already', ' Look, ',' finance ',' school ',' online ',' heavy ',' expensive ', "]</v>
      </c>
      <c r="D2464" s="3">
        <v>5.0</v>
      </c>
    </row>
    <row r="2465" ht="15.75" customHeight="1">
      <c r="A2465" s="1">
        <v>2463.0</v>
      </c>
      <c r="B2465" s="3" t="s">
        <v>2466</v>
      </c>
      <c r="C2465" s="3" t="str">
        <f>IFERROR(__xludf.DUMMYFUNCTION("GOOGLETRANSLATE(B2465,""id"",""en"")"),"['Please', 'Telkomsel', 'repeat', 'times',' contents', 'pulse', 'truncated', 'mean', 'already', 'contents',' then ',' lost ',' Fill ',' Lost ',' What ',' Customer ',' Satisfied ',' Kejranian ',' User ',' Telkomsel ',' Merugi ',' Genesis', 'Credit']")</f>
        <v>['Please', 'Telkomsel', 'repeat', 'times',' contents', 'pulse', 'truncated', 'mean', 'already', 'contents',' then ',' lost ',' Fill ',' Lost ',' What ',' Customer ',' Satisfied ',' Kejranian ',' User ',' Telkomsel ',' Merugi ',' Genesis', 'Credit']</v>
      </c>
      <c r="D2465" s="3">
        <v>1.0</v>
      </c>
    </row>
    <row r="2466" ht="15.75" customHeight="1">
      <c r="A2466" s="1">
        <v>2464.0</v>
      </c>
      <c r="B2466" s="3" t="s">
        <v>2467</v>
      </c>
      <c r="C2466" s="3" t="str">
        <f>IFERROR(__xludf.DUMMYFUNCTION("GOOGLETRANSLATE(B2466,""id"",""en"")"),"['update', 'no', 'buy', 'package', 'call', 'application', 'mytelkomsel', 'network', 'wifi', 'contents',' package ',' internet ',' Severe ',' internet ',' use ',' wifi ']")</f>
        <v>['update', 'no', 'buy', 'package', 'call', 'application', 'mytelkomsel', 'network', 'wifi', 'contents',' package ',' internet ',' Severe ',' internet ',' use ',' wifi ']</v>
      </c>
      <c r="D2466" s="3">
        <v>1.0</v>
      </c>
    </row>
    <row r="2467" ht="15.75" customHeight="1">
      <c r="A2467" s="1">
        <v>2465.0</v>
      </c>
      <c r="B2467" s="3" t="s">
        <v>2468</v>
      </c>
      <c r="C2467" s="3" t="str">
        <f>IFERROR(__xludf.DUMMYFUNCTION("GOOGLETRANSLATE(B2467,""id"",""en"")"),"['buy', 'pulse', 'offer', 'package', 'interesting', 'combo', 'magic', 'internet', 'call', 'contents',' pulse ',' package ',' Purchased ',' missing ',' steady ',' strategy ',' kntle ', ""]")</f>
        <v>['buy', 'pulse', 'offer', 'package', 'interesting', 'combo', 'magic', 'internet', 'call', 'contents',' pulse ',' package ',' Purchased ',' missing ',' steady ',' strategy ',' kntle ', "]</v>
      </c>
      <c r="D2467" s="3">
        <v>1.0</v>
      </c>
    </row>
    <row r="2468" ht="15.75" customHeight="1">
      <c r="A2468" s="1">
        <v>2466.0</v>
      </c>
      <c r="B2468" s="3" t="s">
        <v>2469</v>
      </c>
      <c r="C2468" s="3" t="str">
        <f>IFERROR(__xludf.DUMMYFUNCTION("GOOGLETRANSLATE(B2468,""id"",""en"")"),"['network', 'Telkomsel', 'very "",' ugly ',' in place ',' forced ',' use ',' card ',' Telkomsel ',' family ',' Telkomsel ',' donk ',' The solution ',' Location ',' Islam ',' Bogor ',' Exact ',' Mosque ',' Jami ',' Baiturrahman ', ""]")</f>
        <v>['network', 'Telkomsel', 'very ",' ugly ',' in place ',' forced ',' use ',' card ',' Telkomsel ',' family ',' Telkomsel ',' donk ',' The solution ',' Location ',' Islam ',' Bogor ',' Exact ',' Mosque ',' Jami ',' Baiturrahman ', "]</v>
      </c>
      <c r="D2468" s="3">
        <v>1.0</v>
      </c>
    </row>
    <row r="2469" ht="15.75" customHeight="1">
      <c r="A2469" s="1">
        <v>2467.0</v>
      </c>
      <c r="B2469" s="3" t="s">
        <v>2470</v>
      </c>
      <c r="C2469" s="3" t="str">
        <f>IFERROR(__xludf.DUMMYFUNCTION("GOOGLETRANSLATE(B2469,""id"",""en"")"),"['', 'Star', 'Open', 'App', 'Check', 'Quota', 'Slalu', 'Ferivication', 'EUP', 'Error', 'Install', 'reset', 'already ',' Copy ',' Link ',' ']")</f>
        <v>['', 'Star', 'Open', 'App', 'Check', 'Quota', 'Slalu', 'Ferivication', 'EUP', 'Error', 'Install', 'reset', 'already ',' Copy ',' Link ',' ']</v>
      </c>
      <c r="D2469" s="3">
        <v>1.0</v>
      </c>
    </row>
    <row r="2470" ht="15.75" customHeight="1">
      <c r="A2470" s="1">
        <v>2468.0</v>
      </c>
      <c r="B2470" s="3" t="s">
        <v>2471</v>
      </c>
      <c r="C2470" s="3" t="str">
        <f>IFERROR(__xludf.DUMMYFUNCTION("GOOGLETRANSLATE(B2470,""id"",""en"")"),"['Do', 'offer', 'Choice', 'Yesterday', 'Country', 'Price', 'Expensive', 'Price', 'Thinking', 'Faithful', 'Card', 'Telkomsel', ' Help ',' disappointing ',' star ',' form ',' disappointed ',' ']")</f>
        <v>['Do', 'offer', 'Choice', 'Yesterday', 'Country', 'Price', 'Expensive', 'Price', 'Thinking', 'Faithful', 'Card', 'Telkomsel', ' Help ',' disappointing ',' star ',' form ',' disappointed ',' ']</v>
      </c>
      <c r="D2470" s="3">
        <v>1.0</v>
      </c>
    </row>
    <row r="2471" ht="15.75" customHeight="1">
      <c r="A2471" s="1">
        <v>2469.0</v>
      </c>
      <c r="B2471" s="3" t="s">
        <v>2472</v>
      </c>
      <c r="C2471" s="3" t="str">
        <f>IFERROR(__xludf.DUMMYFUNCTION("GOOGLETRANSLATE(B2471,""id"",""en"")"),"['wants',' Apasih ',' already ',' buy ',' quota ',' slow ',' prime ',' network ',' the fastest ',' quota ',' expensive ',' Come ',' lahhh ',' customer ',' loyal ',' Telkomsel ',' bad ',' slow ',' gini ',' mending ',' price ',' ride ',' boss', 'price', 'qu"&amp;"ality' , 'buy', 'expensive', 'got', 'pulp', 'gini', ""]")</f>
        <v>['wants',' Apasih ',' already ',' buy ',' quota ',' slow ',' prime ',' network ',' the fastest ',' quota ',' expensive ',' Come ',' lahhh ',' customer ',' loyal ',' Telkomsel ',' bad ',' slow ',' gini ',' mending ',' price ',' ride ',' boss', 'price', 'quality' , 'buy', 'expensive', 'got', 'pulp', 'gini', "]</v>
      </c>
      <c r="D2471" s="3">
        <v>1.0</v>
      </c>
    </row>
    <row r="2472" ht="15.75" customHeight="1">
      <c r="A2472" s="1">
        <v>2470.0</v>
      </c>
      <c r="B2472" s="3" t="s">
        <v>2473</v>
      </c>
      <c r="C2472" s="3" t="str">
        <f>IFERROR(__xludf.DUMMYFUNCTION("GOOGLETRANSLATE(B2472,""id"",""en"")"),"['Change', 'card', 'signal', 'slow', 'udh', 'buy', 'packagein', 'expensive', 'expensive', 'disappointed', 'card', 'Telkomsel', ' ']")</f>
        <v>['Change', 'card', 'signal', 'slow', 'udh', 'buy', 'packagein', 'expensive', 'expensive', 'disappointed', 'card', 'Telkomsel', ' ']</v>
      </c>
      <c r="D2472" s="3">
        <v>1.0</v>
      </c>
    </row>
    <row r="2473" ht="15.75" customHeight="1">
      <c r="A2473" s="1">
        <v>2471.0</v>
      </c>
      <c r="B2473" s="3" t="s">
        <v>2474</v>
      </c>
      <c r="C2473" s="3" t="str">
        <f>IFERROR(__xludf.DUMMYFUNCTION("GOOGLETRANSLATE(B2473,""id"",""en"")"),"['hmm', 'knp', 'network', 'Telkomsel', 'strange', 'right', 'watch', 'ytb', 'tick', 'tok', 'network', 'smooth', ' right ',' play ',' game ',' network ',' slow ',' signal ',' sometimes', 'network', 'lost', ""]")</f>
        <v>['hmm', 'knp', 'network', 'Telkomsel', 'strange', 'right', 'watch', 'ytb', 'tick', 'tok', 'network', 'smooth', ' right ',' play ',' game ',' network ',' slow ',' signal ',' sometimes', 'network', 'lost', "]</v>
      </c>
      <c r="D2473" s="3">
        <v>1.0</v>
      </c>
    </row>
    <row r="2474" ht="15.75" customHeight="1">
      <c r="A2474" s="1">
        <v>2472.0</v>
      </c>
      <c r="B2474" s="3" t="s">
        <v>2475</v>
      </c>
      <c r="C2474" s="3" t="str">
        <f>IFERROR(__xludf.DUMMYFUNCTION("GOOGLETRANSLATE(B2474,""id"",""en"")"),"['Thank you', 'Telkomsel', 'Age', 'Sellu', 'Wear', 'Products',' Telkomsel ',' Karna ',' Network ',' Plosok ',' Negri ',' Jaya ',' Telkomsel ',' Get ',' Lottery ',' Nukar ',' Points', 'hehehe', 'Easy', 'hopefully', 'July', 'get', 'gift', ""]")</f>
        <v>['Thank you', 'Telkomsel', 'Age', 'Sellu', 'Wear', 'Products',' Telkomsel ',' Karna ',' Network ',' Plosok ',' Negri ',' Jaya ',' Telkomsel ',' Get ',' Lottery ',' Nukar ',' Points', 'hehehe', 'Easy', 'hopefully', 'July', 'get', 'gift', "]</v>
      </c>
      <c r="D2474" s="3">
        <v>5.0</v>
      </c>
    </row>
    <row r="2475" ht="15.75" customHeight="1">
      <c r="A2475" s="1">
        <v>2473.0</v>
      </c>
      <c r="B2475" s="3" t="s">
        <v>2476</v>
      </c>
      <c r="C2475" s="3" t="str">
        <f>IFERROR(__xludf.DUMMYFUNCTION("GOOGLETRANSLATE(B2475,""id"",""en"")"),"['TELKOM', 'TELKOM', 'MENDAN', 'INDOSAT', 'DLL', 'BUY', 'Credit', 'Use', 'Reduced', 'Slow', 'Purchase', 'Subscription', ' Sushsssss', '']")</f>
        <v>['TELKOM', 'TELKOM', 'MENDAN', 'INDOSAT', 'DLL', 'BUY', 'Credit', 'Use', 'Reduced', 'Slow', 'Purchase', 'Subscription', ' Sushsssss', '']</v>
      </c>
      <c r="D2475" s="3">
        <v>1.0</v>
      </c>
    </row>
    <row r="2476" ht="15.75" customHeight="1">
      <c r="A2476" s="1">
        <v>2474.0</v>
      </c>
      <c r="B2476" s="3" t="s">
        <v>2477</v>
      </c>
      <c r="C2476" s="3" t="str">
        <f>IFERROR(__xludf.DUMMYFUNCTION("GOOGLETRANSLATE(B2476,""id"",""en"")"),"['', 'Helping', 'package', 'divided', 'She', 'little', 'choice', 'purchase', 'package', 'voice', 'telephone', 'number', 'home ',' explanation ',' wrong ',' buy ',' number ',' package ',' number ',' home ',' severe ',' intention ',' rich ',' sense ',' Akal"&amp;"an ']")</f>
        <v>['', 'Helping', 'package', 'divided', 'She', 'little', 'choice', 'purchase', 'package', 'voice', 'telephone', 'number', 'home ',' explanation ',' wrong ',' buy ',' number ',' package ',' number ',' home ',' severe ',' intention ',' rich ',' sense ',' Akalan ']</v>
      </c>
      <c r="D2476" s="3">
        <v>1.0</v>
      </c>
    </row>
    <row r="2477" ht="15.75" customHeight="1">
      <c r="A2477" s="1">
        <v>2475.0</v>
      </c>
      <c r="B2477" s="3" t="s">
        <v>2478</v>
      </c>
      <c r="C2477" s="3" t="str">
        <f>IFERROR(__xludf.DUMMYFUNCTION("GOOGLETRANSLATE(B2477,""id"",""en"")"),"['Paketannya', 'Puyeng', 'Must', 'Maga', 'Bundling', 'Restricted', 'Application', 'Simple', 'Sell', 'Data', 'Giga', 'Think', ' people ',' leisure ',' benefits', 'package', 'business',' honest ',' bkkin ',' telkomsel ',' loss', 'most', 'cross',' sell ',' t"&amp;"eam ' , 'Marketing', 'Telkomsel', 'poor']")</f>
        <v>['Paketannya', 'Puyeng', 'Must', 'Maga', 'Bundling', 'Restricted', 'Application', 'Simple', 'Sell', 'Data', 'Giga', 'Think', ' people ',' leisure ',' benefits', 'package', 'business',' honest ',' bkkin ',' telkomsel ',' loss', 'most', 'cross',' sell ',' team ' , 'Marketing', 'Telkomsel', 'poor']</v>
      </c>
      <c r="D2477" s="3">
        <v>3.0</v>
      </c>
    </row>
    <row r="2478" ht="15.75" customHeight="1">
      <c r="A2478" s="1">
        <v>2476.0</v>
      </c>
      <c r="B2478" s="3" t="s">
        <v>2479</v>
      </c>
      <c r="C2478" s="3" t="str">
        <f>IFERROR(__xludf.DUMMYFUNCTION("GOOGLETRANSLATE(B2478,""id"",""en"")"),"['Abis',' updated ',' ugly ',' pulse ',' buy ',' package ',' buy ',' package ',' network ',' turn ',' change ',' network ',' Credit ',' Cut ',' Credit ',' Reduced ',' How ']")</f>
        <v>['Abis',' updated ',' ugly ',' pulse ',' buy ',' package ',' buy ',' package ',' network ',' turn ',' change ',' network ',' Credit ',' Cut ',' Credit ',' Reduced ',' How ']</v>
      </c>
      <c r="D2478" s="3">
        <v>1.0</v>
      </c>
    </row>
    <row r="2479" ht="15.75" customHeight="1">
      <c r="A2479" s="1">
        <v>2477.0</v>
      </c>
      <c r="B2479" s="3" t="s">
        <v>2480</v>
      </c>
      <c r="C2479" s="3" t="str">
        <f>IFERROR(__xludf.DUMMYFUNCTION("GOOGLETRANSLATE(B2479,""id"",""en"")"),"['application', 'bad', 'loading', 'buy', 'package', 'cut', 'emang', 'package', 'active', 'buy', 'package', 'fall', ' The price ',' expensive ',' blame ',' consumer ',' Request ',' purchase ',' application ',' loading ',' purchase ',' purchase ',' solution"&amp;" ',' best ',' blame ' , 'consumers', 'system', 'loading', 'slow', 'danger', 'contents', 'pulses', ""]")</f>
        <v>['application', 'bad', 'loading', 'buy', 'package', 'cut', 'emang', 'package', 'active', 'buy', 'package', 'fall', ' The price ',' expensive ',' blame ',' consumer ',' Request ',' purchase ',' application ',' loading ',' purchase ',' purchase ',' solution ',' best ',' blame ' , 'consumers', 'system', 'loading', 'slow', 'danger', 'contents', 'pulses', "]</v>
      </c>
      <c r="D2479" s="3">
        <v>1.0</v>
      </c>
    </row>
    <row r="2480" ht="15.75" customHeight="1">
      <c r="A2480" s="1">
        <v>2478.0</v>
      </c>
      <c r="B2480" s="3" t="s">
        <v>2481</v>
      </c>
      <c r="C2480" s="3" t="str">
        <f>IFERROR(__xludf.DUMMYFUNCTION("GOOGLETRANSLATE(B2480,""id"",""en"")"),"['What', 'already', 'buy', 'package', 'unlimited', 'youtube', 'use', 'udau', 'waiting', 'all day', 'tetep', 'can't' use']")</f>
        <v>['What', 'already', 'buy', 'package', 'unlimited', 'youtube', 'use', 'udau', 'waiting', 'all day', 'tetep', 'can't' use']</v>
      </c>
      <c r="D2480" s="3">
        <v>1.0</v>
      </c>
    </row>
    <row r="2481" ht="15.75" customHeight="1">
      <c r="A2481" s="1">
        <v>2479.0</v>
      </c>
      <c r="B2481" s="3" t="s">
        <v>2482</v>
      </c>
      <c r="C2481" s="3" t="str">
        <f>IFERROR(__xludf.DUMMYFUNCTION("GOOGLETRANSLATE(B2481,""id"",""en"")"),"['The applications',' Errr ',' KLI ',' Enter ',' DPT ',' SMS ',' Code ',' Direct ',' Dead ',' Mbuka ',' Application ',' CMA ',' Open ',' Telkomsel ',' Knp ',' ']")</f>
        <v>['The applications',' Errr ',' KLI ',' Enter ',' DPT ',' SMS ',' Code ',' Direct ',' Dead ',' Mbuka ',' Application ',' CMA ',' Open ',' Telkomsel ',' Knp ',' ']</v>
      </c>
      <c r="D2481" s="3">
        <v>1.0</v>
      </c>
    </row>
    <row r="2482" ht="15.75" customHeight="1">
      <c r="A2482" s="1">
        <v>2480.0</v>
      </c>
      <c r="B2482" s="3" t="s">
        <v>2483</v>
      </c>
      <c r="C2482" s="3" t="str">
        <f>IFERROR(__xludf.DUMMYFUNCTION("GOOGLETRANSLATE(B2482,""id"",""en"")"),"['Customer', 'loyal', 'Telkomsel', 'Annual', 'Choosing', 'Switch', 'Wear', 'AXIS', 'Disappointed', 'Purchase', 'Price', 'Access',' FUP ',' DSB ',' Purchase ',' Combosakti ',' Unlimited ',' Gajelas', 'quota', 'leftover', 'unlimited', 'use', 'yesterday', 'b"&amp;"uy', 'quota' , 'Combo', 'Sakti', 'Unlimited', 'GB', 'Out', 'Quota', 'Blass',' Game ',' Written ',' There ',' Unlimited ',' Game ',' Max ',' write ',' there ',' combo ',' Sakti ',' unlimited ']")</f>
        <v>['Customer', 'loyal', 'Telkomsel', 'Annual', 'Choosing', 'Switch', 'Wear', 'AXIS', 'Disappointed', 'Purchase', 'Price', 'Access',' FUP ',' DSB ',' Purchase ',' Combosakti ',' Unlimited ',' Gajelas', 'quota', 'leftover', 'unlimited', 'use', 'yesterday', 'buy', 'quota' , 'Combo', 'Sakti', 'Unlimited', 'GB', 'Out', 'Quota', 'Blass',' Game ',' Written ',' There ',' Unlimited ',' Game ',' Max ',' write ',' there ',' combo ',' Sakti ',' unlimited ']</v>
      </c>
      <c r="D2482" s="3">
        <v>1.0</v>
      </c>
    </row>
    <row r="2483" ht="15.75" customHeight="1">
      <c r="A2483" s="1">
        <v>2481.0</v>
      </c>
      <c r="B2483" s="3" t="s">
        <v>2484</v>
      </c>
      <c r="C2483" s="3" t="str">
        <f>IFERROR(__xludf.DUMMYFUNCTION("GOOGLETRANSLATE(B2483,""id"",""en"")"),"['Sorry', 'week', 'filling', 'voucher', 'appears', 'notification', 'system', 'busy', 'Please', 'repair']")</f>
        <v>['Sorry', 'week', 'filling', 'voucher', 'appears', 'notification', 'system', 'busy', 'Please', 'repair']</v>
      </c>
      <c r="D2483" s="3">
        <v>1.0</v>
      </c>
    </row>
    <row r="2484" ht="15.75" customHeight="1">
      <c r="A2484" s="1">
        <v>2482.0</v>
      </c>
      <c r="B2484" s="3" t="s">
        <v>2485</v>
      </c>
      <c r="C2484" s="3" t="str">
        <f>IFERROR(__xludf.DUMMYFUNCTION("GOOGLETRANSLATE(B2484,""id"",""en"")"),"['company', 'BUMN', 'KOG', 'Tide', 'Rates',' Expensive ',' Customer ',' Combo ',' Sakti ',' Lost ',' Service ',' Recommended ',' buy ',' package ',' expensive ',' migration ',' operator ',' laen ']")</f>
        <v>['company', 'BUMN', 'KOG', 'Tide', 'Rates',' Expensive ',' Customer ',' Combo ',' Sakti ',' Lost ',' Service ',' Recommended ',' buy ',' package ',' expensive ',' migration ',' operator ',' laen ']</v>
      </c>
      <c r="D2484" s="3">
        <v>1.0</v>
      </c>
    </row>
    <row r="2485" ht="15.75" customHeight="1">
      <c r="A2485" s="1">
        <v>2483.0</v>
      </c>
      <c r="B2485" s="3" t="s">
        <v>2486</v>
      </c>
      <c r="C2485" s="3" t="str">
        <f>IFERROR(__xludf.DUMMYFUNCTION("GOOGLETRANSLATE(B2485,""id"",""en"")"),"['Login', 'Check', 'Quota', 'Via', 'App', 'Via', 'Dial', 'Via', 'SMS', 'Quality', 'Network', 'Decreases',' region ',' countryside ',' here ',' service ',' bad ',' Please ',' fix ', ""]")</f>
        <v>['Login', 'Check', 'Quota', 'Via', 'App', 'Via', 'Dial', 'Via', 'SMS', 'Quality', 'Network', 'Decreases',' region ',' countryside ',' here ',' service ',' bad ',' Please ',' fix ', "]</v>
      </c>
      <c r="D2485" s="3">
        <v>1.0</v>
      </c>
    </row>
    <row r="2486" ht="15.75" customHeight="1">
      <c r="A2486" s="1">
        <v>2484.0</v>
      </c>
      <c r="B2486" s="3" t="s">
        <v>2487</v>
      </c>
      <c r="C2486" s="3" t="str">
        <f>IFERROR(__xludf.DUMMYFUNCTION("GOOGLETRANSLATE(B2486,""id"",""en"")"),"['application', 'problematic', 'lambaaaaatttt', 'daily', 'check', 'problematic', 'sometimes',' menu ',' appears', 'stamp', 'collected', 'claim', ' Prizes', 'defects',' APP ']")</f>
        <v>['application', 'problematic', 'lambaaaaatttt', 'daily', 'check', 'problematic', 'sometimes',' menu ',' appears', 'stamp', 'collected', 'claim', ' Prizes', 'defects',' APP ']</v>
      </c>
      <c r="D2486" s="3">
        <v>2.0</v>
      </c>
    </row>
    <row r="2487" ht="15.75" customHeight="1">
      <c r="A2487" s="1">
        <v>2485.0</v>
      </c>
      <c r="B2487" s="3" t="s">
        <v>2488</v>
      </c>
      <c r="C2487" s="3" t="str">
        <f>IFERROR(__xludf.DUMMYFUNCTION("GOOGLETRANSLATE(B2487,""id"",""en"")"),"['Telkomsel', 'Prepaid', 'Sekrng', 'Postpaid', 'PERRH', 'APLICSK', 'Telkomsel', 'Sejelect', 'Since', 'Update', 'Logo', 'Open', ' Application ',' Unistall ',' Install ',' wasteful ',' quota ',' jdi ',' darling ',' skrng ',' ugly ',' application ',' ']")</f>
        <v>['Telkomsel', 'Prepaid', 'Sekrng', 'Postpaid', 'PERRH', 'APLICSK', 'Telkomsel', 'Sejelect', 'Since', 'Update', 'Logo', 'Open', ' Application ',' Unistall ',' Install ',' wasteful ',' quota ',' jdi ',' darling ',' skrng ',' ugly ',' application ',' ']</v>
      </c>
      <c r="D2487" s="3">
        <v>1.0</v>
      </c>
    </row>
    <row r="2488" ht="15.75" customHeight="1">
      <c r="A2488" s="1">
        <v>2486.0</v>
      </c>
      <c r="B2488" s="3" t="s">
        <v>2489</v>
      </c>
      <c r="C2488" s="3" t="str">
        <f>IFERROR(__xludf.DUMMYFUNCTION("GOOGLETRANSLATE(B2488,""id"",""en"")"),"['application', 'trash', 'no', 'send', 'gift', 'try', 'send', 'gift', 'input', 'number', 'destination', 'choose', ' type ',' gift ',' application ',' stop ',' automatic ',' home ',' try ',' repeat ',' send ',' gift ',' parent ']")</f>
        <v>['application', 'trash', 'no', 'send', 'gift', 'try', 'send', 'gift', 'input', 'number', 'destination', 'choose', ' type ',' gift ',' application ',' stop ',' automatic ',' home ',' try ',' repeat ',' send ',' gift ',' parent ']</v>
      </c>
      <c r="D2488" s="3">
        <v>1.0</v>
      </c>
    </row>
    <row r="2489" ht="15.75" customHeight="1">
      <c r="A2489" s="1">
        <v>2487.0</v>
      </c>
      <c r="B2489" s="3" t="s">
        <v>2490</v>
      </c>
      <c r="C2489" s="3" t="str">
        <f>IFERROR(__xludf.DUMMYFUNCTION("GOOGLETRANSLATE(B2489,""id"",""en"")"),"['Confused', 'Look', 'UDH', 'Buy', 'See', 'History', 'Have', 'Buy', 'What', 'Application', 'Update', 'Confusing', ' ']")</f>
        <v>['Confused', 'Look', 'UDH', 'Buy', 'See', 'History', 'Have', 'Buy', 'What', 'Application', 'Update', 'Confusing', ' ']</v>
      </c>
      <c r="D2489" s="3">
        <v>1.0</v>
      </c>
    </row>
    <row r="2490" ht="15.75" customHeight="1">
      <c r="A2490" s="1">
        <v>2488.0</v>
      </c>
      <c r="B2490" s="3" t="s">
        <v>2491</v>
      </c>
      <c r="C2490" s="3" t="str">
        <f>IFERROR(__xludf.DUMMYFUNCTION("GOOGLETRANSLATE(B2490,""id"",""en"")"),"['Suff', 'Get', 'Voucher', 'Discount', 'Package', 'Buy', 'Package', 'Voucher', 'Used', 'Buy', 'Midnight', ' Combining ',' Credit ',' Voucher ',' Discount ',' Tetep ',' Credit ',' Adequate ',' Nambah ',' Credit ',' Buy ',' Midnight ',' Midnight ' , 'Midnig"&amp;"ht', 'missing', 'difference', 'minutes', 'doang', ""]")</f>
        <v>['Suff', 'Get', 'Voucher', 'Discount', 'Package', 'Buy', 'Package', 'Voucher', 'Used', 'Buy', 'Midnight', ' Combining ',' Credit ',' Voucher ',' Discount ',' Tetep ',' Credit ',' Adequate ',' Nambah ',' Credit ',' Buy ',' Midnight ',' Midnight ' , 'Midnight', 'missing', 'difference', 'minutes', 'doang', "]</v>
      </c>
      <c r="D2490" s="3">
        <v>1.0</v>
      </c>
    </row>
    <row r="2491" ht="15.75" customHeight="1">
      <c r="A2491" s="1">
        <v>2489.0</v>
      </c>
      <c r="B2491" s="3" t="s">
        <v>2492</v>
      </c>
      <c r="C2491" s="3" t="str">
        <f>IFERROR(__xludf.DUMMYFUNCTION("GOOGLETRANSLATE(B2491,""id"",""en"")"),"['signal', 'ugly', 'play', 'mobile', 'legend', 'bang', 'bang', 'expensive', 'doang', 'anjirr', 'please', 'fix', ' Products', 'according to', 'price', '']")</f>
        <v>['signal', 'ugly', 'play', 'mobile', 'legend', 'bang', 'bang', 'expensive', 'doang', 'anjirr', 'please', 'fix', ' Products', 'according to', 'price', '']</v>
      </c>
      <c r="D2491" s="3">
        <v>1.0</v>
      </c>
    </row>
    <row r="2492" ht="15.75" customHeight="1">
      <c r="A2492" s="1">
        <v>2490.0</v>
      </c>
      <c r="B2492" s="3" t="s">
        <v>2493</v>
      </c>
      <c r="C2492" s="3" t="str">
        <f>IFERROR(__xludf.DUMMYFUNCTION("GOOGLETRANSLATE(B2492,""id"",""en"")"),"['Display', 'good', 'really', 'package', 'good', 'list', 'package', 'price', 'friendly', 'price', 'student', '']")</f>
        <v>['Display', 'good', 'really', 'package', 'good', 'list', 'package', 'price', 'friendly', 'price', 'student', '']</v>
      </c>
      <c r="D2492" s="3">
        <v>1.0</v>
      </c>
    </row>
    <row r="2493" ht="15.75" customHeight="1">
      <c r="A2493" s="1">
        <v>2491.0</v>
      </c>
      <c r="B2493" s="3" t="s">
        <v>2494</v>
      </c>
      <c r="C2493" s="3" t="str">
        <f>IFERROR(__xludf.DUMMYFUNCTION("GOOGLETRANSLATE(B2493,""id"",""en"")"),"['GMNA', 'org', 'ksih', 'rating', 'good', 'unable', 'load', 'poor', 'Telkomsel', 'severe', 'ugly', 'service', ' APK ',' TLG ',' repaired ',' tasty ',' Telkom ',' tasty ',' can ',' peancan ',' lot ',' make ',' tasty ',' smpe ',' pindh ' , 'Provider', '']")</f>
        <v>['GMNA', 'org', 'ksih', 'rating', 'good', 'unable', 'load', 'poor', 'Telkomsel', 'severe', 'ugly', 'service', ' APK ',' TLG ',' repaired ',' tasty ',' Telkom ',' tasty ',' can ',' peancan ',' lot ',' make ',' tasty ',' smpe ',' pindh ' , 'Provider', '']</v>
      </c>
      <c r="D2493" s="3">
        <v>1.0</v>
      </c>
    </row>
    <row r="2494" ht="15.75" customHeight="1">
      <c r="A2494" s="1">
        <v>2492.0</v>
      </c>
      <c r="B2494" s="3" t="s">
        <v>2495</v>
      </c>
      <c r="C2494" s="3" t="str">
        <f>IFERROR(__xludf.DUMMYFUNCTION("GOOGLETRANSLATE(B2494,""id"",""en"")"),"['Sorry', 'signal', 'stable', 'disappointing', 'please', 'fix it', 'please', 'tens',' Telkomsel ',' Demonstration ',' Talk ',' Thank you ',' Its life ']")</f>
        <v>['Sorry', 'signal', 'stable', 'disappointing', 'please', 'fix it', 'please', 'tens',' Telkomsel ',' Demonstration ',' Talk ',' Thank you ',' Its life ']</v>
      </c>
      <c r="D2494" s="3">
        <v>2.0</v>
      </c>
    </row>
    <row r="2495" ht="15.75" customHeight="1">
      <c r="A2495" s="1">
        <v>2493.0</v>
      </c>
      <c r="B2495" s="3" t="s">
        <v>2496</v>
      </c>
      <c r="C2495" s="3" t="str">
        <f>IFERROR(__xludf.DUMMYFUNCTION("GOOGLETRANSLATE(B2495,""id"",""en"")"),"['Disappointing', 'Test', 'Application', 'Publish', 'Login', 'Link', 'Valid', 'Expiration', 'Attention', ""]")</f>
        <v>['Disappointing', 'Test', 'Application', 'Publish', 'Login', 'Link', 'Valid', 'Expiration', 'Attention', "]</v>
      </c>
      <c r="D2495" s="3">
        <v>1.0</v>
      </c>
    </row>
    <row r="2496" ht="15.75" customHeight="1">
      <c r="A2496" s="1">
        <v>2494.0</v>
      </c>
      <c r="B2496" s="3" t="s">
        <v>2497</v>
      </c>
      <c r="C2496" s="3" t="str">
        <f>IFERROR(__xludf.DUMMYFUNCTION("GOOGLETRANSLATE(B2496,""id"",""en"")"),"['knp', 'bug', 'emang', 'error', 'detrimental', 'buy', 'quota', 'internet', 'application', 'fund', 'knp', 'try', ' Many ',' times', 'buy', 'contents',' funds', 'buy', 'quota', 'internet', 'please', 'repair']")</f>
        <v>['knp', 'bug', 'emang', 'error', 'detrimental', 'buy', 'quota', 'internet', 'application', 'fund', 'knp', 'try', ' Many ',' times', 'buy', 'contents',' funds', 'buy', 'quota', 'internet', 'please', 'repair']</v>
      </c>
      <c r="D2496" s="3">
        <v>1.0</v>
      </c>
    </row>
    <row r="2497" ht="15.75" customHeight="1">
      <c r="A2497" s="1">
        <v>2495.0</v>
      </c>
      <c r="B2497" s="3" t="s">
        <v>2498</v>
      </c>
      <c r="C2497" s="3" t="str">
        <f>IFERROR(__xludf.DUMMYFUNCTION("GOOGLETRANSLATE(B2497,""id"",""en"")"),"['Network', 'Tomsel', 'Andalin', 'Network', 'Top', 'In the future', 'Tmbah', 'bad', 'PDHL', 'Huffttt', 'Disappointed']")</f>
        <v>['Network', 'Tomsel', 'Andalin', 'Network', 'Top', 'In the future', 'Tmbah', 'bad', 'PDHL', 'Huffttt', 'Disappointed']</v>
      </c>
      <c r="D2497" s="3">
        <v>1.0</v>
      </c>
    </row>
    <row r="2498" ht="15.75" customHeight="1">
      <c r="A2498" s="1">
        <v>2496.0</v>
      </c>
      <c r="B2498" s="3" t="s">
        <v>2499</v>
      </c>
      <c r="C2498" s="3" t="str">
        <f>IFERROR(__xludf.DUMMYFUNCTION("GOOGLETRANSLATE(B2498,""id"",""en"")"),"['Subscribe', 'Telkomsel', 'Easy', 'Help', 'Thank "",' Love ',' Telkomsel ',' Please ',' Increase ',' Policy ',' Package ',' Unlimited ',' Please ',' Please ',' Increase ',' Telkomsel ',' Thank "", 'Kasih', 'Sabdul', 'Rahim',""]")</f>
        <v>['Subscribe', 'Telkomsel', 'Easy', 'Help', 'Thank ",' Love ',' Telkomsel ',' Please ',' Increase ',' Policy ',' Package ',' Unlimited ',' Please ',' Please ',' Increase ',' Telkomsel ',' Thank ", 'Kasih', 'Sabdul', 'Rahim',"]</v>
      </c>
      <c r="D2498" s="3">
        <v>5.0</v>
      </c>
    </row>
    <row r="2499" ht="15.75" customHeight="1">
      <c r="A2499" s="1">
        <v>2497.0</v>
      </c>
      <c r="B2499" s="3" t="s">
        <v>2500</v>
      </c>
      <c r="C2499" s="3" t="str">
        <f>IFERROR(__xludf.DUMMYFUNCTION("GOOGLETRANSLATE(B2499,""id"",""en"")"),"['wkwkkw', 'mending', 'moved', 'uda', 'moved', 'ngepain', 'pakek', 'telkomsel', 'package', 'expensive', 'then', 'signal', ' ugly ',' rating ',' apk ',' ugly ',' kek ',' company ']")</f>
        <v>['wkwkkw', 'mending', 'moved', 'uda', 'moved', 'ngepain', 'pakek', 'telkomsel', 'package', 'expensive', 'then', 'signal', ' ugly ',' rating ',' apk ',' ugly ',' kek ',' company ']</v>
      </c>
      <c r="D2499" s="3">
        <v>1.0</v>
      </c>
    </row>
    <row r="2500" ht="15.75" customHeight="1">
      <c r="A2500" s="1">
        <v>2498.0</v>
      </c>
      <c r="B2500" s="3" t="s">
        <v>2501</v>
      </c>
      <c r="C2500" s="3" t="str">
        <f>IFERROR(__xludf.DUMMYFUNCTION("GOOGLETRANSLATE(B2500,""id"",""en"")"),"['Hello', 'admin', 'Telkomsel', 'disappointed', 'Kuotaku', 'leftover', 'Chatt', 'YouTube', 'Game', 'Music', 'gabisa', 'watch', ' YouTube ',' Main ',' Game ',' Chatt ',' Used ',' Gabisa ',' Please ',' Assisted ',' Honest ',' Disappointed ',' Really ',' Kal"&amp;"i ',' Quota ' , 'leftover', 'gabisa', 'loss', 'send', 'complaint', 'email', 'belom', 'response', ""]")</f>
        <v>['Hello', 'admin', 'Telkomsel', 'disappointed', 'Kuotaku', 'leftover', 'Chatt', 'YouTube', 'Game', 'Music', 'gabisa', 'watch', ' YouTube ',' Main ',' Game ',' Chatt ',' Used ',' Gabisa ',' Please ',' Assisted ',' Honest ',' Disappointed ',' Really ',' Kali ',' Quota ' , 'leftover', 'gabisa', 'loss', 'send', 'complaint', 'email', 'belom', 'response', "]</v>
      </c>
      <c r="D2500" s="3">
        <v>1.0</v>
      </c>
    </row>
    <row r="2501" ht="15.75" customHeight="1">
      <c r="A2501" s="1">
        <v>2499.0</v>
      </c>
      <c r="B2501" s="3" t="s">
        <v>2502</v>
      </c>
      <c r="C2501" s="3" t="str">
        <f>IFERROR(__xludf.DUMMYFUNCTION("GOOGLETRANSLATE(B2501,""id"",""en"")"),"['buy', 'card', 'prime', 'special', 'special', 'combo', 'magic', 'start', 'package', 'bbrpa', 'use', 'mumcul', ' package ',' combo ',' saktinya ',' buy ',' prime ',' no ',' cheap ',' honest ',' disappointed ',' Telkomsel ',' toying ',' person ', ""]")</f>
        <v>['buy', 'card', 'prime', 'special', 'special', 'combo', 'magic', 'start', 'package', 'bbrpa', 'use', 'mumcul', ' package ',' combo ',' saktinya ',' buy ',' prime ',' no ',' cheap ',' honest ',' disappointed ',' Telkomsel ',' toying ',' person ', "]</v>
      </c>
      <c r="D2501" s="3">
        <v>1.0</v>
      </c>
    </row>
    <row r="2502" ht="15.75" customHeight="1">
      <c r="A2502" s="1">
        <v>2500.0</v>
      </c>
      <c r="B2502" s="3" t="s">
        <v>2503</v>
      </c>
      <c r="C2502" s="3" t="str">
        <f>IFERROR(__xludf.DUMMYFUNCTION("GOOGLETRANSLATE(B2502,""id"",""en"")"),"['fussy', 'eability', 'update', 'difficult', 'enter', 'please', 'price', 'package', 'data', 'expensive', 'given', 'cheap', ' people ',' poor ',' promo ',' promo ',' expensive ',' expensive ',' cheap ',' see ',' friend ',' buy ',' Telkomsel ',' cheap ',' c"&amp;"heap ' , 'purchase', 'package', 'data', 'expensive', 'please', 'different', 'bedain', 'fair', 'sorry', 'wrong', 'according to', 'Telkomsel', ' ']")</f>
        <v>['fussy', 'eability', 'update', 'difficult', 'enter', 'please', 'price', 'package', 'data', 'expensive', 'given', 'cheap', ' people ',' poor ',' promo ',' promo ',' expensive ',' expensive ',' cheap ',' see ',' friend ',' buy ',' Telkomsel ',' cheap ',' cheap ' , 'purchase', 'package', 'data', 'expensive', 'please', 'different', 'bedain', 'fair', 'sorry', 'wrong', 'according to', 'Telkomsel', ' ']</v>
      </c>
      <c r="D2502" s="3">
        <v>2.0</v>
      </c>
    </row>
    <row r="2503" ht="15.75" customHeight="1">
      <c r="A2503" s="1">
        <v>2501.0</v>
      </c>
      <c r="B2503" s="3" t="s">
        <v>2504</v>
      </c>
      <c r="C2503" s="3" t="str">
        <f>IFERROR(__xludf.DUMMYFUNCTION("GOOGLETRANSLATE(B2503,""id"",""en"")"),"['Woe', 'Provider', 'Telkomsel', 'Knp', 'Gwe', 'Fill', 'Vocer', 'Data', 'MLEM', 'Sampe', 'Malem', 'LGI', ' system ',' busy ',' then ',' managing ',' customers', 'Telkomsel', 'take care', 'patient', 'kopid', 'system', 'busy', 'then', 'disappointed' , 'Very"&amp;"', 'oath', 'card', 'telkosel', 'gwe', 'lgsg', 'waste', 'times', '']")</f>
        <v>['Woe', 'Provider', 'Telkomsel', 'Knp', 'Gwe', 'Fill', 'Vocer', 'Data', 'MLEM', 'Sampe', 'Malem', 'LGI', ' system ',' busy ',' then ',' managing ',' customers', 'Telkomsel', 'take care', 'patient', 'kopid', 'system', 'busy', 'then', 'disappointed' , 'Very', 'oath', 'card', 'telkosel', 'gwe', 'lgsg', 'waste', 'times', '']</v>
      </c>
      <c r="D2503" s="3">
        <v>1.0</v>
      </c>
    </row>
    <row r="2504" ht="15.75" customHeight="1">
      <c r="A2504" s="1">
        <v>2502.0</v>
      </c>
      <c r="B2504" s="3" t="s">
        <v>2505</v>
      </c>
      <c r="C2504" s="3" t="str">
        <f>IFERROR(__xludf.DUMMYFUNCTION("GOOGLETRANSLATE(B2504,""id"",""en"")"),"['Service', 'Okay', 'Network', 'Constrained', 'Alias', 'Loading', 'Please', 'Increase', 'System', 'Comfortable', 'Telkomsel']")</f>
        <v>['Service', 'Okay', 'Network', 'Constrained', 'Alias', 'Loading', 'Please', 'Increase', 'System', 'Comfortable', 'Telkomsel']</v>
      </c>
      <c r="D2504" s="3">
        <v>5.0</v>
      </c>
    </row>
    <row r="2505" ht="15.75" customHeight="1">
      <c r="A2505" s="1">
        <v>2503.0</v>
      </c>
      <c r="B2505" s="3" t="s">
        <v>2506</v>
      </c>
      <c r="C2505" s="3" t="str">
        <f>IFERROR(__xludf.DUMMYFUNCTION("GOOGLETRANSLATE(B2505,""id"",""en"")"),"['Severe', 'signal', 'buy', 'quota', 'cuk', 'bad', 'severe', 'signal', 'repair', 'annoying', 'buy', 'quota']")</f>
        <v>['Severe', 'signal', 'buy', 'quota', 'cuk', 'bad', 'severe', 'signal', 'repair', 'annoying', 'buy', 'quota']</v>
      </c>
      <c r="D2505" s="3">
        <v>2.0</v>
      </c>
    </row>
    <row r="2506" ht="15.75" customHeight="1">
      <c r="A2506" s="1">
        <v>2504.0</v>
      </c>
      <c r="B2506" s="3" t="s">
        <v>2507</v>
      </c>
      <c r="C2506" s="3" t="str">
        <f>IFERROR(__xludf.DUMMYFUNCTION("GOOGLETRANSLATE(B2506,""id"",""en"")"),"['Emang', 'The', 'Best', 'Provider', 'Ngakalin', 'User', 'Quota', 'Multimedia', 'Package', 'Regular', 'People', 'Want', ' Quota ',' Multimedian ',' Used ',' Quota ',' Regular ',' BEH ',' Network ', ""]")</f>
        <v>['Emang', 'The', 'Best', 'Provider', 'Ngakalin', 'User', 'Quota', 'Multimedia', 'Package', 'Regular', 'People', 'Want', ' Quota ',' Multimedian ',' Used ',' Quota ',' Regular ',' BEH ',' Network ', "]</v>
      </c>
      <c r="D2506" s="3">
        <v>1.0</v>
      </c>
    </row>
    <row r="2507" ht="15.75" customHeight="1">
      <c r="A2507" s="1">
        <v>2505.0</v>
      </c>
      <c r="B2507" s="3" t="s">
        <v>2508</v>
      </c>
      <c r="C2507" s="3" t="str">
        <f>IFERROR(__xludf.DUMMYFUNCTION("GOOGLETRANSLATE(B2507,""id"",""en"")"),"['Telkomsel', 'Severe', 'The network', 'Sometimes',' emotion ',' right ',' Ngegame ',' lag ',' severe ',' yesterday ',' contents', 'pulses',' Buy ',' quota ',' gamemax ',' Telkomsel ',' application ',' disorder ',' right ',' check ',' pulse ',' rb ',' sta"&amp;"y ',' rb ',' help ' , 'repaired', 'network', 'customer', 'canal', 'disappointed']")</f>
        <v>['Telkomsel', 'Severe', 'The network', 'Sometimes',' emotion ',' right ',' Ngegame ',' lag ',' severe ',' yesterday ',' contents', 'pulses',' Buy ',' quota ',' gamemax ',' Telkomsel ',' application ',' disorder ',' right ',' check ',' pulse ',' rb ',' stay ',' rb ',' help ' , 'repaired', 'network', 'customer', 'canal', 'disappointed']</v>
      </c>
      <c r="D2507" s="3">
        <v>1.0</v>
      </c>
    </row>
    <row r="2508" ht="15.75" customHeight="1">
      <c r="A2508" s="1">
        <v>2506.0</v>
      </c>
      <c r="B2508" s="3" t="s">
        <v>2509</v>
      </c>
      <c r="C2508" s="3" t="str">
        <f>IFERROR(__xludf.DUMMYFUNCTION("GOOGLETRANSLATE(B2508,""id"",""en"")"),"['Telkomsel', 'fraudster', 'promo', 'GB', 'for', 'Rp', 'Wind', 'promo', 'date', 'July', 'Doly "",' tomorrow ',' the day ',' sms', 'because', 'kirira', 'promo', 'July', 'buy', 'tomorrow', 'because' on 'on', 'blm', 'pulse', 'write' , 'promo', 'huh', 'cheate"&amp;"r', '']")</f>
        <v>['Telkomsel', 'fraudster', 'promo', 'GB', 'for', 'Rp', 'Wind', 'promo', 'date', 'July', 'Doly ",' tomorrow ',' the day ',' sms', 'because', 'kirira', 'promo', 'July', 'buy', 'tomorrow', 'because' on 'on', 'blm', 'pulse', 'write' , 'promo', 'huh', 'cheater', '']</v>
      </c>
      <c r="D2508" s="3">
        <v>1.0</v>
      </c>
    </row>
    <row r="2509" ht="15.75" customHeight="1">
      <c r="A2509" s="1">
        <v>2507.0</v>
      </c>
      <c r="B2509" s="3" t="s">
        <v>2510</v>
      </c>
      <c r="C2509" s="3" t="str">
        <f>IFERROR(__xludf.DUMMYFUNCTION("GOOGLETRANSLATE(B2509,""id"",""en"")"),"['Ngaco', 'list', 'Package', 'Credit', 'BAYU', 'Credit', 'right', 'check', 'pulse', 'pulse', 'Cut', 'Package', ' Tetep ',' GMN ',' ']")</f>
        <v>['Ngaco', 'list', 'Package', 'Credit', 'BAYU', 'Credit', 'right', 'check', 'pulse', 'pulse', 'Cut', 'Package', ' Tetep ',' GMN ',' ']</v>
      </c>
      <c r="D2509" s="3">
        <v>2.0</v>
      </c>
    </row>
    <row r="2510" ht="15.75" customHeight="1">
      <c r="A2510" s="1">
        <v>2508.0</v>
      </c>
      <c r="B2510" s="3" t="s">
        <v>2511</v>
      </c>
      <c r="C2510" s="3" t="str">
        <f>IFERROR(__xludf.DUMMYFUNCTION("GOOGLETRANSLATE(B2510,""id"",""en"")"),"['times',' fill ',' pulse ',' succeed ',' buy ',' package ',' application ',' sms', 'kirain', 'succeed', 'fail', 'check', ' application ',' see ',' balance ',' pulse ',' pulse ',' sumps', 'safer', 'bangett', 'application', 'request', 'responsibility']")</f>
        <v>['times',' fill ',' pulse ',' succeed ',' buy ',' package ',' application ',' sms', 'kirain', 'succeed', 'fail', 'check', ' application ',' see ',' balance ',' pulse ',' pulse ',' sumps', 'safer', 'bangett', 'application', 'request', 'responsibility']</v>
      </c>
      <c r="D2510" s="3">
        <v>1.0</v>
      </c>
    </row>
    <row r="2511" ht="15.75" customHeight="1">
      <c r="A2511" s="1">
        <v>2509.0</v>
      </c>
      <c r="B2511" s="3" t="s">
        <v>2512</v>
      </c>
      <c r="C2511" s="3" t="str">
        <f>IFERROR(__xludf.DUMMYFUNCTION("GOOGLETRANSLATE(B2511,""id"",""en"")"),"['Contents', 'pulse', 'plan', 'buy', 'package', 'unlimited', 'cut', 'take', 'money', 'people', '']")</f>
        <v>['Contents', 'pulse', 'plan', 'buy', 'package', 'unlimited', 'cut', 'take', 'money', 'people', '']</v>
      </c>
      <c r="D2511" s="3">
        <v>1.0</v>
      </c>
    </row>
    <row r="2512" ht="15.75" customHeight="1">
      <c r="A2512" s="1">
        <v>2510.0</v>
      </c>
      <c r="B2512" s="3" t="s">
        <v>2513</v>
      </c>
      <c r="C2512" s="3" t="str">
        <f>IFERROR(__xludf.DUMMYFUNCTION("GOOGLETRANSLATE(B2512,""id"",""en"")"),"['Congratulations',' Lost ',' Customer ',' Package ',' Kuwota ',' Internet ',' Price ',' Expensive ',' RB ',' Network ',' Bad ',' Environment ',' home ',' just ',' and then ',' slow ',' eat ',' money ',' person ',' service ',' customer ',' complain ',' ve"&amp;"ronika ',' tere ',' tele ' , 'address', 'complete', 'location', 'map', 'school', 'era', 'gank', 'exact', 'tracked', 'nipu', 'customer', '']")</f>
        <v>['Congratulations',' Lost ',' Customer ',' Package ',' Kuwota ',' Internet ',' Price ',' Expensive ',' RB ',' Network ',' Bad ',' Environment ',' home ',' just ',' and then ',' slow ',' eat ',' money ',' person ',' service ',' customer ',' complain ',' veronika ',' tere ',' tele ' , 'address', 'complete', 'location', 'map', 'school', 'era', 'gank', 'exact', 'tracked', 'nipu', 'customer', '']</v>
      </c>
      <c r="D2512" s="3">
        <v>1.0</v>
      </c>
    </row>
    <row r="2513" ht="15.75" customHeight="1">
      <c r="A2513" s="1">
        <v>2511.0</v>
      </c>
      <c r="B2513" s="3" t="s">
        <v>2514</v>
      </c>
      <c r="C2513" s="3" t="str">
        <f>IFERROR(__xludf.DUMMYFUNCTION("GOOGLETRANSLATE(B2513,""id"",""en"")"),"['Fix', 'Applicationaa', 'Customer', 'Disappointed', 'Dri', 'Afternoon', 'Buy', 'Package', 'TPI', 'Sampe', 'Clock', 'Night', ' BLM ',' notification ',' enter ',' pulses', 'already', 'chick']")</f>
        <v>['Fix', 'Applicationaa', 'Customer', 'Disappointed', 'Dri', 'Afternoon', 'Buy', 'Package', 'TPI', 'Sampe', 'Clock', 'Night', ' BLM ',' notification ',' enter ',' pulses', 'already', 'chick']</v>
      </c>
      <c r="D2513" s="3">
        <v>1.0</v>
      </c>
    </row>
    <row r="2514" ht="15.75" customHeight="1">
      <c r="A2514" s="1">
        <v>2512.0</v>
      </c>
      <c r="B2514" s="3" t="s">
        <v>2515</v>
      </c>
      <c r="C2514" s="3" t="str">
        <f>IFERROR(__xludf.DUMMYFUNCTION("GOOGLETRANSLATE(B2514,""id"",""en"")"),"['App', 'Sometimes',' error ',' already ',' update ',' force ',' close ',' rain ',' skrg ',' like ',' crash ',' Telkomsel ',' Yaaaa ',' smooth ',' Jaya ',' storm ',' lightning ',' struck ',' heart ', ""]")</f>
        <v>['App', 'Sometimes',' error ',' already ',' update ',' force ',' close ',' rain ',' skrg ',' like ',' crash ',' Telkomsel ',' Yaaaa ',' smooth ',' Jaya ',' storm ',' lightning ',' struck ',' heart ', "]</v>
      </c>
      <c r="D2514" s="3">
        <v>1.0</v>
      </c>
    </row>
    <row r="2515" ht="15.75" customHeight="1">
      <c r="A2515" s="1">
        <v>2513.0</v>
      </c>
      <c r="B2515" s="3" t="s">
        <v>2516</v>
      </c>
      <c r="C2515" s="3" t="str">
        <f>IFERROR(__xludf.DUMMYFUNCTION("GOOGLETRANSLATE(B2515,""id"",""en"")"),"['application', 'good', 'easy', 'unfortunate', 'comfortable', 'network', 'internet', 'action', 'network', 'Eid', 'Fitri', 'chaotic', ' Regions', 'Telkomsel', '']")</f>
        <v>['application', 'good', 'easy', 'unfortunate', 'comfortable', 'network', 'internet', 'action', 'network', 'Eid', 'Fitri', 'chaotic', ' Regions', 'Telkomsel', '']</v>
      </c>
      <c r="D2515" s="3">
        <v>2.0</v>
      </c>
    </row>
    <row r="2516" ht="15.75" customHeight="1">
      <c r="A2516" s="1">
        <v>2514.0</v>
      </c>
      <c r="B2516" s="3" t="s">
        <v>2517</v>
      </c>
      <c r="C2516" s="3" t="str">
        <f>IFERROR(__xludf.DUMMYFUNCTION("GOOGLETRANSLATE(B2516,""id"",""en"")"),"['', 'Telkomsel', 'signal', 'slow', 'package', 'data', 'sekrang', 'package', 'data', 'limit', 'normal', 'comfortable', 'right ',' leftover ',' package ',' data ',' reasonable ',' open ',' youtube ',' slow ',' mahala ']")</f>
        <v>['', 'Telkomsel', 'signal', 'slow', 'package', 'data', 'sekrang', 'package', 'data', 'limit', 'normal', 'comfortable', 'right ',' leftover ',' package ',' data ',' reasonable ',' open ',' youtube ',' slow ',' mahala ']</v>
      </c>
      <c r="D2516" s="3">
        <v>1.0</v>
      </c>
    </row>
    <row r="2517" ht="15.75" customHeight="1">
      <c r="A2517" s="1">
        <v>2515.0</v>
      </c>
      <c r="B2517" s="3" t="s">
        <v>2518</v>
      </c>
      <c r="C2517" s="3" t="str">
        <f>IFERROR(__xludf.DUMMYFUNCTION("GOOGLETRANSLATE(B2517,""id"",""en"")"),"['Palembang', 'Water', 'Sugihan', 'Pangkalan', 'Sakti', 'Tower', 'Dead', 'Dozens',' A Month ',' Annual ',' Tower ',' Dead ',' duhh ',' waiting ',' daily ',' sometimes', 'life', 'sometimes',' rare ',' flame ',' please ',' YTH ',' Telkomsel ',' fix ',' nett"&amp;"ing ' ]")</f>
        <v>['Palembang', 'Water', 'Sugihan', 'Pangkalan', 'Sakti', 'Tower', 'Dead', 'Dozens',' A Month ',' Annual ',' Tower ',' Dead ',' duhh ',' waiting ',' daily ',' sometimes', 'life', 'sometimes',' rare ',' flame ',' please ',' YTH ',' Telkomsel ',' fix ',' netting ' ]</v>
      </c>
      <c r="D2517" s="3">
        <v>3.0</v>
      </c>
    </row>
    <row r="2518" ht="15.75" customHeight="1">
      <c r="A2518" s="1">
        <v>2516.0</v>
      </c>
      <c r="B2518" s="3" t="s">
        <v>2519</v>
      </c>
      <c r="C2518" s="3" t="str">
        <f>IFERROR(__xludf.DUMMYFUNCTION("GOOGLETRANSLATE(B2518,""id"",""en"")"),"['Hahha', 'process',' purchase ',' package ',' bro ',' where ',' person ',' hurry ',' if ',' hurry ',' call ',' ambulance ',' people ',' dying ',' package ',' buy ',' package ',' wait ',' process', 'hurried', 'die', 'dengan', 'people', 'dying', 'hhahah' ,"&amp;" 'Umkama', 'TELONH', 'repairs',' dev ',' already ',' right ',' fast ',' process', 'purchase', 'package', 'promise', 'love', ' Stars', 'star', 'love', 'star', 'plus',' emot ',' star ',' gold ',' ']")</f>
        <v>['Hahha', 'process',' purchase ',' package ',' bro ',' where ',' person ',' hurry ',' if ',' hurry ',' call ',' ambulance ',' people ',' dying ',' package ',' buy ',' package ',' wait ',' process', 'hurried', 'die', 'dengan', 'people', 'dying', 'hhahah' , 'Umkama', 'TELONH', 'repairs',' dev ',' already ',' right ',' fast ',' process', 'purchase', 'package', 'promise', 'love', ' Stars', 'star', 'love', 'star', 'plus',' emot ',' star ',' gold ',' ']</v>
      </c>
      <c r="D2518" s="3">
        <v>1.0</v>
      </c>
    </row>
    <row r="2519" ht="15.75" customHeight="1">
      <c r="A2519" s="1">
        <v>2517.0</v>
      </c>
      <c r="B2519" s="3" t="s">
        <v>2520</v>
      </c>
      <c r="C2519" s="3" t="str">
        <f>IFERROR(__xludf.DUMMYFUNCTION("GOOGLETRANSLATE(B2519,""id"",""en"")"),"['disappointed', 'application', 'quota', 'multimedia', 'choice', 'quota', 'GB', 'forced', 'buy', 'package', 'quota', 'multimedia', ' abal ',' abal ',' gave ',' free ',' quota ',' multimedian ',' application ',' version ',' ter ',' update ',' msh ',' out '"&amp;",' off ' , 'Date', ""]")</f>
        <v>['disappointed', 'application', 'quota', 'multimedia', 'choice', 'quota', 'GB', 'forced', 'buy', 'package', 'quota', 'multimedia', ' abal ',' abal ',' gave ',' free ',' quota ',' multimedian ',' application ',' version ',' ter ',' update ',' msh ',' out ',' off ' , 'Date', "]</v>
      </c>
      <c r="D2519" s="3">
        <v>1.0</v>
      </c>
    </row>
    <row r="2520" ht="15.75" customHeight="1">
      <c r="A2520" s="1">
        <v>2518.0</v>
      </c>
      <c r="B2520" s="3" t="s">
        <v>2521</v>
      </c>
      <c r="C2520" s="3" t="str">
        <f>IFERROR(__xludf.DUMMYFUNCTION("GOOGLETRANSLATE(B2520,""id"",""en"")"),"['Network', 'please', 'reinforced', 'NTT', 'Sumba', 'East', 'signal', 'stable', 'down', 'sometimes',' lost ',' loss', ' Buy ',' Paketan ',' Data ',' Ujung ',' Used ', ""]")</f>
        <v>['Network', 'please', 'reinforced', 'NTT', 'Sumba', 'East', 'signal', 'stable', 'down', 'sometimes',' lost ',' loss', ' Buy ',' Paketan ',' Data ',' Ujung ',' Used ', "]</v>
      </c>
      <c r="D2520" s="3">
        <v>2.0</v>
      </c>
    </row>
    <row r="2521" ht="15.75" customHeight="1">
      <c r="A2521" s="1">
        <v>2519.0</v>
      </c>
      <c r="B2521" s="3" t="s">
        <v>2522</v>
      </c>
      <c r="C2521" s="3" t="str">
        <f>IFERROR(__xludf.DUMMYFUNCTION("GOOGLETRANSLATE(B2521,""id"",""en"")"),"['Telkomsel', 'information', 'bbrpa', 'number', 'wife', 'tbtb', 'non', 'active', 'linedll', 'number', 'trsbt', 'active', ' people ',' please ',' related ',' publish ',' number ',' data ',' user ',' research ',' deleted ',' miserable ',' guanakan ',' trims"&amp;"']")</f>
        <v>['Telkomsel', 'information', 'bbrpa', 'number', 'wife', 'tbtb', 'non', 'active', 'linedll', 'number', 'trsbt', 'active', ' people ',' please ',' related ',' publish ',' number ',' data ',' user ',' research ',' deleted ',' miserable ',' guanakan ',' trims']</v>
      </c>
      <c r="D2521" s="3">
        <v>2.0</v>
      </c>
    </row>
    <row r="2522" ht="15.75" customHeight="1">
      <c r="A2522" s="1">
        <v>2520.0</v>
      </c>
      <c r="B2522" s="3" t="s">
        <v>2523</v>
      </c>
      <c r="C2522" s="3" t="str">
        <f>IFERROR(__xludf.DUMMYFUNCTION("GOOGLETRANSLATE(B2522,""id"",""en"")"),"['just', 'application', 'logo', 'update', 'please', 'package', 'rich', 'lap', 'youtube', 'update', 'yes',' already ',' Quota ',' Thinking ',' YouTube ',' Gunain ',' Credit ',' Pas', 'Pasan', 'Maketin', 'Kek', 'Gini', 'Open', 'Application', 'YouTube' , 'ju"&amp;"st', 'signs', 'loading', 'run out', 'writing', 'offline', 'poor', 'Telkomsel', 'led', 'compensation', ""]")</f>
        <v>['just', 'application', 'logo', 'update', 'please', 'package', 'rich', 'lap', 'youtube', 'update', 'yes',' already ',' Quota ',' Thinking ',' YouTube ',' Gunain ',' Credit ',' Pas', 'Pasan', 'Maketin', 'Kek', 'Gini', 'Open', 'Application', 'YouTube' , 'just', 'signs', 'loading', 'run out', 'writing', 'offline', 'poor', 'Telkomsel', 'led', 'compensation', "]</v>
      </c>
      <c r="D2522" s="3">
        <v>1.0</v>
      </c>
    </row>
    <row r="2523" ht="15.75" customHeight="1">
      <c r="A2523" s="1">
        <v>2521.0</v>
      </c>
      <c r="B2523" s="3" t="s">
        <v>2524</v>
      </c>
      <c r="C2523" s="3" t="str">
        <f>IFERROR(__xludf.DUMMYFUNCTION("GOOGLETRANSLATE(B2523,""id"",""en"")"),"['Please', 'Price', 'Quota', 'Package', 'Special', 'Zone', 'User', 'Customer', 'Region', 'Zone', 'Bonus',' Reedem ',' pieces', 'Price', 'Hrga', 'Zone', 'Mhal', 'GDA', 'bonus',' quality ',' service ',' maximum ', ""]")</f>
        <v>['Please', 'Price', 'Quota', 'Package', 'Special', 'Zone', 'User', 'Customer', 'Region', 'Zone', 'Bonus',' Reedem ',' pieces', 'Price', 'Hrga', 'Zone', 'Mhal', 'GDA', 'bonus',' quality ',' service ',' maximum ', "]</v>
      </c>
      <c r="D2523" s="3">
        <v>5.0</v>
      </c>
    </row>
    <row r="2524" ht="15.75" customHeight="1">
      <c r="A2524" s="1">
        <v>2522.0</v>
      </c>
      <c r="B2524" s="3" t="s">
        <v>2525</v>
      </c>
      <c r="C2524" s="3" t="str">
        <f>IFERROR(__xludf.DUMMYFUNCTION("GOOGLETRANSLATE(B2524,""id"",""en"")"),"['', 'Sukt', 'EPORIHHHHH', 'BLN', 'Quota', 'Data', 'Provider', 'Disappointing', 'Switch', 'Provider', 'Current', 'Obstacles',' Minutes ',' just ',' curious', 'SPT', 'Telkomsel', 'buy', 'data', 'deliberate', 'GB', 'signal', 'Jln', 'Samsek']")</f>
        <v>['', 'Sukt', 'EPORIHHHHH', 'BLN', 'Quota', 'Data', 'Provider', 'Disappointing', 'Switch', 'Provider', 'Current', 'Obstacles',' Minutes ',' just ',' curious', 'SPT', 'Telkomsel', 'buy', 'data', 'deliberate', 'GB', 'signal', 'Jln', 'Samsek']</v>
      </c>
      <c r="D2524" s="3">
        <v>1.0</v>
      </c>
    </row>
    <row r="2525" ht="15.75" customHeight="1">
      <c r="A2525" s="1">
        <v>2523.0</v>
      </c>
      <c r="B2525" s="3" t="s">
        <v>2526</v>
      </c>
      <c r="C2525" s="3" t="str">
        <f>IFERROR(__xludf.DUMMYFUNCTION("GOOGLETRANSLATE(B2525,""id"",""en"")"),"['Paketan', 'subscribe', 'bought', 'Telkomsel', 'refuses', 'reason', 'customer', 'loyal', 'telkom', 'telkom', 'already']")</f>
        <v>['Paketan', 'subscribe', 'bought', 'Telkomsel', 'refuses', 'reason', 'customer', 'loyal', 'telkom', 'telkom', 'already']</v>
      </c>
      <c r="D2525" s="3">
        <v>1.0</v>
      </c>
    </row>
    <row r="2526" ht="15.75" customHeight="1">
      <c r="A2526" s="1">
        <v>2524.0</v>
      </c>
      <c r="B2526" s="3" t="s">
        <v>2527</v>
      </c>
      <c r="C2526" s="3" t="str">
        <f>IFERROR(__xludf.DUMMYFUNCTION("GOOGLETRANSLATE(B2526,""id"",""en"")"),"['Help', 'expand', 'network', 'find', 'friends',' enrich ',' insight ',' exchange ',' information ',' distribution ',' info ',' actual ',' Easy ',' accessed ',' Telkomsel ',' embracing ',' the furthest ',' find ',' missing ']")</f>
        <v>['Help', 'expand', 'network', 'find', 'friends',' enrich ',' insight ',' exchange ',' information ',' distribution ',' info ',' actual ',' Easy ',' accessed ',' Telkomsel ',' embracing ',' the furthest ',' find ',' missing ']</v>
      </c>
      <c r="D2526" s="3">
        <v>5.0</v>
      </c>
    </row>
    <row r="2527" ht="15.75" customHeight="1">
      <c r="A2527" s="1">
        <v>2525.0</v>
      </c>
      <c r="B2527" s="3" t="s">
        <v>2528</v>
      </c>
      <c r="C2527" s="3" t="str">
        <f>IFERROR(__xludf.DUMMYFUNCTION("GOOGLETRANSLATE(B2527,""id"",""en"")"),"['Purchase', 'expensive', 'package', 'cheap', 'replaced', 'offered', 'replaced', 'card', 'postpaid', 'GB', 'RB', 'GB', ' RB ',' offered ',' postpaid ',' postpaid ',' card ',' Hallo ',' ']")</f>
        <v>['Purchase', 'expensive', 'package', 'cheap', 'replaced', 'offered', 'replaced', 'card', 'postpaid', 'GB', 'RB', 'GB', ' RB ',' offered ',' postpaid ',' postpaid ',' card ',' Hallo ',' ']</v>
      </c>
      <c r="D2527" s="3">
        <v>5.0</v>
      </c>
    </row>
    <row r="2528" ht="15.75" customHeight="1">
      <c r="A2528" s="1">
        <v>2526.0</v>
      </c>
      <c r="B2528" s="3" t="s">
        <v>2529</v>
      </c>
      <c r="C2528" s="3" t="str">
        <f>IFERROR(__xludf.DUMMYFUNCTION("GOOGLETRANSLATE(B2528,""id"",""en"")"),"['bad', 'match', 'buy', 'buy', 'package', 'pay', 'network', 'full', 'area', 'waste', 'data']")</f>
        <v>['bad', 'match', 'buy', 'buy', 'package', 'pay', 'network', 'full', 'area', 'waste', 'data']</v>
      </c>
      <c r="D2528" s="3">
        <v>1.0</v>
      </c>
    </row>
    <row r="2529" ht="15.75" customHeight="1">
      <c r="A2529" s="1">
        <v>2527.0</v>
      </c>
      <c r="B2529" s="3" t="s">
        <v>2530</v>
      </c>
      <c r="C2529" s="3" t="str">
        <f>IFERROR(__xludf.DUMMYFUNCTION("GOOGLETRANSLATE(B2529,""id"",""en"")"),"['already', 'contact', 'min', 'telegram', 'chat', 'operator', 'I've moved', 'operator', 'data', 'lied to', 'safe', ' Promo ',' offered ',' Severe ',' info ',' purchase ',' package ',' failed ',' sweet ',' advertises', 'intiny', 'lie', 'package', 'GB' , 'c"&amp;"heerful', 'offered', 'ngak', 'taken', 'network', 'failed', 'network', 'stable', 'fail', ""]")</f>
        <v>['already', 'contact', 'min', 'telegram', 'chat', 'operator', 'I've moved', 'operator', 'data', 'lied to', 'safe', ' Promo ',' offered ',' Severe ',' info ',' purchase ',' package ',' failed ',' sweet ',' advertises', 'intiny', 'lie', 'package', 'GB' , 'cheerful', 'offered', 'ngak', 'taken', 'network', 'failed', 'network', 'stable', 'fail', "]</v>
      </c>
      <c r="D2529" s="3">
        <v>1.0</v>
      </c>
    </row>
    <row r="2530" ht="15.75" customHeight="1">
      <c r="A2530" s="1">
        <v>2528.0</v>
      </c>
      <c r="B2530" s="3" t="s">
        <v>2531</v>
      </c>
      <c r="C2530" s="3" t="str">
        <f>IFERROR(__xludf.DUMMYFUNCTION("GOOGLETRANSLATE(B2530,""id"",""en"")"),"['Honest', 'Season', 'apps',' ugly ',' open ',' for a while ',' ngeblank ',' Gara ',' apps', 'please', 'fix', 'use', ' Telkomsel ',' Performance ',' Nurun ']")</f>
        <v>['Honest', 'Season', 'apps',' ugly ',' open ',' for a while ',' ngeblank ',' Gara ',' apps', 'please', 'fix', 'use', ' Telkomsel ',' Performance ',' Nurun ']</v>
      </c>
      <c r="D2530" s="3">
        <v>1.0</v>
      </c>
    </row>
    <row r="2531" ht="15.75" customHeight="1">
      <c r="A2531" s="1">
        <v>2529.0</v>
      </c>
      <c r="B2531" s="3" t="s">
        <v>2532</v>
      </c>
      <c r="C2531" s="3" t="str">
        <f>IFERROR(__xludf.DUMMYFUNCTION("GOOGLETRANSLATE(B2531,""id"",""en"")"),"['please', 'fix', 'signal', 'sympathy', 'peacock', 'suralaya', 'ugly', 'play', 'game', 'good', 'fix', 'ugly', ' Telkomsel ',' Game ',' User ',' Fix ']")</f>
        <v>['please', 'fix', 'signal', 'sympathy', 'peacock', 'suralaya', 'ugly', 'play', 'game', 'good', 'fix', 'ugly', ' Telkomsel ',' Game ',' User ',' Fix ']</v>
      </c>
      <c r="D2531" s="3">
        <v>1.0</v>
      </c>
    </row>
    <row r="2532" ht="15.75" customHeight="1">
      <c r="A2532" s="1">
        <v>2530.0</v>
      </c>
      <c r="B2532" s="3" t="s">
        <v>2533</v>
      </c>
      <c r="C2532" s="3" t="str">
        <f>IFERROR(__xludf.DUMMYFUNCTION("GOOGLETRANSLATE(B2532,""id"",""en"")"),"['Update', 'Open', 'App', 'Login', 'reset', 'Busy', 'Login', 'Mulu', 'Bintu', 'Reduce', 'Play', 'Game', ' his signal ',' down ',' pdhl ',' expensive ',' know ',' package ',' internet ',' ']")</f>
        <v>['Update', 'Open', 'App', 'Login', 'reset', 'Busy', 'Login', 'Mulu', 'Bintu', 'Reduce', 'Play', 'Game', ' his signal ',' down ',' pdhl ',' expensive ',' know ',' package ',' internet ',' ']</v>
      </c>
      <c r="D2532" s="3">
        <v>1.0</v>
      </c>
    </row>
    <row r="2533" ht="15.75" customHeight="1">
      <c r="A2533" s="1">
        <v>2531.0</v>
      </c>
      <c r="B2533" s="3" t="s">
        <v>2534</v>
      </c>
      <c r="C2533" s="3" t="str">
        <f>IFERROR(__xludf.DUMMYFUNCTION("GOOGLETRANSLATE(B2533,""id"",""en"")"),"['Prasaan', 'Telkomsel', 'poor', 'service', 'signal', 'stable', 'package', 'fair', 'cheap', 'loyal', 'mgkn', 'wktunnya', ' Change ',' Provider ',' ']")</f>
        <v>['Prasaan', 'Telkomsel', 'poor', 'service', 'signal', 'stable', 'package', 'fair', 'cheap', 'loyal', 'mgkn', 'wktunnya', ' Change ',' Provider ',' ']</v>
      </c>
      <c r="D2533" s="3">
        <v>1.0</v>
      </c>
    </row>
    <row r="2534" ht="15.75" customHeight="1">
      <c r="A2534" s="1">
        <v>2532.0</v>
      </c>
      <c r="B2534" s="3" t="s">
        <v>2535</v>
      </c>
      <c r="C2534" s="3" t="str">
        <f>IFERROR(__xludf.DUMMYFUNCTION("GOOGLETRANSLATE(B2534,""id"",""en"")"),"['really', 'class',' Telkomsel ',' purchase ',' package ',' pending ',' process', 'package', 'selected', 'pending', 'clock', 'enter', ' Notifications', 'Activating', 'Packages',' Solutions', 'Packages',' Refund ',' Credit ',' ']")</f>
        <v>['really', 'class',' Telkomsel ',' purchase ',' package ',' pending ',' process', 'package', 'selected', 'pending', 'clock', 'enter', ' Notifications', 'Activating', 'Packages',' Solutions', 'Packages',' Refund ',' Credit ',' ']</v>
      </c>
      <c r="D2534" s="3">
        <v>1.0</v>
      </c>
    </row>
    <row r="2535" ht="15.75" customHeight="1">
      <c r="A2535" s="1">
        <v>2533.0</v>
      </c>
      <c r="B2535" s="3" t="s">
        <v>2536</v>
      </c>
      <c r="C2535" s="3" t="str">
        <f>IFERROR(__xludf.DUMMYFUNCTION("GOOGLETRANSLATE(B2535,""id"",""en"")"),"['pulsaq', 'missing', 'sya', 'check', 'tryrnya', 'registered', 'package', 'tlf', 'ktanya', 'sya', 'sndri', 'buy', ' package ',' wkwkwk ',' SDAH ',' DEBATE ',' KRNA ',' I'M, 'SPIMA', 'Mrasa', 'buy', 'package', 'ttep', 'ktaanya', 'bsa' , 'pulseq', 'pdahal',"&amp;" 'system', 'steal', 'pulsesq', 'base', 'telkomsel', 'steal', 'pulse', 'customer', '']")</f>
        <v>['pulsaq', 'missing', 'sya', 'check', 'tryrnya', 'registered', 'package', 'tlf', 'ktanya', 'sya', 'sndri', 'buy', ' package ',' wkwkwk ',' SDAH ',' DEBATE ',' KRNA ',' I'M, 'SPIMA', 'Mrasa', 'buy', 'package', 'ttep', 'ktaanya', 'bsa' , 'pulseq', 'pdahal', 'system', 'steal', 'pulsesq', 'base', 'telkomsel', 'steal', 'pulse', 'customer', '']</v>
      </c>
      <c r="D2535" s="3">
        <v>1.0</v>
      </c>
    </row>
    <row r="2536" ht="15.75" customHeight="1">
      <c r="A2536" s="1">
        <v>2534.0</v>
      </c>
      <c r="B2536" s="3" t="s">
        <v>2537</v>
      </c>
      <c r="C2536" s="3" t="str">
        <f>IFERROR(__xludf.DUMMYFUNCTION("GOOGLETRANSLATE(B2536,""id"",""en"")"),"['usually', 'sorry', 'signal', 'error', 'mulu', 'already', 'buy', 'quota', 'expensive', 'signal', 'ugly', 'user', ' Telkomprat ',' Yuk ',' moved ',' Indosat ',' other ',' signal ',' ugly ',' package ',' expensive ',' responsible ']")</f>
        <v>['usually', 'sorry', 'signal', 'error', 'mulu', 'already', 'buy', 'quota', 'expensive', 'signal', 'ugly', 'user', ' Telkomprat ',' Yuk ',' moved ',' Indosat ',' other ',' signal ',' ugly ',' package ',' expensive ',' responsible ']</v>
      </c>
      <c r="D2536" s="3">
        <v>1.0</v>
      </c>
    </row>
    <row r="2537" ht="15.75" customHeight="1">
      <c r="A2537" s="1">
        <v>2535.0</v>
      </c>
      <c r="B2537" s="3" t="s">
        <v>2538</v>
      </c>
      <c r="C2537" s="3" t="str">
        <f>IFERROR(__xludf.DUMMYFUNCTION("GOOGLETRANSLATE(B2537,""id"",""en"")"),"['Ngawurr', 'buy', 'package', 'price', 'buy', 'package', 'bln', 'kmaren', 'buy', 'cheap', 'aneeeh', 'waste', ' rich ',' that's', 'how', 'package', 'bln', 'yakali', 'told', 'buy', 'a month', 'thought', 'official', 'a month', 'keuang' , 'gimanayg', 'next', "&amp;"'day', 'must', 'buy', 'keuang', 'quota', 'next', 'day', 'buy', 'a month', 'spent', ' GTU ']")</f>
        <v>['Ngawurr', 'buy', 'package', 'price', 'buy', 'package', 'bln', 'kmaren', 'buy', 'cheap', 'aneeeh', 'waste', ' rich ',' that's', 'how', 'package', 'bln', 'yakali', 'told', 'buy', 'a month', 'thought', 'official', 'a month', 'keuang' , 'gimanayg', 'next', 'day', 'must', 'buy', 'keuang', 'quota', 'next', 'day', 'buy', 'a month', 'spent', ' GTU ']</v>
      </c>
      <c r="D2537" s="3">
        <v>2.0</v>
      </c>
    </row>
    <row r="2538" ht="15.75" customHeight="1">
      <c r="A2538" s="1">
        <v>2536.0</v>
      </c>
      <c r="B2538" s="3" t="s">
        <v>2539</v>
      </c>
      <c r="C2538" s="3" t="str">
        <f>IFERROR(__xludf.DUMMYFUNCTION("GOOGLETRANSLATE(B2538,""id"",""en"")"),"['buy', 'package', 'feeling', 'smooth', 'difficult', 'really', 'buy', 'package', 'Telkomsel', 'buy', 'promo', 'right', ' Udh ',' Pay ',' Notif ',' TTG ',' Package ',' Enter ',' Blabla ',' Try ',' Dead ',' Power ',' TTP ',' BLM ',' Enter ' , 'buy', 'RB', '"&amp;"UDH', 'Kanteli', 'Time', 'Try', 'Open', 'Ngetes',' Notif ',' opened ',' yes', 'pulses',' Ber ',' Krg ',' Rb ',' Paketannya ',' No ',' Enter ',' Skli ',' GMN ',' Telkomsel ', ""]")</f>
        <v>['buy', 'package', 'feeling', 'smooth', 'difficult', 'really', 'buy', 'package', 'Telkomsel', 'buy', 'promo', 'right', ' Udh ',' Pay ',' Notif ',' TTG ',' Package ',' Enter ',' Blabla ',' Try ',' Dead ',' Power ',' TTP ',' BLM ',' Enter ' , 'buy', 'RB', 'UDH', 'Kanteli', 'Time', 'Try', 'Open', 'Ngetes',' Notif ',' opened ',' yes', 'pulses',' Ber ',' Krg ',' Rb ',' Paketannya ',' No ',' Enter ',' Skli ',' GMN ',' Telkomsel ', "]</v>
      </c>
      <c r="D2538" s="3">
        <v>2.0</v>
      </c>
    </row>
    <row r="2539" ht="15.75" customHeight="1">
      <c r="A2539" s="1">
        <v>2537.0</v>
      </c>
      <c r="B2539" s="3" t="s">
        <v>2540</v>
      </c>
      <c r="C2539" s="3" t="str">
        <f>IFERROR(__xludf.DUMMYFUNCTION("GOOGLETRANSLATE(B2539,""id"",""en"")"),"['APL', 'GMN', 'Fill', 'reset', 'quota', 'updated', 'good', 'rich', 'GNI', 'contents',' reset ',' quota ',' LWT ',' APL ',' Knp ',' now ',' please ',' UDH ',' updated ',' good ',' error ',' Gini ',' logo ',' good ',' TPI ' , 'contents',' reset ',' please "&amp;"',' yaa ',' telkomsel ',' repair ',' use ',' times', 'error', 'please', 'cooperation', 'repaired', ' ']")</f>
        <v>['APL', 'GMN', 'Fill', 'reset', 'quota', 'updated', 'good', 'rich', 'GNI', 'contents',' reset ',' quota ',' LWT ',' APL ',' Knp ',' now ',' please ',' UDH ',' updated ',' good ',' error ',' Gini ',' logo ',' good ',' TPI ' , 'contents',' reset ',' please ',' yaa ',' telkomsel ',' repair ',' use ',' times', 'error', 'please', 'cooperation', 'repaired', ' ']</v>
      </c>
      <c r="D2539" s="3">
        <v>1.0</v>
      </c>
    </row>
    <row r="2540" ht="15.75" customHeight="1">
      <c r="A2540" s="1">
        <v>2538.0</v>
      </c>
      <c r="B2540" s="3" t="s">
        <v>2541</v>
      </c>
      <c r="C2540" s="3" t="str">
        <f>IFERROR(__xludf.DUMMYFUNCTION("GOOGLETRANSLATE(B2540,""id"",""en"")"),"['Please', 'Fix', 'subscribe', 'Viu', 'Disney', 'hotsar', 'sucked', 'quota', 'main', 'kouta', 'main', 'kouta', ' The apps', 'run out', 'application', 'gabisa', 'open', 'please', 'fix', 'Telkomsel']")</f>
        <v>['Please', 'Fix', 'subscribe', 'Viu', 'Disney', 'hotsar', 'sucked', 'quota', 'main', 'kouta', 'main', 'kouta', ' The apps', 'run out', 'application', 'gabisa', 'open', 'please', 'fix', 'Telkomsel']</v>
      </c>
      <c r="D2540" s="3">
        <v>1.0</v>
      </c>
    </row>
    <row r="2541" ht="15.75" customHeight="1">
      <c r="A2541" s="1">
        <v>2539.0</v>
      </c>
      <c r="B2541" s="3" t="s">
        <v>2542</v>
      </c>
      <c r="C2541" s="3" t="str">
        <f>IFERROR(__xludf.DUMMYFUNCTION("GOOGLETRANSLATE(B2541,""id"",""en"")"),"['love', 'star', 'sorry', 'user', 'telkomsel', 'pulsuhan', 'expensive', 'buy', 'code', 'GB', 'price', 'rb', ' Please, 'appreciate', 'users', 'Telkomsel', 'Lawas', 'Min', 'Maen', 'Ride', 'Price', 'TKS']")</f>
        <v>['love', 'star', 'sorry', 'user', 'telkomsel', 'pulsuhan', 'expensive', 'buy', 'code', 'GB', 'price', 'rb', ' Please, 'appreciate', 'users', 'Telkomsel', 'Lawas', 'Min', 'Maen', 'Ride', 'Price', 'TKS']</v>
      </c>
      <c r="D2541" s="3">
        <v>1.0</v>
      </c>
    </row>
    <row r="2542" ht="15.75" customHeight="1">
      <c r="A2542" s="1">
        <v>2540.0</v>
      </c>
      <c r="B2542" s="3" t="s">
        <v>2543</v>
      </c>
      <c r="C2542" s="3" t="str">
        <f>IFERROR(__xludf.DUMMYFUNCTION("GOOGLETRANSLATE(B2542,""id"",""en"")"),"['Provider', 'hilarious',' open ',' application ',' use ',' card ',' telkom ',' really ',' already ',' buy ',' quota ',' his writing ',' quota ',' already ',' dipake ',' right ',' turned on ',' data ',' pulse ',' sumps', 'ratting', 'doang', 'bug', 'difix'"&amp;", '']")</f>
        <v>['Provider', 'hilarious',' open ',' application ',' use ',' card ',' telkom ',' really ',' already ',' buy ',' quota ',' his writing ',' quota ',' already ',' dipake ',' right ',' turned on ',' data ',' pulse ',' sumps', 'ratting', 'doang', 'bug', 'difix', '']</v>
      </c>
      <c r="D2542" s="3">
        <v>1.0</v>
      </c>
    </row>
    <row r="2543" ht="15.75" customHeight="1">
      <c r="A2543" s="1">
        <v>2541.0</v>
      </c>
      <c r="B2543" s="3" t="s">
        <v>2544</v>
      </c>
      <c r="C2543" s="3" t="str">
        <f>IFERROR(__xludf.DUMMYFUNCTION("GOOGLETRANSLATE(B2543,""id"",""en"")"),"['Login', 'MyTelkomsel', 'Code', 'Valid', 'Expired', 'Try', 'Tensing', 'Times',' Results', 'Valid', 'valid', ' Please ',' Enlightenment ',' Thank you ', ""]")</f>
        <v>['Login', 'MyTelkomsel', 'Code', 'Valid', 'Expired', 'Try', 'Tensing', 'Times',' Results', 'Valid', 'valid', ' Please ',' Enlightenment ',' Thank you ', "]</v>
      </c>
      <c r="D2543" s="3">
        <v>1.0</v>
      </c>
    </row>
    <row r="2544" ht="15.75" customHeight="1">
      <c r="A2544" s="1">
        <v>2542.0</v>
      </c>
      <c r="B2544" s="3" t="s">
        <v>2545</v>
      </c>
      <c r="C2544" s="3" t="str">
        <f>IFERROR(__xludf.DUMMYFUNCTION("GOOGLETRANSLATE(B2544,""id"",""en"")"),"['jerk', 'buy', 'package', 'promo', 'ngepain', 'NGasi', 'promo', 'bought', 'merchandise', 'bad', 'day "",' lie ',' Then ',' Servik ',' Bad ',' Customer ',' Mending ',' OPrator ',' Laen ']")</f>
        <v>['jerk', 'buy', 'package', 'promo', 'ngepain', 'NGasi', 'promo', 'bought', 'merchandise', 'bad', 'day ",' lie ',' Then ',' Servik ',' Bad ',' Customer ',' Mending ',' OPrator ',' Laen ']</v>
      </c>
      <c r="D2544" s="3">
        <v>1.0</v>
      </c>
    </row>
    <row r="2545" ht="15.75" customHeight="1">
      <c r="A2545" s="1">
        <v>2543.0</v>
      </c>
      <c r="B2545" s="3" t="s">
        <v>2546</v>
      </c>
      <c r="C2545" s="3" t="str">
        <f>IFERROR(__xludf.DUMMYFUNCTION("GOOGLETRANSLATE(B2545,""id"",""en"")"),"['Kenceng', 'really', 'the network', 'bad', 'really', 'moved', 'Nie', 'network', 'next door', 'please', 'fix', ""]")</f>
        <v>['Kenceng', 'really', 'the network', 'bad', 'really', 'moved', 'Nie', 'network', 'next door', 'please', 'fix', "]</v>
      </c>
      <c r="D2545" s="3">
        <v>1.0</v>
      </c>
    </row>
    <row r="2546" ht="15.75" customHeight="1">
      <c r="A2546" s="1">
        <v>2544.0</v>
      </c>
      <c r="B2546" s="3" t="s">
        <v>2547</v>
      </c>
      <c r="C2546" s="3" t="str">
        <f>IFERROR(__xludf.DUMMYFUNCTION("GOOGLETRANSLATE(B2546,""id"",""en"")"),"['The application', 'good', 'Unfortunately', 'at the time', 'buy', 'quota', 'quota', 'quota', 'used', 'quota', 'quota', 'unfortunate', ' ']")</f>
        <v>['The application', 'good', 'Unfortunately', 'at the time', 'buy', 'quota', 'quota', 'quota', 'used', 'quota', 'quota', 'unfortunate', ' ']</v>
      </c>
      <c r="D2546" s="3">
        <v>4.0</v>
      </c>
    </row>
    <row r="2547" ht="15.75" customHeight="1">
      <c r="A2547" s="1">
        <v>2545.0</v>
      </c>
      <c r="B2547" s="3" t="s">
        <v>2548</v>
      </c>
      <c r="C2547" s="3" t="str">
        <f>IFERROR(__xludf.DUMMYFUNCTION("GOOGLETRANSLATE(B2547,""id"",""en"")"),"['Please', 'Level', 'Note', 'Remote', 'East Kalimantan', 'Berau', 'Coinciding', 'Kampung', 'Faranan', 'Left Behind', 'Signal', 'Telkomsel', ' Because ',' Low ',' Signal ',' Data ',' respect ',' Customer ',' Setia ',' Telkomsel ', ""]")</f>
        <v>['Please', 'Level', 'Note', 'Remote', 'East Kalimantan', 'Berau', 'Coinciding', 'Kampung', 'Faranan', 'Left Behind', 'Signal', 'Telkomsel', ' Because ',' Low ',' Signal ',' Data ',' respect ',' Customer ',' Setia ',' Telkomsel ', "]</v>
      </c>
      <c r="D2547" s="3">
        <v>5.0</v>
      </c>
    </row>
    <row r="2548" ht="15.75" customHeight="1">
      <c r="A2548" s="1">
        <v>2546.0</v>
      </c>
      <c r="B2548" s="3" t="s">
        <v>2549</v>
      </c>
      <c r="C2548" s="3" t="str">
        <f>IFERROR(__xludf.DUMMYFUNCTION("GOOGLETRANSLATE(B2548,""id"",""en"")"),"['Lack of', 'promo', 'Telkomsel', 'quota', 'expensive', 'Different', 'product', 'because' byk ',' know ',' masykt ',' lazy ',' Replace ',' product ',' ']")</f>
        <v>['Lack of', 'promo', 'Telkomsel', 'quota', 'expensive', 'Different', 'product', 'because' byk ',' know ',' masykt ',' lazy ',' Replace ',' product ',' ']</v>
      </c>
      <c r="D2548" s="3">
        <v>2.0</v>
      </c>
    </row>
    <row r="2549" ht="15.75" customHeight="1">
      <c r="A2549" s="1">
        <v>2547.0</v>
      </c>
      <c r="B2549" s="3" t="s">
        <v>2550</v>
      </c>
      <c r="C2549" s="3" t="str">
        <f>IFERROR(__xludf.DUMMYFUNCTION("GOOGLETRANSLATE(B2549,""id"",""en"")"),"['Severe', 'Abis',' Upgrade ',' Network ',' Disconnect ',' Disconnect ',' Please ',' Donk ',' Repaired ',' Network ',' Sousal ',' Reinforced ',' Waduhh ',' Telkomsel ',' in the area ',' Cilegon ',' broken ',' really ',' online ',' ilang ',' signal ',' abi"&amp;"s', 'upgrade', 'feels',' really ' , '']")</f>
        <v>['Severe', 'Abis',' Upgrade ',' Network ',' Disconnect ',' Disconnect ',' Please ',' Donk ',' Repaired ',' Network ',' Sousal ',' Reinforced ',' Waduhh ',' Telkomsel ',' in the area ',' Cilegon ',' broken ',' really ',' online ',' ilang ',' signal ',' abis', 'upgrade', 'feels',' really ' , '']</v>
      </c>
      <c r="D2549" s="3">
        <v>1.0</v>
      </c>
    </row>
    <row r="2550" ht="15.75" customHeight="1">
      <c r="A2550" s="1">
        <v>2548.0</v>
      </c>
      <c r="B2550" s="3" t="s">
        <v>2551</v>
      </c>
      <c r="C2550" s="3" t="str">
        <f>IFERROR(__xludf.DUMMYFUNCTION("GOOGLETRANSLATE(B2550,""id"",""en"")"),"['Sis',' Region ',' Signal ',' Telkomsel ',' Weak ',' Call ',' SMS ',' Internet ',' Please ',' Help ',' Tks', 'Greetings',' healthy']")</f>
        <v>['Sis',' Region ',' Signal ',' Telkomsel ',' Weak ',' Call ',' SMS ',' Internet ',' Please ',' Help ',' Tks', 'Greetings',' healthy']</v>
      </c>
      <c r="D2550" s="3">
        <v>5.0</v>
      </c>
    </row>
    <row r="2551" ht="15.75" customHeight="1">
      <c r="A2551" s="1">
        <v>2549.0</v>
      </c>
      <c r="B2551" s="3" t="s">
        <v>2552</v>
      </c>
      <c r="C2551" s="3" t="str">
        <f>IFERROR(__xludf.DUMMYFUNCTION("GOOGLETRANSLATE(B2551,""id"",""en"")"),"['experience', 'Sya', 'earthquake', 'Sya', 'fans',' really ',' Telkomsel ',' year ',' use ',' Telkomsel ',' TPI ',' Shbis', ' The earthquake ',' Lalot ',' INTERNANT ',' SIMPLE ',' Syran ',' Bleh ',' wake ',' Tower ',' BTS ',' Huntap ',' Thank you ', ""]")</f>
        <v>['experience', 'Sya', 'earthquake', 'Sya', 'fans',' really ',' Telkomsel ',' year ',' use ',' Telkomsel ',' TPI ',' Shbis', ' The earthquake ',' Lalot ',' INTERNANT ',' SIMPLE ',' Syran ',' Bleh ',' wake ',' Tower ',' BTS ',' Huntap ',' Thank you ', "]</v>
      </c>
      <c r="D2551" s="3">
        <v>4.0</v>
      </c>
    </row>
    <row r="2552" ht="15.75" customHeight="1">
      <c r="A2552" s="1">
        <v>2550.0</v>
      </c>
      <c r="B2552" s="3" t="s">
        <v>2553</v>
      </c>
      <c r="C2552" s="3" t="str">
        <f>IFERROR(__xludf.DUMMYFUNCTION("GOOGLETRANSLATE(B2552,""id"",""en"")"),"['quota', 'gigamax', 'bought', 'consumer', 'made', 'cow', 'dairy', 'hatch', 'like', 'mendzhalimi', 'consumer']")</f>
        <v>['quota', 'gigamax', 'bought', 'consumer', 'made', 'cow', 'dairy', 'hatch', 'like', 'mendzhalimi', 'consumer']</v>
      </c>
      <c r="D2552" s="3">
        <v>1.0</v>
      </c>
    </row>
    <row r="2553" ht="15.75" customHeight="1">
      <c r="A2553" s="1">
        <v>2551.0</v>
      </c>
      <c r="B2553" s="3" t="s">
        <v>2554</v>
      </c>
      <c r="C2553" s="3" t="str">
        <f>IFERROR(__xludf.DUMMYFUNCTION("GOOGLETRANSLATE(B2553,""id"",""en"")"),"['pulse', 'missing', 'right', 'buy', 'package', 'right', 'buy', 'package', 'nga', 'message', 'pulse', 'buy', ' pulse ',' rb ',' buy ',' package ',' GB ',' Nga ',' pulse ',' reduced ',' sitem ',' please ',' change ',' loss', 'pulse' , '']")</f>
        <v>['pulse', 'missing', 'right', 'buy', 'package', 'right', 'buy', 'package', 'nga', 'message', 'pulse', 'buy', ' pulse ',' rb ',' buy ',' package ',' GB ',' Nga ',' pulse ',' reduced ',' sitem ',' please ',' change ',' loss', 'pulse' , '']</v>
      </c>
      <c r="D2553" s="3">
        <v>1.0</v>
      </c>
    </row>
    <row r="2554" ht="15.75" customHeight="1">
      <c r="A2554" s="1">
        <v>2552.0</v>
      </c>
      <c r="B2554" s="3" t="s">
        <v>2555</v>
      </c>
      <c r="C2554" s="3" t="str">
        <f>IFERROR(__xludf.DUMMYFUNCTION("GOOGLETRANSLATE(B2554,""id"",""en"")"),"['Customer', 'Telkomsel', 'friend', 'friend', 'berih', 'Telkomsel', 'moved', 'Telkomsel', 'good', 'bad', 'sms',' telephone ',' in ',' disruption ',' phone ',' call ',' center ',' solution ',' take care ',' see ',' disruption ',' phone ',' tetep ',' change"&amp;" ' , 'STAYIN', 'Telkomsel', 'Provider', ""]")</f>
        <v>['Customer', 'Telkomsel', 'friend', 'friend', 'berih', 'Telkomsel', 'moved', 'Telkomsel', 'good', 'bad', 'sms',' telephone ',' in ',' disruption ',' phone ',' call ',' center ',' solution ',' take care ',' see ',' disruption ',' phone ',' tetep ',' change ' , 'STAYIN', 'Telkomsel', 'Provider', "]</v>
      </c>
      <c r="D2554" s="3">
        <v>1.0</v>
      </c>
    </row>
    <row r="2555" ht="15.75" customHeight="1">
      <c r="A2555" s="1">
        <v>2553.0</v>
      </c>
      <c r="B2555" s="3" t="s">
        <v>2556</v>
      </c>
      <c r="C2555" s="3" t="str">
        <f>IFERROR(__xludf.DUMMYFUNCTION("GOOGLETRANSLATE(B2555,""id"",""en"")"),"['APK', 'bad', 'bad', 'bad', 'bad', 'me', 'nyesel', 'telkomsel', 'bad', 'contact', 'center', 'help', ' Help ',' service ',' bad ',' many years', 'use', 'Telkomsel', 'times',' disappointed ',' Terik ',' worst ',' maketin ',' difficult ',' try ' , 'system',"&amp;" 'busy']")</f>
        <v>['APK', 'bad', 'bad', 'bad', 'bad', 'me', 'nyesel', 'telkomsel', 'bad', 'contact', 'center', 'help', ' Help ',' service ',' bad ',' many years', 'use', 'Telkomsel', 'times',' disappointed ',' Terik ',' worst ',' maketin ',' difficult ',' try ' , 'system', 'busy']</v>
      </c>
      <c r="D2555" s="3">
        <v>1.0</v>
      </c>
    </row>
    <row r="2556" ht="15.75" customHeight="1">
      <c r="A2556" s="1">
        <v>2554.0</v>
      </c>
      <c r="B2556" s="3" t="s">
        <v>2557</v>
      </c>
      <c r="C2556" s="3" t="str">
        <f>IFERROR(__xludf.DUMMYFUNCTION("GOOGLETRANSLATE(B2556,""id"",""en"")"),"['', 'really', 'already', 'network', 'slow', 'then', 'pulse', 'chick', 'sms',' tlfon ',' internet ',' here ',' really ']")</f>
        <v>['', 'really', 'already', 'network', 'slow', 'then', 'pulse', 'chick', 'sms',' tlfon ',' internet ',' here ',' really ']</v>
      </c>
      <c r="D2556" s="3">
        <v>1.0</v>
      </c>
    </row>
    <row r="2557" ht="15.75" customHeight="1">
      <c r="A2557" s="1">
        <v>2555.0</v>
      </c>
      <c r="B2557" s="3" t="s">
        <v>2558</v>
      </c>
      <c r="C2557" s="3" t="str">
        <f>IFERROR(__xludf.DUMMYFUNCTION("GOOGLETRANSLATE(B2557,""id"",""en"")"),"['Severe', 'buy', 'credit', 'Telkomsel', 'quata', 'pulse', 'inedible', 'run out', 'operator', 'forgiveness',' dech ',' heart ',' Buy ',' Credit ',' Homempt ',' Out ',' GPRS ',' Telkomsel ',' Data ',' Dead ',' Browsing ',' Use ',' WiFi ', ""]")</f>
        <v>['Severe', 'buy', 'credit', 'Telkomsel', 'quata', 'pulse', 'inedible', 'run out', 'operator', 'forgiveness',' dech ',' heart ',' Buy ',' Credit ',' Homempt ',' Out ',' GPRS ',' Telkomsel ',' Data ',' Dead ',' Browsing ',' Use ',' WiFi ', "]</v>
      </c>
      <c r="D2557" s="3">
        <v>1.0</v>
      </c>
    </row>
    <row r="2558" ht="15.75" customHeight="1">
      <c r="A2558" s="1">
        <v>2556.0</v>
      </c>
      <c r="B2558" s="3" t="s">
        <v>2559</v>
      </c>
      <c r="C2558" s="3" t="str">
        <f>IFERROR(__xludf.DUMMYFUNCTION("GOOGLETRANSLATE(B2558,""id"",""en"")"),"['expensive', 'price', 'absurb', 'signal', 'no', 'supports',' custemer ',' suggestion ',' card ',' telkom ',' mending ',' number ',' pulse ',' rich ',' nelfon ',' sms', 'doang', 'buy', 'package', 'loss',' udh ',' ngelamin ',' hoax ', ""]")</f>
        <v>['expensive', 'price', 'absurb', 'signal', 'no', 'supports',' custemer ',' suggestion ',' card ',' telkom ',' mending ',' number ',' pulse ',' rich ',' nelfon ',' sms', 'doang', 'buy', 'package', 'loss',' udh ',' ngelamin ',' hoax ', "]</v>
      </c>
      <c r="D2558" s="3">
        <v>2.0</v>
      </c>
    </row>
    <row r="2559" ht="15.75" customHeight="1">
      <c r="A2559" s="1">
        <v>2557.0</v>
      </c>
      <c r="B2559" s="3" t="s">
        <v>2560</v>
      </c>
      <c r="C2559" s="3" t="str">
        <f>IFERROR(__xludf.DUMMYFUNCTION("GOOGLETRANSLATE(B2559,""id"",""en"")"),"['network', 'Telkomsel', 'llt', 'really', 'open', 'goat', 'youtube', 'instagram', 'etc.', 'annoyed', 'want', 'crash', ' Sharded ',' angry ',' night ',' opinions', 'hopefully', 'Telkomsel', 'so', 'thank', 'love']")</f>
        <v>['network', 'Telkomsel', 'llt', 'really', 'open', 'goat', 'youtube', 'instagram', 'etc.', 'annoyed', 'want', 'crash', ' Sharded ',' angry ',' night ',' opinions', 'hopefully', 'Telkomsel', 'so', 'thank', 'love']</v>
      </c>
      <c r="D2559" s="3">
        <v>1.0</v>
      </c>
    </row>
    <row r="2560" ht="15.75" customHeight="1">
      <c r="A2560" s="1">
        <v>2558.0</v>
      </c>
      <c r="B2560" s="3" t="s">
        <v>2561</v>
      </c>
      <c r="C2560" s="3" t="str">
        <f>IFERROR(__xludf.DUMMYFUNCTION("GOOGLETRANSLATE(B2560,""id"",""en"")"),"['Display', 'HRS', 'Fix', 'GPP', 'Display', 'BURIK', 'Comfortable', 'Lemot', 'APK', 'Change', 'Operator', 'Bgini', ' Telkomsel ',' users', 'Telkomsel', 'moved', 'operator', 'slow', 'APK', ""]")</f>
        <v>['Display', 'HRS', 'Fix', 'GPP', 'Display', 'BURIK', 'Comfortable', 'Lemot', 'APK', 'Change', 'Operator', 'Bgini', ' Telkomsel ',' users', 'Telkomsel', 'moved', 'operator', 'slow', 'APK', "]</v>
      </c>
      <c r="D2560" s="3">
        <v>1.0</v>
      </c>
    </row>
    <row r="2561" ht="15.75" customHeight="1">
      <c r="A2561" s="1">
        <v>2559.0</v>
      </c>
      <c r="B2561" s="3" t="s">
        <v>2562</v>
      </c>
      <c r="C2561" s="3" t="str">
        <f>IFERROR(__xludf.DUMMYFUNCTION("GOOGLETRANSLATE(B2561,""id"",""en"")"),"['Network', 'bad', 'Dri', 'era', 'use', 'Telkomsel', 'kelen', 'price', 'package', 'internet', 'expensive', 'expensive', ' Dri ',' Provider ',' expectations', 'THD', 'Network', 'InternetMu', 'Bozz', 'Reversed', 'Package', 'Expensive', 'Quality', 'Network',"&amp;" 'Bad' , 'Move', 'Haluan', 'like']")</f>
        <v>['Network', 'bad', 'Dri', 'era', 'use', 'Telkomsel', 'kelen', 'price', 'package', 'internet', 'expensive', 'expensive', ' Dri ',' Provider ',' expectations', 'THD', 'Network', 'InternetMu', 'Bozz', 'Reversed', 'Package', 'Expensive', 'Quality', 'Network', 'Bad' , 'Move', 'Haluan', 'like']</v>
      </c>
      <c r="D2561" s="3">
        <v>1.0</v>
      </c>
    </row>
    <row r="2562" ht="15.75" customHeight="1">
      <c r="A2562" s="1">
        <v>2560.0</v>
      </c>
      <c r="B2562" s="3" t="s">
        <v>2563</v>
      </c>
      <c r="C2562" s="3" t="str">
        <f>IFERROR(__xludf.DUMMYFUNCTION("GOOGLETRANSLATE(B2562,""id"",""en"")"),"['Star', 'Full', 'Thinking', 'Woy', 'Oath', 'Severe', 'Telkomsel', 'Fortunately', 'Package', 'Data', 'Super', 'Expensive', ' Trima ',' min ',' min ',' already ',' update ',' udh ',' moved ',' card ',' indosat ',' joss', 'price', 'package', 'cheapest' ]")</f>
        <v>['Star', 'Full', 'Thinking', 'Woy', 'Oath', 'Severe', 'Telkomsel', 'Fortunately', 'Package', 'Data', 'Super', 'Expensive', ' Trima ',' min ',' min ',' already ',' update ',' udh ',' moved ',' card ',' indosat ',' joss', 'price', 'package', 'cheapest' ]</v>
      </c>
      <c r="D2562" s="3">
        <v>1.0</v>
      </c>
    </row>
    <row r="2563" ht="15.75" customHeight="1">
      <c r="A2563" s="1">
        <v>2561.0</v>
      </c>
      <c r="B2563" s="3" t="s">
        <v>2564</v>
      </c>
      <c r="C2563" s="3" t="str">
        <f>IFERROR(__xludf.DUMMYFUNCTION("GOOGLETRANSLATE(B2563,""id"",""en"")"),"['Telkom', 'Severe', 'Network', 'Singal', 'Full', 'Leet', 'Price', 'Expensive', 'Kayak', 'Litu', 'Please', 'Telkom', ' Fix ',' Use ',' Indosat ',' Singal ',' Batang ',' Current ',' Main ',' Game ',' Sosmed ',' Telkom ',' Singal ',' Full ',' Play ' , 'game"&amp;"', 'connect', 'lag', 'price', 'doang', 'expensive', 'quality', 'good']")</f>
        <v>['Telkom', 'Severe', 'Network', 'Singal', 'Full', 'Leet', 'Price', 'Expensive', 'Kayak', 'Litu', 'Please', 'Telkom', ' Fix ',' Use ',' Indosat ',' Singal ',' Batang ',' Current ',' Main ',' Game ',' Sosmed ',' Telkom ',' Singal ',' Full ',' Play ' , 'game', 'connect', 'lag', 'price', 'doang', 'expensive', 'quality', 'good']</v>
      </c>
      <c r="D2563" s="3">
        <v>1.0</v>
      </c>
    </row>
    <row r="2564" ht="15.75" customHeight="1">
      <c r="A2564" s="1">
        <v>2562.0</v>
      </c>
      <c r="B2564" s="3" t="s">
        <v>2565</v>
      </c>
      <c r="C2564" s="3" t="str">
        <f>IFERROR(__xludf.DUMMYFUNCTION("GOOGLETRANSLATE(B2564,""id"",""en"")"),"['Thank you', 'Telkomsel', 'Hopefully', 'Best', 'Customer', 'Telkomsel', 'Hopefully', 'triumphant', 'Sabang', 'Sabang', 'Luke', 'Khus',' Diluran ',' JAGATRAYA ',' Amiin ']")</f>
        <v>['Thank you', 'Telkomsel', 'Hopefully', 'Best', 'Customer', 'Telkomsel', 'Hopefully', 'triumphant', 'Sabang', 'Sabang', 'Luke', 'Khus',' Diluran ',' JAGATRAYA ',' Amiin ']</v>
      </c>
      <c r="D2564" s="3">
        <v>5.0</v>
      </c>
    </row>
    <row r="2565" ht="15.75" customHeight="1">
      <c r="A2565" s="1">
        <v>2563.0</v>
      </c>
      <c r="B2565" s="3" t="s">
        <v>2566</v>
      </c>
      <c r="C2565" s="3" t="str">
        <f>IFERROR(__xludf.DUMMYFUNCTION("GOOGLETRANSLATE(B2565,""id"",""en"")"),"['Buy', 'Package', 'OMG', 'Internet', 'OMG', 'Out', 'KNPA', 'Package', 'Use', 'Didup', 'Active', 'Knpa', ' Wear ',' Rates', 'Pulse', 'JDI', 'Plsa', 'Out', 'Jdi', 'Severe', 'Rich', 'Gini', 'Telkomsel', 'Please', 'Pnjelasan' , '']")</f>
        <v>['Buy', 'Package', 'OMG', 'Internet', 'OMG', 'Out', 'KNPA', 'Package', 'Use', 'Didup', 'Active', 'Knpa', ' Wear ',' Rates', 'Pulse', 'JDI', 'Plsa', 'Out', 'Jdi', 'Severe', 'Rich', 'Gini', 'Telkomsel', 'Please', 'Pnjelasan' , '']</v>
      </c>
      <c r="D2565" s="3">
        <v>1.0</v>
      </c>
    </row>
    <row r="2566" ht="15.75" customHeight="1">
      <c r="A2566" s="1">
        <v>2564.0</v>
      </c>
      <c r="B2566" s="3" t="s">
        <v>2567</v>
      </c>
      <c r="C2566" s="3" t="str">
        <f>IFERROR(__xludf.DUMMYFUNCTION("GOOGLETRANSLATE(B2566,""id"",""en"")"),"['Buy', 'Kouta', 'Unlimite', 'watch', 'YouTube', 'Cook', 'Kumpot', 'Kouta', 'Main', 'What', 'Unlimite', 'boss',' Stay ',' Begoin ',' Stay ',' Really ',' Really ',' Check ',' Koutaa ',' Main ',' Main ',' Game ',' Lag ',' Severe ',' sympathy ' , 'Move', 'ca"&amp;"rd', 'Klau', 'like', 'gini', 'turn', 'play', 'game', 'smooth', 'Yuk', 'move', 'guarantee', ' Current ',' Jaya ',' sympathy ',' expensive ',' doank ',' leg ',' severe ',' play ',' games', 'regret', 'buy', 'kouta', 'Telkomsel' , 'Better', '']")</f>
        <v>['Buy', 'Kouta', 'Unlimite', 'watch', 'YouTube', 'Cook', 'Kumpot', 'Kouta', 'Main', 'What', 'Unlimite', 'boss',' Stay ',' Begoin ',' Stay ',' Really ',' Really ',' Check ',' Koutaa ',' Main ',' Main ',' Game ',' Lag ',' Severe ',' sympathy ' , 'Move', 'card', 'Klau', 'like', 'gini', 'turn', 'play', 'game', 'smooth', 'Yuk', 'move', 'guarantee', ' Current ',' Jaya ',' sympathy ',' expensive ',' doank ',' leg ',' severe ',' play ',' games', 'regret', 'buy', 'kouta', 'Telkomsel' , 'Better', '']</v>
      </c>
      <c r="D2566" s="3">
        <v>1.0</v>
      </c>
    </row>
    <row r="2567" ht="15.75" customHeight="1">
      <c r="A2567" s="1">
        <v>2565.0</v>
      </c>
      <c r="B2567" s="3" t="s">
        <v>2568</v>
      </c>
      <c r="C2567" s="3" t="str">
        <f>IFERROR(__xludf.DUMMYFUNCTION("GOOGLETRANSLATE(B2567,""id"",""en"")"),"['Try', 'Understand', 'Network', 'Serasa', 'Consumer', 'Feel', 'Kah', 'Ngelag', 'Loading', 'Consumer', 'Judging', 'Cave', ' Songs ',' Reviews ',' '']")</f>
        <v>['Try', 'Understand', 'Network', 'Serasa', 'Consumer', 'Feel', 'Kah', 'Ngelag', 'Loading', 'Consumer', 'Judging', 'Cave', ' Songs ',' Reviews ',' '']</v>
      </c>
      <c r="D2567" s="3">
        <v>1.0</v>
      </c>
    </row>
    <row r="2568" ht="15.75" customHeight="1">
      <c r="A2568" s="1">
        <v>2566.0</v>
      </c>
      <c r="B2568" s="3" t="s">
        <v>2569</v>
      </c>
      <c r="C2568" s="3" t="str">
        <f>IFERROR(__xludf.DUMMYFUNCTION("GOOGLETRANSLATE(B2568,""id"",""en"")"),"['Woi', 'expensive', 'Haa', 'Kaga', 'crisis', 'covid', 'customers', 'loyal', 'Telkomsel', 'moved', 'provider', ""]")</f>
        <v>['Woi', 'expensive', 'Haa', 'Kaga', 'crisis', 'covid', 'customers', 'loyal', 'Telkomsel', 'moved', 'provider', "]</v>
      </c>
      <c r="D2568" s="3">
        <v>1.0</v>
      </c>
    </row>
    <row r="2569" ht="15.75" customHeight="1">
      <c r="A2569" s="1">
        <v>2567.0</v>
      </c>
      <c r="B2569" s="3" t="s">
        <v>2570</v>
      </c>
      <c r="C2569" s="3" t="str">
        <f>IFERROR(__xludf.DUMMYFUNCTION("GOOGLETRANSLATE(B2569,""id"",""en"")"),"['fuck', 'contents',' pulses', 'pay', 'loan', 'package', 'emergency', 'taunya', 'pulse', 'credit', 'ilang', 'right', ' Entering ',' Voucher ',' Network ',' Busy ',' Bad ',' Telkom ', ""]")</f>
        <v>['fuck', 'contents',' pulses', 'pay', 'loan', 'package', 'emergency', 'taunya', 'pulse', 'credit', 'ilang', 'right', ' Entering ',' Voucher ',' Network ',' Busy ',' Bad ',' Telkom ', "]</v>
      </c>
      <c r="D2569" s="3">
        <v>1.0</v>
      </c>
    </row>
    <row r="2570" ht="15.75" customHeight="1">
      <c r="A2570" s="1">
        <v>2568.0</v>
      </c>
      <c r="B2570" s="3" t="s">
        <v>2571</v>
      </c>
      <c r="C2570" s="3" t="str">
        <f>IFERROR(__xludf.DUMMYFUNCTION("GOOGLETRANSLATE(B2570,""id"",""en"")"),"['disappointed', 'package', 'buy', 'active', 'already', 'tried', 'tens',' times', 'reply', 'Padhl', 'pulse', 'ckup', ' ']")</f>
        <v>['disappointed', 'package', 'buy', 'active', 'already', 'tried', 'tens',' times', 'reply', 'Padhl', 'pulse', 'ckup', ' ']</v>
      </c>
      <c r="D2570" s="3">
        <v>1.0</v>
      </c>
    </row>
    <row r="2571" ht="15.75" customHeight="1">
      <c r="A2571" s="1">
        <v>2569.0</v>
      </c>
      <c r="B2571" s="3" t="s">
        <v>2572</v>
      </c>
      <c r="C2571" s="3" t="str">
        <f>IFERROR(__xludf.DUMMYFUNCTION("GOOGLETRANSLATE(B2571,""id"",""en"")"),"['Hopefully', 'Telkomsel', 'in the future', 'network', 'strong', 'affordable', 'remote', 'Negri', 'affordable', 'price']")</f>
        <v>['Hopefully', 'Telkomsel', 'in the future', 'network', 'strong', 'affordable', 'remote', 'Negri', 'affordable', 'price']</v>
      </c>
      <c r="D2571" s="3">
        <v>5.0</v>
      </c>
    </row>
    <row r="2572" ht="15.75" customHeight="1">
      <c r="A2572" s="1">
        <v>2570.0</v>
      </c>
      <c r="B2572" s="3" t="s">
        <v>2573</v>
      </c>
      <c r="C2572" s="3" t="str">
        <f>IFERROR(__xludf.DUMMYFUNCTION("GOOGLETRANSLATE(B2572,""id"",""en"")"),"['The network', 'UDH', 'APK', 'KNP', 'Buy', 'Package', 'Sorry', 'Disruption', 'System', 'Try', 'right', 'Try', ' knp ',' tetep ']")</f>
        <v>['The network', 'UDH', 'APK', 'KNP', 'Buy', 'Package', 'Sorry', 'Disruption', 'System', 'Try', 'right', 'Try', ' knp ',' tetep ']</v>
      </c>
      <c r="D2572" s="3">
        <v>2.0</v>
      </c>
    </row>
    <row r="2573" ht="15.75" customHeight="1">
      <c r="A2573" s="1">
        <v>2571.0</v>
      </c>
      <c r="B2573" s="3" t="s">
        <v>2574</v>
      </c>
      <c r="C2573" s="3" t="str">
        <f>IFERROR(__xludf.DUMMYFUNCTION("GOOGLETRANSLATE(B2573,""id"",""en"")"),"['Telkomsel', 'replace', 'prime', 'moved', 'operator', 'customer', 'loyal', 'Telkomsel', 'in', 'Telkomsel', ""]")</f>
        <v>['Telkomsel', 'replace', 'prime', 'moved', 'operator', 'customer', 'loyal', 'Telkomsel', 'in', 'Telkomsel', "]</v>
      </c>
      <c r="D2573" s="3">
        <v>1.0</v>
      </c>
    </row>
    <row r="2574" ht="15.75" customHeight="1">
      <c r="A2574" s="1">
        <v>2572.0</v>
      </c>
      <c r="B2574" s="3" t="s">
        <v>2575</v>
      </c>
      <c r="C2574" s="3" t="str">
        <f>IFERROR(__xludf.DUMMYFUNCTION("GOOGLETRANSLATE(B2574,""id"",""en"")"),"['Developer', 'Telkomsel', 'Dego', 'Fool', 'Application', 'Telkomsel', 'Lying', 'Download', 'Give', 'Quota', 'Quota', 'MyTelkomsel', ' Hooaaaax ',' ']")</f>
        <v>['Developer', 'Telkomsel', 'Dego', 'Fool', 'Application', 'Telkomsel', 'Lying', 'Download', 'Give', 'Quota', 'Quota', 'MyTelkomsel', ' Hooaaaax ',' ']</v>
      </c>
      <c r="D2574" s="3">
        <v>1.0</v>
      </c>
    </row>
    <row r="2575" ht="15.75" customHeight="1">
      <c r="A2575" s="1">
        <v>2573.0</v>
      </c>
      <c r="B2575" s="3" t="s">
        <v>2576</v>
      </c>
      <c r="C2575" s="3" t="str">
        <f>IFERROR(__xludf.DUMMYFUNCTION("GOOGLETRANSLATE(B2575,""id"",""en"")"),"['signal', 'slow', 'open', 'lite', 'need', 'price', 'package', 'yak', 'package', 'rb', 'price', 'rb', ' Move ',' Simple ',' matched ',' bought ',' package ',' speed ',' internet ',' good ',' kyk ',' gpp ',' already ',' slow ',' expensive ' , '']")</f>
        <v>['signal', 'slow', 'open', 'lite', 'need', 'price', 'package', 'yak', 'package', 'rb', 'price', 'rb', ' Move ',' Simple ',' matched ',' bought ',' package ',' speed ',' internet ',' good ',' kyk ',' gpp ',' already ',' slow ',' expensive ' , '']</v>
      </c>
      <c r="D2575" s="3">
        <v>1.0</v>
      </c>
    </row>
    <row r="2576" ht="15.75" customHeight="1">
      <c r="A2576" s="1">
        <v>2574.0</v>
      </c>
      <c r="B2576" s="3" t="s">
        <v>2577</v>
      </c>
      <c r="C2576" s="3" t="str">
        <f>IFERROR(__xludf.DUMMYFUNCTION("GOOGLETRANSLATE(B2576,""id"",""en"")"),"['The application', 'good', 'really', 'darling', 'gave', 'information', 'promo', 'quota', 'target', 'turn', 'buy', 'eeeeh', ' Promo ',' quota ',' turn ',' buy ',' Wait ',' nongol ',' promo ',' try ',' please ',' accuracy ',' promo ',' target ',' yaaaa ' ,"&amp;" '']")</f>
        <v>['The application', 'good', 'really', 'darling', 'gave', 'information', 'promo', 'quota', 'target', 'turn', 'buy', 'eeeeh', ' Promo ',' quota ',' turn ',' buy ',' Wait ',' nongol ',' promo ',' try ',' please ',' accuracy ',' promo ',' target ',' yaaaa ' , '']</v>
      </c>
      <c r="D2576" s="3">
        <v>5.0</v>
      </c>
    </row>
    <row r="2577" ht="15.75" customHeight="1">
      <c r="A2577" s="1">
        <v>2575.0</v>
      </c>
      <c r="B2577" s="3" t="s">
        <v>2578</v>
      </c>
      <c r="C2577" s="3" t="str">
        <f>IFERROR(__xludf.DUMMYFUNCTION("GOOGLETRANSLATE(B2577,""id"",""en"")"),"['Telkomsel', 'pulse', 'run out', 'package', 'internet', 'active', 'process',' active ',' package ',' disappointing ',' please ',' honesty ',' Tangung ',' ']")</f>
        <v>['Telkomsel', 'pulse', 'run out', 'package', 'internet', 'active', 'process',' active ',' package ',' disappointing ',' please ',' honesty ',' Tangung ',' ']</v>
      </c>
      <c r="D2577" s="3">
        <v>1.0</v>
      </c>
    </row>
    <row r="2578" ht="15.75" customHeight="1">
      <c r="A2578" s="1">
        <v>2576.0</v>
      </c>
      <c r="B2578" s="3" t="s">
        <v>2579</v>
      </c>
      <c r="C2578" s="3" t="str">
        <f>IFERROR(__xludf.DUMMYFUNCTION("GOOGLETRANSLATE(B2578,""id"",""en"")"),"['quota', 'gamesmax', 'weariiii', 'buy', 'play', 'game', 'ngambit', 'use', 'use', 'access',' game ',' offline ',' Fast ',' repaired ',' Lahhhhh ',' Telkomsel ']")</f>
        <v>['quota', 'gamesmax', 'weariiii', 'buy', 'play', 'game', 'ngambit', 'use', 'use', 'access',' game ',' offline ',' Fast ',' repaired ',' Lahhhhh ',' Telkomsel ']</v>
      </c>
      <c r="D2578" s="3">
        <v>1.0</v>
      </c>
    </row>
    <row r="2579" ht="15.75" customHeight="1">
      <c r="A2579" s="1">
        <v>2577.0</v>
      </c>
      <c r="B2579" s="3" t="s">
        <v>2580</v>
      </c>
      <c r="C2579" s="3" t="str">
        <f>IFERROR(__xludf.DUMMYFUNCTION("GOOGLETRANSLATE(B2579,""id"",""en"")"),"['Severe', 'contents',' pulse ',' Rupiah ',' On ',' Package ',' Rupiah ',' Package ',' On ',' Credit ',' Cut ',' SMS ',' Fill ',' Message ',' Remnant ',' Credit ',' Adequate ',' On ',' Fin ',' Credit ',' Cut ',' Message ',' Kek ',' That's', '']")</f>
        <v>['Severe', 'contents',' pulse ',' Rupiah ',' On ',' Package ',' Rupiah ',' Package ',' On ',' Credit ',' Cut ',' SMS ',' Fill ',' Message ',' Remnant ',' Credit ',' Adequate ',' On ',' Fin ',' Credit ',' Cut ',' Message ',' Kek ',' That's', '']</v>
      </c>
      <c r="D2579" s="3">
        <v>1.0</v>
      </c>
    </row>
    <row r="2580" ht="15.75" customHeight="1">
      <c r="A2580" s="1">
        <v>2578.0</v>
      </c>
      <c r="B2580" s="3" t="s">
        <v>2581</v>
      </c>
      <c r="C2580" s="3" t="str">
        <f>IFERROR(__xludf.DUMMYFUNCTION("GOOGLETRANSLATE(B2580,""id"",""en"")"),"['Tekomsel', 'disappointing', 'Telkomsel', 'credit', 'missing', 'check', 'transaction', 'internet', 'internet', 'wifi', 'house', 'contents',' Credit ',' pulse ',' Tomorrow ',' Lasung ',' HBS ',' TWITER ']")</f>
        <v>['Tekomsel', 'disappointing', 'Telkomsel', 'credit', 'missing', 'check', 'transaction', 'internet', 'internet', 'wifi', 'house', 'contents',' Credit ',' pulse ',' Tomorrow ',' Lasung ',' HBS ',' TWITER ']</v>
      </c>
      <c r="D2580" s="3">
        <v>1.0</v>
      </c>
    </row>
    <row r="2581" ht="15.75" customHeight="1">
      <c r="A2581" s="1">
        <v>2579.0</v>
      </c>
      <c r="B2581" s="3" t="s">
        <v>2582</v>
      </c>
      <c r="C2581" s="3" t="str">
        <f>IFERROR(__xludf.DUMMYFUNCTION("GOOGLETRANSLATE(B2581,""id"",""en"")"),"['Please', 'Fix', 'Network', 'Signal', 'Full', 'Taste', 'Just', 'Notification', 'Chat', 'WhatShapp', 'Enter', 'Please', ' Fix ',' convenience ',' ']")</f>
        <v>['Please', 'Fix', 'Network', 'Signal', 'Full', 'Taste', 'Just', 'Notification', 'Chat', 'WhatShapp', 'Enter', 'Please', ' Fix ',' convenience ',' ']</v>
      </c>
      <c r="D2581" s="3">
        <v>1.0</v>
      </c>
    </row>
    <row r="2582" ht="15.75" customHeight="1">
      <c r="A2582" s="1">
        <v>2580.0</v>
      </c>
      <c r="B2582" s="3" t="s">
        <v>2583</v>
      </c>
      <c r="C2582" s="3" t="str">
        <f>IFERROR(__xludf.DUMMYFUNCTION("GOOGLETRANSLATE(B2582,""id"",""en"")"),"['Dear', 'MyTelkomsel', 'Buy', 'Package', 'Combo', 'Sakti', 'TPI', 'Gabisa', 'Emng', 'Paketan', 'Expiration', 'ilangin', ' Appearing ',' Tab ',' shop ',' Season ',' Bet ',' oath ',' setej ',' updated ',' Mah ',' strange ',' APK ', ""]")</f>
        <v>['Dear', 'MyTelkomsel', 'Buy', 'Package', 'Combo', 'Sakti', 'TPI', 'Gabisa', 'Emng', 'Paketan', 'Expiration', 'ilangin', ' Appearing ',' Tab ',' shop ',' Season ',' Bet ',' oath ',' setej ',' updated ',' Mah ',' strange ',' APK ', "]</v>
      </c>
      <c r="D2582" s="3">
        <v>1.0</v>
      </c>
    </row>
    <row r="2583" ht="15.75" customHeight="1">
      <c r="A2583" s="1">
        <v>2581.0</v>
      </c>
      <c r="B2583" s="3" t="s">
        <v>2584</v>
      </c>
      <c r="C2583" s="3" t="str">
        <f>IFERROR(__xludf.DUMMYFUNCTION("GOOGLETRANSLATE(B2583,""id"",""en"")"),"['price', 'expensive', 'network', 'ugly', 'play', 'game', 'network', 'Telkomsel', 'ugly', 'losing', 'Indosat', 'his web', ' lazy ',' really ',' use ',' Telkomsel ',' price ',' expensive ',' net ',' lose ',' cheap ',' parahni ',' Telkomsel ',' suggestion '"&amp;",' network ' , 'Dibperah', 'price', 'expensive', 'quality', 'network', 'ugly', 'lose', 'cheap']")</f>
        <v>['price', 'expensive', 'network', 'ugly', 'play', 'game', 'network', 'Telkomsel', 'ugly', 'losing', 'Indosat', 'his web', ' lazy ',' really ',' use ',' Telkomsel ',' price ',' expensive ',' net ',' lose ',' cheap ',' parahni ',' Telkomsel ',' suggestion ',' network ' , 'Dibperah', 'price', 'expensive', 'quality', 'network', 'ugly', 'lose', 'cheap']</v>
      </c>
      <c r="D2583" s="3">
        <v>1.0</v>
      </c>
    </row>
    <row r="2584" ht="15.75" customHeight="1">
      <c r="A2584" s="1">
        <v>2582.0</v>
      </c>
      <c r="B2584" s="3" t="s">
        <v>2585</v>
      </c>
      <c r="C2584" s="3" t="str">
        <f>IFERROR(__xludf.DUMMYFUNCTION("GOOGLETRANSLATE(B2584,""id"",""en"")"),"['Package', 'unlimited', 'slow', 'ngegame', 'lag', 'sosmed', 'muter', 'muter', 'wish', 'try', 'kek', 'gini', ' Pay ',' expensive ',' get ',' Kek ',' that's']")</f>
        <v>['Package', 'unlimited', 'slow', 'ngegame', 'lag', 'sosmed', 'muter', 'muter', 'wish', 'try', 'kek', 'gini', ' Pay ',' expensive ',' get ',' Kek ',' that's']</v>
      </c>
      <c r="D2584" s="3">
        <v>1.0</v>
      </c>
    </row>
    <row r="2585" ht="15.75" customHeight="1">
      <c r="A2585" s="1">
        <v>2583.0</v>
      </c>
      <c r="B2585" s="3" t="s">
        <v>2586</v>
      </c>
      <c r="C2585" s="3" t="str">
        <f>IFERROR(__xludf.DUMMYFUNCTION("GOOGLETRANSLATE(B2585,""id"",""en"")"),"['Telkomsel', 'Bener', 'Package', 'Intwrnet', 'Max', 'Dijieved', 'Padahl', 'My Place', 'Buy', 'Package', 'Internet', 'YABG', ' Cheap ',' Not bad ',' package ',' internet ',' run out ',' pulses', 'direct', 'sucked', 'permission', '']")</f>
        <v>['Telkomsel', 'Bener', 'Package', 'Intwrnet', 'Max', 'Dijieved', 'Padahl', 'My Place', 'Buy', 'Package', 'Internet', 'YABG', ' Cheap ',' Not bad ',' package ',' internet ',' run out ',' pulses', 'direct', 'sucked', 'permission', '']</v>
      </c>
      <c r="D2585" s="3">
        <v>1.0</v>
      </c>
    </row>
    <row r="2586" ht="15.75" customHeight="1">
      <c r="A2586" s="1">
        <v>2584.0</v>
      </c>
      <c r="B2586" s="3" t="s">
        <v>2587</v>
      </c>
      <c r="C2586" s="3" t="str">
        <f>IFERROR(__xludf.DUMMYFUNCTION("GOOGLETRANSLATE(B2586,""id"",""en"")"),"['Cave', 'Out', 'Review', 'told', 'Contact', 'Direct', 'Via', 'Twitter', 'Etc.', 'Original', 'Bener', 'Application', ' Open ',' APK ',' Signal ',' Telkomsel ',' Open ',' Unlimited ',' YouTube ',' Current ',' Signal ',' Unlimited ',' For example ',' Instag"&amp;"ram ',' Current ' , 'Please', 'Telkomsel', 'Fix', 'Focus', 'Doang', '']")</f>
        <v>['Cave', 'Out', 'Review', 'told', 'Contact', 'Direct', 'Via', 'Twitter', 'Etc.', 'Original', 'Bener', 'Application', ' Open ',' APK ',' Signal ',' Telkomsel ',' Open ',' Unlimited ',' YouTube ',' Current ',' Signal ',' Unlimited ',' For example ',' Instagram ',' Current ' , 'Please', 'Telkomsel', 'Fix', 'Focus', 'Doang', '']</v>
      </c>
      <c r="D2586" s="3">
        <v>1.0</v>
      </c>
    </row>
    <row r="2587" ht="15.75" customHeight="1">
      <c r="A2587" s="1">
        <v>2585.0</v>
      </c>
      <c r="B2587" s="3" t="s">
        <v>2588</v>
      </c>
      <c r="C2587" s="3" t="str">
        <f>IFERROR(__xludf.DUMMYFUNCTION("GOOGLETRANSLATE(B2587,""id"",""en"")"),"['APK', 'good', 'network', 'threat', 'NGK', 'stable', 'pdhl', 'city', 'dahlah', 'a month', 'change', 'Ajalahh', ' good', '']")</f>
        <v>['APK', 'good', 'network', 'threat', 'NGK', 'stable', 'pdhl', 'city', 'dahlah', 'a month', 'change', 'Ajalahh', ' good', '']</v>
      </c>
      <c r="D2587" s="3">
        <v>1.0</v>
      </c>
    </row>
    <row r="2588" ht="15.75" customHeight="1">
      <c r="A2588" s="1">
        <v>2586.0</v>
      </c>
      <c r="B2588" s="3" t="s">
        <v>2589</v>
      </c>
      <c r="C2588" s="3" t="str">
        <f>IFERROR(__xludf.DUMMYFUNCTION("GOOGLETRANSLATE(B2588,""id"",""en"")"),"['Telkomnyet', 'Fix', 'Network', 'You', 'Bodies',' Package ',' Expensive ',' Benefit ',' Dri ',' Sales', 'Package', 'Nda', ' progress', 'network', 'enter', 'Telkomsel', 'slow', 'forgiveness', ""]")</f>
        <v>['Telkomnyet', 'Fix', 'Network', 'You', 'Bodies',' Package ',' Expensive ',' Benefit ',' Dri ',' Sales', 'Package', 'Nda', ' progress', 'network', 'enter', 'Telkomsel', 'slow', 'forgiveness', "]</v>
      </c>
      <c r="D2588" s="3">
        <v>1.0</v>
      </c>
    </row>
    <row r="2589" ht="15.75" customHeight="1">
      <c r="A2589" s="1">
        <v>2587.0</v>
      </c>
      <c r="B2589" s="3" t="s">
        <v>2590</v>
      </c>
      <c r="C2589" s="3" t="str">
        <f>IFERROR(__xludf.DUMMYFUNCTION("GOOGLETRANSLATE(B2589,""id"",""en"")"),"['The application', 'battered', 'pisan', 'Aya', 'Nempo', 'Handap', 'PAN', 'Urang', 'Ges',' talking ',' APP ',' Alus', ' Pisan ']")</f>
        <v>['The application', 'battered', 'pisan', 'Aya', 'Nempo', 'Handap', 'PAN', 'Urang', 'Ges',' talking ',' APP ',' Alus', ' Pisan ']</v>
      </c>
      <c r="D2589" s="3">
        <v>5.0</v>
      </c>
    </row>
    <row r="2590" ht="15.75" customHeight="1">
      <c r="A2590" s="1">
        <v>2588.0</v>
      </c>
      <c r="B2590" s="3" t="s">
        <v>2591</v>
      </c>
      <c r="C2590" s="3" t="str">
        <f>IFERROR(__xludf.DUMMYFUNCTION("GOOGLETRANSLATE(B2590,""id"",""en"")"),"['Signal', 'Severe', 'use', 'card', 'Haloo', 'late', 'pay', 'fine', 'termination', 'Telkomsel', 'The', 'Best', ' Lost ',' neighbors', 'next door', 'uda', 'cheap', 'signal', 'baguuussss',' ']")</f>
        <v>['Signal', 'Severe', 'use', 'card', 'Haloo', 'late', 'pay', 'fine', 'termination', 'Telkomsel', 'The', 'Best', ' Lost ',' neighbors', 'next door', 'uda', 'cheap', 'signal', 'baguuussss',' ']</v>
      </c>
      <c r="D2590" s="3">
        <v>1.0</v>
      </c>
    </row>
    <row r="2591" ht="15.75" customHeight="1">
      <c r="A2591" s="1">
        <v>2589.0</v>
      </c>
      <c r="B2591" s="3" t="s">
        <v>2592</v>
      </c>
      <c r="C2591" s="3" t="str">
        <f>IFERROR(__xludf.DUMMYFUNCTION("GOOGLETRANSLATE(B2591,""id"",""en"")"),"['price', 'package', 'expensive', 'GB', 'thousand', 'thousand', 'thousand', 'expensive', 'pakek', 'card', 'Telkomsel', 'yrs',' Capital ',' promo ',' cheap ',' expensive ',' price ',' package ',' Haduuuuuhhh ', ""]")</f>
        <v>['price', 'package', 'expensive', 'GB', 'thousand', 'thousand', 'thousand', 'expensive', 'pakek', 'card', 'Telkomsel', 'yrs',' Capital ',' promo ',' cheap ',' expensive ',' price ',' package ',' Haduuuuuhhh ', "]</v>
      </c>
      <c r="D2591" s="3">
        <v>1.0</v>
      </c>
    </row>
    <row r="2592" ht="15.75" customHeight="1">
      <c r="A2592" s="1">
        <v>2590.0</v>
      </c>
      <c r="B2592" s="3" t="s">
        <v>2593</v>
      </c>
      <c r="C2592" s="3" t="str">
        <f>IFERROR(__xludf.DUMMYFUNCTION("GOOGLETRANSLATE(B2592,""id"",""en"")"),"['Try', 'Addin', 'Menu', 'Application', 'Lock', 'Credit', 'Shame', 'Package', 'Abis',' I ',' Litu ',' Credit ',' Bru ',' Fill ',' Abis', 'Mean', 'Gara', 'Package', 'Abis',' Try ',' Application ',' Barrier ',' Credit ',' Package ',' Abis' , 'kebawa', 'puls"&amp;"es', 'rich', 'application', 'next door', 'satisfying', 'rich', 'to walk', '']")</f>
        <v>['Try', 'Addin', 'Menu', 'Application', 'Lock', 'Credit', 'Shame', 'Package', 'Abis',' I ',' Litu ',' Credit ',' Bru ',' Fill ',' Abis', 'Mean', 'Gara', 'Package', 'Abis',' Try ',' Application ',' Barrier ',' Credit ',' Package ',' Abis' , 'kebawa', 'pulses', 'rich', 'application', 'next door', 'satisfying', 'rich', 'to walk', '']</v>
      </c>
      <c r="D2592" s="3">
        <v>1.0</v>
      </c>
    </row>
    <row r="2593" ht="15.75" customHeight="1">
      <c r="A2593" s="1">
        <v>2591.0</v>
      </c>
      <c r="B2593" s="3" t="s">
        <v>2594</v>
      </c>
      <c r="C2593" s="3" t="str">
        <f>IFERROR(__xludf.DUMMYFUNCTION("GOOGLETRANSLATE(B2593,""id"",""en"")"),"['Meng', 'Activate', 'Package', 'subscribe', 'Disney', 'Hotstar', 'quota', 'reduced', 'according to', 'service', 'Package', 'offered', ' ']")</f>
        <v>['Meng', 'Activate', 'Package', 'subscribe', 'Disney', 'Hotstar', 'quota', 'reduced', 'according to', 'service', 'Package', 'offered', ' ']</v>
      </c>
      <c r="D2593" s="3">
        <v>1.0</v>
      </c>
    </row>
    <row r="2594" ht="15.75" customHeight="1">
      <c r="A2594" s="1">
        <v>2592.0</v>
      </c>
      <c r="B2594" s="3" t="s">
        <v>2595</v>
      </c>
      <c r="C2594" s="3" t="str">
        <f>IFERROR(__xludf.DUMMYFUNCTION("GOOGLETRANSLATE(B2594,""id"",""en"")"),"['Package', 'Data', 'Offered', 'SMS', 'Bought', 'Package', 'Swadaya', 'Bought', 'Price', 'Package', 'Data', 'Rapid', ' Profitable ']")</f>
        <v>['Package', 'Data', 'Offered', 'SMS', 'Bought', 'Package', 'Swadaya', 'Bought', 'Price', 'Package', 'Data', 'Rapid', ' Profitable ']</v>
      </c>
      <c r="D2594" s="3">
        <v>1.0</v>
      </c>
    </row>
    <row r="2595" ht="15.75" customHeight="1">
      <c r="A2595" s="1">
        <v>2593.0</v>
      </c>
      <c r="B2595" s="3" t="s">
        <v>2596</v>
      </c>
      <c r="C2595" s="3" t="str">
        <f>IFERROR(__xludf.DUMMYFUNCTION("GOOGLETRANSLATE(B2595,""id"",""en"")"),"['', 'Telkomsel', 'strange', 'already', 'buy', 'pulse', 'nganggin', 'base', 'Telkomsel', 'right', 'basic', 'ngangin', 'salt ',' Telkomsel ',' please ',' fix ',' ']")</f>
        <v>['', 'Telkomsel', 'strange', 'already', 'buy', 'pulse', 'nganggin', 'base', 'Telkomsel', 'right', 'basic', 'ngangin', 'salt ',' Telkomsel ',' please ',' fix ',' ']</v>
      </c>
      <c r="D2595" s="3">
        <v>1.0</v>
      </c>
    </row>
    <row r="2596" ht="15.75" customHeight="1">
      <c r="A2596" s="1">
        <v>2594.0</v>
      </c>
      <c r="B2596" s="3" t="s">
        <v>2597</v>
      </c>
      <c r="C2596" s="3" t="str">
        <f>IFERROR(__xludf.DUMMYFUNCTION("GOOGLETRANSLATE(B2596,""id"",""en"")"),"['Nyeseeel', 'Download', 'Download', 'Promo', 'SMS', 'CMN', 'Buy', 'Price', 'Telkomsel', 'Wonder', 'Make', 'Price', ' exorbitant ',' signal ',' udh ',' slow ',' area ',' card ',' use ',' Telkomsel ']")</f>
        <v>['Nyeseeel', 'Download', 'Download', 'Promo', 'SMS', 'CMN', 'Buy', 'Price', 'Telkomsel', 'Wonder', 'Make', 'Price', ' exorbitant ',' signal ',' udh ',' slow ',' area ',' card ',' use ',' Telkomsel ']</v>
      </c>
      <c r="D2596" s="3">
        <v>2.0</v>
      </c>
    </row>
    <row r="2597" ht="15.75" customHeight="1">
      <c r="A2597" s="1">
        <v>2595.0</v>
      </c>
      <c r="B2597" s="3" t="s">
        <v>2598</v>
      </c>
      <c r="C2597" s="3" t="str">
        <f>IFERROR(__xludf.DUMMYFUNCTION("GOOGLETRANSLATE(B2597,""id"",""en"")"),"['please', 'Telkomsel', 'package', 'internet', 'run out', 'automatic', 'suck', 'pulse', 'loss',' pulse ',' finished ',' karuan ',' system ',' Ngerugiin ',' Violated ',' Main ',' Suck ', ""]")</f>
        <v>['please', 'Telkomsel', 'package', 'internet', 'run out', 'automatic', 'suck', 'pulse', 'loss',' pulse ',' finished ',' karuan ',' system ',' Ngerugiin ',' Violated ',' Main ',' Suck ', "]</v>
      </c>
      <c r="D2597" s="3">
        <v>2.0</v>
      </c>
    </row>
    <row r="2598" ht="15.75" customHeight="1">
      <c r="A2598" s="1">
        <v>2596.0</v>
      </c>
      <c r="B2598" s="3" t="s">
        <v>2599</v>
      </c>
      <c r="C2598" s="3" t="str">
        <f>IFERROR(__xludf.DUMMYFUNCTION("GOOGLETRANSLATE(B2598,""id"",""en"")"),"['message', 'Telkomsel', 'letter', 'download', 'application', 'promo', 'package', 'internet', 'for', 'for' download ',' check ',' application ',' repeat ',' reset ',' promo ',' as a result ',' quota ',' internet ',' user ',' used ',' meet ',' wish ',' ple"&amp;"ase ',' verification ' , '']")</f>
        <v>['message', 'Telkomsel', 'letter', 'download', 'application', 'promo', 'package', 'internet', 'for', 'for' download ',' check ',' application ',' repeat ',' reset ',' promo ',' as a result ',' quota ',' internet ',' user ',' used ',' meet ',' wish ',' please ',' verification ' , '']</v>
      </c>
      <c r="D2598" s="3">
        <v>1.0</v>
      </c>
    </row>
    <row r="2599" ht="15.75" customHeight="1">
      <c r="A2599" s="1">
        <v>2597.0</v>
      </c>
      <c r="B2599" s="3" t="s">
        <v>2600</v>
      </c>
      <c r="C2599" s="3" t="str">
        <f>IFERROR(__xludf.DUMMYFUNCTION("GOOGLETRANSLATE(B2599,""id"",""en"")"),"['', 'Telkomsel', 'Telkomsel', 'Honest', 'buy', 'pulse', 'thousand', 'buy', 'package', 'GB', 'already', 'many', 'times ',' buy ',' pulse ',' thousand ',' package ',' really ',' enter ',' already ',' send ',' pulse ',' thousand ',' GB ',' enter ', 'Try', '"&amp;"Check', 'Quota', 'Telkomsel', 'Network', 'Data', 'Telkomsel', 'Credit', 'Hangus', ""]")</f>
        <v>['', 'Telkomsel', 'Telkomsel', 'Honest', 'buy', 'pulse', 'thousand', 'buy', 'package', 'GB', 'already', 'many', 'times ',' buy ',' pulse ',' thousand ',' package ',' really ',' enter ',' already ',' send ',' pulse ',' thousand ',' GB ',' enter ', 'Try', 'Check', 'Quota', 'Telkomsel', 'Network', 'Data', 'Telkomsel', 'Credit', 'Hangus', "]</v>
      </c>
      <c r="D2599" s="3">
        <v>1.0</v>
      </c>
    </row>
    <row r="2600" ht="15.75" customHeight="1">
      <c r="A2600" s="1">
        <v>2598.0</v>
      </c>
      <c r="B2600" s="3" t="s">
        <v>2601</v>
      </c>
      <c r="C2600" s="3" t="str">
        <f>IFERROR(__xludf.DUMMYFUNCTION("GOOGLETRANSLATE(B2600,""id"",""en"")"),"['Download', 'Naty', 'Come', 'booong', 'application', 'Telkomsel', 'good', 'bonus',' free ',' user ',' bruuuan ',' download ',' Gaassy ',' Jamin ',' Satisfied ', ""]")</f>
        <v>['Download', 'Naty', 'Come', 'booong', 'application', 'Telkomsel', 'good', 'bonus',' free ',' user ',' bruuuan ',' download ',' Gaassy ',' Jamin ',' Satisfied ', "]</v>
      </c>
      <c r="D2600" s="3">
        <v>5.0</v>
      </c>
    </row>
    <row r="2601" ht="15.75" customHeight="1">
      <c r="A2601" s="1">
        <v>2599.0</v>
      </c>
      <c r="B2601" s="3" t="s">
        <v>2602</v>
      </c>
      <c r="C2601" s="3" t="str">
        <f>IFERROR(__xludf.DUMMYFUNCTION("GOOGLETRANSLATE(B2601,""id"",""en"")"),"['price', 'pulse', 'Maluku', 'Papua', 'expensive', 'folding', 'network', 'disruption', 'Telkomsel', 'company', 'plate', 'red', ' Inciety, 'Adilan', 'Divide', 'Region', 'Region', 'Papua', 'Maluku', 'Price', 'Region', 'Extortion', 'Telkomsel', 'Where', 'Sil"&amp;"a' , 'basic', 'state', 'justice', 'social', 'people', 'Indonesia', 'put', 'Where', 'deleted', ""]")</f>
        <v>['price', 'pulse', 'Maluku', 'Papua', 'expensive', 'folding', 'network', 'disruption', 'Telkomsel', 'company', 'plate', 'red', ' Inciety, 'Adilan', 'Divide', 'Region', 'Region', 'Papua', 'Maluku', 'Price', 'Region', 'Extortion', 'Telkomsel', 'Where', 'Sila' , 'basic', 'state', 'justice', 'social', 'people', 'Indonesia', 'put', 'Where', 'deleted', "]</v>
      </c>
      <c r="D2601" s="3">
        <v>1.0</v>
      </c>
    </row>
    <row r="2602" ht="15.75" customHeight="1">
      <c r="A2602" s="1">
        <v>2600.0</v>
      </c>
      <c r="B2602" s="3" t="s">
        <v>2603</v>
      </c>
      <c r="C2602" s="3" t="str">
        <f>IFERROR(__xludf.DUMMYFUNCTION("GOOGLETRANSLATE(B2602,""id"",""en"")"),"['Yesterday', 'buy', 'package', 'application', 'unlimited', 'already', 'no', 'lgi', 'times', 'unlimited', 'please', 'answer']")</f>
        <v>['Yesterday', 'buy', 'package', 'application', 'unlimited', 'already', 'no', 'lgi', 'times', 'unlimited', 'please', 'answer']</v>
      </c>
      <c r="D2602" s="3">
        <v>5.0</v>
      </c>
    </row>
    <row r="2603" ht="15.75" customHeight="1">
      <c r="A2603" s="1">
        <v>2601.0</v>
      </c>
      <c r="B2603" s="3" t="s">
        <v>2604</v>
      </c>
      <c r="C2603" s="3" t="str">
        <f>IFERROR(__xludf.DUMMYFUNCTION("GOOGLETRANSLATE(B2603,""id"",""en"")"),"['The application', 'slow', 'really', 'buy', 'package', 'repeated', 'times',' and then ',' directly ',' responded ',' buy ',' packetan ',' The need for ',' fast ',' please ',' repaired ',' the application ',' ']")</f>
        <v>['The application', 'slow', 'really', 'buy', 'package', 'repeated', 'times',' and then ',' directly ',' responded ',' buy ',' packetan ',' The need for ',' fast ',' please ',' repaired ',' the application ',' ']</v>
      </c>
      <c r="D2603" s="3">
        <v>1.0</v>
      </c>
    </row>
    <row r="2604" ht="15.75" customHeight="1">
      <c r="A2604" s="1">
        <v>2602.0</v>
      </c>
      <c r="B2604" s="3" t="s">
        <v>2605</v>
      </c>
      <c r="C2604" s="3" t="str">
        <f>IFERROR(__xludf.DUMMYFUNCTION("GOOGLETRANSLATE(B2604,""id"",""en"")"),"['comment', 'negative', 'network', 'network', 'leg', 'eliminated', 'annoying', 'play', 'network', 'ong', 'directly', ""]")</f>
        <v>['comment', 'negative', 'network', 'network', 'leg', 'eliminated', 'annoying', 'play', 'network', 'ong', 'directly', "]</v>
      </c>
      <c r="D2604" s="3">
        <v>1.0</v>
      </c>
    </row>
    <row r="2605" ht="15.75" customHeight="1">
      <c r="A2605" s="1">
        <v>2603.0</v>
      </c>
      <c r="B2605" s="3" t="s">
        <v>2606</v>
      </c>
      <c r="C2605" s="3" t="str">
        <f>IFERROR(__xludf.DUMMYFUNCTION("GOOGLETRANSLATE(B2605,""id"",""en"")"),"['Application', 'Telkomsel', 'ugly', 'buy', 'package', 'right', 'cheap', 'reason', 'operator', 'busy', 'right', 'buy', ' package ',' price ',' expensive ',' direct ',' Telkomsel ',' package ',' expensive ',' ']")</f>
        <v>['Application', 'Telkomsel', 'ugly', 'buy', 'package', 'right', 'cheap', 'reason', 'operator', 'busy', 'right', 'buy', ' package ',' price ',' expensive ',' direct ',' Telkomsel ',' package ',' expensive ',' ']</v>
      </c>
      <c r="D2605" s="3">
        <v>1.0</v>
      </c>
    </row>
    <row r="2606" ht="15.75" customHeight="1">
      <c r="A2606" s="1">
        <v>2604.0</v>
      </c>
      <c r="B2606" s="3" t="s">
        <v>2607</v>
      </c>
      <c r="C2606" s="3" t="str">
        <f>IFERROR(__xludf.DUMMYFUNCTION("GOOGLETRANSLATE(B2606,""id"",""en"")"),"['wants',' quota ',' expensive ',' internet ',' nurkin ',' thanks', 'yaa', 'already', 'salt', 'smooth', 'network', 'Telkomsel', ' ']")</f>
        <v>['wants',' quota ',' expensive ',' internet ',' nurkin ',' thanks', 'yaa', 'already', 'salt', 'smooth', 'network', 'Telkomsel', ' ']</v>
      </c>
      <c r="D2606" s="3">
        <v>1.0</v>
      </c>
    </row>
    <row r="2607" ht="15.75" customHeight="1">
      <c r="A2607" s="1">
        <v>2605.0</v>
      </c>
      <c r="B2607" s="3" t="s">
        <v>2608</v>
      </c>
      <c r="C2607" s="3" t="str">
        <f>IFERROR(__xludf.DUMMYFUNCTION("GOOGLETRANSLATE(B2607,""id"",""en"")"),"['Please', 'MyTelkomsel', 'Plusin', 'Lock', 'Lock', 'Credit', 'Data', 'Abis',' Remnant ',' Credit ',' Msih ',' Cut ',' Until ',' Abis', 'Rupiah', 'Merak', 'System', 'Telkomsel', 'Fox', 'Dri', ""]")</f>
        <v>['Please', 'MyTelkomsel', 'Plusin', 'Lock', 'Lock', 'Credit', 'Data', 'Abis',' Remnant ',' Credit ',' Msih ',' Cut ',' Until ',' Abis', 'Rupiah', 'Merak', 'System', 'Telkomsel', 'Fox', 'Dri', "]</v>
      </c>
      <c r="D2607" s="3">
        <v>5.0</v>
      </c>
    </row>
    <row r="2608" ht="15.75" customHeight="1">
      <c r="A2608" s="1">
        <v>2606.0</v>
      </c>
      <c r="B2608" s="3" t="s">
        <v>2609</v>
      </c>
      <c r="C2608" s="3" t="str">
        <f>IFERROR(__xludf.DUMMYFUNCTION("GOOGLETRANSLATE(B2608,""id"",""en"")"),"['promo', 'buy', 'package', 'cheerful', 'GB', 'STLH', 'use', 'MB', 'BLM', 'a day', 'eh', 'entered', ' NOTIF ',' Package ',' Inet ',' TLH ',' Meaning ',' Telkomsel ',' Plus', 'Credit', 'Regular', 'Auto', 'Out', 'Used', 'Bener' , 'Mas', 'Telkomsel', 'kapok'"&amp;"]")</f>
        <v>['promo', 'buy', 'package', 'cheerful', 'GB', 'STLH', 'use', 'MB', 'BLM', 'a day', 'eh', 'entered', ' NOTIF ',' Package ',' Inet ',' TLH ',' Meaning ',' Telkomsel ',' Plus', 'Credit', 'Regular', 'Auto', 'Out', 'Used', 'Bener' , 'Mas', 'Telkomsel', 'kapok']</v>
      </c>
      <c r="D2608" s="3">
        <v>1.0</v>
      </c>
    </row>
    <row r="2609" ht="15.75" customHeight="1">
      <c r="A2609" s="1">
        <v>2607.0</v>
      </c>
      <c r="B2609" s="3" t="s">
        <v>2610</v>
      </c>
      <c r="C2609" s="3" t="str">
        <f>IFERROR(__xludf.DUMMYFUNCTION("GOOGLETRANSLATE(B2609,""id"",""en"")"),"['package', 'available', 'diverse', 'price', 'affordable', 'application', 'closed', 'automatic', 'ngehank', 'luge', 'minus',' as a result ',' Sometimes', 'application', 'login', 'obstacle', '']")</f>
        <v>['package', 'available', 'diverse', 'price', 'affordable', 'application', 'closed', 'automatic', 'ngehank', 'luge', 'minus',' as a result ',' Sometimes', 'application', 'login', 'obstacle', '']</v>
      </c>
      <c r="D2609" s="3">
        <v>2.0</v>
      </c>
    </row>
    <row r="2610" ht="15.75" customHeight="1">
      <c r="A2610" s="1">
        <v>2608.0</v>
      </c>
      <c r="B2610" s="3" t="s">
        <v>2611</v>
      </c>
      <c r="C2610" s="3" t="str">
        <f>IFERROR(__xludf.DUMMYFUNCTION("GOOGLETRANSLATE(B2610,""id"",""en"")"),"['Download', 'App', 'Game', 'Playstore', 'Network', 'Telkomsel', 'Suggest', 'Do', 'Night', 'That's Out', 'Speed', 'The Network', ' tight', '']")</f>
        <v>['Download', 'App', 'Game', 'Playstore', 'Network', 'Telkomsel', 'Suggest', 'Do', 'Night', 'That's Out', 'Speed', 'The Network', ' tight', '']</v>
      </c>
      <c r="D2610" s="3">
        <v>5.0</v>
      </c>
    </row>
    <row r="2611" ht="15.75" customHeight="1">
      <c r="A2611" s="1">
        <v>2609.0</v>
      </c>
      <c r="B2611" s="3" t="s">
        <v>2612</v>
      </c>
      <c r="C2611" s="3" t="str">
        <f>IFERROR(__xludf.DUMMYFUNCTION("GOOGLETRANSLATE(B2611,""id"",""en"")"),"['Telkomsel', 'disruption', 'buy', 'quota', 'unlimited', 'Telkomsel', 'gabisa', 'yaa', 'pulse', 'quota', 'sufficient', '']")</f>
        <v>['Telkomsel', 'disruption', 'buy', 'quota', 'unlimited', 'Telkomsel', 'gabisa', 'yaa', 'pulse', 'quota', 'sufficient', '']</v>
      </c>
      <c r="D2611" s="3">
        <v>1.0</v>
      </c>
    </row>
    <row r="2612" ht="15.75" customHeight="1">
      <c r="A2612" s="1">
        <v>2610.0</v>
      </c>
      <c r="B2612" s="3" t="s">
        <v>2613</v>
      </c>
      <c r="C2612" s="3" t="str">
        <f>IFERROR(__xludf.DUMMYFUNCTION("GOOGLETRANSLATE(B2612,""id"",""en"")"),"['user', 'service', 'Telkomsel', 'satisfied', 'region', 'reception', 'signal', 'good', 'thank', 'love', 'hopefully', 'Telkomsel', ' sympathetic ',' community ',' broad ',' ']")</f>
        <v>['user', 'service', 'Telkomsel', 'satisfied', 'region', 'reception', 'signal', 'good', 'thank', 'love', 'hopefully', 'Telkomsel', ' sympathetic ',' community ',' broad ',' ']</v>
      </c>
      <c r="D2612" s="3">
        <v>5.0</v>
      </c>
    </row>
    <row r="2613" ht="15.75" customHeight="1">
      <c r="A2613" s="1">
        <v>2611.0</v>
      </c>
      <c r="B2613" s="3" t="s">
        <v>2614</v>
      </c>
      <c r="C2613" s="3" t="str">
        <f>IFERROR(__xludf.DUMMYFUNCTION("GOOGLETRANSLATE(B2613,""id"",""en"")"),"['change', 'purchase', 'package', 'combo', 'saktinya', 'buy', 'unlimited', 'price', 'coconut milk', 'severe', 'return', 'kayak', ' Yesterday ',' Donk ',' people ',' difficult ',' easy ',' buy ',' price ',' Please ',' help ',' Sis', ""]")</f>
        <v>['change', 'purchase', 'package', 'combo', 'saktinya', 'buy', 'unlimited', 'price', 'coconut milk', 'severe', 'return', 'kayak', ' Yesterday ',' Donk ',' people ',' difficult ',' easy ',' buy ',' price ',' Please ',' help ',' Sis', "]</v>
      </c>
      <c r="D2613" s="3">
        <v>1.0</v>
      </c>
    </row>
    <row r="2614" ht="15.75" customHeight="1">
      <c r="A2614" s="1">
        <v>2612.0</v>
      </c>
      <c r="B2614" s="3" t="s">
        <v>2615</v>
      </c>
      <c r="C2614" s="3" t="str">
        <f>IFERROR(__xludf.DUMMYFUNCTION("GOOGLETRANSLATE(B2614,""id"",""en"")"),"['ugly', 'really', 'network', 'slow', 'brother', 'Telkomsel', 'slow', 'really', 'network', 'severe', 'card', 'price', ' Package ',' cheap ',' ']")</f>
        <v>['ugly', 'really', 'network', 'slow', 'brother', 'Telkomsel', 'slow', 'really', 'network', 'severe', 'card', 'price', ' Package ',' cheap ',' ']</v>
      </c>
      <c r="D2614" s="3">
        <v>1.0</v>
      </c>
    </row>
    <row r="2615" ht="15.75" customHeight="1">
      <c r="A2615" s="1">
        <v>2613.0</v>
      </c>
      <c r="B2615" s="3" t="s">
        <v>2616</v>
      </c>
      <c r="C2615" s="3" t="str">
        <f>IFERROR(__xludf.DUMMYFUNCTION("GOOGLETRANSLATE(B2615,""id"",""en"")"),"['Created', 'Level', 'Network', 'Reach', 'Tower', 'BTS', 'Extend', 'Tower', 'DPT', 'Signal', 'Bar', 'and that', ' Stable ',' hope ',' response ']")</f>
        <v>['Created', 'Level', 'Network', 'Reach', 'Tower', 'BTS', 'Extend', 'Tower', 'DPT', 'Signal', 'Bar', 'and that', ' Stable ',' hope ',' response ']</v>
      </c>
      <c r="D2615" s="3">
        <v>2.0</v>
      </c>
    </row>
    <row r="2616" ht="15.75" customHeight="1">
      <c r="A2616" s="1">
        <v>2614.0</v>
      </c>
      <c r="B2616" s="3" t="s">
        <v>2617</v>
      </c>
      <c r="C2616" s="3" t="str">
        <f>IFERROR(__xludf.DUMMYFUNCTION("GOOGLETRANSLATE(B2616,""id"",""en"")"),"['Gymna', 'Open', 'The application', 'Try', 'Load', 'reset', 'like', 'Telkomsel', 'UDH', 'dependence', 'bnget', 'Telkomsel', ' already ',' update ',' klau ',' gini ',' gyma ',' buy ',' quota ',' cartak ',' quota ',' already ',' run out ', ""]")</f>
        <v>['Gymna', 'Open', 'The application', 'Try', 'Load', 'reset', 'like', 'Telkomsel', 'UDH', 'dependence', 'bnget', 'Telkomsel', ' already ',' update ',' klau ',' gini ',' gyma ',' buy ',' quota ',' cartak ',' quota ',' already ',' run out ', "]</v>
      </c>
      <c r="D2616" s="3">
        <v>4.0</v>
      </c>
    </row>
    <row r="2617" ht="15.75" customHeight="1">
      <c r="A2617" s="1">
        <v>2615.0</v>
      </c>
      <c r="B2617" s="3" t="s">
        <v>2618</v>
      </c>
      <c r="C2617" s="3" t="str">
        <f>IFERROR(__xludf.DUMMYFUNCTION("GOOGLETRANSLATE(B2617,""id"",""en"")"),"['Best', 'Telkomsel', 'Tens',' Taun ',' Card ',' Telkomsel ',' Different ',' Signal ',' Sometimes', 'Bad', 'Region', 'Signal', ' down ',' Please ',' Telkomsel ',' fix ',' signal ',' signal ',' thank you ',' Telkomsel ',' user ',' subscription ',' Telkomse"&amp;"l ', ""]")</f>
        <v>['Best', 'Telkomsel', 'Tens',' Taun ',' Card ',' Telkomsel ',' Different ',' Signal ',' Sometimes', 'Bad', 'Region', 'Signal', ' down ',' Please ',' Telkomsel ',' fix ',' signal ',' signal ',' thank you ',' Telkomsel ',' user ',' subscription ',' Telkomsel ', "]</v>
      </c>
      <c r="D2617" s="3">
        <v>5.0</v>
      </c>
    </row>
    <row r="2618" ht="15.75" customHeight="1">
      <c r="A2618" s="1">
        <v>2616.0</v>
      </c>
      <c r="B2618" s="3" t="s">
        <v>2619</v>
      </c>
      <c r="C2618" s="3" t="str">
        <f>IFERROR(__xludf.DUMMYFUNCTION("GOOGLETRANSLATE(B2618,""id"",""en"")"),"['Severe', 'just', 'contents', 'pulse', 'RB', 'SUCCESS', 'CONTENT', 'RB', 'RB', 'Thank "",' SMS ',' Credit ',' Enter ',' strange ',' real ',' error ',' system ',' Telkomsel ',' how ',' Dongkol ',' level ',' god ',' buy ',' package ',' data ' , 'Telkomsel'"&amp;", 'good', 'bad', '']")</f>
        <v>['Severe', 'just', 'contents', 'pulse', 'RB', 'SUCCESS', 'CONTENT', 'RB', 'RB', 'Thank ",' SMS ',' Credit ',' Enter ',' strange ',' real ',' error ',' system ',' Telkomsel ',' how ',' Dongkol ',' level ',' god ',' buy ',' package ',' data ' , 'Telkomsel', 'good', 'bad', '']</v>
      </c>
      <c r="D2618" s="3">
        <v>1.0</v>
      </c>
    </row>
    <row r="2619" ht="15.75" customHeight="1">
      <c r="A2619" s="1">
        <v>2617.0</v>
      </c>
      <c r="B2619" s="3" t="s">
        <v>2620</v>
      </c>
      <c r="C2619" s="3" t="str">
        <f>IFERROR(__xludf.DUMMYFUNCTION("GOOGLETRANSLATE(B2619,""id"",""en"")"),"['Disappointed', 'Telkomsel', 'as possible', 'Package', 'GB', 'Package', 'Telkomsel', 'change', 'like', 'heart', 'Tampa', 'care', ' Customers', 'loyal', 'gini', 'blame', 'move', 'oprator', '']")</f>
        <v>['Disappointed', 'Telkomsel', 'as possible', 'Package', 'GB', 'Package', 'Telkomsel', 'change', 'like', 'heart', 'Tampa', 'care', ' Customers', 'loyal', 'gini', 'blame', 'move', 'oprator', '']</v>
      </c>
      <c r="D2619" s="3">
        <v>1.0</v>
      </c>
    </row>
    <row r="2620" ht="15.75" customHeight="1">
      <c r="A2620" s="1">
        <v>2618.0</v>
      </c>
      <c r="B2620" s="3" t="s">
        <v>2621</v>
      </c>
      <c r="C2620" s="3" t="str">
        <f>IFERROR(__xludf.DUMMYFUNCTION("GOOGLETRANSLATE(B2620,""id"",""en"")"),"['Application', 'Download', 'Login', 'Out', 'Kouta', 'Jak', 'Download', 'Download', 'Application', 'Application', 'Clearsss', ""]")</f>
        <v>['Application', 'Download', 'Login', 'Out', 'Kouta', 'Jak', 'Download', 'Download', 'Application', 'Application', 'Clearsss', "]</v>
      </c>
      <c r="D2620" s="3">
        <v>1.0</v>
      </c>
    </row>
    <row r="2621" ht="15.75" customHeight="1">
      <c r="A2621" s="1">
        <v>2619.0</v>
      </c>
      <c r="B2621" s="3" t="s">
        <v>2622</v>
      </c>
      <c r="C2621" s="3" t="str">
        <f>IFERROR(__xludf.DUMMYFUNCTION("GOOGLETRANSLATE(B2621,""id"",""en"")"),"['Application', 'trash', 'exchange', 'Points',' Win ',' Lottery ',' Telkomsel ',' Considered ',' Points', 'Out', 'Please', 'Confirmation', ' Exchange ',' Points', 'Loss',' Lottery ',' Application ',' ugly ',' already ',' expensive ',' service ',' satisfyi"&amp;"ng ']")</f>
        <v>['Application', 'trash', 'exchange', 'Points',' Win ',' Lottery ',' Telkomsel ',' Considered ',' Points', 'Out', 'Please', 'Confirmation', ' Exchange ',' Points', 'Loss',' Lottery ',' Application ',' ugly ',' already ',' expensive ',' service ',' satisfying ']</v>
      </c>
      <c r="D2621" s="3">
        <v>1.0</v>
      </c>
    </row>
    <row r="2622" ht="15.75" customHeight="1">
      <c r="A2622" s="1">
        <v>2620.0</v>
      </c>
      <c r="B2622" s="3" t="s">
        <v>2623</v>
      </c>
      <c r="C2622" s="3" t="str">
        <f>IFERROR(__xludf.DUMMYFUNCTION("GOOGLETRANSLATE(B2622,""id"",""en"")"),"['Please', 'Fix', 'Note', 'Network', 'Wilaya', 'Maja', 'Keb', 'Lebak', 'Banten', 'Network', 'Internet', 'Stable', ' Sometimes', 'stable', 'sometimes',' stable ',' add ',' BTS ',' Thanks']")</f>
        <v>['Please', 'Fix', 'Note', 'Network', 'Wilaya', 'Maja', 'Keb', 'Lebak', 'Banten', 'Network', 'Internet', 'Stable', ' Sometimes', 'stable', 'sometimes',' stable ',' add ',' BTS ',' Thanks']</v>
      </c>
      <c r="D2622" s="3">
        <v>5.0</v>
      </c>
    </row>
    <row r="2623" ht="15.75" customHeight="1">
      <c r="A2623" s="1">
        <v>2621.0</v>
      </c>
      <c r="B2623" s="3" t="s">
        <v>2624</v>
      </c>
      <c r="C2623" s="3" t="str">
        <f>IFERROR(__xludf.DUMMYFUNCTION("GOOGLETRANSLATE(B2623,""id"",""en"")"),"['Download', 'application', 'no', 'enter', 'input', 'number', 'times',' try ',' unistal ',' install ',' no ',' login ',' ']")</f>
        <v>['Download', 'application', 'no', 'enter', 'input', 'number', 'times',' try ',' unistal ',' install ',' no ',' login ',' ']</v>
      </c>
      <c r="D2623" s="3">
        <v>1.0</v>
      </c>
    </row>
    <row r="2624" ht="15.75" customHeight="1">
      <c r="A2624" s="1">
        <v>2622.0</v>
      </c>
      <c r="B2624" s="3" t="s">
        <v>2625</v>
      </c>
      <c r="C2624" s="3" t="str">
        <f>IFERROR(__xludf.DUMMYFUNCTION("GOOGLETRANSLATE(B2624,""id"",""en"")"),"['buy', 'extra', 'unlimitid', 'thousand', 'buy', 'package', 'missing', 'lost', 'loss',' thousand ',' just ',' please ',' Help ',' that's']]")</f>
        <v>['buy', 'extra', 'unlimitid', 'thousand', 'buy', 'package', 'missing', 'lost', 'loss',' thousand ',' just ',' please ',' Help ',' that's']]</v>
      </c>
      <c r="D2624" s="3">
        <v>1.0</v>
      </c>
    </row>
    <row r="2625" ht="15.75" customHeight="1">
      <c r="A2625" s="1">
        <v>2623.0</v>
      </c>
      <c r="B2625" s="3" t="s">
        <v>2626</v>
      </c>
      <c r="C2625" s="3" t="str">
        <f>IFERROR(__xludf.DUMMYFUNCTION("GOOGLETRANSLATE(B2625,""id"",""en"")"),"['Like', 'Display', 'Display', 'Monotonous',' Like ',' Anyway ',' Indonesia ',' Diversity ',' Indonesia ',' Yaa ',' just ',' so ',' That's', 'monotonous',' boring ',' changed ',' dehh ']")</f>
        <v>['Like', 'Display', 'Display', 'Monotonous',' Like ',' Anyway ',' Indonesia ',' Diversity ',' Indonesia ',' Yaa ',' just ',' so ',' That's', 'monotonous',' boring ',' changed ',' dehh ']</v>
      </c>
      <c r="D2625" s="3">
        <v>2.0</v>
      </c>
    </row>
    <row r="2626" ht="15.75" customHeight="1">
      <c r="A2626" s="1">
        <v>2624.0</v>
      </c>
      <c r="B2626" s="3" t="s">
        <v>2627</v>
      </c>
      <c r="C2626" s="3" t="str">
        <f>IFERROR(__xludf.DUMMYFUNCTION("GOOGLETRANSLATE(B2626,""id"",""en"")"),"['already', 'check', 'right', 'check', 'regret', 'cave', 'update', 'application', 'quality', 'application', 'Telkomsel', 'maybe', ' "", 'PDHL', 'Customers', 'loyal', 'Telkomsel', 'use', 'HandPhone', '']")</f>
        <v>['already', 'check', 'right', 'check', 'regret', 'cave', 'update', 'application', 'quality', 'application', 'Telkomsel', 'maybe', ' ", 'PDHL', 'Customers', 'loyal', 'Telkomsel', 'use', 'HandPhone', '']</v>
      </c>
      <c r="D2626" s="3">
        <v>1.0</v>
      </c>
    </row>
    <row r="2627" ht="15.75" customHeight="1">
      <c r="A2627" s="1">
        <v>2625.0</v>
      </c>
      <c r="B2627" s="3" t="s">
        <v>2628</v>
      </c>
      <c r="C2627" s="3" t="str">
        <f>IFERROR(__xludf.DUMMYFUNCTION("GOOGLETRANSLATE(B2627,""id"",""en"")"),"['Admen', 'Telkomsel', 'buy', 'tranquility', 'youtobe', 'pulse', 'already', 'cut', 'report', 'sms',' active ',' youtobe ',' Disappointed ',' Telkomsel ',' Disight ',' Customer ',' Stay ',' Customer ', ""]")</f>
        <v>['Admen', 'Telkomsel', 'buy', 'tranquility', 'youtobe', 'pulse', 'already', 'cut', 'report', 'sms',' active ',' youtobe ',' Disappointed ',' Telkomsel ',' Disight ',' Customer ',' Stay ',' Customer ', "]</v>
      </c>
      <c r="D2627" s="3">
        <v>1.0</v>
      </c>
    </row>
    <row r="2628" ht="15.75" customHeight="1">
      <c r="A2628" s="1">
        <v>2626.0</v>
      </c>
      <c r="B2628" s="3" t="s">
        <v>2629</v>
      </c>
      <c r="C2628" s="3" t="str">
        <f>IFERROR(__xludf.DUMMYFUNCTION("GOOGLETRANSLATE(B2628,""id"",""en"")"),"['YTH', 'BAPACK', 'Telkomsel', 'send', 'SMS', 'number', 'officer', 'medical', 'darling', 'holiday', ""]")</f>
        <v>['YTH', 'BAPACK', 'Telkomsel', 'send', 'SMS', 'number', 'officer', 'medical', 'darling', 'holiday', "]</v>
      </c>
      <c r="D2628" s="3">
        <v>5.0</v>
      </c>
    </row>
    <row r="2629" ht="15.75" customHeight="1">
      <c r="A2629" s="1">
        <v>2627.0</v>
      </c>
      <c r="B2629" s="3" t="s">
        <v>2630</v>
      </c>
      <c r="C2629" s="3" t="str">
        <f>IFERROR(__xludf.DUMMYFUNCTION("GOOGLETRANSLATE(B2629,""id"",""en"")"),"['buy', 'package', 'unlimited', 'rb', 'quota', 'unlimited', 'bonus',' slow ',' kya ',' intention ',' love ',' bonus', ' price ',' quota ',' quality ',' network ',' down ',' customize ',' price ',' quality ',' network ',' user ',' telkomsel ',' fed up ',' "&amp;"switch ' , 'card', '']")</f>
        <v>['buy', 'package', 'unlimited', 'rb', 'quota', 'unlimited', 'bonus',' slow ',' kya ',' intention ',' love ',' bonus', ' price ',' quota ',' quality ',' network ',' down ',' customize ',' price ',' quality ',' network ',' user ',' telkomsel ',' fed up ',' switch ' , 'card', '']</v>
      </c>
      <c r="D2629" s="3">
        <v>1.0</v>
      </c>
    </row>
    <row r="2630" ht="15.75" customHeight="1">
      <c r="A2630" s="1">
        <v>2628.0</v>
      </c>
      <c r="B2630" s="3" t="s">
        <v>2631</v>
      </c>
      <c r="C2630" s="3" t="str">
        <f>IFERROR(__xludf.DUMMYFUNCTION("GOOGLETRANSLATE(B2630,""id"",""en"")"),"['purchase', 'quota', 'internet', 'expensive', 'example', 'quota', 'GB', 'price', 'thousand', 'thousand', 'purchase', 'kuora', ' GB ',' hope ',' purchase ',' quota ',' held ',' please ']")</f>
        <v>['purchase', 'quota', 'internet', 'expensive', 'example', 'quota', 'GB', 'price', 'thousand', 'thousand', 'purchase', 'kuora', ' GB ',' hope ',' purchase ',' quota ',' held ',' please ']</v>
      </c>
      <c r="D2630" s="3">
        <v>2.0</v>
      </c>
    </row>
    <row r="2631" ht="15.75" customHeight="1">
      <c r="A2631" s="1">
        <v>2629.0</v>
      </c>
      <c r="B2631" s="3" t="s">
        <v>2632</v>
      </c>
      <c r="C2631" s="3" t="str">
        <f>IFERROR(__xludf.DUMMYFUNCTION("GOOGLETRANSLATE(B2631,""id"",""en"")"),"['likes',' really ',' signal ',' Sometimes', 'Gabagus',' Game ',' Phone ',' Cellular ',' Internet ',' Current ',' Plus', 'Telkosel', ' Current ',' contents', 'credit', 'monthly', 'package', 'internet', 'package', 'call', 'affordable', 'cheap', '']")</f>
        <v>['likes',' really ',' signal ',' Sometimes', 'Gabagus',' Game ',' Phone ',' Cellular ',' Internet ',' Current ',' Plus', 'Telkosel', ' Current ',' contents', 'credit', 'monthly', 'package', 'internet', 'package', 'call', 'affordable', 'cheap', '']</v>
      </c>
      <c r="D2631" s="3">
        <v>5.0</v>
      </c>
    </row>
    <row r="2632" ht="15.75" customHeight="1">
      <c r="A2632" s="1">
        <v>2630.0</v>
      </c>
      <c r="B2632" s="3" t="s">
        <v>2633</v>
      </c>
      <c r="C2632" s="3" t="str">
        <f>IFERROR(__xludf.DUMMYFUNCTION("GOOGLETRANSLATE(B2632,""id"",""en"")"),"['Help', 'run out', 'quota', 'select', 'quota', 'match', 'check', 'quota', 'thanks', 'yaa']")</f>
        <v>['Help', 'run out', 'quota', 'select', 'quota', 'match', 'check', 'quota', 'thanks', 'yaa']</v>
      </c>
      <c r="D2632" s="3">
        <v>5.0</v>
      </c>
    </row>
    <row r="2633" ht="15.75" customHeight="1">
      <c r="A2633" s="1">
        <v>2631.0</v>
      </c>
      <c r="B2633" s="3" t="s">
        <v>2634</v>
      </c>
      <c r="C2633" s="3" t="str">
        <f>IFERROR(__xludf.DUMMYFUNCTION("GOOGLETRANSLATE(B2633,""id"",""en"")"),"['Sorry', 'down', 'star', 'wrong', 'number', 'cellphone', 'Telkomsel', 'chosen', 'enjoy', 'promo', 'special', 'cheerful', ' Choice ',' list ',' cheerful ',' choice ',' package ',' cheerful ',' Enjoy ',' list ',' gradual ',' many ',' times', 'reply', 'resp"&amp;"onse' , 'Veronica', 'solution', 'play', 'back', 'logic', 'get', 'promo', 'special', 'cheerful', 'enjoy', 'sanas']")</f>
        <v>['Sorry', 'down', 'star', 'wrong', 'number', 'cellphone', 'Telkomsel', 'chosen', 'enjoy', 'promo', 'special', 'cheerful', ' Choice ',' list ',' cheerful ',' choice ',' package ',' cheerful ',' Enjoy ',' list ',' gradual ',' many ',' times', 'reply', 'response' , 'Veronica', 'solution', 'play', 'back', 'logic', 'get', 'promo', 'special', 'cheerful', 'enjoy', 'sanas']</v>
      </c>
      <c r="D2633" s="3">
        <v>1.0</v>
      </c>
    </row>
    <row r="2634" ht="15.75" customHeight="1">
      <c r="A2634" s="1">
        <v>2632.0</v>
      </c>
      <c r="B2634" s="3" t="s">
        <v>2635</v>
      </c>
      <c r="C2634" s="3" t="str">
        <f>IFERROR(__xludf.DUMMYFUNCTION("GOOGLETRANSLATE(B2634,""id"",""en"")"),"['Telkomsel', 'strange', 'usage', 'card', 'expensive', 'price', 'package', 'internet', 'already', 'try', 'complain', 'eehh', ' Mahalin ',' ']")</f>
        <v>['Telkomsel', 'strange', 'usage', 'card', 'expensive', 'price', 'package', 'internet', 'already', 'try', 'complain', 'eehh', ' Mahalin ',' ']</v>
      </c>
      <c r="D2634" s="3">
        <v>1.0</v>
      </c>
    </row>
    <row r="2635" ht="15.75" customHeight="1">
      <c r="A2635" s="1">
        <v>2633.0</v>
      </c>
      <c r="B2635" s="3" t="s">
        <v>2636</v>
      </c>
      <c r="C2635" s="3" t="str">
        <f>IFERROR(__xludf.DUMMYFUNCTION("GOOGLETRANSLATE(B2635,""id"",""en"")"),"['Mending', 'Change', 'Provider', 'Agan', 'Agan', 'Telkomsel', 'Denger', 'Complaints',' Network ',' Internet ',' Kenceng ',' Look ',' already ',' already ',' lose ',' provider ',' next door ',' ']")</f>
        <v>['Mending', 'Change', 'Provider', 'Agan', 'Agan', 'Telkomsel', 'Denger', 'Complaints',' Network ',' Internet ',' Kenceng ',' Look ',' already ',' already ',' lose ',' provider ',' next door ',' ']</v>
      </c>
      <c r="D2635" s="3">
        <v>1.0</v>
      </c>
    </row>
    <row r="2636" ht="15.75" customHeight="1">
      <c r="A2636" s="1">
        <v>2634.0</v>
      </c>
      <c r="B2636" s="3" t="s">
        <v>2637</v>
      </c>
      <c r="C2636" s="3" t="str">
        <f>IFERROR(__xludf.DUMMYFUNCTION("GOOGLETRANSLATE(B2636,""id"",""en"")"),"['expensive', 'expensive', 'buy', 'network', 'matters',' mending ',' closed ',' Telkomsel ',' Indonesia ',' users', 'Telkomsel', 'disappointed', ' Network ',' Kek ',' Ta ',' Makasiih ',' Greetings', 'Bankrupt', ""]")</f>
        <v>['expensive', 'expensive', 'buy', 'network', 'matters',' mending ',' closed ',' Telkomsel ',' Indonesia ',' users', 'Telkomsel', 'disappointed', ' Network ',' Kek ',' Ta ',' Makasiih ',' Greetings', 'Bankrupt', "]</v>
      </c>
      <c r="D2636" s="3">
        <v>1.0</v>
      </c>
    </row>
    <row r="2637" ht="15.75" customHeight="1">
      <c r="A2637" s="1">
        <v>2635.0</v>
      </c>
      <c r="B2637" s="3" t="s">
        <v>2638</v>
      </c>
      <c r="C2637" s="3" t="str">
        <f>IFERROR(__xludf.DUMMYFUNCTION("GOOGLETRANSLATE(B2637,""id"",""en"")"),"['City', 'signal', 'rotten', 'how', 'remote', 'severe', 'your service', 'booooossss',' provider ',' best ',' proofaaaaaaaaaaaaaaaaaaaaaaaaaaaaaaaaaaaaaaaaaaaaaaaaaaaaaaaaaaaaaaaaaaaaaaaaaaaaaaaaaaaaaaaaaaaaaaaaaaaaaaaaaaaaaaaaaaaa")</f>
        <v>['City', 'signal', 'rotten', 'how', 'remote', 'severe', 'your service', 'booooossss',' provider ',' best ',' proofaaaaaaaaaaaaaaaaaaaaaaaaaaaaaaaaaaaaaaaaaaaaaaaaaaaaaaaaaaaaaaaaaaaaaaaaaaaaaaaaaaaaaaaaaaaaaaaaaaaaaaaaaaaaaaaaaaaa</v>
      </c>
      <c r="D2637" s="3">
        <v>1.0</v>
      </c>
    </row>
    <row r="2638" ht="15.75" customHeight="1">
      <c r="A2638" s="1">
        <v>2636.0</v>
      </c>
      <c r="B2638" s="3" t="s">
        <v>2639</v>
      </c>
      <c r="C2638" s="3" t="str">
        <f>IFERROR(__xludf.DUMMYFUNCTION("GOOGLETRANSLATE(B2638,""id"",""en"")"),"['Hour', 'Package', 'Love', 'Date', 'Doang', 'Rich', 'Date', 'Hour', 'Show', 'Application']")</f>
        <v>['Hour', 'Package', 'Love', 'Date', 'Doang', 'Rich', 'Date', 'Hour', 'Show', 'Application']</v>
      </c>
      <c r="D2638" s="3">
        <v>2.0</v>
      </c>
    </row>
    <row r="2639" ht="15.75" customHeight="1">
      <c r="A2639" s="1">
        <v>2637.0</v>
      </c>
      <c r="B2639" s="3" t="s">
        <v>2640</v>
      </c>
      <c r="C2639" s="3" t="str">
        <f>IFERROR(__xludf.DUMMYFUNCTION("GOOGLETRANSLATE(B2639,""id"",""en"")"),"['Waah', 'Severe', 'Neh', 'Yesterday', 'Troubled', 'Application', 'Pulse', 'Ditageek', 'Use', 'Phone', 'QTAU', 'Internet', ' times', 'buy', 'package', 'call', 'leftover', 'pulse', 'night', 'pulse', 'already', 'check', 'use', 'said', 'use' , 'Internet', 'G"&amp;"roup', 'Internet', 'number', 'KOQ', 'Gini', 'Seh', 'Report', 'Where', 'Neh', 'Gini', 'Customer', ' Telkomsel ',' run ',' Neh ', ""]")</f>
        <v>['Waah', 'Severe', 'Neh', 'Yesterday', 'Troubled', 'Application', 'Pulse', 'Ditageek', 'Use', 'Phone', 'QTAU', 'Internet', ' times', 'buy', 'package', 'call', 'leftover', 'pulse', 'night', 'pulse', 'already', 'check', 'use', 'said', 'use' , 'Internet', 'Group', 'Internet', 'number', 'KOQ', 'Gini', 'Seh', 'Report', 'Where', 'Neh', 'Gini', 'Customer', ' Telkomsel ',' run ',' Neh ', "]</v>
      </c>
      <c r="D2639" s="3">
        <v>1.0</v>
      </c>
    </row>
    <row r="2640" ht="15.75" customHeight="1">
      <c r="A2640" s="1">
        <v>2638.0</v>
      </c>
      <c r="B2640" s="3" t="s">
        <v>2641</v>
      </c>
      <c r="C2640" s="3" t="str">
        <f>IFERROR(__xludf.DUMMYFUNCTION("GOOGLETRANSLATE(B2640,""id"",""en"")"),"['Telkomsel', 'Reach', 'Extensive', 'Because of', 'Value', 'Pulse', 'Main', 'Cutting', 'Package', 'Active', 'Because', 'Bread', ' The information is', 'pulses',' mainly ',' run out ',' ']")</f>
        <v>['Telkomsel', 'Reach', 'Extensive', 'Because of', 'Value', 'Pulse', 'Main', 'Cutting', 'Package', 'Active', 'Because', 'Bread', ' The information is', 'pulses',' mainly ',' run out ',' ']</v>
      </c>
      <c r="D2640" s="3">
        <v>5.0</v>
      </c>
    </row>
    <row r="2641" ht="15.75" customHeight="1">
      <c r="A2641" s="1">
        <v>2639.0</v>
      </c>
      <c r="B2641" s="3" t="s">
        <v>2642</v>
      </c>
      <c r="C2641" s="3" t="str">
        <f>IFERROR(__xludf.DUMMYFUNCTION("GOOGLETRANSLATE(B2641,""id"",""en"")"),"['Byk', 'user', 'bebenah', 'severe', 'signal', 'pulse', 'sumps',' already ',' buy ',' package ',' internet ',' pulses', ' hbs', 'zero', 'nyesek', 'really', 'sll', 'diginin', 'ama', 'telkomsel', 'already', 'telkomsel', 'th', 'prnh', 'can' , 'Telkomsel', 'C"&amp;"redit', 'Histoled', 'TRS', 'The difference', 'Maling', 'Woyyy', 'Tel', 'Prnh', 'Solution', 'Emotion', 'Kek', ' Gini ',' trs', 'lbh', 'moved', 'provider', 'drpd', 'pls',' trs', 'nomeliled', '']")</f>
        <v>['Byk', 'user', 'bebenah', 'severe', 'signal', 'pulse', 'sumps',' already ',' buy ',' package ',' internet ',' pulses', ' hbs', 'zero', 'nyesek', 'really', 'sll', 'diginin', 'ama', 'telkomsel', 'already', 'telkomsel', 'th', 'prnh', 'can' , 'Telkomsel', 'Credit', 'Histoled', 'TRS', 'The difference', 'Maling', 'Woyyy', 'Tel', 'Prnh', 'Solution', 'Emotion', 'Kek', ' Gini ',' trs', 'lbh', 'moved', 'provider', 'drpd', 'pls',' trs', 'nomeliled', '']</v>
      </c>
      <c r="D2641" s="3">
        <v>1.0</v>
      </c>
    </row>
    <row r="2642" ht="15.75" customHeight="1">
      <c r="A2642" s="1">
        <v>2640.0</v>
      </c>
      <c r="B2642" s="3" t="s">
        <v>2643</v>
      </c>
      <c r="C2642" s="3" t="str">
        <f>IFERROR(__xludf.DUMMYFUNCTION("GOOGLETRANSLATE(B2642,""id"",""en"")"),"['ngeleg', 'version', 'the latest', 'rich', 'network', 'right', 'launch', 'version', 'newest', 'testing', 'conscious',' version ',' The latest ',' rich ',' app ',' useful ',' please ',' deh ',' class', 'Telkomsel', 'app', 'insund', 'mending', 'Ush', 'laun"&amp;"ch' , 'version', 'newest', 'ready', 'beg', 'noticed', 'developer', 'application', 'user', 'buy', 'pulse', 'buy', 'package', ' the screen ',' white ',' Load ',' really ', ""]")</f>
        <v>['ngeleg', 'version', 'the latest', 'rich', 'network', 'right', 'launch', 'version', 'newest', 'testing', 'conscious',' version ',' The latest ',' rich ',' app ',' useful ',' please ',' deh ',' class', 'Telkomsel', 'app', 'insund', 'mending', 'Ush', 'launch' , 'version', 'newest', 'ready', 'beg', 'noticed', 'developer', 'application', 'user', 'buy', 'pulse', 'buy', 'package', ' the screen ',' white ',' Load ',' really ', "]</v>
      </c>
      <c r="D2642" s="3">
        <v>4.0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2022-02-26T07:11:41Z</dcterms:created>
  <dc:creator>openpyxl</dc:creator>
</cp:coreProperties>
</file>