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3SXO9TLOPk/PtQq9jh5EU8Ozjg=="/>
    </ext>
  </extLst>
</workbook>
</file>

<file path=xl/sharedStrings.xml><?xml version="1.0" encoding="utf-8"?>
<sst xmlns="http://schemas.openxmlformats.org/spreadsheetml/2006/main" count="1928" uniqueCount="1928">
  <si>
    <t>text_review</t>
  </si>
  <si>
    <t>text_review_english</t>
  </si>
  <si>
    <t>score</t>
  </si>
  <si>
    <t>['telkomsel', 'maling', 'pulsa', 'kouta', 'gb', 'dapet', 'sms', 'kouta', 'mencukupi', 'kesedot', 'pulsanya', 'gua', 'permasalahin', 'nominal', 'pulsa', 'kesedot', 'males', 'tolong', 'telkomsel', 'cek']</t>
  </si>
  <si>
    <t>['nomor', 'beda', 'kuota', 'harga', 'susah', 'membeli', 'kuota', 'kuota', 'maxtream', 'pengen', 'beli', 'kuota', 'internet', 'seharga', 'rbu', '']</t>
  </si>
  <si>
    <t>['', 'daerah', 'tanjung', 'sari', 'natar', 'lampung', 'selatan', 'sinyal', 'telkomsel', 'yaa', 'alloh', 'pengen', 'kubanting', 'sinyal', 'berubah', 'ubah', 'bentar', 'lelet', 'abis', 'ujan', 'seharian', 'gitu', 'ngg', 'pulsa', 'kuota', 'ngg', 'telat', '']</t>
  </si>
  <si>
    <t>['', 'telkomsel', 'update', 'jelek', 'bagus', 'jelek', 'pindah', 'sebelah', 'telkomsel', 'anjiiiing', 'orang', 'ngga', 'ngambil', 'paket', 'darurat', 'pulsa', 'gua', 'potong', 'anjiiing']</t>
  </si>
  <si>
    <t>['aplikasi', 'sampah', 'ram', 'gua', 'gb', 'internal', 'buka', 'aplikasi', 'nge', 'hang', 'layar', 'putih', 'aplikasi', 'gamau', 'buka', 'nyesel', 'banget', 'buang', 'buang', 'kuota', 'download']</t>
  </si>
  <si>
    <t>['aplikasinya', 'hapus', 'hapus', 'ulasan', 'aplikasi', 'ribet', 'masuk', 'dikasi', 'link', 'link', 'tersambung', 'browser', 'dst', 'masuk', 'update', 'aplikasi', 'masuk', 'ulang', 'aplikasi', 'akun', 'nomer', 'dimasukkan', '']</t>
  </si>
  <si>
    <t>['internetnya', 'jaringannya', 'didaerah', 'jakarta', 'serasa', 'dipegunungan', 'ditengah', 'laut', 'download', 'upload', 'ulang', 'bintang', 'makasih']</t>
  </si>
  <si>
    <t>['dengerin', 'min', 'baca', 'keluhan', 'pengguna', 'kartu', 'sampe', 'beralih', 'axis', 'tinggal', 'kota', 'sinyalnya', 'buruk', 'bener', '']</t>
  </si>
  <si>
    <t>['telkomsel', 'unlimited', 'gajelas', 'sampah', 'bagus', 'kuota', 'abis', 'lancar', 'skrng', 'tulisan', 'batas', 'wajar', 'kuota', 'aplikasi', 'sisa', 'mb', 'sampaj', 'lancar', 'game', 'ama', 'gada', 'gunanya', 'nunggu', 'loading', 'vidio', 'abad']</t>
  </si>
  <si>
    <t>['mohon', 'maaf', 'komplen', 'tolong', 'applikasi', 'perbaiki', 'susah', 'bukanya', 'semenjak', 'diganti', 'logo', 'eror', 'aplikasinya', 'mengecewakan', 'saking', 'kesalnya', 'sayah', 'uintstal', 'applikasi', 'pelanggan', 'butuh', 'kenyamanan', 'pengguanan', 'applikasi', '']</t>
  </si>
  <si>
    <t>['pilih', 'telkomsel', 'karna', 'sinyal', 'jaringannya', 'bagus', 'biarpun', 'tarif', 'mahal', 'laen', 'skrg', 'tersisa', 'mahal', 'laen', 'sinyal', 'jaringan', 'bagus', 'udah', '']</t>
  </si>
  <si>
    <t>['sinyalnya', 'kek', 'indosat', 'tolong', 'jalur', 'sinyalnya', 'perluas', 'sampe', 'tempuran', 'magelang', 'liat', 'tugas', 'yutub', 'ngelek', 'susah', 'mager', 'rumah', 'main', 'gem', 'muncul', 'nga', 'lte', 'kadang', 'udah', 'lte', 'sinyalnya', 'hilang', 'jaringan', 'anjg']</t>
  </si>
  <si>
    <t>['ahir', 'aplikasi', 'beli', 'pulsa', 'hilang', 'tampa', 'hidupkan', 'data', 'sms', 'nelpon', 'tolong', 'kartu', 'sultan', 'paket', 'boros', 'harga', 'slagit', 'engak', 'kah', 'gerangan', 'kawan']</t>
  </si>
  <si>
    <t>['ampas', 'deskripsi', 'kuota', 'gamesmax', 'disitu', 'tertera', 'tulisan', 'mlbb', 'pubg', 'lifeafter', 'shellfire', 'dsb', 'cuman', 'mlbb', 'itupun', 'matching', 'masuk', 'match', 'disconnected', 'ampas', '']</t>
  </si>
  <si>
    <t>['recommended', 'pakai', 'pascabayar', 'nyesel', 'doank', 'manis', 'pas', 'penawaran', 'tlp', 'harga', 'paketnya', 'mahal', 'kuota', 'daerah', 'terpencil', 'sinyal', 'susah', 'tinggal', 'customer', '']</t>
  </si>
  <si>
    <t>['kasi', 'bintang', 'dlu', 'kali', 'belanja', 'telkomsel', 'pgen', 'cermati', 'pelayanan', 'kualitasnya', 'terima', 'kasih', '']</t>
  </si>
  <si>
    <t>['mohon', 'tingkatkan', 'sinyal', 'kawasan', 'industri', 'jatake', 'tangngerang', 'karna', 'sinyal', 'suka', 'menghilang', 'nonton', 'youtube', 'muter', 'asik', 'asik', 'nonton', 'sinyal', 'terimakasih']</t>
  </si>
  <si>
    <t>['sinyalny', 'payah', 'lelet', 'banget', 'kuota', 'msh', 'mb', 'wkt', 'aktif', 'msh', 'mgu', 'bwt', 'buka', 'aplikasi', 'tertulis', 'internet', 'jengkel', 'capek', 'mkn', 'hati', 'rasakan', 'konsumen', 'bbrp', 'operator', 'telkomsel', 'dpt', 'sms', 'ngak', 'tukang', 'kredit', 'pinjol', 'undian', 'berhadiah', 'dst', 'sya', 'blokir', 'msh', 'sms', 'masuk', 'kpn', 'pelayan', 'kayak', 'gini']</t>
  </si>
  <si>
    <t>['sinyal', 'data', 'internet', 'normal', 'males']</t>
  </si>
  <si>
    <t>['pulsa', 'darurat', 'berbunga', 'perasaan', 'udah', 'dibayar', 'isi', 'pulsa', 'keambil', 'ayolah', 'harga', 'paketan', 'selangit', 'jaringan', 'cap', 'iprit', 'korup', '']</t>
  </si>
  <si>
    <t>['jelek', 'sinyal', 'telkomsel', 'maaf', 'bintang', 'gua', 'tinggal', 'dikota', 'jaringan', 'bar', 'jaringan', 'lancar', '']</t>
  </si>
  <si>
    <t>['download', 'apk', 'telkomsel', 'gangguan', 'pindah', 'provider', 'jaringannya', '']</t>
  </si>
  <si>
    <t>['suka', 'indihome', 'turnamen', 'wow', 'senang', '']</t>
  </si>
  <si>
    <t>['telkomsel', 'bnyak', 'gangguan', 'kadang', 'seharian', 'penuh', 'susah', 'sinyal', 'tolong', 'perbaiki', 'kualitas', 'sinyalnya']</t>
  </si>
  <si>
    <t>['tolong', 'perbaiki', 'wilayah', 'koja', 'jaringan', 'merata', 'daerah', 'koja', 'jaringannya']</t>
  </si>
  <si>
    <t>['mudah', 'cepat', 'dlm', 'transaksi', 'pembelian', 'pengecekan', 'kuota', 'pulsa', 'memudahkan', 'untk', 'promo', 'paket', 'dibeli', '']</t>
  </si>
  <si>
    <t>['mohon', 'signal', 'tingkatkan', 'karna', 'main', 'game', 'online', 'signal', 'pending', 'parah', 'kouta']</t>
  </si>
  <si>
    <t>['kasih', 'bintang', 'baca', 'agustus', 'jaringan', 'putus', 'putus', 'menyiksa', 'promosi', 'tolong', 'ujung', 'pulau', 'negara', 'menderita', 'jaringan', 'hancur', 'hancuran', '']</t>
  </si>
  <si>
    <t>['telkomsel', 'maunya', 'isi', 'paket', 'dipotong', 'harinya', 'contoh', 'agustus', 'knapa', 'limit', 'september', 'kemarin', 'juli', 'isi', 'paket', 'data', 'tgl', 'agustus', 'korupsi', 'masyarakat', 'disumpah', 'serapah', 'emosi', 'sbenernya', 'hati', 'otak', '']</t>
  </si>
  <si>
    <t>['membantu', 'semoga', 'telkomsl', 'jaya', 'sukses', '']</t>
  </si>
  <si>
    <t>['tarif', 'harga', 'kuota', 'ditawarkan', 'customer', 'berbeda', 'program', 'surprise', 'deal', 'bandingkan', 'harga', 'ditawarkan', 'berbeda', 'pelanggan', 'dianalisis', 'pemakaian', 'kuota', 'tarif', 'mahal', 'saran', 'pelanggan', 'pemakaian', 'kuota', 'penwaran', 'terbaik', 'dimahalin', '']</t>
  </si>
  <si>
    <t>['jaringannya', 'buruk', 'plis', 'min', 'udh', 'bayar', 'mahal', 'paketnya', 'tpi', 'knpa', 'buriq', '']</t>
  </si>
  <si>
    <t>['kesal', 'kampreeet', 'lemot', 'buka', 'aplikasi', 'beli', 'paket', 'pulsa', 'blank', 'putih', 'buka', 'aplikasinya', 'tolonh', 'betulin', 'woi', '']</t>
  </si>
  <si>
    <t>['mohon', 'jaringan', 'diperbaiki', 'harga', 'paket', 'mahal', 'layanan', 'jaringan', 'kouta', 'terbuang', 'terimakasih', 'jasa', '']</t>
  </si>
  <si>
    <t>['bagus', 'telkomsel', 'susah', 'susah', 'belik', 'paket', 'tinggal', 'belik', 'simple', 'praktis', 'oke', 'banget', 'ygmalas']</t>
  </si>
  <si>
    <t>['paket', 'kartu', 'halo', 'paket', 'sms', 'pendaftaran', 'livin', 'mandiri', '']</t>
  </si>
  <si>
    <t>['harga', 'paketnya', 'ekstra', 'mahal', 'perpanjang', 'kuota', 'hilang']</t>
  </si>
  <si>
    <t>['terima', 'kasih', 'menyediakan', 'apk', 'membantu', 'ribet', '']</t>
  </si>
  <si>
    <t>['promonya', 'ngga', 'menarik', 'sam', 'kartu', 'pastinya', 'udah', 'berlangganan', 'harganya', 'tetep', 'ngga', 'diskon', 'sinyalnya', 'payah', 'udah', 'bayar', 'mahal', 'mahal', 'loding', 'payah', 'ngga', 'dispensasi', 'pelanggan', 'setia', 'sunggu', 'telkomsel', 'payah', 'diandalkan', 'udah', 'gitu', 'poinya', 'ilang', 'dikumpulin', 'bnyak', 'thun', 'dihangusin', '']</t>
  </si>
  <si>
    <t>['aneh', 'beli', 'paket', 'diklik', 'aktif', 'ajaibnya', 'menguras', 'pulsa', 'jebakan', 'promo', '']</t>
  </si>
  <si>
    <t>['telkomsel', 'jelek', 'sign', 'lnya', 'dot', 'kuota', 'pakai', 'paket', 'data', 'nganggur', 'signal', 'kota', 'emang', 'beli', 'quota', 'dipakai', '']</t>
  </si>
  <si>
    <t>['bismillah', 'semoga', 'diberkahi', 'slalu', 'terbaik', 'sukses', 'slalu', '']</t>
  </si>
  <si>
    <t>['udah', 'beli', 'kuota', 'gamemax', 'mahal', 'mytelkomsel', 'tolong', 'gimana', 'permasalahannya', '']</t>
  </si>
  <si>
    <t>['terimakasih', 'mengembalikan', 'pulsa', 'darurat', 'ribu', 'kehabisan', 'pulsa', 'ayooo', 'aktifkan', 'paket', 'pulsa', 'darurat', 'pala', 'kaulah', 'gua', 'ngambil', 'pulsa', 'darurat', 'potong', 'telkomsel', '']</t>
  </si>
  <si>
    <t>['telkomsel', 'bosok', 'pelangan', 'setia', 'telkomsel', 'sekrng', 'kecewa', 'jarinagn', 'lte', 'sinyal', 'penuh', 'data', 'jalan', 'tolong', 'perbaiki', 'jaringan', 'paham', '']</t>
  </si>
  <si>
    <t>['', 'telkomsel', 'jelek', 'bgd', 'susah', 'login', 'signal', 'turun', 'semoga', 'kedepan', 'telkomsel', '']</t>
  </si>
  <si>
    <t>['telkomsel', 'aplikasinya', 'nge', 'bug', 'trus', 'sinyal', 'internetnya', 'lelet', 'banget', 'udah', 'harganya', 'mahal', '']</t>
  </si>
  <si>
    <t>['aplikasinya', 'bagus', 'fiturnya', 'lengkap', 'item', 'dibayar', 'ovo', 'mohon', 'solusi', 'sukses', 'slalu', 'telkomsel', '']</t>
  </si>
  <si>
    <t>['jaringan', 'stabil', 'bagus', 'bermain', 'game', 'harga', 'paket', 'internetnya', 'mahal', 'dibanding', 'operator', 'semoga', 'bahan', 'acuan']</t>
  </si>
  <si>
    <t>['kuota', 'mahal', 'jaringan', 'buruk', 'mentok', 'jaringan', 'bar', 'doang', 'telkomsel', 'aneh', 'tinggal', 'babat', 'kec', 'legok', 'kab', 'tangerang', 'ponpes', 'darussolah', 'mohon', 'perbaiki', 'secepatnya', '']</t>
  </si>
  <si>
    <t>['telkomsel', 'ambil', 'paket', 'darurat', 'pulsa', 'ambil', 'pulsa', 'parah', 'telkomsel', '']</t>
  </si>
  <si>
    <t>['jaringan', 'luas', 'sluruh', 'plosok', 'negeri', 'terima', 'kasih', 'telkomsel', 'teruslah', 'berkarya', 'berprestasi', 'dunia', '']</t>
  </si>
  <si>
    <t>['', 'telkomsel', 'mantaaap', 'direkomendasikan', 'teman', 'keluarga']</t>
  </si>
  <si>
    <t>['jaringan', 'internet', 'simpati', 'busuk', 'kecewa', 'bentar', 'bentar', 'jaringanya', 'mulu', 'maksudnya', 'kya', 'gini']</t>
  </si>
  <si>
    <t>['suda', 'beli', 'paket', 'combo', 'kwota', 'plus', 'paket', 'nelpon', 'menit', 'nelpon', 'pulsa', 'kepotong', 'tolong', 'ambil', 'pulsa', 'konsumen', 'kecewa', 'telkomsel', '']</t>
  </si>
  <si>
    <t>['', 'parah', 'banget', 'tertipu', 'paket', 'maxtream', 'beli', 'kuota', 'dpat', 'kuota', 'utama', 'maxtream', 'nyedot', 'kuota', 'utama', 'nonton', 'maxtream', 'iflix', 'tolong', 'kembalikan', 'kuota', 'utama', 'telkomsel']</t>
  </si>
  <si>
    <t>['mohon', 'maaf', 'pbk', 'ambil', 'keputusan', 'peminjaman', 'pulsa', 'darurat', '']</t>
  </si>
  <si>
    <t>['praktis', 'mudah', 'isi', 'paket', 'membantu', 'ribet', 'isi', 'pulsa', 'pilih', 'paket', 'langsung', 'done', 'sukses', '']</t>
  </si>
  <si>
    <t>['tips', 'telkomselnya', 'lag', 'bermain', 'game', 'pastikan', 'pakai', 'slot', 'simcard', 'pastikan', 'simcard', 'simcard', 'telkomsel', 'byu', 'campur', 'smartfren', 'pengalaman', 'lag', 'pakai', 'trik', 'tsb', 'alhamdulilah', 'lancar', 'promo', 'menarik', 'telkomsel', 'sharing', 'customer', '']</t>
  </si>
  <si>
    <t>['beli', 'paket', 'unlimited', 'gb', 'bln', 'rb', 'traveling', 'palembang', 'kecewa', 'berat', 'paket', 'dipake', 'nyesel', 'ane', 'beli', 'pelanggan', 'beli', 'paket', 'dipake', 'mb', 'mb', 'lansung', 'nge', 'leg', 'jalan', 'parah', 'sampe', 'nungguin', 'berjam', 'tetep', 'inet', 'jalan', 'loe', 'bayangin', 'coba', 'iklan', 'berhentinya', 'durasi', 'iklan', 'detik', 'woedan', 'tenan', 'sisa', 'paket', 'skrg', 'gb', 'diapain', 'coba', 'mending', 'notif', 'maaf', 'sisa', 'paket', 'sumbangkan', 'anak', 'yatim', '']</t>
  </si>
  <si>
    <t>['ribeet', 'log', 'simcard', 'aplikasi', 'telkomselnya', 'nambahin', 'nomer', 'log', 'log', 'log', 'nomer', 'aplikasi', 'telkomselnya', '']</t>
  </si>
  <si>
    <t>['berhenti', 'paket', 'kuota', 'belajar', 'sms', 'disuruh', 'lwt', 'aplikasi', 'aplikasinya', 'berhenti', 'paket', 'kuota', 'belajar', 'beli', 'tolong', 'perbaiki', 'beli', 'berhenti', 'aplikasi', 'cima', 'suruh', 'beli', 'untul', 'stop']</t>
  </si>
  <si>
    <t>['nomr', 'xcxx', 'ganti', 'nomr', 'telkomsel', 'dapet', 'hadiah', 'mobil', 'kayaknya', 'hadiahnya', 'hoax', '']</t>
  </si>
  <si>
    <t>['maaf', 'telkomsel', 'bintang', 'turunin', 'kecewa', 'customer', 'service', 'menelpon', 'tgl', 'agustus', 'menawarkan', 'untk', 'beralih', 'kartu', 'halo', 'blng', 'nyaman', 'kartu', 'skg', 'customer', 'service', 'nada', 'menjwb', 'memutus', 'telepon', 'pdhal', 'percakapan', 'blm', 'selesai', 'ditraining', 'dlu', 'untk', 'jdi', 'customer', 'service', 'telkomsel', 'masukan', 'untk', 'management', 'telkomsel', 'selektif', 'lgi', 'memilih', 'karyawan', '']</t>
  </si>
  <si>
    <t>['vivo', 'menginstal', 'aplikasi', 'malas', 'pakai', 'telkomsel']</t>
  </si>
  <si>
    <t>['aplikasi', 'uda', 'tukar', 'poin', 'pulsa', 'mohon', 'infonya']</t>
  </si>
  <si>
    <t>['knp', 'android', 'lolipop', 'mendukung', 'repot', 'beli', 'paket', 'data', 'menu', 'paket', 'favorite', 'dihilangkan', 'knp', 'pdhl', 'mempermudah', 'pencarian', 'paket', 'sesuai', 'uninstall', '']</t>
  </si>
  <si>
    <t>['daerah', 'telkomsel', 'jelek', 'sinyalnya', 'luplep', 'sebagus', 'full', 'sinyalnya', 'garis', '']</t>
  </si>
  <si>
    <t>['apk', 'bagus', 'banget', 'liat', 'emang', 'bener']</t>
  </si>
  <si>
    <t>['ngasih', 'bintang', 'telkomsel', 'dak', 'udalh', 'mahal', 'jaringan', 'jelek', 'pulak', 'hate', 'telkomsel', 'just', 'delete', 'from', 'indonesia', 'don', 'know', 'myself']</t>
  </si>
  <si>
    <t>['potongan', 'pulsa', 'hilang', 'mengalami', 'burik', '']</t>
  </si>
  <si>
    <t>['payahhh', 'dipersusah', 'login', 'udah', 'ditekan', 'magic', 'link', 'masuk', 'link', 'kadaluarsa', 'masuk', 'sms', 'udah', 'keep', 'logged', 'disuruh', 'login', 'ribet']</t>
  </si>
  <si>
    <t>['puas', 'banget', 'pakai', 'apl', 'telkomsel', 'mudah', 'pilihan', 'paketnya', 'menarik', 'check', 'diklaim', 'kuota', 'diskon', '']</t>
  </si>
  <si>
    <t>['paket', 'mahal', 'signal', 'jelek', 'banget', 'sesuai', 'harganya', 'tolonglah', 'diperbaiki', 'pelanggan', 'setia', 'telkomsel', 'sabar', 'pindah', 'tetangga', 'sebelah', 'lokasi', 'desa', 'sarimulya', 'kec', 'junuhan', 'ilir', 'kab', 'bungo', 'tolong', 'dipantau', 'telkomsel', '']</t>
  </si>
  <si>
    <t>['puas', 'telkomsel', 'poin', 'transparan', 'berhak', 'hadiah']</t>
  </si>
  <si>
    <t>['teleponan', 'sich', 'oke', 'koneksi', 'internetnya', 'didaerah', 'oke', 'kuotanya', 'cepat', 'abis', '']</t>
  </si>
  <si>
    <t>['telkomsel', 'dihati', 'pelayanan', 'pengguna', 'kartu', 'telkomsel', '']</t>
  </si>
  <si>
    <t>['kali', 'telkomcel', 'bagus', 'menurun', 'kualitas', 'sinyal', 'pengguna', 'kecewa', 'kekuatan', 'sinyal', 'telkomcel', 'lemah', 'kerja', 'strip', 'bar', 'sinyal', 'susah', 'pakai', 'loading', 'titik', 'lancar', 'stay', 'titik', 'kawan', 'kawan', 'pakai', 'telkomcell', 'mohon', 'tingkatkan', 'kualitas', 'signalnya', '']</t>
  </si>
  <si>
    <t>['sinyal', 'ter', 'ampas', 'buruk', 'kualitas', 'burukkkkkkkkkkkkkk', 'harga', 'mahal', 'sesuai', 'kualitas', 'jaringan', 'dasar', 'sinyal', 'bbi', 'sampah']</t>
  </si>
  <si>
    <t>['mudah', 'gampang', 'pembelian', 'koata', 'harga', 'terjangkau', 'pemakaian', 'sebln', '']</t>
  </si>
  <si>
    <t>['kecewa', 'gangguan', 'jaringan', 'kartu', 'pakek', 'kerja', 'jalanan', 'susah', 'berkomunimasi', 'orang', 'harap', 'kedepan', 'telkom', 'bagus']</t>
  </si>
  <si>
    <t>['aplikasinya', 'ribet', 'hemm', 'btw', 'pengguna', 'telkomsel', 'bingung', 'ngga', 'udh', 'beli', 'pulsa', 'kuota', 'pulsanya', 'dipotong', 'pengen', 'tetep', 'internet', 'gada', 'kuota', '']</t>
  </si>
  <si>
    <t>['hidupkan', 'data', 'seluler', 'nyampe', 'menit', 'top', 'pulsa', 'rb', 'melayang', 'udah', 'mahal', 'jaringan', 'stabil', 'tggalnya', 'kota', 'tolong', 'perbaiki', 'pelayanannya', 'udah', 'bnyak', 'komplain', '']</t>
  </si>
  <si>
    <t>['sinyal', 'telkomsel', 'jelek', 'ditingkatkan', 'kualitas', 'pelayanannya', '']</t>
  </si>
  <si>
    <t>['kemaren', 'paket', 'rb', 'gb', 'rb', 'kecewa', 'banget', 'lohh', 'kartu', 'gua', 'udah', 'tahunn', 'mohon', 'bantuannya', 'dear', 'developer']</t>
  </si>
  <si>
    <t>['telkomsel', 'ngelag', 'banget', 'main', 'game', 'nyaman', 'udah', 'tolong', 'perbaiki', 'performa', 'sinyal', 'lancar', 'banget', '']</t>
  </si>
  <si>
    <t>['bahaya', 'banget', 'program', 'recycle', 'trus', 'jual', 'ulang', 'karna', 'data', 'terimoan', 'berisi', 'sms', 'bangkinang', 'paypal', 'google', 'byang', 'berisikan', 'uang', 'bahaya', 'sampendi', 'tangan', 'salah', '']</t>
  </si>
  <si>
    <t>['bagus', 'mahal', 'paket', 'multi', 'medianya', 'kepakai', 'tetep', 'sedot', 'paket', 'internet', '']</t>
  </si>
  <si>
    <t>['sekelas', 'telkomsel', 'aplikasinya', 'buruk', 'sulit', 'login', 'buka', 'aplikasi', 'update', 'pulsa', 'kuota', 'muncul', '']</t>
  </si>
  <si>
    <t>['tolong', 'adain', 'tukar', 'poin', 'voucher', 'game', 'mobile', 'legend', 'sekian', 'terima', 'kasih', 'adakan', 'penukaran', 'voucher', 'game', 'mobile', 'legend']</t>
  </si>
  <si>
    <t>['combo', 'saktinya', 'simpati', 'loop', 'suka', 'ngilang', 'ngilang', 'ilang', 'stop', 'telkomsel', 'udah', 'ganti', 'kartu', 'kali', 'gara', 'gara', 'combo', 'sakti', 'ngilang', 'ngilang', 'combo', 'sakti', 'harga', '']</t>
  </si>
  <si>
    <t>['banget', 'pulsa', 'berkurang', 'drastis', 'pas', 'cek', 'pemakian', 'biaya', 'internat', 'sekian', 'sekian', 'kuota', 'internet', 'pulsa', 'ambil', '']</t>
  </si>
  <si>
    <t>['knp', 'skrng', 'udh', 'klik', 'beli', 'masuk', 'smpai', 'klik', 'brp', 'kali', 'sllu', 'proses', 'mang', 'promo', 'jangn', 'tampilkan', 'beli', 'sma', 'pehape']</t>
  </si>
  <si>
    <t>['aplikasi', 'suka', 'error', 'layar', 'gelap', 'muncul', 'tulisan', 'aplikasi', 'google', 'terhenti', 'aneh']</t>
  </si>
  <si>
    <t>['telkomsel', 'jaringanya', 'burik', 'serasa', 'kayak', 'edge']</t>
  </si>
  <si>
    <t>['kemudahan', 'membeli', 'paket', 'informasih', 'lengkap', 'suara', 'telp', 'jernih', 'terima', 'kasih', 'telkomsel', 'sukses']</t>
  </si>
  <si>
    <t>['hadiah', 'menukarkan', 'poin', 'semoga', 'beruntung']</t>
  </si>
  <si>
    <t>['aplikasi', 'perusak', 'sial', 'ngehang', 'mulu', 'buka', 'aplikasi', 'aneh', '']</t>
  </si>
  <si>
    <t>['buruk', 'jaringan', 'bar', 'jaringan', 'reconnect', 'menghubungkan', 'jarang', 'gini', 'banget', 'tolonglah', 'harga', 'kuota', 'mahal', 'indonesia', 'provider', 'sinyal', 'stabil', 'kyk', 'gini', '']</t>
  </si>
  <si>
    <t>['puas', 'banget', 'telkomsel', 'dri', 'smpai', 'msi', 'suka', 'beli', 'paket', 'murah', 'banget', '']</t>
  </si>
  <si>
    <t>['blank', 'putih', 'doank', 'uninstall', 'install', 'buka', 'huft', 'cuman', 'problem', 'kenpa', '']</t>
  </si>
  <si>
    <t>['telkomsel', 'bedakan', 'pulsa', 'internet', 'pulsa', 'telepon', 'isi', 'kuota', 'touch', 'data', 'sengaja', 'sengaja', 'pulsa', 'ribu', 'sekejap', 'pulsa', 'telepon', 'teralihkan', 'biaya', 'internet', 'telkomsel', '']</t>
  </si>
  <si>
    <t>['aplikasi', 'bagus', 'banget', 'ngapa', 'liat', 'liat', 'diomongin', 'aplikasinya', 'bagus', 'huhuhuhuhuhuhuhuhihuhu']</t>
  </si>
  <si>
    <t>['hadiah', 'berguna', 'menyuruh', 'membeli', 'produk']</t>
  </si>
  <si>
    <t>['tolong', 'penjelasannya', 'kuota', 'extra', 'unlimitedmax', 'tanggal', 'agustus', 'tanggal', 'agustus', 'kemana', 'paket', 'uda', 'langganan', 'telkomsel', 'bertahun', 'kejadian', 'aneh', 'tolong', 'respon', 'terimakasih']</t>
  </si>
  <si>
    <t>['sumpaah', 'telkomsel', 'jaringannya', 'parahh', 'hancurrr', 'ngegame', 'ngelaag', 'teruss', 'paket', 'harganya', 'mahal', 'beralih', 'kertu', 'laen', 'sumpahhh', 'skrg', 'telkomsel', 'sampah', '']</t>
  </si>
  <si>
    <t>['gila', 'telkomsel', 'paket', 'data', 'mahal', 'otw', 'pindah', 'toko', 'sebelah', 'mah', 'godbye', 'paket', 'telkom']</t>
  </si>
  <si>
    <t>['jaringannya', 'jelek', 'stabil', 'kadang', 'lancar', 'mendominasi', 'stabilnya', 'youtube', 'lancar', 'buka', 'aplikasi', 'lambat', 'buka', 'aplikasi', 'telkomsel', 'lambat', 'pakai', 'kuota', 'telkomsel', 'telkomsel', 'buruk', 'paketnya', 'dimahalin', 'performa', 'menurun', 'main', 'game', 'online', 'drop', 'fps', 'diarea', 'denpasar', 'enak', 'taun', 'parah', 'pengguna', 'nyaman', 'dikampung', 'lumajang', 'desa', 'jatigono', 'internet', 'telkomsel']</t>
  </si>
  <si>
    <t>['helo', 'telkomsel', 'jaringan', 'telkomsel', 'tamba', 'buruk', 'mohon', 'perbaiki', 'sistim', 'jaringan', 'kususnya', 'sulawesi']</t>
  </si>
  <si>
    <t>['hadia', 'bener', 'kasih', 'bintang', '']</t>
  </si>
  <si>
    <t>['mengecewakan', 'wilayah', 'sumut', 'padam', 'listrik', 'sinyal', 'telkomsel', 'hilang', 'delay', 'timbul', 'sinyalnya', 'sangaaatt', 'berbeda', 'provider', 'kartu', 'ukuran', 'harga', 'paket', 'internet', 'mahal', 'telkomsel', 'mengecewakan', '']</t>
  </si>
  <si>
    <t>['tolong', 'dibenahi', 'jaringan', 'stabil', 'main', 'game', 'kualitas', 'tolong', 'benahi', 'paket', 'mahal', 'jaringan', 'lelet', 'seimbang', '']</t>
  </si>
  <si>
    <t>['menyesal', 'pindahkan', 'kartu', 'halo', 'nelp', 'seluler', 'terbatas', 'pokokny', 'kartuhalo', 'biaya', 'gede', 'ngejebak', 'pokok', '']</t>
  </si>
  <si>
    <t>['fix', 'malak', 'ngapain', 'pas', 'buka', 'aplikasi', 'kek', 'download', 'kecepatan', 'internet', 'mb', 'paket', 'data', 'habis', 'licik', 'telkontol', 'untung', 'jaringan', 'bagus', 'laen', 'stabil', 'udah', 'cabut', 'ganti', 'laen', '']</t>
  </si>
  <si>
    <t>['woy', 'isi', 'pulsa', 'niatnya', 'paketin', 'swadaya', 'gojek', 'masuk', 'kelangganan', 'gb', 'langsung', 'dpotong', 'aktif', 'cuman', 'gitu', 'langganan', 'daftarkan', 'paket', 'gitu', 'emosi', 'nyari', 'duit', 'gampang', 'gila', 'simpati', 'udah', 'kalinya', 'gag', 'simpati', '']</t>
  </si>
  <si>
    <t>['bintang', 'dlu', 'bagus', 'hadiah', 'poin', 'dikasih', 'bintang', 'full']</t>
  </si>
  <si>
    <t>['membeli', 'paket', 'internet', 'wallet', 'kecewa', '']</t>
  </si>
  <si>
    <t>['tolong', 'telkomsel', 'sinyalnya', 'perbaiki', 'kecewa', 'banget', 'kali', 'pakai', 'kartu', 'perdana', 'kesini', 'stegah', 'perubahan', 'niat', 'mohon', 'tutup', 'merugikan', 'orang', 'beli', 'paket', 'mahal', 'mahal', 'sinyalnya', 'paketnya', 'borosnya', 'ngotak']</t>
  </si>
  <si>
    <t>['provider', 'mantep', 'pokoknya', 'jaringan', 'kacau', 'harga', 'mahal', 'sesuai', 'pelayanan', 'mudah', 'mudahan', 'bangkrut', 'ngecewain', 'doang']</t>
  </si>
  <si>
    <t>['komplain', 'ticket', 'dilayani', 'menggantung', 'ckckck']</t>
  </si>
  <si>
    <t>['bintangnya', 'tambahkan', 'karna', 'nyaman', 'ilang', 'pulsa', 'lumayan', 'bintang']</t>
  </si>
  <si>
    <t>['telkomsel', 'sinyal', 'ilang', 'tinggal', 'kota', 'sinyal', 'slalu', 'jelek', 'paket', 'internet', 'terusan', 'mahalin', 'payahhhhh', '']</t>
  </si>
  <si>
    <t>['masuk', 'langsung', 'aplikasi', 'yng', 'salah', 'peningkatan', 'versi', 'kali', '']</t>
  </si>
  <si>
    <t>['susah', 'sinyal', 'telkomsel', 'pulsa', 'terkuras', 'pemberitahuan', 'paket', 'darurat', 'diklaim', 'gagal', 'ditagih', 'aneh']</t>
  </si>
  <si>
    <t>['jujur', 'kesel', 'udh', 'bngt', 'gua', 'pulsa', 'gua', 'kepotong', 'paketan', 'aneh', 'pemberitahuan', 'sisa', 'paketan', 'tetep', 'dipotong', 'jahat', 'euy', 'nlpn', 'pulsa', 'mencukupi', 'udh', 'kepotong', 'paketan', 'ihh', 'gedeg', 'bngt', 'sumpah', 'kasar', 'pecuma', 'ngga', 'direspon', 'jahat', 'euy']</t>
  </si>
  <si>
    <t>['sinyalnya', 'ampuh', 'deh', 'jelek', 'banget', 'udh', 'kaya', 'sinyal', 'card', 'murahan', 'murah', 'gini', 'gini', 'banget', 'tolong', 'perbaiki', 'kali', 'yaa', 'mahal', 'gas', 'sinyal', 'bagus', 'parah', 'sumpah', '']</t>
  </si>
  <si>
    <t>['paket', 'internet', 'full', 'banyakan', 'paket', 'nonton', 'telkomsel', '']</t>
  </si>
  <si>
    <t>['jaringan', 'busuk', 'sesuai', 'paket', 'mahal', 'babi', '']</t>
  </si>
  <si>
    <t>['isi', 'pulsa', 'gagal', 'udh', 'sayacoba', 'kali', 'gagal', 'nomor', 'tenggangnya']</t>
  </si>
  <si>
    <t>['tagihan', 'slallu', 'narik', 'gojek', 'klu', 'dirumah', 'internet', 'ganti', 'telkomsel', 'ngak']</t>
  </si>
  <si>
    <t>['bersaing', 'rival', 'murah', 'dpt', 'kuota', 'tpi', 'kualitas', 'jaringan', 'internetmu', 'bosokkkkk', 'sekaliii', 'udah', 'deh', 'becandanya', 'telokomsel', 'owner', 'provider', 'bertaun', 'lohh', 'bru', 'mrsa', 'kecewa']</t>
  </si>
  <si>
    <t>['halo', 'developer', 'kayak', 'update', 'aplikasi', 'berguna', 'deh', 'instal', 'android', 'iphone', 'masuk', 'alias', 'bermasalah']</t>
  </si>
  <si>
    <t>['kuota', 'tinggal', 'cek', 'kuota', 'sinyalnya', 'susah', 'tinggal', 'tinggal', 'kecamatan', 'gtu', '']</t>
  </si>
  <si>
    <t>['suka', 'aplikasi', 'mempermudah', 'pembelian', 'paket', 'data', 'harganya', 'lumayan', 'terjangkau', 'terimakasih', 'mytelkomsel', '']</t>
  </si>
  <si>
    <t>['tower', 'telkomsel', 'roboh', 'sinyal', 'mbrebet', 'siput', '']</t>
  </si>
  <si>
    <t>['tolong', 'perbaiki', 'jaringannya', 'jelek', 'banget', 'bagus', 'tolong', 'perbaiki', 'secepatnya', '']</t>
  </si>
  <si>
    <t>['sinyal', 'mengecewakan', 'harga', 'semahal']</t>
  </si>
  <si>
    <t>['telkomsel', 'milik', 'indonesia', 'jaga', 'rahasia', 'pelanggan', 'biarkan', 'aset', 'bangsa', 'oknum', 'telkomsel', 'mencintai', 'merah', 'putih', 'nkri', '']</t>
  </si>
  <si>
    <t>['terpilih', 'kepala', 'desa', 'menyerengses', 'menyerengses', 'nye', 'reng', 'sarayakan', 'rakyat']</t>
  </si>
  <si>
    <t>['sinyal', 'telkomsel', 'bagus', 'memble', 'jelek', 'ampun', 'maen', 'game', 'lancar', 'leg']</t>
  </si>
  <si>
    <t>['telkomsel', 'maling', 'pulsa', 'pengguna', 'rb', 'ilang', 'ntah', 'kemana', 'nada', 'dering', 'aktif', 'stress', '']</t>
  </si>
  <si>
    <t>['hallo', 'telkomsel', 'ngisi', 'paket', 'gb', 'atur', 'pengguna', 'data', 'gb', 'peringatan', 'penggunaan', 'data', 'gb', 'sisa', 'gb', 'sisa', 'gb', 'telkomsel', '']</t>
  </si>
  <si>
    <t>['klw', 'paket', 'habis', 'auto', 'makan', 'pulsa', 'itungan', 'detik', 'pulsa', 'ludes', 'kecewa', 'berat', 'udah', 'jaringan', 'jelek', '']</t>
  </si>
  <si>
    <t>['pembaruan', 'transaksi', 'susah', 'proses', 'coba', 'trs', 'tetep', 'proses', 'masuk', 'kecewa', 'sengaja', 'bintang', 'kebaca', 'ulasan']</t>
  </si>
  <si>
    <t>['tolong', 'sinyalnya', 'perbaiki', 'sya', 'pengguna', 'telkomsel', 'tolong', 'perbaiki', 'lgi', 'bermain', 'game', 'online', 'kedepannya', '']</t>
  </si>
  <si>
    <t>['perhatian', 'telkomsell', 'mohon', 'paket', 'gamenya', 'jual', 'karna', 'jaringannya', 'jelek', 'beli', 'paket', 'gamenya', 'jaringanya', 'jelek', 'diamonya', 'mohon', 'jual', 'pelanggan', 'kecewa']</t>
  </si>
  <si>
    <t>['lupa', 'isi', 'pulsa', 'minggu', 'kartu', 'milik', 'orang', 'perasaan', 'tenggang', 'sebulanan', 'langsung', 'alih', 'kepemilikan', 'kartu', 'grapari', 'payah', 'emang', '']</t>
  </si>
  <si>
    <t>['tolong', 'perbaiki', 'pembelian', 'pemberitahuan', 'sistem', 'sibuk']</t>
  </si>
  <si>
    <t>['kasih', 'bintang', 'bagus', 'dikasih', 'bintang', 'ntar', 'puas', 'hhhe']</t>
  </si>
  <si>
    <t>['knp', 'pls', 'terpotong', 'padah', 'paket', 'ayau', 'dftr', 'appn', 'kartu', 'smunya', 'hangus', 'sia', 'teman', 'setia', 'telkomsel', 'kadang', 'trif', 'murah', 'brubah', 'mahal', 'apakh', 'kebijakn', 'telkomsel']</t>
  </si>
  <si>
    <t>['beli', 'paket', 'gagal', 'keterangan', 'saldo', 'mencukupi', 'aneh', 'sesuai', 'biaya', 'dikeluarkan', 'mahal', 'prioritas', 'system', 'setara', '']</t>
  </si>
  <si>
    <t>['kecewa', 'paket', 'internet', 'mahal', 'apk', 'paket', 'omg', 'udah', 'coba', 'perbaiki']</t>
  </si>
  <si>
    <t>['kuota', 'unilimited', 'multimedia', 'game', 'lemot', 'asw', 'ajg', 'loading', 'terooooosss', 'ampe', 'mampus']</t>
  </si>
  <si>
    <t>['paket', 'kali', 'pembelian', 'merugikan', 'memakai', 'salah', 'dipaket', 'gabungkan', 'kuota', 'utama', '']</t>
  </si>
  <si>
    <t>['sekedar', 'saran', 'kuota', 'unlimited', 'kecepatan', 'sesuay', 'tarif', 'minggu', 'kecepatan', 'kb', 'atw', 'ribu', 'kecepatan', 'kb', 'kaya', 'provider', 'sono', '']</t>
  </si>
  <si>
    <t>['buruk', 'aplikasi', 'ohh', 'iya', 'poin', 'telkomsel', 'mending', 'hilangkan', 'pelanggan', 'tukerin', 'promo', 'mahal', 'harganya', 'mending', 'gausah', 'poin', '']</t>
  </si>
  <si>
    <t>['maksudnya', 'abis', 'perbarui', 'kaga', 'login', 'tar', 'alesannya', 'suruh', 'hub', 'call', 'center', 'telkomsel', '']</t>
  </si>
  <si>
    <t>['bagus', 'pakek', 'banget', 'udah', 'bagus', '']</t>
  </si>
  <si>
    <t>['parahhhh', 'telkomsel', 'sinyal', 'email', 'catt', 'aplikasi', 'telkomsel', 'nyabung', 'rg', 'nanya', 'parahhhh', '']</t>
  </si>
  <si>
    <t>['tolong', 'penyedia', 'layanan', 'telkomsel', 'wilayah', 'negara', 'batin', 'kabupaten', 'way', 'kanan', 'lampung', 'udah', 'sinyal', 'update', 'susahnya', 'ampun']</t>
  </si>
  <si>
    <t>['telkomsel', 'knapa', 'lelet', 'cuman', 'doang', 'leletnya', 'seminggu', 'tetep', 'perbaikin', 'kualitas', 'jaringan', 'woi', 'kasih', 'bintang', 'kecewa']</t>
  </si>
  <si>
    <t>['kak', 'pulsa', 'ilang', 'pdhl', 'isi', 'pulsa', 'mohon', 'bantuannya', 'kak', 'kali', 'mohon', 'bantuannya']</t>
  </si>
  <si>
    <t>['paketan', 'nomor', 'mahal', 'pelanggan', 'ndak', 'benefit', 'aktip', 'kartu', 'thn', 'paketannya', 'mahal', 'ketimbang', 'internet', 'broadband']</t>
  </si>
  <si>
    <t>['aplikasi', 'mendukung', 'perangkat', 'oppo', 'beli', 'paket', 'internet', 'dibuka', 'app', 'knp', '']</t>
  </si>
  <si>
    <t>['setia', 'mahal', 'harga', 'paketnya', 'pindah', 'operator', '']</t>
  </si>
  <si>
    <t>['alhamdulillah', 'jaringannya', 'varian', 'paketnya', 'bersaing', 'provider', 'tetep', 'pilih', 'telkomsel', '']</t>
  </si>
  <si>
    <t>['tolong', 'buka', 'aplikasinya', 'data', 'pas', 'uangnya', 'beli', 'paket', 'mahal']</t>
  </si>
  <si>
    <t>['walahhh', 'login', 'muterr', 'muterr', 'mulu', 'gimana', 'aplikasi', 'telkomsel', 'kasih', 'saran', '']</t>
  </si>
  <si>
    <t>['sinyal', 'stabil', 'telpon', 'memakai', 'aplikasi', 'trus', 'trusan', 'menghubungkan', 'streaming', 'lelet', 'sinyal', 'stabil', 'maaf', 'telkomsel', 'tolong', 'perbaiki']</t>
  </si>
  <si>
    <t>['koreksi', 'sinyal', 'telkomsel', 'sulit', 'lemot', 'aaaahhhsudahlah', 'tolong', 'ente', 'berwenang', 'telkom', 'tolong', 'diperbaiki', '']</t>
  </si>
  <si>
    <t>['pulsa', 'dipotong', 'meminjam', 'paket', 'telkomsel', 'aktivasi', 'kartu', 'why', 'admin', 'jengkel', 'pulsa', 'dipotong', 'apapun']</t>
  </si>
  <si>
    <t>['beli', 'pulsa', 'apk', 'pulsanya', 'udah', 'masuk', 'pas', 'beli', 'paket', 'disney', 'pulsa', 'hilang', 'ribu', 'tolong', 'telkomsel', 'tolong', 'kembalikan', 'pulsa', '']</t>
  </si>
  <si>
    <t>['promo', 'fake', 'pas', 'dibuka', 'promo', 'tersedia', 'paket', 'internet', 'mahal', 'promo', 'kombo', 'sakti', 'tinggal', 'gb', 'komplain', 'grapari', 'membantu', 'karna', 'nomor', 'nomor', 'didaftarkan', 'kantor', 'udah', 'diganti', 'admin', 'telkomsel', 'tolong', 'kembalikan', 'promo', 'kombo', 'sakti', 'gb', 'terimakasih']</t>
  </si>
  <si>
    <t>['', 'mendukung', 'jaringan', 'menujukan', 'sinyal', 'kecepatan', 'jaringan', 'bagus', 'buruk', 'jarak', 'bts', 'berjarak', 'km', 'pekon', 'sumber', 'bandung', 'kecamatan', 'pagelaran', 'utara', 'kabupaten', 'pringsewu', 'provinsi', 'lampung', 'telkomsel', 'memperbaiki', 'jaringan', 'gadang', 'gadang', 'sinyal', 'lelet', '']</t>
  </si>
  <si>
    <t>['paket', 'doang', 'murah', 'stabilan', 'sinyal', 'kaga', 'butuh', 'stabilan', 'kecepatan', 'tolol', 'kau', 'setan', 'mamak', 'kau', 'dajjal', 'aplikasi', 'jelek', 'banget', 'sumpah', 'aplikasi', 'jelek', 'banget', '']</t>
  </si>
  <si>
    <t>['aplikasi', 'muncul', 'notifikasi', 'promo', 'promo', 'paket', 'internet', 'murah', 'pas', 'buka', 'promo', 'tersedia', 'gimana', 'maksudnya', 'paket', 'tersedia', 'harganya', 'pas', 'beli', 'hadehhhhhhhh', '']</t>
  </si>
  <si>
    <t>['beli', 'paketan', 'aktif', 'potong', 'udah', 'gitu', 'jaringan', 'pending', 'mulu']</t>
  </si>
  <si>
    <t>['install', 'masuk', 'akun', 'ribet', 'disuruh', 'verifikasi', 'via', 'sms', 'dikirim', 'smsnya', 'males', 'auto', 'uninstall', '']</t>
  </si>
  <si>
    <t>['aplikasi', 'bagus', 'membantu', 'memudahkan', 'pelanggan', 'telkomsel', 'terima', 'kasih']</t>
  </si>
  <si>
    <t>['aplikasi', 'lamban', 'menampilkan', 'menu', 'detail', 'keterangan', 'gangguan', 'sistem', 'tolonglah', 'perbaiki', 'optimalkan', 'aplikasi', 'menguras', 'data', 'internet', 'membuka', 'aplikasi', 'koneksi', 'dipaksa', 'mencapai', 'kecepatan', 'kb', 'aplikasi', 'lamban', 'merespon', 'loading', 'harga', 'kuota', 'mahal', 'kualitas', 'murahan', '']</t>
  </si>
  <si>
    <t>['kacau', 'kesini', 'sinyal', 'parah', 'ditambah', 'paketan', 'abis', 'dibabat', 'pulsa', 'regulernya', 'seburuk', 'itukan', 'simpati', 'skrng', 'next', 'paketan', 'provider', 'kali', '']</t>
  </si>
  <si>
    <t>['telkomsel', 'aplikasi', 'telkomsel', 'susah', 'buka', 'butuh', 'sinyal', 'sekuat']</t>
  </si>
  <si>
    <t>['aplikasi', 'bagus', 'paket', 'murah', 'pengguna', 'pakai', 'belajar', 'online']</t>
  </si>
  <si>
    <t>['buka', 'apk', 'mytsel', 'mendownload', 'data', 'game', 'bkn', 'sekedar', 'kb', 'sampe', 'mb', 'buka', 'beli', 'data', 'gb', 'buka', 'apk', 'habis', 'paket', 'data', 'maen', 'apk', '']</t>
  </si>
  <si>
    <t>['halo', 'min', 'tolong', 'bantu', 'paket', 'multimedia', 'membuka', 'zoom', 'tolon', 'bantuannya', 'min', '']</t>
  </si>
  <si>
    <t>['telkomsel', 'pulsa', 'sisa', 'kuota', 'ayolah', 'pulsa', 'sekolah', 'online', 'napa', 'kesedot', 'nangis', 'banget', 'pulsanya', 'hilang', 'pokoknya', 'ganti']</t>
  </si>
  <si>
    <t>['woi', 'paketan', 'gua', 'udah', 'nunggu', 'berjamjam', 'divlopernya', 'gimana', 'slow', 'respon', 'botnya', 'tolong', 'cepat', 'dikit', 'ngirm', 'tugas', '']</t>
  </si>
  <si>
    <t>['maaf', 'telkomsel', 'bintang', 'sinyal', 'jln', 'abdurrahman', 'saleh', 'kota', 'jambi', 'buruk', 'banget', 'internet', 'pusat', 'kota', 'jambi', 'terimakasih']</t>
  </si>
  <si>
    <t>['jaringan', 'telkomsel', 'bagus', 'pemeriksaan', 'jaringan', 'telkomsel', '']</t>
  </si>
  <si>
    <t>['lemot', 'harga', 'selangit', 'kenyamanan', 'konsumen', 'paket', 'multimedia', 'nge', 'zoom', 'tetep', 'macet', 'macet', 'beli', 'paket', 'utama', 'mulitmedianya', 'sisa', 'mubazir', 'ajg']</t>
  </si>
  <si>
    <t>['', 'jaringan', 'tingkat', 'paketnya', 'mahal', 'pelayanan', 'kaya', 'sampah', '']</t>
  </si>
  <si>
    <t>['perbaiki', 'jaringannya', 'pelanggan', 'nyaman', 'gangguan', 'harga', 'paketannya', 'mahal', 'pelayanannya', 'optimal']</t>
  </si>
  <si>
    <t>['tampilan', 'paketannya', 'beda', 'tampilan', 'paketan', 'harganya', 'lumayan', 'tpi', 'lbh', 'murah', 'tolong', 'cek', 'telkomsel', 'lbh', '']</t>
  </si>
  <si>
    <t>['buka', 'pakai', 'nomor', 'telkomsel', 'koq', 'trobel', 'nomer', 'isi', 'pulsa', 'ntar', 'nomer', 'dipakai', 'nomer', 'msh', 'mohon', 'diperbaiki', 'sistem', '']</t>
  </si>
  <si>
    <t>['bagus', 'pelayanan', 'buka', 'aplikasi', 'kebuka', 'buka', 'mahal', 'doang', 'pelayanan', 'berkurang', 'parah']</t>
  </si>
  <si>
    <t>['jaringan', 'telkomsel', 'parah', 'sya', 'berhenti', 'berlangganan', '']</t>
  </si>
  <si>
    <t>['', 'telkomsel', 'apk', 'mudah', 'kemudahan', 'pelanggan', 'transaksi', 'pembelian', 'paket', 'isi', 'pulsa', 'dll', 'mantap', 'telkomsel', 'jaya', '']</t>
  </si>
  <si>
    <t>['kian', 'beruba', 'kebijakan', 'telkomasel', 'dlu', 'daftar', 'harga', 'sekian', 'diubah', 'lagii', 'harganya', 'cobalah', 'kebijakan', 'pelanggan', 'setia', 'myy', 'telkomsel', 'kebutuhan', 'sehari', 'please', 'bantuin', 'pelanggan', 'telkomsel', 'kebijakannnya', 'seprti', '']</t>
  </si>
  <si>
    <t>['semoga', 'promo', 'telkomsel', 'pelanggan', 'telkomsel', 'udah', 'kali', '']</t>
  </si>
  <si>
    <t>['pulsa', 'berkurang', 'bintang', 'selesai']</t>
  </si>
  <si>
    <t>['beli', 'paket', 'puluhan', 'kali', 'muncul', 'pesanan', 'terkonfirmasi', 'paket', 'diaktifkan', 'org', 'terjebak', 'menyalakan', 'data', 'pulsa', 'langsung', 'habis', 'disedottt', 'dirty', 'trick', 'from', 'telkomsel', 'jago', 'beriklan', 'performance', 'nol', '']</t>
  </si>
  <si>
    <t>['bagus', 'membantu', 'pembelian', 'paket', 'data', 'murah', 'membeli', 'paket', 'data']</t>
  </si>
  <si>
    <t>['paket', 'mahal', 'mahal', 'jaringan', 'parah', 'banget', 'kaya', 'hidup', 'hutan', 'susah', 'jaringan', 'stabil', 'kalah', 'axis', '']</t>
  </si>
  <si>
    <t>['tolong', 'jaga', 'kwalitas', 'signal', 'signal', 'telkomsel', 'buruk', 'banget', 'malu', 'tetangga', 'sebelah', 'kalah', 'pemula', 'pemula', 'lokasi', 'wilayah', 'seputaran', 'landasan', 'ulin', 'utara', 'banjarbaru', '']</t>
  </si>
  <si>
    <t>['apk', 'jelek', 'beli', 'paket', 'combo', 'sakti', 'habis', 'kemaren', 'sisa', 'masi', 'gb', 'habis', 'pakai', 'apk', 'jelek', 'udh', 'ngabisin', 'uang', 'kaya', 'gini', 'ngerugiin', 'uninstal']</t>
  </si>
  <si>
    <t>['telkomsel', 'jaringan', 'down', 'pulsa', 'tersedot', 'pemakaian', 'data', 'pemakaian', 'data', 'kouta', 'ounya', 'hutang', 'dll', 'telkomsel', 'tersedot', 'kouta', 'pemakaian', 'data', 'trik', 'bug', 'telkomsel', 'mohon', 'merugikan', 'terimakasih', 'ceritanya', 'data', 'kondisi', 'nyala', 'sya', 'beli', 'pulsa', 'cek', 'pulsa', 'kesedot', 'gara', 'gara', 'pemakaian', 'data', 'aneh', 'kannnn', '']</t>
  </si>
  <si>
    <t>['upgrade', 'kartu', 'ilang', 'notifikasi', 'via', 'sms', 'menukar', 'poin', 'pdhal', 'menukarnya', 'cek', 'mytelkomsel', 'poin', 'abis', 'alias', 'kosong', 'qok', 'tolong', 'dioerbaiki', 'dibajak', '']</t>
  </si>
  <si>
    <t>['kemari', 'jaringannya', 'parah', 'yak', 'ikutan', 'pengaruh', 'pandemi', '']</t>
  </si>
  <si>
    <t>['', 'sinyalnya', 'mantul', 'okeh', 'mantabsss', 'josss', 'ganjossss', 'dapet', 'penawaran', 'paket', 'promo', 'untukmu', 'klik', 'promo', 'not', 'found', 'aneh', 'muncul', 'langsung', 'klik', 'langsung', 'not', 'found', 'dapet', 'program', 'undian', 'hepi', 'hepi', 'pdhal', 'udh', 'brpa', 'byk', 'poin', 'udh', 'tuker', 'curcol', 'mudah', 'masuknya', 'fans', 'negara', 'gitaris', 'slank', 'skrg', 'komisaris', 'perubahan', 'adil', 'bijak', 'dlm', 'menentukan', 'terpilih', 'pemenang', 'undian', 'sukses']</t>
  </si>
  <si>
    <t>['lgi', 'telkosel', 'sinyal', 'ngerjain', 'kek', 'nyasel', 'gua', 'unlimited', 'niat', 'gua', 'mah', 'gua', 'beli', 'kuota', 'suapaya', 'lancar', 'ehhh', 'mingu', 'mingu', 'jengkel', 'nyesel', 'gua', 'parah', 'tolong', 'bnerin', 'lgi', 'kcepatan', 'skrng', 'kebanyakn', 'kcewa', 'berat', 'aslii', 'pengen', 'nagis', 'gua', 'maen', 'pubg', 'kartu']</t>
  </si>
  <si>
    <t>['udah', 'isi', 'pulsa', 'beli', 'data', 'pulsa', 'mencukupi', 'kecewa', '']</t>
  </si>
  <si>
    <t>['comot', 'pulsa', 'udah', 'daftar', 'paket', 'data', 'telfon', 'mengesalkan', 'bangat', '']</t>
  </si>
  <si>
    <t>['telkomsel', 'mohon', 'mints', 'tolong', 'harga', 'paketannya', 'diturunkan', 'pandemi', 'pemasukan', 'terimakasih', '']</t>
  </si>
  <si>
    <t>['beli', 'paket', 'promo', 'berhasil', 'kuota', 'masuk', 'masuk', 'gimana', 'niat', 'ngasi', 'promo', 'ngpain', 'kasi']</t>
  </si>
  <si>
    <t>['telkomsel', 'pulsa', 'gua', 'diambil', 'gua', 'nggak', 'ngapa', 'ngapain', 'pulsa', 'gua', 'berkurang', 'pembelian', 'penukaran', 'telkomsel', 'mending', 'gua', 'kartu']</t>
  </si>
  <si>
    <t>['kasih', 'solusi', 'susah', 'isi', 'kuota', 'internet', 'pulsa', 'murah', 'mahal', 'smuanya']</t>
  </si>
  <si>
    <t>['ngga', 'otak', 'pagi', 'udah', 'kesel', 'udah', 'isi', 'pulsa', 'pas', 'ngetik', 'paket', 'pulsa', 'pulsa', 'rb', 'tolonglah', 'telkomsel', 'sombong', 'runtuh', 'provider', 'murah', 'berkualitas', 'udah', 'mahal', 'pelayanan', 'buruk', 'kecewa']</t>
  </si>
  <si>
    <t>['mantap', 'berkualitas', 'pakai', 'kartu', 'halo', 'terbantu', 'menikmati', 'banget']</t>
  </si>
  <si>
    <t>['', 'area', 'jatipandak', 'desa', 'jati', 'duwur', 'kec', 'kesamben', 'sinyal', 'kadang', 'terhenti', 'bagus']</t>
  </si>
  <si>
    <t>['login', 'lihat', 'saldo', 'pakai', 'pulsa', 'digratiskan', '']</t>
  </si>
  <si>
    <t>['terima', 'kasih', 'developer', 'telkomsel', 'smoga', 'sukses', 'maju', 'jemu', 'meluncur', 'konten', 'bermanfaat', 'bangsa', 'negara', '']</t>
  </si>
  <si>
    <t>['provider', 'serakah', 'paket', 'kuota', 'kebanyakan', 'dipisah', 'udah', 'banyaknya', 'kuota', 'utamanya', 'paket', 'darurat', 'bayar', 'kaya', 'provider', 'sebelah', 'gratis', 'dibatas', '']</t>
  </si>
  <si>
    <t>['provider', 'gangguan', 'kuota', 'fitur', 'telkomsel', 'apk', 'buka', 'beralih', 'provider']</t>
  </si>
  <si>
    <t>['telkomsel', 'pelanggan', 'setia', 'telkomsel', 'nyaman', 'telkomsel', 'kuota', 'unlimited', 'batasannya', 'menjahit', 'keuntungan', 'tolong', 'update', 'batasannya', 'promo', 'berlaku', 'kali', 'pemakaian', 'selebihnya', 'dihapus', 'digantikan', 'harga', 'mahal', 'kasihan', 'butuh', 'promo', 'tlg', 'banget', 'isi', 'pulsa', 'poin', 'telkomsel', 'bertambah', 'thx']</t>
  </si>
  <si>
    <t>['aktifasi', 'paket', 'internet', 'malam', 'sisa', 'pulsa', 'customer', 'tersisa', 'tolong', 'contoh', 'isi', 'pulsa', 'harga', 'paket', 'malam', 'sisa', 'pulsa', 'sisa', 'perusahaan', '']</t>
  </si>
  <si>
    <t>['smakin', 'smakin', 'dongkol', 'selamat', 'internet', 'aktif', 'menit', 'kmudian', 'pas', 'data', 'aktifin', 'pulsa', 'langsung', 'ilaaaaaang', 'ketipuuu', 'gwa']</t>
  </si>
  <si>
    <t>['komplain', 'detail', 'program', 'diputer', 'in', 'adjie', 'illfill', 'bukti', 'chat', 'smoga', 'tim', 'layanan', 'mendorong', 'ujung', 'tombaknya', 'sabar', 'solusi', 'bkn', 'mlh', 'genti', 'nyari', 'informasi', 'marak', 'penipuan', 'cross', 'check', 'bersangkutan', 'lgs', 'telkomsel', 'hoak', 'kena', 'tipu', 'mlh', 'diputer', 'jwbnya', 'mksh']</t>
  </si>
  <si>
    <t>['dear', 'telkomsel', 'membayar', 'paket', 'darurat', 'paket', 'darurat', 'memenuhi', 'kriteria', 'kecewa', 'tolong', 'perbaiki', 'pulsa', 'sia', 'sia', 'membayar', 'paket', 'darurat', '']</t>
  </si>
  <si>
    <t>['mahaaallll', 'paket', 'paket', 'kuota', 'mahal', 'alamat', 'pindah', 'provider', 'murah', '']</t>
  </si>
  <si>
    <t>['aplikasi', 'aneh', 'pulsa', 'beli', 'kuota', 'ttp', 'gabisa', 'beli', '']</t>
  </si>
  <si>
    <t>['sms', 'kode', 'voucher', 'udh', 'kejelasan', 'niat', 'mending', 'apus', 'paket', 'games', 'max', '']</t>
  </si>
  <si>
    <t>['update', 'ngk', 'beli', 'paket', 'saldo', 'link', 'ribet', 'trus', 'sinya', 'parah', 'lelet', 'wilayah', 'sumbar', 'gmna', 'telkomsel']</t>
  </si>
  <si>
    <t>['', 'pakai', 'telkom', 'bro', 'pengalaman', 'makai', 'telkom', 'bagus', 'harga', 'paket', 'internet', 'terbilang', 'normal', 'sinyal', 'kencang', 'harga', 'kuota', 'mahal', 'sinyal', 'ampas', 'telkom', 'peduli', 'kepuasan', 'pelanggan', 'main', 'mobile', 'legends', 'sinyal', 'bagus', 'pakai', 'telkomsel', 'rekonek', 'hilang', 'sinyal', 'tolong', 'diperbaiki']</t>
  </si>
  <si>
    <t>['susah', 'buka', 'aplikasinya', 'lemot', 'banget', 'kuota', 'utama', 'gb', 'make', 'halo']</t>
  </si>
  <si>
    <t>['telkomsel', 'jaringan', 'luas', 'sinyal', 'kuat', 'telkomsel']</t>
  </si>
  <si>
    <t>['kali', 'laporan', 'tindakan', 'barengan', 'wunut', 'kec', 'tulung', 'kab', 'klaten', 'jawa', 'indonesia', 'sinyal', 'jelek', 'tower', 'komen', 'telkomsel', 'pekerja', 'karyawan', 'auto', 'clik', 'komen', 'tindakan', '']</t>
  </si>
  <si>
    <t>['bagus', 'mohon', 'tingkatkan', 'layanan', 'wilayah', 'indonesia', 'timur']</t>
  </si>
  <si>
    <t>['gua', 'saranin', 'beli', 'paket', 'telkomsel', 'mending', 'gua', 'ketipu', 'beli', 'telkomsel', 'paketan', 'goib', 'emang', 'internetan', 'kuota', 'fungsi', 'cek', 'terdaftar', 'pulsa', 'ambil', 'gua', 'saranin', 'beli', 'telkomsel', '']</t>
  </si>
  <si>
    <t>['telkomsel', 'mania', 'pakai', 'nomor', 'dilanjutkan', 'kartu', 'halo', 'istri', 'ketinggalan', 'kartu', 'simpati', 'reward', '']</t>
  </si>
  <si>
    <t>['hoax', 'udah', 'download', 'dapet', 'pulsa', 'rb', 'dapet', 'hasilnya', '']</t>
  </si>
  <si>
    <t>['punten', 'lock', 'ngunci', 'pulsanya', 'dikhawatirkan', 'tercabut', 'kuota', 'habis', 'pulsa', 'bedanya', 'aplikasi', 'lock', 'kah', 'terimakasih', 'mohon', 'tanggapannya', '']</t>
  </si>
  <si>
    <t>['layanan', 'kualitas', 'sinyal', 'perkampungan', 'perbaiki', 'mati', 'listrik', 'sinnyal', 'mati', 'hilang', 'listrik', 'nyala', 'mending', 'sinyalnya', 'langsung', 'nunggu', 'loading', 'menit', 'sinyalnya', 'udah', 'dpt', 'sinyalnya', 'listrik', 'mati', 'hilang', 'sinyalnya', 'kerjaan', 'nunggu', 'nunggu', 'sinyal']</t>
  </si>
  <si>
    <t>['min', 'abis', 'paket', 'pulsa', 'ambil', 'mulu', 'ngak', 'fitur', 'abis', 'paket', 'pulsa', 'ngak', 'ambil', 'kali', 'keseringan', 'beli', 'paket', 'beli', 'pulsa', 'rugi', 'min', 'untung', 'telkomsel', 'apalgi', 'jaringan', 'suka', 'lag', 'lag', 'ngak']</t>
  </si>
  <si>
    <t>['update', 'teros', 'lemot', 'bosqu', 'kecewa', '']</t>
  </si>
  <si>
    <t>['dikit', 'dikit', 'kuota', 'habis', 'pulsa', 'lansung', 'ilang', 'habis', 'isi', 'pulsa', 'trus', 'kuota', 'habis', 'pas', 'pengen', 'paketin', 'pulsa', 'kena', 'mental', 'dahlah', 'ganti', 'kartu']</t>
  </si>
  <si>
    <t>['tolong', 'koneksi', 'internet', 'percepat', 'masak', 'data', 'internet', 'mahal', 'lemot', 'sinyal', 'full', 'koneksi', 'lotoy']</t>
  </si>
  <si>
    <t>['tingkatkan', 'kualitas', 'jaringan', 'harga', 'nggk', 'sesuai', 'kualitas', 'kecewa', 'udah', 'harga', 'paket', 'mahal', 'jaringan', 'bagus', 'lbih', 'bagus', 'kartu']</t>
  </si>
  <si>
    <t>['internet', 'kartu', 'halo', 'down', 'pdhl', 'stiap', 'online', 'jam', 'dimana', 'prioritasnya', 'pelanggan', 'halo', '']</t>
  </si>
  <si>
    <t>['lemot', 'disiang', 'kadang', 'sinyal', 'hilang', 'orderan', 'kelewat', 'akibat', 'sinyal', 'kadang', 'kadang', 'nggk', 'kesel', 'ama', 'tong', 'udh', 'bbrapa', 'telkomsel', 'lemotnya', 'kesel', 'tong', 'ama', '']</t>
  </si>
  <si>
    <t>['sulit', 'transaksinya', 'kode', 'otp', 'masuk', 'berkali', 'harga', 'paket', 'mahal', 'rekomendit', 'blas', 'terbaru', 'uplikasi', 'berhenti', 'transaksi', 'belipaket', '']</t>
  </si>
  <si>
    <t>['kanepa', 'telkomsel', 'lelet', 'paket', 'tpi', 'lelet', 'pas', 'hujan', '']</t>
  </si>
  <si>
    <t>['maaf', 'gimana', 'siknyal', 'telkomsel', 'trus', 'siknyal', 'telkomsel', 'luas', 'bagus', 'saran', 'kasi', 'baguslah', 'koneksi', 'siknyal', 'terimakasih', '']</t>
  </si>
  <si>
    <t>['hoy', 'sistemnya', 'merugikan', 'isi', 'pulsa', 'maketin', 'kepotong', 'paketnya', 'mahal', 'kepotongnya', 'udah', 'matiin', 'datanya', 'pulsanya', 'kesedot', 'huuu']</t>
  </si>
  <si>
    <t>['berubah', 'ubah', 'kak', 'sinyalnya', 'kadang', 'kadang', 'kadang', 'suka', 'kesel', 'udah', 'beli', 'mahal', 'sinyalnya', 'turun', 'kagak', 'mohon', 'diperbaiki', 'kak']</t>
  </si>
  <si>
    <t>['', 'desa', 'biting', 'badegan', 'ponorogo', 'jawa', 'timur', 'wisata', 'bernama', 'bukit', 'suharto', 'pengunjung', 'ppkm', 'sinyal', 'telkomsel', 'sayang', '']</t>
  </si>
  <si>
    <t>['kuota', 'keluarga', 'muncul', 'cek', 'muncul', 'kuota', 'pakai', 'keluarga', 'pakai', 'telkomsel', 'istri', 'kuota', 'keluarga', 'dihapus', '']</t>
  </si>
  <si>
    <t>['harga', 'paket', 'tolong', 'kondisikan', 'pandemi', 'mending', 'gua', 'pindah', 'provider', 'siknal', 'sampah', 'eror', 'mulu', 'kambing', 'aplikasinya', 'buka']</t>
  </si>
  <si>
    <t>['memudahkan', 'pelanggan', 'paket', 'ditawarkan', 'menarik', 'murah', 'banget']</t>
  </si>
  <si>
    <t>['beli', 'paket', 'ceria', 'menu', 'dial', 'aplikasi', 'telkomsel', 'suruh', 'nunggu', 'jam', 'besoknya', 'coba', 'hmm', 'nunggu', 'promo', 'hilang', 'gmn', '']</t>
  </si>
  <si>
    <t>['tolong', 'perbaikan', 'kesinie', 'bagus', 'jaringannya', 'buruk', 'semalam', 'daftar', 'paket', 'data', 'bru', 'dipake', 'maen', 'gems', 'chat', 'whatsapp', 'lemotnya', 'maen', 'gambar', 'jam', 'melulu', 'capek', 'awak', 'tolong', 'perbaikan', 'gan', 'awak', 'pembaruan', 'buruk', '']</t>
  </si>
  <si>
    <t>['bermasalah', 'aplikasi', 'play', 'store', 'mengedit', 'komentar', 'kosong', 'balasan', 'review']</t>
  </si>
  <si>
    <t>['bener', 'gitu', 'banget', 'hilang', 'jaringan', 'entar', 'mending', 'kuota', 'beli', 'harga', 'terjangkau', 'mahal', 'banget', 'ngerampok', 'gini']</t>
  </si>
  <si>
    <t>['jaringan', 'internet', 'telkomsel', 'kaya', 'babi', 'pindah', 'bagus']</t>
  </si>
  <si>
    <t>['telkomsel', 'korupsi', 'ape', 'gimana', 'gini', 'beli', 'paket', 'gb', 'rb', 'mnt', 'sms', 'tlkomsel', 'sya', 'beli', 'isi', 'plsa', 'rb', 'beli', 'sisa', 'plsa', 'sisa', 'rb', 'pke', 'telpn', 'tlkmsel', 'tpi', 'kesedot', 'plsanya', 'mnt', 'telpn', 'njirr', 'tlong', 'ysel', 'perbaiki', 'bug', 'update', 'apk', 'perubahan', 'mending', 'perbaikin', 'kejadian', 'customer', 'puas']</t>
  </si>
  <si>
    <t>['menang', 'bertahun', 'memakai', 'telkomsel', 'harap', 'menang', 'telkom', '']</t>
  </si>
  <si>
    <t>['terimakasih', 'telkomsel', 'jaringan', 'kau', 'daerah', 'perluas', 'jaringan', 'daerah', 'iya', 'berkat', 'jaringan', 'pensiun', 'ganti', '']</t>
  </si>
  <si>
    <t>['login', 'pulsa', 'gratis', 'gunanya', 'aktif', 'sehari', 'nelpon', 'paket', 'internet', 'kuota', 'lipservice', 'telkomsel', '']</t>
  </si>
  <si>
    <t>['heran', 'kali', 'masuk', 'sms', 'pinjaman', 'online', 'nama', 'sms', 'masuk', 'mohon', 'telkomsel', 'ditingkatkan', 'kualitas', 'pengamanan', 'data', 'pelanggan', 'jaringan', 'telkomsel', 'the', 'best']</t>
  </si>
  <si>
    <t>['segi', 'jaringan', 'kenceng', 'bet', 'usahain', 'harga', 'paket', 'bersahabat']</t>
  </si>
  <si>
    <t>['admin', 'beli', 'paket', 'gamesmax', 'list', 'game', 'mlbb', 'line', 'lets', 'get', 'rich', 'pas', 'main', 'lets', 'get', 'rich', 'masuk', 'mlbb', 'reconect', 'tolong', 'perbaiki', 'kasian', 'pembeli', 'beli', 'kuota', 'gamesmax', 'digunain', 'main', 'mending', 'list', 'game', 'nggk', 'main', 'tipu', 'pembeli', '']</t>
  </si>
  <si>
    <t>['telkomsel', 'potong', 'pulsanya', 'ngapa', 'in', 'daftar', 'ringtone', 'kepotong', 'tlpon', 'gratisan', 'trus', 'paket', 'data', 'pas', 'cek', 'pulsa', 'dipotong', 'telkomsel', 'pemberitahuan', 'skli', 'komplain', 'kemana', '']</t>
  </si>
  <si>
    <t>['tingkatkan', 'sinyal', 'sinyal', 'lemot', 'banget', 'nganjuk', 'surabaya', 'tuban', '']</t>
  </si>
  <si>
    <t>['tukar', 'poin', 'paket', 'internet', 'pulsa', 'rugi', 'kumpulkan', 'poin', 'tukar', 'harapkan', 'sistem', 'penukaran', 'poin', 'paket', 'internet', 'gb', 'pulsa', 'poin', 'tukar', 'setuju', 'like']</t>
  </si>
  <si>
    <t>['semoga', 'undian', 'sepecial', 'motor', 'honda', 'beat', 'kali', 'bergabung', 'telkomsel', 'semoga', 'telkomsel', 'masyarakat', 'nusantara', '']</t>
  </si>
  <si>
    <t>['bencii', 'ama', 'telkomsel', 'pulsa', 'habiss', 'makek', 'pulsa', 'izin', 'napa', 'keseel', 'gue', 'elaahh', 'paket', 'mahal', 'banget', 'paket', 'belajar', 'buka', 'google', 'classroom', 'hasilnya', 'bisaa', 'udah', 'bhayy', 'telkomsel', 'pindah', 'axis', 'murah', 'berkualitas', 'udah', 'wee', 'make', 'telkomsel', 'telkomselnya', 'rugi', 'mahalin', 'ama', '']</t>
  </si>
  <si>
    <t>['telkomsel', 'tolonglah', 'tukar', 'poin', 'paket', 'internet', 'gandeng', 'pulsa', 'rugi', 'kumpulkan', 'poin', 'redeem', 'paket', 'internet', 'pulsa', 'gb', 'poin', 'enak', 'telkomsel', 'tukar', 'poin', 'paket', 'gratisan', '']</t>
  </si>
  <si>
    <t>['knp', 'paket', 'unlimited', 'boros', 'bangtt', 'min', 'engga', 'beli', 'kemaren', 'ehh', 'abis', 'ampunn', 'gimna', 'tolong', 'kartu', 'telkom', 'versi', '']</t>
  </si>
  <si>
    <t>['jaringan', 'jelek', 'suruh', 'perbaiki', 'menerka', 'ngga', 'perbaiki', 'alasan', 'komplen', 'ngga', 'perubahan', 'yuman', 'muter', 'harga', 'mahal', 'kualitas', 'jaringan', 'buruk', 'kah', 'telkomsel']</t>
  </si>
  <si>
    <t>['mohon', 'diperbaiki', 'jaringan', 'daerah', 'tepatnya', 'kerinci', 'provinsi', 'jambi', 'orang', 'beralih', 'kartu', 'jaringan', 'stabil', 'kadang', 'hilang', 'kadang', 'kadang', 'darurat', 'udah', 'beli', 'paketnya', 'mahal', 'terkendala', 'jaringan', '']</t>
  </si>
  <si>
    <t>['telkomsel', 'merugikan', 'data', 'habis', 'lgsg', 'nyedot', 'pulsa', 'provider', 'pemberitahuan', 'abis', 'nyambung', 'isi', 'ulang', 'bye', 'mundur', 'provider', 'kualitasnya', 'abis', 'ganti', 'provider', '']</t>
  </si>
  <si>
    <t>['parah', 'sisa', 'pulsa', 'gua', 'diambil', 'paket', 'data', 'tlp', 'aktif', 'nggak', 'make', 'pulsa', 'aneh', 'pikah', 'telkomsel', 'banget', 'ngambil', 'pulsa', 'gua', 'konfirmasi', 'heran']</t>
  </si>
  <si>
    <t>['bagus', 'dapet', 'pulsa', 'rb', 'habis', 'download', 'aplikasi']</t>
  </si>
  <si>
    <t>['permasalahn', 'pemakaian', 'data', 'aplikasi', 'membuka', 'aplikasi', 'telkomsel', 'data', 'langsung', 'keambil', '']</t>
  </si>
  <si>
    <t>['asli', 'upgrade', 'jelek', 'gampang', 'trus', 'sinyal', 'ilang', 'masuk', 'aplikasinya', 'tolong', 'perbaiki', 'sistem', 'mengganggu']</t>
  </si>
  <si>
    <t>['perubahan', 'kecepatan', 'jaringannya', 'enak', '']</t>
  </si>
  <si>
    <t>['deskripsikan', 'pengalaman', 'pengguna', 'kartu', 'halo', 'unlimited', 'jaringan', 'buruk', 'proritas', 'unlimited', 'berguna', 'paket', 'internet', 'mahal']</t>
  </si>
  <si>
    <t>['jaringan', 'membusuk', 'kejelasan', 'jaringan', 'mengecewakan', '']</t>
  </si>
  <si>
    <t>['paket', 'unlimited', 'nongol', 'provider', 'isi', 'pulsa', 'beli', 'paket', 'mahal', 'nyolong', 'pulsa', 'dipake', 'kepotong', 'merugikan', 'pelanggan', 'sinyal', 'suka', 'ilang', 'kota', 'lho', 'promo', 'suka', 'bohong', 'sms', 'app', 'beda', 'dsb', 'kelebihan', 'sinyal', 'bagus', 'dipertahankan', 'end']</t>
  </si>
  <si>
    <t>['maafakukasihbintangsatu', 'soalnyaakuidahcapek', 'daritadimencobauntukmasuktapisyngnggakbisajuga', 'tolongdongkasohsolusinyasupayasayabisalogin']</t>
  </si>
  <si>
    <t>['sumpah', 'udh', 'paket', 'promonya', 'yaudh', 'ilangin', 'adaaa', 'giliran', 'beli', 'kaga', 'pulsa', 'ilang', '']</t>
  </si>
  <si>
    <t>['metode', 'pembayarannya', 'pulsa', 'enak', 'pakai', 'shopeepay', 'pls', 'langsung', 'dialihkan']</t>
  </si>
  <si>
    <t>['jaringan', 'susah', 'banget', 'gnya', 'orang', 'ajah', 'signal', 'entap', 'entip', 'udah', 'kya', 'ajh', 'mhn', 'daerah', 'bagusin', 'tinggal', 'daerah', 'kotanya', 'smp', 'ganti', 'provider', 'deh', 'udah', 'bertahun', 'pakai', 'provider', '']</t>
  </si>
  <si>
    <t>['mohon', 'maaf', 'ulasan', 'berkenan', 'tpi', 'kenyataannya', 'sampe', 'thn', 'kartu', 'telkomsel', 'bagus', 'sinyalnya', 'ribet', 'tpi', 'sinyalnya', 'parah', 'banget', 'kadang', 'buka', 'lazada', 'youtube', 'susahnya', 'ampun', 'pke', 'game', 'online', 'ngelek', 'mulu', 'rugi', 'tolong', 'lancar', 'perbaiki', '']</t>
  </si>
  <si>
    <t>['pelanggan', 'telkomsel', 'kecewa', 'kebijakan', 'kenaikan', 'harga', 'paket', 'combo', 'sakti', 'mahal', 'terpaksa', 'pakai', 'merek', 'sebelah']</t>
  </si>
  <si>
    <t>['lancar', 'jaya', 'mudah', 'mantap', 'gaspoool', 'promo', 'paketannya', '']</t>
  </si>
  <si>
    <t>['senang', 'kemudahan', 'promo', 'terbaik', 'telkomsel', 'telkomsel', 'mudah', 'pembelian', 'kuota', 'info', 'terima', 'kasih', 'telkomsel', 'semoga', 'jaya', '']</t>
  </si>
  <si>
    <t>['hidup', 'sederhana', 'senang', 'berkelimpahan', 'api', 'neraka', 'trimakasih', 'nkri', '']</t>
  </si>
  <si>
    <t>['aplikasinya', 'bagus', 'membantu', 'mudah', 'dipahami', 'bahasa', 'mudah', 'dipahami', 'ilike', 'this', '']</t>
  </si>
  <si>
    <t>['bagus', 'banget', 'apk', 'nggak', 'mahal', 'beli', 'kuotanya', 'simak', 'banget', 'deh', 'blg', 'kagak', 'bagus', 'salah', 'apknya', 'karna', 'apk', 'bagusss', 'banget', 'orang', 'ngirit', '']</t>
  </si>
  <si>
    <t>['telkomsel', 'aneh', 'promo', 'muncul', 'klik', 'tulisan', 'promo', 'gimana', '']</t>
  </si>
  <si>
    <t>['pulsa', 'habis', 'paket', 'internet', 'udah', 'habis', 'usahakan', 'nyedot', 'pulsa', 'habis', 'kuota', 'pulsaku', 'berkurang', 'dipake']</t>
  </si>
  <si>
    <t>['alhamdulillah', 'dipantai', 'tanjung', 'priok', 'signal', 'telkomsel', 'semoga', 'dipertahankan', 'sukses', 'telkomsel', 'area', 'pesisir', 'jakarta', 'terima', 'kasih']</t>
  </si>
  <si>
    <t>['kemudahan', 'pelayanan', 'pengguna', 'telkomsel', 'tanda', 'sekian', 'upgrade', 'kartu', 'bonus', 'kuota', 'promosikan', '']</t>
  </si>
  <si>
    <t>['bagus', 'tingkat', 'kecepatan', 'membuka', 'aplikasi', 'promo', 'ditawarkan', 'sesuai', 'kebutuhan', 'murah', 'poll']</t>
  </si>
  <si>
    <t>['alhamdulillah', 'provider', 'telkomsel', 'terbantu', 'pembelajaran', 'daring', 'pandemi', 'terimakasih', 'telkomsel', 'mantap', '']</t>
  </si>
  <si>
    <t>['duh', 'sinyal', 'telkomsel', 'stabil', 'udah', 'dikunci', 'lte', 'perubahan', 'telponan', 'ama', 'smsan', 'paket', 'internet', 'mubazir', 'kepake', 'chat', 'whatsapp', 'lemot', 'perbaikin', 'gmn', 'diperbaiki', 'make', 'kartu', 'telkomsel', 'mohon', 'secepatnya', 'diperbaiki', 'ganti', 'kartu', 'kartu', 'sebelah', '']</t>
  </si>
  <si>
    <t>['buka', 'mytelkomsel', 'ping', 'buka', 'jalan', 'sinyal', '']</t>
  </si>
  <si>
    <t>['jaringan', 'ngelagnya', 'ampun', 'perubahan', 'lambat']</t>
  </si>
  <si>
    <t>['pelayanan', 'buruk', 'mengecewakan', 'beli', 'paket', 'game', 'silver', 'bersamaan', 'voucher', 'terkirim', 'keluhan', 'veronika', 'terima', 'terkirim', 'paket', 'game', 'silver', 'voucher', 'telcomsel', 'pelayan', 'terburuk', '']</t>
  </si>
  <si>
    <t>['kayaknya', 'berhenti', 'pakai', 'telkomsel', 'kuota', 'boros', 'gangguan']</t>
  </si>
  <si>
    <t>['pelayanan', 'perbaikan', 'sinyal', 'buruk', 'kunjung', 'terselesaikan', 'harga', 'paket', 'mahal', 'disertai', 'layanan', 'perbaikan', 'memuaskan', 'sungguh', 'mengecewakan', '']</t>
  </si>
  <si>
    <t>['udh', 'dowload', 'daftar', 'susah', 'ngak', 'kayak', 'skrg', 'trhubung', 'jaringan', 'telkomsel', 'bla', 'bla', 'bla', 'ngak', 'aplikasi']</t>
  </si>
  <si>
    <t>['semoga', 'telkomsel', 'blm', 'dpt', 'souvenir', 'hehehe']</t>
  </si>
  <si>
    <t>['terima', 'kasih', 'pengabdiannya', 'indonesia', 'telkomsel', 'membangun', 'indonesia']</t>
  </si>
  <si>
    <t>['telkomsel', 'pelayanan', 'lambat', 'beli', 'paket', 'masuk', 'paket', 'pulsa', 'terhisap', 'kecewa', 'pelayanan', 'telkomsel', 'lambat', 'saran', 'suruh', 'hubungin', 'veronicontonl', 'pas', 'hubungi', 'semoga', 'saran', 'tanggapi', 'sumpahin', 'telkomsel', 'bangkrut', 'rate', 'curangin', 'bintang', 'satutapiratenya', '']</t>
  </si>
  <si>
    <t>['payah', 'telkomsel', 'belom', 'dpt', 'hadiah', 'dri', 'telkomsel', 'pdahal', 'sllu', 'setia', 'kartu', 'dri', 'thun', 'sampe', 'sekrang', 'msh', 'make', 'kartu', 'dpt', 'hadiah', 'pdhl', 'top', 'pulsa', 'sllu', 'ribu']</t>
  </si>
  <si>
    <t>['aplikasi', 'melayani', 'penjualan', 'paket', 'telpon', 'harian', 'mingguan', 'bulanan', 'daerah', 'papua', 'barat', 'jual', '']</t>
  </si>
  <si>
    <t>['knpa', 'kog', 'pulsaku', 'kepotong', 'sim', 'indosat', 'internetan', 'terpotong', 'pulsa', 'telkomsel', 'sim', '']</t>
  </si>
  <si>
    <t>['pagi', 'min', 'unlimited', 'max', 'sprti', 'skrng', 'fup', 'kaya', 'unlimited', 'pandemi', 'kuota', 'unlimited', 'fup', 'membantu', 'harga', 'murah', 'internet', 'sepuasnya', 'fup', 'tolong', 'kembalikan', 'paketan', 'unlimited', 'max', 'maksa', 'mah', '']</t>
  </si>
  <si>
    <t>['krmarin', 'ngisi', 'pulsa', 'gagal', 'aplikasi', 'lemot', 'parah', 'nggak', 'dibuka', 'telkomsel', 'parah', 'nggak', 'kayak', '']</t>
  </si>
  <si>
    <t>['', 'telkomsel', 'membantu', 'usaha', 'draifer', '']</t>
  </si>
  <si>
    <t>['sinyal', 'telkomsel', 'sebanding', 'harga', 'maen', 'game', 'lag', 'lag', 'harga', 'mahal']</t>
  </si>
  <si>
    <t>['', 'enak', 'pakai', 'telkomsel', 'mosok', 'unlimited', 'pakai', 'aktif', 'paket', 'habis', 'setau', 'unlimited', 'sesuai', 'tanggal', 'jam', 'brapa', 'mengisi', '']</t>
  </si>
  <si>
    <t>['knapa', 'nuker', 'poin', 'kuato', 'sibuk', 'sibuk', 'tuker', 'kuota', 'kasih', 'tuker', 'kuota', 'kaya', 'sengaja', 'nipu', 'uda', 'tuker', 'kasi', 'bintang']</t>
  </si>
  <si>
    <t>['telkomsel', 'sinyalnya', 'susah', 'banget', 'sinyal', 'hilnag', 'internetan', 'diisi', 'paket', 'data', '']</t>
  </si>
  <si>
    <t>['aplikasinyakeren', 'subscribe', 'channel', 'satria', 'gaming', 'silahkan', 'subscribe', 'like', 'komen', 'and', 'share', 'karna', 'subscribe', 'gratis', '']</t>
  </si>
  <si>
    <t>['paket', 'combo', 'unlimited', 'dipaksa', 'beli', 'paket', 'karna', 'paket', 'dibeli', 'seakan', 'disuruh', 'pindah', 'operator', 'tolong', 'dimengerti', '']</t>
  </si>
  <si>
    <t>['yaa', 'beli', 'paket', 'udah', 'coba', 'berpuluh', 'puluh', 'kali', 'kemaren', 'beli', 'paket', 'udah', 'dicoba', 'mytelkomsel', 'bisaa', 'telkomsel', 'mohon', 'diperbaiki', '']</t>
  </si>
  <si>
    <t>['hapus', 'coba', 'pasang', 'app', 'skarang', 'berat', 'dibuka', 'sperti', 'stelah', 'update', 'perbaiki', 'bos', 'sperti', 'ganti', 'jaringan', 'bertahan', 'karna', 'cinta', 'produk', 'indonesia', 'telkomsel', 'nyaman', 'terpaksa', 'ganti', '']</t>
  </si>
  <si>
    <t>['beli', 'pulsa', 'ribu', 'login', 'telkomsel', 'daftar', 'ehhhh', 'pulsanya', 'kemakan', 'ribu', 'karna', 'akses', 'telkomsel', 'login', 'telkomsel', 'ngak', 'mahal', 'daftar', 'paket', 'internet', 'udah', 'kepotong', 'ribu', '']</t>
  </si>
  <si>
    <t>['pengguna', 'telkomsel', 'puas', 'kualitas', 'telkomsel', 'ditambah', 'quota', 'spesial', 'pribadi', 'puas', 'berterima', 'kasih', 'pelayanan', 'telkomsel', '']</t>
  </si>
  <si>
    <t>['beli', 'paket', 'internet', 'ceria', 'masuk', 'masuk', 'paket', 'padalal', 'udah', 'berasil', 'pembeliannya', 'masuk', 'masuk', 'paketnya', 'beli', 'taro', 'daftar', 'paket']</t>
  </si>
  <si>
    <t>['', 'masuk', 'telkomsel', 'sms', 'magiclink', 'klik', 'link', 'error', 'kadaluarsa', 'ribetnya', 'melebihi', 'mobile', 'banking', 'login', 'terimakasih', '']</t>
  </si>
  <si>
    <t>['pelayanan', 'veronica', 'lambat', 'paket', 'mahal', 'fitur', 'prabayar', 'turun', 'limit', 'kelipatan', '']</t>
  </si>
  <si>
    <t>['yaa', 'oke', 'sinyalnya', 'bagus', 'harga', 'paketan', 'data', 'diatas', '']</t>
  </si>
  <si>
    <t>['sinyal', 'bagus', 'suara', 'membantu', 'mutu', 'pelayanan', 'terjamin', 'maksimal', 'pokoknya', 'istimewa', '']</t>
  </si>
  <si>
    <t>['assalamualaikum', 'telkomsel', 'pengguna', 'internet', 'telkomsel', 'oke', 'diawal', 'penggunaan', 'aman', 'lancar', 'ngak', 'lag', 'sikit', 'pertengahan', 'telkomsel', 'ngelag', 'parah', 'sungguh', 'kecewa', 'berat', 'ditahun', 'parah', 'lag', 'buruk', 'maksusnya', 'mohon', 'telkom', 'perbaiki', 'kendala', 'menyakitkan', 'mohon', 'dengarkan', 'keluhan', 'pengguna', 'betah', 'telkom']</t>
  </si>
  <si>
    <t>['halo', 'nama', 'satrio', 'dwi', 'guntoro', 'pulsa', 'hilang', 'ribu', 'memiliki', 'paket', 'internet']</t>
  </si>
  <si>
    <t>['mantap', 'ungkapan', 'kepuasan', 'puas', 'rasakan', 'meminum', 'air', 'sehat', 'habis', 'berolah', 'raga', 'semoga', 'jaya', 'sukses', 'telkomsel', 'pelangganya', 'puas', 'karna', 'kepuasan', 'melebihi', 'salam', 'pelanggan', '']</t>
  </si>
  <si>
    <t>['hai', 'admin', 'mytelkomsel', 'kritik', 'membuka', 'apk', 'mytelkomsel', 'loadingnya', 'ditempat', 'sinyal', 'bar', 'stabil', 'sinyalnya', 'pas', 'buka', 'apk', 'mytelkomsel', 'kecepatannya', 'kb', 'keatas', 'giliran', 'buka', 'apk', 'kecepatannya', 'kb', 'keatas', 'payah', 'mengecewakan', 'tolong', 'ditingkatkan', 'kualitas', 'sinyalnya', 'terima', 'kasih', '']</t>
  </si>
  <si>
    <t>['kesini', 'jelek', 'udh', 'langganan', 'tsel', 'dri', 'jaman', 'smpe', 'lulus', 'sma', 'gini', 'namanya', 'unlimited', 'batas', 'panel', 'tulisannya', 'gb', 'giliran', 'pas', 'dibeli', 'taunya', 'gb', 'kecewa', 'jdi', 'pelanggan', '']</t>
  </si>
  <si>
    <t>['paket', 'combo', 'rb', 'gb', 'kuota', 'utama', 'habis', 'sisa', 'gb', 'kaya', 'banget', 'akses', 'terbatas', 'harga', 'mahal', 'ditambah', 'jaringannya', 'suka', 'didaerah', '']</t>
  </si>
  <si>
    <t>['', 'ngadi', 'beli', 'vocher', 'kuota', 'udah', 'dimasukin', 'alsanya', 'sistem', 'sibuk', 'maksudnya', 'coba', 'tolong', 'benerinn']</t>
  </si>
  <si>
    <t>['internetnya', 'stabil', 'terpaksa', 'make', 'provider', 'kampung', 'gua', 'provider', 'udah', 'gua', 'pindah', '']</t>
  </si>
  <si>
    <t>['alhamdulillah', 'nyedot', 'pulsa', 'berharap', 'telkomsek', 'sediain', 'fitur', 'unlimited', 'tinggal', 'desa', 'kuota', 'mahal', 'banget', 'harap', 'telkomsel', 'sediain', 'unlimited', 'langganan']</t>
  </si>
  <si>
    <t>['paket', 'promo', 'sinyal', 'jelek', 'paket', 'internet', 'habis', 'ngak', 'potong', 'pulsa', 'utama', 'tolong', 'perbaiki', 'seharusny', 'point', 'tukar', 'kota', 'telkomsel', 'jelek', 'lemotttttttt', 'jelekkk', 'sexalii', 'titik', 'buka', 'google', 'lemotnya', 'ampun', 'buka', 'lemotnya', 'ampun', 'paket', 'promo', 'sinyalnya', 'busuk', 'sinyal', 'telkomsel', 'busuk', '']</t>
  </si>
  <si>
    <t>['beli', 'paket', 'telpon', 'all', 'operator', 'telpon', 'pulsa', 'habis', 'sedot', 'telkomsel', 'sehat', 'kapok', 'kali', 'pakai', 'telkomsel', '']</t>
  </si>
  <si>
    <t>['mahalnya', 'mantab', 'paketan', 'seharga', 'rb', 'nyampe', 'pekan', 'pakai', 'tetangga', 'paket', 'rb', 'sebulan', 'sisa', 'harganya', 'rakus', 'banget', 'hrg', 'murah', 'promo', 'jebakan', 'doang']</t>
  </si>
  <si>
    <t>['telkomsel', 'ngennntoddddd', 'prioritas', 'kuota', 'belajar', 'duluan', 'pas', 'beli', 'kuota', 'belajar', 'ehh', 'pas', 'nge', 'zoom', 'google', 'meet', 'anehnya', 'nge', 'hospot', 'pakai', 'gimana', 'rugi', 'beli', 'kuota', 'belajar', 'sumpah', 'dimana', 'kuota', 'kemendikbud', 'kesel', 'aslii']</t>
  </si>
  <si>
    <t>['hapus', 'perbedaan', 'loop', 'simpati', 'prabayar', 'pascabayar', 'paket', 'ama', 'bini', 'beda', 'loop', 'paketan', 'murah', 'mahal', 'bangsaatt']</t>
  </si>
  <si>
    <t>['melunasi', 'paket', 'darurat', 'harap', 'isi', 'ulang', 'pulsa', 'pembayaran', 'otomatis', 'memotong', 'pulsa', 'sesuai', 'tagihan', 'abaikan', 'lunas', 'nyari', 'duit', 'halal', 'telkomsel', '']</t>
  </si>
  <si>
    <t>['sistem', 'promo', 'kuota', 'internetnya', 'promo', 'penggunaan', 'providernya', 'dibedakan', 'disisi', 'murah', 'disisi', 'mahal', 'pembelian', 'kuota', '']</t>
  </si>
  <si>
    <t>['terimakasih', 'menciptakan', 'telkomsel', 'puas', 'aplikasi', 'mytelkomsel', 'kuota', 'murah', 'murah', 'menginstal', 'dapet', 'kuota', 'gb', 'thanks', 'mimin', '']</t>
  </si>
  <si>
    <t>['min', 'paket', 'combo', 'sakti', 'unlimited', 'ditambahin', 'peduli', 'lindungi', 'kuota', 'utama', 'abis', 'unlimited', 'bingung', 'kuota', 'utama', 'abis', 'sisa', 'unlimited', 'absen', 'kerjaan', 'peduli', 'lindungi', 'min', 'dimohon', 'kerjasamanya', 'min', 'terimakasih', '']</t>
  </si>
  <si>
    <t>['beli', 'paket', 'internet', 'pulsa', 'mencukupi', 'pembayaran', 'gagal', 'email', 'developer', 'telkomsel', 'alamat', 'terdaftar', 'tersedia', '']</t>
  </si>
  <si>
    <t>['perasaan', 'aplikasi', 'berat', 'game', 'online', 'bingung', 'perasaan', 'main', 'game', 'fps', 'game', 'berat', 'santai', 'nyaman', 'pas', 'bukak', 'apk', 'lag', 'hpnya', 'rusak', 'apknya', 'masuk', 'akal', '']</t>
  </si>
  <si>
    <t>['pulsa', 'suka', 'hapis', 'gimana', 'habis', 'masak', 'pulang', 'isi', 'pulsa', 'balikin', 'pulsa', 'telkomsel', 'setidak', 'jngn', 'gitu', 'paket']</t>
  </si>
  <si>
    <t>['kartu', 'hangus', 'akibat', 'aplikasi', 'salah', 'tampilkan', 'info', 'info', 'tenggang', 'tampil', 'aplikasi', 'aktif', 'kartu', 'masuk', 'tenggang', 'hangus', 'perbaiki', 'bugnya', 'fatal', '']</t>
  </si>
  <si>
    <t>['ngirim', 'pulsa', 'pakai', 'nominal', 'custom', 'memilih', 'nominal', 'nyaman', 'pelayanan', '']</t>
  </si>
  <si>
    <t>['kartu', 'doang', 'mahal', 'jaringan', 'lemot', 'paket', 'doang', 'mahal', 'jaringan', 'lemot', '']</t>
  </si>
  <si>
    <t>['bintang', 'kecewa', 'provider', 'kemaren', 'pilihan', 'paket', 'combo', 'sakti', 'gb', 'gb', 'ilang', 'jaringan', 'jelek', 'paket', 'mahal', 'boros', 'cepat', 'abis', 'tolonglah', 'telkomsel', 'kepuasaan', 'konsumen', 'lari', 'provider', '']</t>
  </si>
  <si>
    <t>['aplikasi', 'bagus', 'tpi', 'kartunya', 'pelit', 'kouta', 'darurat', 'pdhl', 'udah', 'lunasin', 'utang', 'main', 'game', 'suka', 'lemot', 'jaringan', 'kecuali', 'nonton', 'lancar', 'thx', 'aplikasi', 'berkembang', 'pelit', '']</t>
  </si>
  <si>
    <t>['menyedihkan', 'signalnya', 'harga', 'diatas', 'provider', 'paket', 'bulanan', 'variatif', 'paket', 'mingguan', 'cepet', 'diawal', 'doang', 'setelahnya', 'melambat', 'speednya', 'area', 'covered', 'kuota', 'separuh', 'kepake', 'nasib', 'smoga', 'kedepan', 'indonesia', '']</t>
  </si>
  <si>
    <t>['nyesel', 'udah', 'beli', 'paketan', 'game', 'iya', 'emang', 'buka', 'game', 'pas', 'masuk', 'room', 'masuk', 'ingame', 'maksud', 'paket', 'game', 'buka', 'screen', 'game', 'doang', 'lawak', 'kali', 'kulihat', 'balikin', 'duit', '']</t>
  </si>
  <si>
    <t>['', 'telkomsel', 'kouta', 'murah', 'murah', 'telkomsel', 'mengadakan', 'undian', 'minggu', 'aplikasi', 'telkomsel', 'website', 'telkomsel', 'ayo', 'ikutan', 'undiannya', 'semoga', 'salah', 'orang', 'menang', 'undian', 'samsung', 'aminnn', '']</t>
  </si>
  <si>
    <t>['tolong', 'penjelasannya', 'pagi', 'isi', 'pulsa', 'beli', 'paket', 'gb', 'harga', 'tertera', 'pas', 'udah', 'transaksi', 'sisa', 'pulsa', '']</t>
  </si>
  <si>
    <t>['', 'telkomsel', 'kecewa', 'berlangganan', 'kartu', 'hallo', 'berhenti', 'berlangganan', 'grapari', 'pakai', 'ambil', 'langganan', 'termurah', 'sayangnya', 'kuata', 'berfungsi', 'nelpon', 'intinya', 'fasilitas']</t>
  </si>
  <si>
    <t>['tolong', 'harganya', 'standar', 'kuotanya', 'kaget', 'kuota', 'beli', 'pulsa', 'berharap', 'pelayanan', 'aplikasi', 'update', 'tolong', 'diperbaiki', 'pelayanannya', 'daily', 'cehckin', 'kadang', 'mengklaim', 'kuota', 'masuk', 'terima', 'kasih']</t>
  </si>
  <si>
    <t>['kasih', 'bintang', 'sinyal', 'lancar', 'wilayah', 'banten', 'sinyal', 'internet', 'wilayah', 'banten', 'kaya', 'lemot', 'tolong', 'telkomsel', 'perbaiki', 'layanan', '']</t>
  </si>
  <si>
    <t>['semenjak', 'musisi', 'band', 'mentri', 'komisaris', 'telkom', 'telkomsel', 'kualitas', 'browser', 'melambat', 'error', 'sistem', 'telkomsel', 'ganti', 'nama', 'telkomslank', '']</t>
  </si>
  <si>
    <t>['gimana', 'pengguna', 'kali', 'kecewa', 'kuota', 'utama', 'ketarik', 'pulsa', 'buka', 'aplikasi', 'dapet', 'sms', 'memakai', 'pulsa', 'akses', 'internet', 'kuota', 'kuota', 'utama', 'giliran', 'coba', 'kepake', 'kuota', 'pulsa', 'udah', 'kepotong', 'maksudnya', 'gimana', 'gajelas', 'banget', 'mohon', 'respon', '']</t>
  </si>
  <si>
    <t>['telkomsel', 'pelit', 'umur', 'kartu', 'paket', 'paket', 'internet', 'nelpon', 'mahal', 'umur', 'kartu', 'promo', 'kenyataan', 'terbalik', 'kartu', 'paket', 'mahal', 'kartu', 'promo', 'menarik', 'mohon', 'dengarkan', 'orang', 'miskin', '']</t>
  </si>
  <si>
    <t>['aplikasi', 'bobrok', 'susah', 'login', 'link', 'sms', 'login', 'detik', 'diklik', 'jaringan', 'telkomsel', 'login', 'wifi', 'rumah', 'ngga']</t>
  </si>
  <si>
    <t>['dear', 'telkomsel', 'sinyal', 'telkomsel', 'mati', 'mati', 'paketan', 'tinggal', 'bondowoso', 'jawa', 'timur', 'mohon', 'perbaiki', 'jaringannya', 'puas']</t>
  </si>
  <si>
    <t>['telkomsel', 'kartu', 'bayar', 'paket', 'mahal', 'mahal', 'sinyal', 'hilang', 'hilang', 'tolong', 'perbaiki', 'tinggal', 'cirebon', 'bener', 'kecewa', 'kaya', 'gini', 'sampe', 'pindah', 'bayar', 'mahal', 'sinyal', 'hilang', 'jelek', 'cepat', 'perbaiki', '']</t>
  </si>
  <si>
    <t>['tolong', 'paket', 'data', 'kejangkau', 'orang', 'sya', 'paket', 'data', 'gb', 'seharga', 'rb', 'promo', 'hilang', '']</t>
  </si>
  <si>
    <t>['telkomsel', 'paket', 'habis', 'pemberitahuan', 'sms', 'masuk', 'pemberitahuan', 'pulsa', 'makan', 'kali', 'telkomsel', 'kali', 'kek', 'gitu']</t>
  </si>
  <si>
    <t>['peningkatan', 'jaringan', 'lte', 'daerah', 'kec', 'maligano', 'kelurahan', 'langkoroni', 'desa', 'lebo', 'sultra', 'bagus', 'bintang', 'kasih', 'pull', 'bintangnya', 'thanks']</t>
  </si>
  <si>
    <t>['sinyal', 'telkomsel', 'buruk', 'aplikasi', 'telkomsel', 'semenjak', 'perbarui', 'buruk', 'log', 'aplikasi', 'tlng', 'sinyal', 'telkomsel', 'tingkatkan', 'mengecewakan', 'pelanggan', '']</t>
  </si>
  <si>
    <t>['terpaksa', 'kasih', 'bintang', 'paketan', 'mahal', 'gembel', 'telkomsel', 'ngisi', 'paketan', 'kemari', 'buruk', 'bagus', 'mnding', 'pindah', 'kartu', 'sebelah', 'lemot', 'pneting', 'paketanya', 'murah']</t>
  </si>
  <si>
    <t>['harga', 'paket', 'tolong', 'kondisikan', 'jaringan', 'signal', 'tolong', 'yaa', 'sel', 'skrg', 'sisa', 'satunya', 'ganti', 'card', 'sampe', 'kuganti', 'signal', 'price', 'sebelah', 'lbh', 'menggodaa', 'mahal', '']</t>
  </si>
  <si>
    <t>['aplikasinya', 'paket', 'total', 'paket', 'dapatkan', 'internet', 'multimedia', 'multimedia', 'kepake', 'internetnya', '']</t>
  </si>
  <si>
    <t>['diperbaharui', 'kesekian', 'kali', 'memenuhi', 'kebutuhan', 'membeli', 'paket', 'data', 'terbilang', 'mahal', 'mahasiswa', 'bergantung', 'internet', 'paket', 'data', 'paket', 'data', 'beli', 'jaringan', 'jelek', 'dampak', 'perkuliahan', 'pengiriman', 'tugas', 'terganggu', '']</t>
  </si>
  <si>
    <t>['yaa', 'minimal', 'kasi', 'paket', 'pulsa', 'gratis', 'gitu', 'adain', 'event', 'harga', 'paketnya', 'diturunkanlah', 'paket', 'malam', 'doang', 'murah', 'kasian', 'beli', 'kuota', 'gtu', 'kpn', 'indo', 'kena', 'nyoba', 'kecepetan', 'tpi', 'lambat', 'gkpp', 'wifi', '']</t>
  </si>
  <si>
    <t>['halo', 'telkomsel', 'usia', 'tua', 'sinyalnya', 'rontok', 'kalah', 'operator', 'sinya', 'payah', 'susah', 'kecewah', '']</t>
  </si>
  <si>
    <t>['fitur', 'provider', 'kelas', 'kayak', 'telkomsel', 'kalah', 'axis', 'aplikasi', 'axisnet', 'lock', 'pulsa', 'kesedot', 'data', 'kuota', 'duuh', 'telkomsel', 'fitur', 'kyak', 'gitu', '']</t>
  </si>
  <si>
    <t>['telkomsel', 'terhormat', 'jelek', 'tolong', 'ditingkatkan', 'jaringan', 'internet', 'eror', 'parah', 'sore', 'jam', 'sore', 'susah', 'banget', 'mohon', 'ditindak', 'lanjuti', 'kendala', 'pelanggan', 'berpindah', 'hati', 'terimakasih']</t>
  </si>
  <si>
    <t>['mohon', 'diperbaiki', 'jaringan', 'daerah', 'tangerang', 'banten', 'kecamatan', 'sepatan', 'timur', 'desa', 'gempol', 'sari', 'puas', 'jaringan', 'disaat', 'bermain', 'game', 'sinyalnya', 'leg', 'mengganggu', 'mohon', 'diperbaiki', 'kenyamanan']</t>
  </si>
  <si>
    <t>['telkomsel', 'sinyal', 'browsing', 'loading', 'bosen', 'nunggunya', 'meningkatkan', 'kwalitas', 'mutu']</t>
  </si>
  <si>
    <t>['', 'kebuka', 'aplikasinya', 'mas', 'uinstal', 'intal', 'ulang', 'kebuka', 'keluarin', 'dibuka', 'uninstal', 'instal', 'jelek', 'gini', 'aplikasi', 'mytelkomsel', '']</t>
  </si>
  <si>
    <t>['telkomsel', 'bnr', 'nyusahin', 'kecewa', 'nmr', 'hangus', 'lbh', 'aktvasi', 'migrasi', 'pasca', 'bayar', 'berbeda', 'pelayanannya', 'provider', 'biru', 'bnr', 'butuh', 'nmr', 'trsbt', 'untk', 'verifikasi', 'gmail', 'dlm', 'email', 'trsbt', 'file', 'butuhkan', 'nmr', 'trsbt', 'memakluminya', 'berharap', 'kdpn', 'telkomsel', 'merubah', 'kebijakan', 'merugikan', 'customer', 'salah', 'contoh', 'kasusnya', 'sprt', '']</t>
  </si>
  <si>
    <t>['lemot', 'skrg', 'telkomsel', 'knp', 'jaringan', 'lemot', 'kouta', 'tolong', 'donk', 'tinggal', 'perumahan', 'jaringan', 'kagak', 'masuk', 'egois', 'kota', 'telkomsel', 'bagus']</t>
  </si>
  <si>
    <t>['gmn', 'telkomsel', 'pke', 'data', 'tsel', 'koneksi', 'internetnya', 'skrng', 'jelek', 'isi', 'pulsa', 'top', 'msh', 'sisa', 'bbrp', 'ribu', 'kadang', 'dftr', 'paket', 'harian', 'msh', 'sisa', 'dapet', 'pesan', 'terima', 'kasih', 'mengembalikan', 'pelunasan', 'paket', 'darurat', 'pdhl', 'daftar', 'pke', 'paket', 'darurat', 'apapun', 'bln', 'pke', 'operator', 'nominal', 'pulsa', 'operator', 'sekelas', 'nasional', 'sistemnya', 'sprti', 'terimakasih']</t>
  </si>
  <si>
    <t>['list', 'game', 'terdaftar', 'kuota', 'games', 'game', 'jarang', 'maini', 'rugi', 'kuotanya', 'seandainya', 'mending', 'alihkan', 'kuotanya', 'halnya', 'kaset', 'musik', 'musiknya', 'gemre', 'sukai', '']</t>
  </si>
  <si>
    <t>['jaringan', 'burik', 'bermain', 'game', 'online', 'ibukota', 'harga', 'paketannya', 'lumayan', 'mahal', 'pengguna', 'simpati', 'mending', 'berpikir', 'telkomsel', '']</t>
  </si>
  <si>
    <t>['', 'kecewa', 'pulsa', 'habis', 'kesedot', 'tukar', 'paket', 'main', 'game', 'sinyal', 'stabil', 'harga', 'tolong', 'imbangi', 'kualitas', 'denpasar', 'sinyal', 'pedalaman', 'camkan', '']</t>
  </si>
  <si>
    <t>['kenpa', 'telkomsel', 'kedepan', 'buruk', 'penukaaran', 'point', 'kemarin', 'bener', 'sulit', 'ditukar', 'produk', 'bagus', '']</t>
  </si>
  <si>
    <t>['hallo', 'kak', 'signal', 'jelek', 'yaa', 'lokasi', 'jakarta', 'barat', 'disetiap', 'google', 'meet', 'langsung', 'losssss', 'signal', 'ilang', 'matikan', 'menghidupkan', 'anak', 'sulit', 'belajar', 'sengaja', 'beli', 'kartu', 'signal', 'bagus', 'sebagus', 'stress', 'pakai', 'paketan', 'kartu', 'simpati', 'perbaiki', 'donk']</t>
  </si>
  <si>
    <t>['kasih', 'kasih', 'bintang', 'paket', 'combo', 'sakti', 'internet', 'multimedia', 'salah', 'multimedia', 'dipakai', 'terimakasih', '']</t>
  </si>
  <si>
    <t>['jelek', 'sinyal', 'sulit', 'bertelpon', 'daerah', 'tanjung', 'morawa', 'desa', 'medan', 'sinembah', 'kec', 'tanjung', 'morawa', 'kab', 'deli', 'serdang', 'nomor', 'beli', 'paket', 'telpon']</t>
  </si>
  <si>
    <t>['', 'pinjam', 'paket', 'darurat', 'pemberitahuan', 'telkomsel', 'mengembalikan', 'pulsa', 'paket', 'darurat', 'pinjam', 'paket', 'darurat', 'ambil', 'bonus', 'hasil', 'cek', 'ujung', 'ujungnya', 'paket', 'darurat', 'mending', 'usa', 'kedok', 'bonus', 'potongan', 'harga', 'apalah', '']</t>
  </si>
  <si>
    <t>['buruk', 'telkomsel', 'daerah', 'rumah', 'labuhanbatu', 'utara', 'telkomsel', 'minggu', 'nge', 'lag', 'hujan', 'sikit', 'ngelag', 'mati', 'lampu', 'ngelag', 'siang', 'siang', 'bolong', 'ngelag', 'tolong', 'perbaiki', 'mahal', 'paketnya', 'kasihan', 'kuliah', 'pas', 'dosen', 'ngelag', 'malam', 'ngerjakan', 'tugas', 'ngelaq', 'tugas', 'kali', 'menumpuk', 'kecewa', 'berat', 'telkomsel']</t>
  </si>
  <si>
    <t>['beli', 'menit', 'jaringan', 'langsung', 'turun', 'drastis', 'menyalakan', 'mode', 'pesawat', 'matikan', 'pum', 'menit', 'jaringan', 'jelek', 'tingal', 'kota', 'bagus', 'beraktivitas', 'susah', 'jaringan', 'jelek', 'kaya', 'gini', 'please', 'harga', 'doang', 'naikin', 'kualitas', 'jaringan', 'tingkatin', '']</t>
  </si>
  <si>
    <t>['telkomsel', 'meresahkan', 'jaringan', 'hilang', 'gamer', 'kecewa', 'tolong', 'diperbaiki', 'yaa', '']</t>
  </si>
  <si>
    <t>['suka', 'paket', 'unlimitedmax', 'paket', 'unlimitedmax', 'paket', 'make', 'fup', 'sya', 'puas', 'dng', 'paket', 'datanya', 'mohon', 'kuota', 'unlimitedmax', 'fup', 'kecewa', 'telkomsel', '']</t>
  </si>
  <si>
    <t>['knp', 'pembelian', 'paket', 'data', 'suda', 'ulang', 'kali', 'mohon', 'bantuannya', 'transaksinya', 'lancar', 'cepat', 'tolong', 'perhatikan', 'telkomsel', 'terimakasih', '']</t>
  </si>
  <si>
    <t>['pengguna', 'telkomsel', 'kecewa', 'voucher', 'beli', 'terkirim', 'mengajukan', 'keluhan', 'diaplikasi', 'ditindak', 'penjelasan', 'berguna', 'mengecewakan', '']</t>
  </si>
  <si>
    <t>['miris', 'jaringan', 'pulau', 'obi', 'halmahera', 'bertahun', 'bagus', 'paket', 'data', 'habis', 'sia', 'sia', 'akibat', 'jaringan', 'internet', 'susah', 'parah', 'nelfon', 'mati', 'bagus', 'oprator', '']</t>
  </si>
  <si>
    <t>['tolong', 'dibenahi', 'jaringannya', 'jaringan', 'setabil', 'tolong', 'pembangunan', 'jaringan', 'indonesia', 'merata', 'sabang', 'merauke', 'thanks', 'bakti']</t>
  </si>
  <si>
    <t>['gunakam', 'telkomsel', 'jelek', 'banget', 'yahh', 'sistem', 'jaringan', 'eror', 'kah', 'gini', 'jaringannya', 'malas', 'make', 'telkomsel', 'ahh', '']</t>
  </si>
  <si>
    <t>['harga', 'paketan', 'mahal', 'min', 'ambil', 'contoh', 'dlu', 'beli', 'paket', 'harganya', 'bertambah', 'skrng', 'melonjak', 'harganya', 'jdi', 'kah', 'harganya', 'normal', '']</t>
  </si>
  <si>
    <t>['jelek', 'paket', 'mahal', 'emang', 'kaya', 'orang', 'hidup', 'dunia', 'pengen', 'kaya', 'lek', 'kaya', 'dunia', 'akhirat', 'lek', '']</t>
  </si>
  <si>
    <t>['', 'masuk', 'aplikasinya', 'nunggu', 'bacaan', 'coba', 'jaringan', 'lancar', 'kuota', 'banget']</t>
  </si>
  <si>
    <t>['previkasi', 'link', 'masuk', 'apk', 'telkomsel', 'gampang', 'ngapa', 'ribet', 'aplikasi', 'berkali', 'mencoba', 'tetep', 'gagal', 'asuuu']</t>
  </si>
  <si>
    <t>['isi', 'vhocer', 'terkirim', 'tulis', 'maaf', 'sistem', 'sibuk', 'udh', 'terkirim', 'vhocer', 'beli', '']</t>
  </si>
  <si>
    <t>['seminggu', 'komentar', 'sinyal', 'daerah', 'bagus', 'lampu', 'mati', 'sinyal', 'nggak', 'ikutan', 'mati', 'sore', 'malam', 'sinyalnya', 'ngelag', 'terimakasih', 'telkomsel', 'langsung', 'merespon', '']</t>
  </si>
  <si>
    <t>['beli', 'paket', 'pulsa', 'ambil', 'sisa', 'pulsa', 'rbu', 'pulsa', 'rbu', 'ambil', 'bohong', 'pea', '']</t>
  </si>
  <si>
    <t>['telkomsel', 'data', 'kayak', 'habis', 'data', 'masak', 'gb', 'cuman', 'tahan', 'bln', 'pemakain', 'ayo', 'beralih', 'jaringan']</t>
  </si>
  <si>
    <t>['parah', 'jaringan', 'telkomsel', 'lemot', 'banget', 'sumpah', 'beli', 'paket', 'mahal', 'ujung', 'lemot', 'gini', 'mohon', 'perbaiki', 'kecewa', 'pelannggan', '']</t>
  </si>
  <si>
    <t>['aplikasinya', 'bagus', 'kecewa', 'telkomsel', 'mejaga', 'pelanggan', 'setianya', 'masak', 'paketnya', 'tawarkan', 'mahal', 'sngat', 'membebani', 'konsumen', 'pandemi', 'kecewa']</t>
  </si>
  <si>
    <t>['beli', 'paket', 'gamesmax', 'silver', 'ambil', 'vocher', 'mlbb', 'kode', 'vocher', 'dikirim', 'pdhal', 'paket', 'data', 'aktif', 'coba', 'coba', 'klaim', 'bsa', 'diakses', 'maaf', 'jaringan', 'sibuk', 'coba', 'mohon', 'diperbaiki', 'akses', 'dialnya', 'terimakasih', '']</t>
  </si>
  <si>
    <t>['jaringan', 'telkomsel', 'sueekk', 'bener', 'udah', 'pakai', 'perangkat', 'tambahan', 'udh', 'gangguan', 'browsing', 'susah', 'isi', 'registrasi', 'dapodik', 'sueekk', 'parah', 'banget', '']</t>
  </si>
  <si>
    <t>['aplikasi', 'mytelkomsel', 'update', 'merusak', 'aplikasinya', 'eror', 'lemot', 'gmn', 'respon', 'dri', 'telkomsel', 'sesuai', 'update', 'aplikasi', 'kalangan', 'masyarakat', 'indonesia']</t>
  </si>
  <si>
    <t>['telkomsel', 'bener', 'jaringan', 'internet', 'telkomsel', 'nyoba', 'parah', 'jaringan', 'conecsi', 'bs', 'telkomsel', 'skrg', 'telkomsel', 'operator', 'complain', 'kasih', 'saran', 'matikan', 'data', 'hasilnya', 'kuota', 'mahal', 'jaringan', 'sgt', 'lelet', 'banget', 'sgt', 'beda', 'sm', 'jaringan', '']</t>
  </si>
  <si>
    <t>['jaringan', 'kacau', 'bawaan', 'kasar', 'main', 'game', 'abis', 'kuota', 'ganti', 'kartu', 'kecewa', 'parah', 'jaringan', 'ancur', '']</t>
  </si>
  <si>
    <t>['lag', 'trusss', 'ngelag', '']</t>
  </si>
  <si>
    <t>['', 'ram', 'beli', 'paket', 'ratusan', 'ribu', 'rumah', 'kota', 'iya', 'sinyal', 'negara', 'berlomba', 'lomba', 'kasih', 'servis', 'bagus', 'pelanggannya', 'telkomsel', 'kasih', 'sinyal', 'ampas', 'maksudnya', '']</t>
  </si>
  <si>
    <t>['telkomsel', 'penggunanya', 'kabur', 'harga', 'paketan', 'kuota', 'penurunan', 'kaya', 'ulooo', '']</t>
  </si>
  <si>
    <t>['sinyal', 'telkomsel', 'kadang', 'terkadang', 'lancar', 'kualitasnya', 'mohon', 'tolong', 'baguskan', 'sinyalnya', 'telkomsel', 'tolong', 'telkomsel', 'beli', 'paket', 'tolong', 'kurangi', 'paket', 'contohnya', 'beli', 'paket', 'berkurang', 'tolong', 'telkomsel', 'diperbaiki', 'kembalikan', 'uang', 'ucapkan', 'terima', 'kasih', '']</t>
  </si>
  <si>
    <t>['update', 'sisi', 'fungsi', 'lag', 'smooth', 'pembayaran', 'muncul', 'muncul', 'pilihan', 'merchant', '']</t>
  </si>
  <si>
    <t>['aplikasi', 'ajar', 'beli', 'paket', 'tik', 'tok', 'langsung', 'dinonaktifkan', 'pulsa', 'dikembalikan', 'beli', 'pulsa', 'uang', 'perjuangan', 'ppkm', 'berjalan', 'pertanggungjawaban', 'respon', 'via', 'imail', 'resmi']</t>
  </si>
  <si>
    <t>['update', 'beli', 'paket', 'capeknya', 'mati', 'sengaja', 'kasih', 'bintang', 'diperbaiki', 'minimal', 'dpt', 'dikembalikan', 'sblm', 'update', 'beli', 'paket', 'telpon', 'susah', 'kayak', 'pilihan', 'jualan', 'paket', 'internet', 'istilah', 'hantu', 'blawu', 'moga', 'paket', 'telpon', 'perbulan', 'diutamakan', '']</t>
  </si>
  <si>
    <t>['kecewa', 'kuota', 'nonton', 'lokal', 'pakai', 'cari', 'kuota', 'mainan', 'konsumen', '']</t>
  </si>
  <si>
    <t>['min', 'tolong', 'tambahin', 'paket', 'all', 'full', 'jam', 'donk', 'paket', 'combo', 'pembagian', 'malam', 'chating', 'media', 'dll', 'menarik', 'tertarik', 'beli', 'paket', 'internet', 'provider', 'sebelah', 'all', 'full', 'jamnya', '']</t>
  </si>
  <si>
    <t>['senang', 'telkomsel', 'internet', 'cepat', 'keluhan', 'kartu', 'harga', 'kuota', 'mahal', 'ribu', 'kuota', 'gb', 'teman', 'semahal', 'susah', 'belajar', 'online', 'karen', 'kuota', 'mahal', 'terimakasih']</t>
  </si>
  <si>
    <t>['sisain', 'pulsa', 'telkampret', 'paketan', 'telkampret', 'membiarkannya', 'malakin', 'pulsa', '']</t>
  </si>
  <si>
    <t>['tolong', 'dibaca', 'modal', 'ketik', 'copas', 'isi', 'nama', 'kubenci', 'sinyalnya', 'pulsa', 'loo', 'darah', 'udh', 'berkali', 'melaporkan', 'keluhan', 'pulsa', 'terpotong', 'masi', 'alasannya', 'karna', 'gprs', 'tolong', 'kasi', 'kesempatan', 'mematikan', 'data', 'seluler', 'beli', 'kuota', 'ketengan', 'mb', 'akses', 'internet', 'non', 'paket', 'tolong', 'dihapus', 'pulsa', 'dikorbankan', 'coba', 'kaya', 'sebelah', 'anti', 'pulsa', 'terpotong', '']</t>
  </si>
  <si>
    <t>['customer', 'service', 'jawan', 'keluhan', 'pengguna', 'membeli', 'paket', 'dibeli', 'pas', 'berulang', 'ulang', 'kali', 'beli', 'gangguan', 'system', 'ubah', 'ubah', 'paket', 'kecewa', 'pengguna', 'aplikasi', 'lemot', 'udah', 'update']</t>
  </si>
  <si>
    <t>['app', 'membantu', 'kadang', 'logout', 'gpp', 'login', 'nihh', 'kirim', 'pulsa', 'udah', 'sesuai', 'syarat', 'ketentuannya', 'manual', 'call', 'deh', 'berhasil', 'dongg', 'tolong', 'ditingkatkan', 'kemudahan', 'transfer', 'pulsa', 'app', 'terimakasih', '']</t>
  </si>
  <si>
    <t>['paket', 'telpon', 'bulanan', 'udh', 'ngk', 'menit', 'admin', 'read', 'doang', 'ngk', 'sopan', 'terbaik', 'indonesia', 'anjlok', 'bertahun', 'gunain', 'telkomsel', 'skrng', 'beralih', '']</t>
  </si>
  <si>
    <t>['jaringan', 'nggak', 'stabil', 'ngegame', 'nge', 'lag', 'dimode', 'pesawat', 'off', 'jaringan', 'restart']</t>
  </si>
  <si>
    <t>['menyesal', 'pengguna', 'simpati', 'telkomsel', 'jaringan', 'internet', 'lemah', 'lokasi', 'bogor', 'kab', 'tajurhalang', 'udah', 'konfirmasi', 'gada', 'perubahan', 'percaya', 'promo', 'speednya', 'lemah', 'tri', 'udah', 'pemakaian', 'stengah', 'paketan', 'beli', '']</t>
  </si>
  <si>
    <t>['telkomsel', 'enak', 'jaringannya', 'kebanyakan', 'buffering', 'trus', 'paket', 'combo', 'saktinya', 'asik', 'pelit', 'kecepatan', 'unlimited', 'kuota', 'utama', 'cepet', 'banget', 'habisnya', 'kayak', 'ngebug', 'pemakaian', 'kuota', 'utamanya', 'seminggu', 'udah', 'habis', 'gb', 'tolong', 'telkomsel', 'perbaiki', 'jaringan', 'pemakaian', 'kuota', 'transparan', 'efisien', 'spot', 'maksimal', 'jaringannya']</t>
  </si>
  <si>
    <t>['pengguna', 'kartu', 'beaya', 'paket', 'data', 'internet', 'mahal', 'lihat', 'mengalami', 'kenaikan', 'harga', 'ekonomii', 'merosot', 'operator', 'turun', 'harga', 'terjangkau', 'masyarakat', 'telkomsel', 'harga', 'paket', 'harga', 'rb', 'rb', '']</t>
  </si>
  <si>
    <t>['kecewa', 'banget', 'telkomsel', 'jaringannya', 'uda', 'harapkan', 'jaringannya', 'gangguan', 'kebijakan', 'telkomsel', 'memperbaikinya']</t>
  </si>
  <si>
    <t>['tolong', 'tambahkan', 'fitur', 'dimana', 'paket', 'kuota', 'telpon', 'dll', 'habis', 'pulsanya', 'kesedot', 'pulsa', 'kesedot', 'pas', 'paket', 'kuota', 'habis', 'kekurangannya', 'jaringan', 'bagus']</t>
  </si>
  <si>
    <t>['turunkan', 'harga', 'kuotaa', '']</t>
  </si>
  <si>
    <t>['klau', 'komentar', 'pelanggan', 'puas', 'pelayanan', 'telkomsel', 'promosi', 'berlebih', 'perbaiki', 'kwalitas', 'pelayanan', 'mempromosikan', 'produk', 'sesuai', 'mutu', 'kwalitas', 'produk', 'ditawarkan', 'pelanggan', 'kecewa', 'tertipu', 'promosi', '']</t>
  </si>
  <si>
    <t>['berharap', 'jaringan', 'perhatikan', 'telkomsel', 'gangguan', 'jaringannya', 'hilang', 'daerah', 'kal', 'teng', 'normal', 'naikin', 'bintangnya', 'tks', 'harap', 'agas', 'memperbaiki', 'kualitas', 'sinyal', 'tks']</t>
  </si>
  <si>
    <t>['udah', 'ngerti', 'tsel', 'beli', 'paket', 'internet', 'harga', 'paket', 'combo', 'sakti', 'langsung', 'drastis', 'pas', 'udah', 'beli', 'paket', 'internet', 'harganya', 'normal', 'what', 'the', 'hell', 'please', 'konsisten', 'dlm', 'ngasih', 'tarif', 'harga', 'konsisten', 'turun', 'harga', 'harga', 'ttp', 'susah', 'sinyal', 'jelek']</t>
  </si>
  <si>
    <t>['goood', 'sayang', 'paket', 'internet', 'beli', 'kadang', 'kadang', 'berlangganan', 'paket', 'heran', '']</t>
  </si>
  <si>
    <t>['harga', 'kuota', 'mahal', 'sinyal', 'stabil', 'hadeuh', 'main', 'game', 'turun', 'ngerti', 'sinyal', 'suka', 'ilang', 'kaga', 'merah', 'bagus', 'provider', 'lainya', 'mahal', 'doang', 'senggol', 'hujan', 'dikit', 'sinyal', 'ilang', '']</t>
  </si>
  <si>
    <t>['ganti', 'kartu', 'jaringan', 'kuat', 'telkom', 'harga', 'mahal', 'baget', 'internet', 'max', 'beli', 'kagak', 'pusing', 'ama', 'harga', 'orang', 'ngak', 'turunin', 'min']</t>
  </si>
  <si>
    <t>['assalamualaikum', 'maaf', 'saran', 'saran', 'telkomsel', 'sportif', 'kebijakan', 'terkait', 'kuota', 'dimana', 'terkadang', 'normal', 'mestinya', 'kuota', 'game', 'bermain', 'game', 'online', 'kuota', 'hormat', 'assalamualaikum', '']</t>
  </si>
  <si>
    <t>['kak', 'napa', 'jaringan', 'internet', 'kb', 'kadang', 'sampe', 'ratusan', 'sebentar', 'banget', 'beli', 'paket', 'nonton', 'youtube', 'udah', 'minggu', 'tahanin', 'udah', 'tahan', 'jaringannya', 'komentar', 'maaf', 'banget', 'bintangnya', 'sayang', 'telkomsel', 'gpp', 'sya', 'tambahin', '']</t>
  </si>
  <si>
    <t>['alhamdulillah', 'sinyal', 'bgs', 'rumah', 'semenjak', 'komplen', 'telkomsel', 'visit', 'rumah', 'lansung', 'perbaikan', 'sinyal', 'tower', 'telkomsel', 'mudah', 'mudahan', 'bagus', 'menerus', '']</t>
  </si>
  <si>
    <t>['nggak', 'masuk', 'akal', 'nggak', 'berlangganan', 'apapun', 'nomor', 'operator', 'telkomsel', 'pulsa', 'beli', 'terpakai', 'habis', 'sedot', 'operator', 'nyesel', 'udah', 'beli', 'sim', 'cardnya', '']</t>
  </si>
  <si>
    <t>['kecewa', 'jaringan', 'buruk', 'buka', 'sosmed', 'youtube', 'vidio', 'online', 'bermain', 'game', 'kebanyakan', 'bufering', 'ngelag', 'kualitas', 'egk', 'puas', '']</t>
  </si>
  <si>
    <t>['', 'telkomsel', 'pelayanan', 'memuaskan', 'sepuas', 'hati', 'sejernih', 'suara', 'air', 'semerdu', 'suara', 'kamuuuuuuuuuuuu', 'hehehe', 'good', 'luck', '']</t>
  </si>
  <si>
    <t>['telkomsel', 'unggul', 'dlm', 'jaringan', 'minggu', 'parah', 'jaringannya', 'ditambah', 'akselerasi', 'tergolong', 'harga', 'lipat', 'provider', 'peningkatan', 'harga', 'diikuti', 'peningkatan', 'kualitas', 'produk', 'sayang', 'telkomsel', 'drp', 'profit', 'dialokasikan', 'trlalu', 'promosi', 'peningkatan', 'kualitas', 'produk', 'terima', 'kasih']</t>
  </si>
  <si>
    <t>['tampilan', 'mudah', 'dipahami', 'udh', 'update', 'pilihan', 'pembayaran', 'pilihan', 'shopeepay', 'dana', 'skrg', 'muncul', 'udh', 'shopeepay', 'knp', 'min', '']</t>
  </si>
  <si>
    <t>['good', 'job', 'aplikasi', 'telkomsel', 'sinyal', 'didalam', 'rumah', 'susah', 'harga', 'paket', 'murah', 'hangus', 'sisa', 'datanya', 'itukan', 'beli', 'bayar', 'pakai', 'uang', 'diambil', '']</t>
  </si>
  <si>
    <t>['tolonglah', 'kalok', 'paket', 'data', 'dihilangkan', 'aplikasi', 'kode', 'dial', 'pelanggan', 'susah', 'memilih', 'pakek', 'paket', 'combo', 'sakti', 'udh', 'berlangganan', 'trus', 'pas', 'beli', 'hilang', 'tolonglah', 'pikirkan', 'perasaan', 'pelanggan', 'hilangkan', 'paket', 'tersedia']</t>
  </si>
  <si>
    <t>['telkomsel', 'beda', 'menurun', 'kualitas', 'sinyal', 'hujan', 'petir', 'sinyal', 'minus', 'pengguna', 'setia', 'telkomsel', 'kecewa', '']</t>
  </si>
  <si>
    <t>['aplikasi', 'membantu', 'customer', 'harga', 'paketan', 'internet', 'harga', 'lipat', 'paket', 'internet', 'dihilangkan', 'diganti', 'harga', 'mahal', 'pilihan']</t>
  </si>
  <si>
    <t>['terpaksa', 'telkomsel', 'karna', 'dipapua', 'sebel', 'beli', 'paket', 'internet', 'hrs', 'dibagi', 'kuota', 'lokal', 'apalah', 'kuota', 'lokal', 'kepake', 'nanya', 'nanya', 'veronica', 'nemuin', 'udah', 'hubungi', 'keles', 'min']</t>
  </si>
  <si>
    <t>['komplain', 'perihal', 'sinyal', 'tertera', 'lancar', 'akses', 'internet', 'jaringan', 'tersedia', 'mohon', 'bantu', 'kelancaran', 'pengguna', 'telkomsel', 'spt', 'memakai', 'beralih', 'provider', 'alamat', 'email', 'telkomsel', 'tertera', 'ditemukan', 'mengirim', 'komplain', 'alamat', 'tsb', 'diganti', 'infokan', 'komplain', 'veronika', 'mengetik', 'pxl', '']</t>
  </si>
  <si>
    <t>['kecewa', 'sinyal', 'buruk', 'hilang', 'niat', 'pakai', 'telkomsel', 'lancar', 'all', 'hasil', 'kebalikannya', 'telkomsel', 'heran', 'konsumen', 'kabur', '']</t>
  </si>
  <si>
    <t>['saran', 'download', 'promo', 'gb', 'ribu', 'terbantu', 'pelajar', 'langsung', 'beli', 'belajar', 'sehari', 'beli', 'udah', 'promo', 'paket', 'gb', 'ribu', 'adakan', 'penambahan', 'harga', 'mahal', 'membantu', 'terbantu', '']</t>
  </si>
  <si>
    <t>['buruk', 'jaringannya', 'telkomsel', 'jrgan', 'internetnya', 'sllu', 'lodding', 'klu', 'buka', 'situs', 'web', 'operator', 'tlkms', 'tolong', 'perbaiki', 'servernya', 'klu', 'bandingkan', 'operator', 'tree', 'bagus', 'jaringan', 'tree', 'setabil', 'daerah', 'kota', '']</t>
  </si>
  <si>
    <t>['tolong', 'perbaiki', 'sinyal', 'buruk', 'jaringan', 'udh', 'turutin', 'prosedur', 'data', 'manual', 'lali', 'aktipkan', 'tetep', 'ajaa', 'lelet', 'kaya', 'jaringan', 'menghambat', 'kerja']</t>
  </si>
  <si>
    <t>['lancar', 'jaya', 'saran', 'tolong', 'pengguna', 'telkomsel', 'udah', 'banget', 'kasihlah', 'hadiah', 'pengurangan', 'beli', 'kouta', 'kesini', 'mahal']</t>
  </si>
  <si>
    <t>['berguna', 'banget', 'beli', 'paket', 'data', 'dituker', 'poin', 'keterangannya', 'maaf', 'sistem', 'sibuk', 'kali', 'dicoba', 'keterangannya', 'niat', 'promosi', 'begituan', 'dipromosikan']</t>
  </si>
  <si>
    <t>['operator', 'kontolllllllllllllllllll', 'anjinggggggg', 'babiiiiiiii', 'bangsatttttttttttttttt', 'jaringan', 'telkomsel', 'bosokkkkkkkkkkk', 'operator', 'koyo', 'asuuuuuuuuu']</t>
  </si>
  <si>
    <t>['sungguh', 'berat', 'ngasih', 'bintang', 'telkomsel', 'krna', 'jaringan', 'telkomsel', 'smakin', 'smakin', 'buruk', 'jaringan', 'sungguh', 'lelet', 'blang', 'kuota', 'pokoknya', 'nyesel', 'kartu', 'telkomsel', 'udah', 'paketan', 'mahal', 'jaringan', 'memuaskan', 'bye', 'telkomsel', 'pindah', 'dlu', 'kartu', 'tetangga', 'lbih', 'murah', 'stabil', 'jaringan', '']</t>
  </si>
  <si>
    <t>['', 'pulsa', 'berkurang', 'pangilan', 'pakek', 'sms', 'pakek', 'data', 'seluler', 'pakek', 'historinya', 'pulsa', 'korupsi', 'gitukah', 'hubungi', 'aplikasi', 'responnya', 'lemooott', 'bangett', 'pulsa', 'berkurang', 'history', 'berkurang', 'kali', 'complain', 'suruh', 'kasih', 'data', 'kasihh', '']</t>
  </si>
  <si>
    <t>['kesini', 'lemot', 'jaringannya', 'tolong', 'diperbaiki', 'daerah', 'pelosok', 'menyesal', 'telkomsel', 'udah', 'mahal', 'jaringannya', 'stabil', '']</t>
  </si>
  <si>
    <t>['', 'telkomsel', 'bagus', 'beragam', 'pilihan', 'kuota', 'pulsa', 'berkurang', 'trus', 'harap', 'developer', 'telkomsel', 'tambahkan', 'fitur', 'lock', 'button', 'axis', 'dimanan', 'fitur', 'pulsa', 'tersedot', 'aman', 'fitur', 'lainya', 'pulsa', 'tersedot', '']</t>
  </si>
  <si>
    <t>['isi', 'pulsa', 'kapok', 'kali', 'top', 'masuk', 'cek', 'pulsa', 'gagal', 'dpt', 'notif', 'install', 'app', 'pas', 'install', 'ampuuuun', 'dibuka', 'wifi', 'nomer', 'udh', 'abis', 'tenggang', 'salah', 'coba', 'solusi', 'gimana', 'min', 'males', 'hrs', 'grapari', 'app', 'udah', 'cangging', 'letoy']</t>
  </si>
  <si>
    <t>['mantap', 'undian', 'tukar', 'poinnya', 'pastikan', 'menghargai', 'usaha', 'bisnis', 'prjlnan', 'hidup', '']</t>
  </si>
  <si>
    <t>['terimakasih', 'memperbaiki', 'eror', 'saran', 'mohon', 'internet', 'combo', 'sakti', 'muncul', 'langganan', 'konsumen', 'beli', 'paket', 'tsb']</t>
  </si>
  <si>
    <t>['gimana', 'telkomsel', 'deket', 'tower', 'signal', 'susah', 'banget', 'keterangan', 'signal', 'full', 'giliran', 'striming', 'ngegame', 'susah', 'banget', 'tolong', 'respon', 'pasang', 'tower', 'kek', 'penduduk', 'anak', 'sekolah', 'kesusahan', 'gegara', 'signal', 'udah', 'bela', 'in', 'beli', 'paket', 'mahal', 'gunain', 'gunain', 'susah']</t>
  </si>
  <si>
    <t>['jaringan', 'daerah', 'samarinda', 'bukit', 'pinang', 'saka', 'internet', 'main', 'game', 'mobile', 'legend', 'mohon', 'solusinya', 'baca', 'komen']</t>
  </si>
  <si>
    <t>['maaf', 'terpaksa', 'kasih', 'bintang', 'mengisi', 'paket', 'combo', 'sakti', 'unlimited', 'harga', 'pembayaran', 'link', 'aplikasi', 'link', 'terkonfirmasi', 'suskses', 'aplikasi', 'telkomsel', 'gagal', 'konfirmasi', 'link', 'kesalahan', 'telkomsel', 'telkomsel', 'respon', 'lakukan', 'pengaduan', 'email', 'kali', '']</t>
  </si>
  <si>
    <t>['bagus', 'pas', 'berlangganan', 'bln', 'paketnya', 'susah', 'cari', 'bintang', 'mudah', 'han', 'comen', 'dengar', '']</t>
  </si>
  <si>
    <t>['min', 'perbaikin', 'jaringan', 'khusus', 'daerah', 'pedesaan', 'min', 'utamakan', 'daerah', 'pelosok', 'min', 'siswa', 'pedesaan', 'susah', 'akses', 'internet', 'jaringan', 'stabil', 'daerah', 'pelosok', 'pedesaan', 'pemancar', 'koneksi', 'gagal', 'gitu']</t>
  </si>
  <si>
    <t>['sesuaikan', 'orang', 'menghutang', 'udah', 'gaji', 'tanggungan', 'mahal', 'mahal', 'iya', 'kualitas', 'tanam', 'kebaikan', '']</t>
  </si>
  <si>
    <t>['telkomsel', 'parah', 'gini', 'paketan', 'mahal', 'jaringan', 'stabil', 'paket', 'data', 'puluhan', 'pulsa', 'disedot', 'sampe', 'rupiah', 'namanya', 'merugikan', 'konsumen', '']</t>
  </si>
  <si>
    <t>['maaf', 'kak', 'mengalami', 'keluhan', 'hubungi', 'bla', 'bla', 'bla', 'pig', 'gue', 'paket', 'kagak', 'ngebuka', 'youtube', 'game', 'gue', 'udah', 'satelit', 'telkomsel', 'angkasa', 'gini', 'gue', 'hapus', 'apk', 'ama', 'nomor', 'ganti', 'samrfen', 'sok', 'sok', 'aan', 'iklan', 'gunung', 'terpencil', 'pig', 'bagus', 'jarak', 'tower', 'rumah', 'meter', 'ajig', 'pig', 'gue', 'woi']</t>
  </si>
  <si>
    <t>['paket', 'mahal', 'liat', 'maen', 'game', 'leg', 'liat', 'youtube', 'leg', 'liat', 'video', 'leg', 'benerin', 'jaringan', 'udah', 'bnyak', 'beli', 'kaya', 'gini', 'sinyal', 'tolong', 'deh', 'kondisikan', 'harga', 'paket', 'sinyal', 'paket', 'mahal', 'sinyal', 'bagus', 'udah', 'paket', 'mahal', 'sinyal', 'jelek', 'kota', 'jelek', 'sinyal', 'tolong', 'kondisikan', 'ngasih', 'saran']</t>
  </si>
  <si>
    <t>['sistemnya', 'klu', 'pakaet', 'data', 'habis', 'perpanjang', 'lgsung', 'main', 'potong', 'pulsa', 'penggunaan', 'jaringan', 'datanya', 'beli', 'paket', 'data', 'menjebak', 'paket', 'data', 'dibeli', 'paket', 'mahal', 'terkesan', 'memaksa', 'orang', 'beli', 'paket', 'mahal', 'beli', 'receh', 'jatuhnya', 'mahal', 'kecewa', 'telkomsel', '']</t>
  </si>
  <si>
    <t>['bagus', 'buruan', '']</t>
  </si>
  <si>
    <t>['pengguna', 'telkomsel', 'sejujurnya', 'telkomsel', 'salah', 'provider', 'kualitas', 'layanan', 'sinyal', 'buruk', 'kecewa', 'berat', 'hati', 'beralih', 'provider', 'pelayanan', '']</t>
  </si>
  <si>
    <t>['memiliki', 'pulsa', 'rb', 'beli', 'paket', 'harganya', 'rb', 'tap', 'alasannya', 'pulsa', 'mencukupi', 'telkomsel', 'penyedia', 'layan', 'milik', 'negara', 'tolong', 'perhatikan', 'menyebalkan', 'menyusahkan']</t>
  </si>
  <si>
    <t>['beli', 'paket', 'rekomendasi', 'tetep', 'aktif', 'kali', 'kali', 'aktif', 'paket', 'beli', 'rekomendasi', 'layanan', 'buruk', '']</t>
  </si>
  <si>
    <t>['internet', 'lokal', 'gb', 'blm', 'tanggapi', 'keluhan', 'tlpn', 'call', 'center', 'chat', 'veronika', 'aplikasi', 'tolong', 'jngn', 'customer', 'rugi', 'besarnya']</t>
  </si>
  <si>
    <t>['aplikasinya', 'crash', 'beli', 'paket', 'benerin', 'pelayanan', 'tolong', 'tingkatkan', 'jaringan', 'lemot', 'lelet', 'keong', 'jalan', 'kesini', 'bagus', 'komplain', 'pelanggan', 'komplain', 'responnya', 'lambat', 'bintang', 'turunin', 'wilayah', 'kabupaten', 'tangerang', 'jaringan', 'stabil', 'turun', 'kadang', 'sinyal', 'tolooong', 'dooong']</t>
  </si>
  <si>
    <t>['mohon', 'penjelasannya', 'donk', 'isi', 'paket', 'kuota', 'nonton', 'lokalnya', 'kuota', 'terpakai', 'maksudnya', 'kuota', 'nonton', 'lokal', 'aplikasi', 'terima', 'kasih']</t>
  </si>
  <si>
    <t>['nmr', 'simpati', 'berlakunya', 'habis', 'dipaksa', 'ganti', 'kartu', 'halo', 'pdhl', 'cocok', 'fasilitas', 'kartu', 'simpati', 'berbeda', 'fasilitas', 'paketan', 'kartu', 'halo', 'mengharuskan', 'membayar', 'tagihan', 'sisa', 'paket', 'terpakai', 'hangus', 'pemakaian', 'kartu', 'halo', 'mahal']</t>
  </si>
  <si>
    <t>['kasih', 'bintang', 'karna', 'tolong', 'pembelian', 'paket', 'lancar', 'cepet', 'kaya', 'kemaren', '']</t>
  </si>
  <si>
    <t>['penghapusan', 'penghangusan', 'kuota', 'habis', 'masanya', 'kuota', 'dibeli', 'hak', 'konsumen', 'baiknya', 'kuota', 'terimaksih', 'telkomsel', '']</t>
  </si>
  <si>
    <t>['sbnernya', 'apl', 'mmang', 'membantu', 'daily', 'chakin', 'hadiah', 'vaucher', 'promo', 'masuk', 'akal', 'slah', 'cntoh', 'sja', 'stelah', 'berhasil', 'chakin', 'harian', 'akn', 'hadiah', 'kuota', 'internet', 'dri', 'pengguna', 'poin', 'keluarkan', 'melebihi', 'dri', 'poin', 'sndri', 'trus', 'pulsa', 'hrs', 'kmi', 'keluarkan', 'harga', 'sma', 'sprti', 'beli', 'kuota', 'luaran', 'cba', 'pikir', 'ngapain', 'hrus', 'pkai', 'poin', 'bnyak', 'dpt', '']</t>
  </si>
  <si>
    <t>['turunkan', 'bintang', 'kecewa', 'berlangganan', 'combo', 'sakti', 'rb', 'pagi', 'berlangganan', 'paketnya', 'hilang', 'peredaran', 'disaat', 'kondisi', 'bumn', 'membantu', 'masyarakat', 'kemudahan', 'telkomsel', 'jujur', 'kecewa', 'ganti', 'provider', '']</t>
  </si>
  <si>
    <t>['maaf', 'kartu', 'gabisa', 'kuota', 'tertulis', 'kartu', 'sim', 'rusak', 'dibuka', 'kartu', 'aneh']</t>
  </si>
  <si>
    <t>['sinyal', 'telkomsel', 'bagus', 'sayangnya', 'habis', 'kuota', 'aktif', 'memotong', 'pulsa', 'utama', 'tanggung', 'menit', 'habis', 'pulsa', 'rb', 'peringatan', 'kuota', 'habis', 'lengah', 'sebentar', 'pulsa', 'apes', 'semoga', 'telkomsel', 'merubah', 'sistem', 'zolim', 'kpd', 'pelanggannya', '']</t>
  </si>
  <si>
    <t>['pulsa', 'tersedot', 'ribu', 'pemberitahuan', 'membeli', 'paket', 'kuota', 'membeli', 'paket', 'apapun', 'karna', 'pulsa', 'top', 'game', 'tersedot', 'telkomsel', 'strategi', 'telkomsel', '']</t>
  </si>
  <si>
    <t>['aplikasi', 'toloy', 'iya', 'aktif', 'sesuai', 'jam', 'gileee', 'pelit', 'bngt', 'operator', 'sinyal', 'jelek', 'mulu', 'paket', 'mehong', 'sesuai', 'servis', 'mending', 'pindah', 'axiata', '']</t>
  </si>
  <si>
    <t>['ribet', 'bayar', 'app', 'dana', 'ngk', 'pulsa', 'paket', 'bedakan', 'sisa', 'pulsannya', 'wkwkwkwkw', 'rugi', 'telkomsel', 'klu', 'user', 'tinggal', 'beli', 'kartu', 'pilihan', 'promo', 'wkakakkkk']</t>
  </si>
  <si>
    <t>['alhamdulillah', 'bagus', 'pertahankan', 'tingkatkan', 'kualitas', 'jaringan', 'wilayah', 'negara', 'indonesia', 'terima', 'kasih', 'telkomsel', '']</t>
  </si>
  <si>
    <t>['telkomsel', 'menghisap', 'pulsa', 'customer', 'telkomsel', 'dihisap', 'pulsa', 'minggu', 'udah', 'dihisap', 'paket', 'data', 'pls', 'dihisap', 'bumn', 'kayak', 'gini', 'bobrok', 'systemnya']</t>
  </si>
  <si>
    <t>['jaringan', 'telkomsel', 'mkn', 'ancur', 'mahal', 'hrga', 'paketnyal', 'kualitas', 'murahan', 'tlg', 'dung', 'provider', 'perbaiki', 'jaringannya', 'maen', 'game', 'jaringan', 'stabil', 'nyesel', 'make', 'telkomsel', '']</t>
  </si>
  <si>
    <t>['coba', 'iseng', 'beli', 'paket', 'ketengan', 'yutube', 'mggu', 'stlah', 'sukses', 'pembayaran', 'jeng', 'jenggg', 'bsa', 'konek', 'bufring', 'serasa', 'membeli', 'paket', 'ghoib', 'jalan', 'keluarnya', 'hapus', 'daftar', 'paket', 'gan', 'sis', 'makasih']</t>
  </si>
  <si>
    <t>['aplikasi', 'gila', 'udah', 'buka', 'kdang', 'bsa', 'trs', 'krimin', 'sms', 'sialnya', 'dikirimin', 'sms', 'pulsa', 'ambil', 'maling', 'matilah', 'hilang', 'perak']</t>
  </si>
  <si>
    <t>['area', 'banjarmasin', 'sinyal', 'kadang', 'kadang', 'lemah', 'telkomsel', 'kualitas', 'bagus', 'konsumen', 'berharap', 'perbaiki', 'kualitas', 'sinyalnya', '']</t>
  </si>
  <si>
    <t>['promo', 'internet', 'murahnya', 'pandemi', 'merakyat', 'harganya', 'pengangguran', 'pekerja', 'skrg', 'indonesia', 'pekerja', 'pendatang', 'negara', 'sipit', '']</t>
  </si>
  <si>
    <t>['nanya', 'data', 'marketing', 'telkomsel', 'data', 'pke', 'provider', 'nelpon', 'sms', 'abis', 'pulsa', 'hebat', 'marketing', 'gitu', 'fitur', 'penggunaan', 'pulsa', 'beserta', '']</t>
  </si>
  <si>
    <t>['beneran', 'gaada', 'kemajuan', 'telkomsel', 'youtube', 'macem', 'main', 'game', 'moba', 'sinyalnya', 'anjlok', 'anjlok', 'sumpah', 'deh', 'kali', 'banget', 'kecewa', 'telkomsel', 'gua', 'abisin', 'kuota', 'abis', 'ganti', 'provider', 'makan', 'ati', 'mulu', 'main', 'game', 'ngelag']</t>
  </si>
  <si>
    <t>['telkomsel', 'perbaiki', 'msalah', 'jaringan', 'udh', 'mahal', 'kualitas', 'jelek', 'gratis', 'papa', 'beli', 'mahal', 'mohon', 'diperhatikan', '']</t>
  </si>
  <si>
    <t>['terima', 'kasih', 'telkomsel', 'semoga', 'mobil', 'idaman', 'kepikiran', 'beli', 'mobil', 'kek', 'mna', 'nyari', 'duit', 'hati', 'kepengen', 'kali', 'mobil', 'semoga', 'mobil']</t>
  </si>
  <si>
    <t>['udah', 'komplain', 'engga', 'repost', 'sampe', 'beli', 'kartu', 'telkomsel', 'cumn', 'kartu', 'lamaku', 'lemot', 'ehh', 'update', 'canggih', 'cepet', 'memuaskan', 'pelanggan', 'mah', 'kontroversi', 'mulu', 'heran', 'deh', '']</t>
  </si>
  <si>
    <t>['lemot', 'telkomsel', 'nelfon', 'kayak', 'telkomsel', '']</t>
  </si>
  <si>
    <t>['paket', 'unlimited', 'telkom', 'paket', 'data', 'habis', 'diturunkan', 'kecepatan', 'kbps', 'kbps', 'mentok', 'kbps', 'itupun', 'menit', 'nipu', 'teroossss', '']</t>
  </si>
  <si>
    <t>['woi', 'paket', 'combo', 'sakti', 'ilang', 'udah', 'telkomsel', 'kali', 'paketnya', 'hilang', 'combo', 'sakti', 'gb', 'combo', 'sakti', 'gb', 'hilang', '']</t>
  </si>
  <si>
    <t>['operator', 'telkomsel', 'terhormat', 'kesini', 'jaringan', 'telkomsel', 'jelek', 'jaringan', 'penuh', 'dipakai', 'internet', 'loading', '']</t>
  </si>
  <si>
    <t>['aplikasi', 'buruk', 'liat', 'kuota', 'doank', 'harga', 'mahal', 'iklan', 'mulu', 'login', 'ribet', 'banget', 'auto', 'logout', 'loginblagi', 'ribet', 'sms', 'dll', 'sms', 'kena', 'bayar', 'parah', '']</t>
  </si>
  <si>
    <t>['setia', 'memakai', 'kartu', 'telkomsel', 'blm', 'menang', 'undian', 'poin', 'bismillah', 'semoga', 'kesempatan', 'kaliini', 'rezqi', 'undian', 'poin', 'priode', '']</t>
  </si>
  <si>
    <t>['dimanapun', 'telkomsel', 'jaringan', 'terkuat', 'menemaniku', 'belasan', 'setia', 'sayang', 'boros', 'hehehehe', 'telkomsel', '']</t>
  </si>
  <si>
    <t>['kartu', 'sim', 'promo', 'paket', 'internet', 'murah', 'beda', 'kartu', 'sim', 'teman', 'pilih', 'kasih', 'pakai', 'telkomsel', 'check', '']</t>
  </si>
  <si>
    <t>['penukaran', 'poin', 'undian', 'kolektif', 'langsung', 'ditentukan', 'ditukar', 'persatu', 'lumayan', 'makan', 'tukar', 'poinnya', 'terima', 'kasih', '']</t>
  </si>
  <si>
    <t>['akses', 'sangatttt', 'lemoooooootttt', 'masuk', 'halaman', 'beranda', 'aplikasi', 'hrs', 'menunggu', 'menit', 'halaman', 'beranda', 'hrs', 'nunggu', 'memilih', 'menu', 'ngelag', 'banget', '']</t>
  </si>
  <si>
    <t>['skrg', 'gopay', 'metode', 'pembayaran', 'bug', 'gopay', 'berlaku', '']</t>
  </si>
  <si>
    <t>['', 'pelanggan', 'telkomsel', 'itungan', 'thn', 'udh', 'thn', 'kecewa', 'isi', 'kuota', 'via', 'apk', 'isi', 'pulsa', 'pas', 'buka', 'apk', 'langsung', 'kepotong', 'agt', 'ngalami', 'beli', 'pulsa', 'rb', 'rb', 'total', 'rb', 'kuota', 'comb', 'sakti', 'gb', 'pas', 'buka', 'apk', 'pulsa', 'cepatnya', 'gila', 'kayak', 'balapan', 'gini', 'kecewa', 'sistem', 'layanan', 'spt']</t>
  </si>
  <si>
    <t>['parah', 'pengguna', 'setia', 'simpati', 'belasan', 'paket', 'internet', 'mahal', 'dibandingkan', 'kompetitor', 'telkomsel', 'beda', 'jenis', 'kartu', 'beda', 'harganya', 'tlp', 'internet', 'aktif', 'ganti', 'kartu', 'nomer', 'nerima', 'tlp', 'okelah', 'signal', 'full', 'kaya', 'jaman', 'signal', 'full', 'internet', 'telpon', 'lancar', 'signal', 'full', 'lemotnya', 'parah', 'banget', 'device', 'poco', 'nfc']</t>
  </si>
  <si>
    <t>['kasih', 'penilaian', 'jelek', 'kesal', 'isi', 'pulsa', 'kesedot', 'langsung', 'habis', 'pulsa', 'data', 'internet', 'dimatiin', 'pakai', 'houspot', 'wifi', 'kecewa', 'telkomsel']</t>
  </si>
  <si>
    <t>['', 'aplikasi', 'tulisannya', 'unlimited', 'harga', 'ribu', 'pulsa', 'ribu', 'pas', 'daftarin', 'sms', 'pulsa', 'paham', 'gua', 'telkomsel', 'develop', 'aplikasinya', 'update', 'harga', 'terbaru', 'mending', 'putus', 'kontrak', 'cari', 'anak', 'magang', 'cekatan', 'kayaknya']</t>
  </si>
  <si>
    <t>['pembelian', 'paket', 'mudah', 'keterangan', 'paket', 'dimengerti', 'promo', 'diperbanyak', 'paket', 'internet', 'aplikasi', 'sosmed', 'diadakan', '']</t>
  </si>
  <si>
    <t>['dear', 'telkomsel', 'mohon', 'diperbaiki', 'jaringannya', 'bayar', 'mahal', 'mahal', 'didapatkan', 'memuaskan', 'pakai', 'telkomsel', 'jamannya', 'prabayar', 'sampe', 'pasca', 'bayar', 'haduuuh', 'jaringannya', 'parah', 'bener', 'bermain', 'game', 'mobile', 'legend', 'ping', 'jaringan', 'dapatkan', 'diluar', 'rumah', 'mainnya', 'mohon', 'diperbaiki', 'terima', 'kasih', '']</t>
  </si>
  <si>
    <t>['sinyal', 'hilang', 'membeli', 'paket', 'swadaya', 'gratis', 'menit', 'operator', '']</t>
  </si>
  <si>
    <t>['simpati', 'harga', 'paket', 'omg', 'gb', 'rb', 'temen', 'omg', 'gb', 'rb', 'adil', 'banget', 'telkomsel', 'konsumen', 'hengkang', 'telkomsel', 'kek', 'gini', 'makasih', '']</t>
  </si>
  <si>
    <t>['menikah', 'istri', 'diem', 'kampung', 'istri', 'banjaran', 'kab', 'bandung', 'sinyal', 'simpati', 'bagus', 'parah', 'banget', 'tolong', 'telkomsel', 'diperhatikan', 'pantes', 'kampung', 'populasi', 'ribuan', 'pengguna', 'telkomsel', 'cuman', 'pergunungan', 'hutan', 'parah', '']</t>
  </si>
  <si>
    <t>['telkomsel', 'jaringan', 'jelek', 'paraahhh', 'sllu', 'putus', 'kya', 'kebon', 'ilang', 'trus', 'perubahan', 'sma', 'prcuma', 'byar', 'tpi', 'bwt', 'kecewa', 'udh', 'byar', 'mahal', 'tpi', 'signal', 'jelek', 'emosi', 'udh', 'ngadu', 'jaringan', 'jelek', 'bnyak', 'kasih', 'tpi', 'bgtu', 'kya', 'respon', 'sma', 'tolong', 'langsung', 'perbaiki', 'jaringan', 'nyuruh', 'chat', 'amail', 'telkomsel', 'dsni', 'keluhannya', 'ganti', 'krtu', 'bgni', 'trus']</t>
  </si>
  <si>
    <t>['paketin', 'udh', 'bngt', 'notifikasi', 'sms', 'iming', 'paket', 'murah', 'sorry', 'enak', 'pakai', 'paket', 'sebelah', 'harga', 'rb', 'dpt', 'kuota', 'gb', 'koneksi', 'lancar', 'jaya', 'pakai', 'telkomsel', 'rb', 'dpt', 'gb', 'udh', 'gitu', 'banget', 'sinyal', 'internet', 'jdi', 'lemot', 'pakai', 'kartu', 'telkomsel', 'umur', 'mikir', 'beli', 'paket', 'telkomsel', '']</t>
  </si>
  <si>
    <t>['kecewa', 'banget', 'telkomsel', 'nomer', 'aktif', 'blokir', 'hadeeehhh', 'bener', 'bener', 'kecewa', 'banget', 'kapok', 'telkomsel']</t>
  </si>
  <si>
    <t>['bbrp', 'jaringan', 'super', 'lemot', 'dikit', 'mulu', 'acara', 'blokir', 'situs', 'halah', '']</t>
  </si>
  <si>
    <t>['jaringan', 'ngeleg', 'hayu', 'boong', 'emang', 'bner', 'ngelag', 'eror', 'jaringannya']</t>
  </si>
  <si>
    <t>['tlong', 'jng', 'update', 'aplikasi', 'broo', 'jaringan', 'tolong', 'update', 'rawa', 'bojong', 'gede', 'jelek', 'paket', 'swadaya', 'rb', 'lancar', 'giliran', 'pke', 'pket', 'unlimited', 'rb', 'knp', 'lemot', 'parah', 'parah', 'parah', '']</t>
  </si>
  <si>
    <t>['telkomsel', 'disaat', 'hujan', 'sinyalnya', 'suka', 'ilang', 'susah', 'sinyal', 'overall', 'telkomsel', 'ngasih', 'keringanan', 'sipengguna', 'stlah', 'donwload', 'app', 'cek', 'suka', 'menang', 'kuota', 'giga', 'byte', 'lumayan', 'cek', 'app', 'telkomsel', 'the', 'best']</t>
  </si>
  <si>
    <t>['payah', 'telkomsel', 'paket', 'mahal', 'signal', 'lelet', 'jaring', 'hilang', 'mending', 'kayak', 'gini', 'telkomsel', 'signal', 'mna', 'oke', 'lelet', 'kayak', 'gini']</t>
  </si>
  <si>
    <t>['operator', 'ngebut', 'telkomsel', 'lelet', 'kesel', 'main', 'game', 'jaringan', 'setabil', 'manteng', 'tolong', 'tingkatkan', 'service', '']</t>
  </si>
  <si>
    <t>['kelemahan', 'fatal', 'app', 'solusinya', 'kecuali', 'wifian', 'beli', 'paket', 'data', 'via', 'app', 'paket', 'data', 'habis', 'beli', 'via', 'aplikasi', 'terkadang', 'kadang', 'ngeselin', 'aplikasinya', 'dimana', 'beli', 'paket', 'gagal', 'diproses', 'pembayaran', 'pulsa', 'mencukupi', 'giliran', 'nanya', 'vero', 'inti', 'jawabannya', 'mencoba', 'ulasan', 'edisi', 'update', 'app', '']</t>
  </si>
  <si>
    <t>['pakai', 'paket', 'combo', 'giga', 'menit', 'bicara', 'paketnya', 'internetnya', 'bicara', 'menit', 'dibeli', 'harga', 'paket', 'bicara', 'menit', 'nomor', 'menit', 'bonus', 'paket', 'bicara', 'dikurangi', 'kecewa']</t>
  </si>
  <si>
    <t>['kecewa', 'update', 'loading', 'sekian', 'edit', 'agustus', 'good', 'job', 'bintang', 'telkomsel', 'responsif', 'elegan', 'berkelas', 'suka', '']</t>
  </si>
  <si>
    <t>['telkomsel', 'mengunci', 'pulsa', 'engga', 'kesedot', 'data', 'paket', 'data', 'habis', 'time', 'limitnya', 'sungguh', 'mengganggu', 'paket', 'data', 'habis', 'pas', 'pagi', 'cek', 'pulsa', 'kesedot', 'habis', 'diperbaiki', 'dasar', '']</t>
  </si>
  <si>
    <t>['basted', 'kanapa', 'desa', 'perkampungan', 'kouta', 'utama', 'ngak', 'beli', 'makassar', 'kouta', 'jaringannya', 'lemot', 'telkomsel', 'knpa', 'rugi', 'sya', 'beli', 'kouta', 'sia', 'ngak', 'pakai', 'rugi', 'tolong', 'perbaiki', 'kouta', 'utama', 'pakai', 'daerah', 'indonesia', 'kasi', 'bintang', 'karna', 'seru', 'kartunya', 'enak', '']</t>
  </si>
  <si>
    <t>['coba', 'beli', 'combo', 'sakti', 'mahal', 'lemot', 'ampun', 'modal', 'menarik', 'kuota', 'sinyal', 'parah', 'banget', 'not', 'worth', '']</t>
  </si>
  <si>
    <t>['provider', 'buruk', 'penipu', 'pelanggan', 'menyesal', 'memakai', 'telkomsel', 'halo', 'diawal', 'bilangnya', 'apresiasi', 'pelanggan', 'ujung', 'membatasi', 'pelanggan', 'buruk']</t>
  </si>
  <si>
    <t>['telkomsel', 'kesini', 'parah', 'sinyal', 'hilang', 'mentang', 'mentang', 'daerah', 'pedesaan', 'diprioritaskan', 'dikota', 'mengecewakan', 'pemadaman', 'listrik', 'seharian', 'sinyal', 'nol', 'memutar', 'video', 'youtube', 'kirim', 'susah', 'operator', 'untungnya', 'doang', 'pelayanan', 'nihil', 'payah']</t>
  </si>
  <si>
    <t>['', 'sarankan', 'penduduk', 'kampung', 'pakai', 'telkomsel', 'sinyalnya', 'menipu', 'balok', 'paket', 'mahal', 'mahal', 'mending', 'pakai', 'kartu', 'semoga', 'rugi', 'pakai', 'telkomsel', 'berhenti', '']</t>
  </si>
  <si>
    <t>['beli', 'paket', 'telkomsel', 'kendala', 'sistem', 'sibuk', 'sosusinya', 'kasih', 'bintang']</t>
  </si>
  <si>
    <t>['beli', 'paket', 'tanggal', 'juli', 'keterangannya', 'sms', 'tgl', 'agustus', 'udah', 'abis', 'pakrt', 'kebiasaan', 'terjadwal', 'belinya', 'sinyalnya', 'jelek', 'banget', 'harga', 'paket', 'mahal', 'sinyal', 'jelek', 'aktif', 'paket', 'korup', 'gimana', '']</t>
  </si>
  <si>
    <t>['gini', 'minjam', 'paket', 'darurat', 'pulsa', 'ilang', 'telkomsel', 'anjg', 'isi', 'pulsa', 'udh', 'potong', 'tinggal', 'isi', 'pulsa', 'pagi', 'nelpon', 'kepotong', 'pulsanya', 'blm', 'pulsanya', 'udh', 'ilang', 'isi', 'pulsa', 'gitu', 'ampe', 'abes', 'duit', 'segunung', 'anjg', 'butuh', 'keadilan', 'anjg', 'balek', 'pulsa', 'kontolllllllllll', 'tolong', 'direspon', 'developer']</t>
  </si>
  <si>
    <t>['permisi', 'min', 'udah', 'membeli', 'paket', 'ceria', 'terkendala', 'balasan', 'tanda', 'paket', 'aktif', '']</t>
  </si>
  <si>
    <t>['telkomsel', 'isi', 'pulsa', 'terjebak', 'migrasi', 'kartu', 'halo', 'menyayangkan', 'nomor', 'ganti', 'kartu', 'repot', 'bayar', 'tagihan', 'lumayan', 'telkomsel', 'kartu', 'halo', 'terkesan', 'kalangan', '']</t>
  </si>
  <si>
    <t>['membantu', 'banget', 'harap', 'apk', 'telkomsel', 'tulisan', 'ber', 'bahasa', 'indonesia', 'mudah', 'mengerti', 'suluruh', 'pengguna', 'telkomsel', 'terimakasih', 'telkomsel']</t>
  </si>
  <si>
    <t>['sinyal', 'lemot', 'anak', 'kesulitan', 'zoom', 'sekolah', 'pelanggan', 'telkomsel', 'pindah', 'disayangkan', 'memilih', 'telkomsel', 'biarpun', 'mahal', 'sinyalnya', 'bagus', '']</t>
  </si>
  <si>
    <t>['', 'telkomse', 'kesall', 'sinyal', 'lemot', 'pakai', 'telkomsel', 'kau', 'pemakaian', 'data', 'mahal', 'lemot', 'sinyal', 'coba', 'diganti', 'mending', 'sinyal', 'lemot', '']</t>
  </si>
  <si>
    <t>['telkomsel', 'berhenti', 'beroperasi', 'bagus', 'buruk', 'mati', 'lampu', 'mati', 'sinyal', 'telkomsel', 'perbaiki', 'kondusif', 'tutup', 'kecewa', 'pengguna', 'telkomsel', 'area', 'sumatera', 'utara']</t>
  </si>
  <si>
    <t>['aplikasi', 'bagus', 'praktis', 'beli', 'kuota', 'games', 'main', 'game', 'online', 'yaa', 'pliss', 'fix', 'thnk']</t>
  </si>
  <si>
    <t>['internet', 'pulsa', 'kesedot', 'udah', 'klasik', 'telkomsel', 'tolong', 'diperbaiki', 'admin', 'internet', 'paket', 'internetnya', 'habis', 'putuskan', 'otomatis', 'internetnya', 'pulsa', 'pelanggan', 'pakai', 'teimakasih']</t>
  </si>
  <si>
    <t>['pribadi', 'membantu', 'pengguna', 'telkomsel', 'cek', 'pulsa', 'kuota', 'internet', 'tinggal', 'masuk', 'ajh', 'aplikasinya', 'klau', 'cek', 'pulsa', 'tekan', 'nomor', 'tinggl', 'brpa', 'kuota', 'internet', 'apk', 'membantu', 'kereenn', '']</t>
  </si>
  <si>
    <t>['tolong', 'donk', 'saran', 'kuota', 'habis', 'telkomsel', 'hrs', 'persetujuan', 'dlu', 'kuota', 'tarif', 'normal', 'lgsg', 'sedot', 'ijin', '']</t>
  </si>
  <si>
    <t>['listrik', 'mati', 'ber', 'mingu', 'data', 'mati', 'ber', 'mingu', 'mas', 'aktip', 'data', 'kenal', 'toleransi', 'harii', 'gini', 'lestrik', 'mati', 'tower', 'mati', 'merampok', 'uang', 'orang', 'data', 'terbuang', 'sampei', 'kap', 'nunukan', 'mati', 'lampu', 'tolong', 'kasih', 'toleransi', 'percaya', 'cek', 'namer']</t>
  </si>
  <si>
    <t>['informasi', 'penawaran', 'kuota', 'merata', 'aktif', 'harapannya', 'jaringan', 'ditambah', 'kecepatanny', 'aktif', 'perpanjang', 'bravo', 'telkomsel', '']</t>
  </si>
  <si>
    <t>['tolong', 'memperbaiki', 'bug', 'apk', 'beli', 'paket', 'internet', 'apk', 'pulsa', 'dimakan', 'paket', 'timbul', 'udah', 'ulangi', 'beli', 'paket', 'pulsa', 'pulsa', 'habis', 'paket', 'dapet', 'tolong', 'anjg', 'tolong', 'kelen', 'perbaiki', 'kali', 'respon', 'anjeng']</t>
  </si>
  <si>
    <t>['tolong', 'benerin', 'peraturan', 'perusahaan', 'telkomsel', 'beli', 'paket', 'wib', 'jam', 'paket', 'habis', 'tertulis', 'jam', 'seharus', 'beli', 'paket', 'jam', 'wib', 'besoknya', 'habis', 'jam', 'wib', 'ngga', 'pelanggan', 'beli', 'paket', 'jam', 'trs', 'jam', 'habis', 'aneh', 'cuman', 'jam', 'doang', 'jam', 'tolong', 'perbaiki', 'peraturan', 'perusahaan', 'telkomsel', 'perdana', 'sesuai', 'jam']</t>
  </si>
  <si>
    <t>['isi', 'pulsa', 'langsung', 'habis', 'tolong', 'pisah', 'paket', 'data', 'pulsa', 'malas', 'isi', 'pulsa', 'langsung', 'sedot', 'orang', 'tua', 'kampung', 'pakai', 'telkomsel', 'pakai', 'kartu']</t>
  </si>
  <si>
    <t>['beli', 'kuota', 'unlimited', 'youtube', 'pas', 'dipakai', 'pulsa', 'milik', 'kesedot', 'telkomsel', 'bagus', 'jelek', 'performanya', 'mending', 'pindah', 'profider', '']</t>
  </si>
  <si>
    <t>['mentang', 'bumn', 'memberlakukan', 'kebijakan', 'cek', 'kuota', 'internet', 'wajib', 'pakai', 'aplikasi', 'sisa', 'kouta', 'berlakunya', 'habis', 'semoga', 'berkah', 'bisnis', 'aplikasi', 'bermutu', 'loginnya', 'akumulasi', 'sisa', 'kouta', 'habis', 'berlakunya', 'kouta', 'murni', 'jam', 'embel', 'maklum', 'murni', 'perusahaan', 'negara', 'rakyat', 'indonesia', 'bisnis', '']</t>
  </si>
  <si>
    <t>['sinyal', 'buruk', 'banget', 'kuota', 'mahal', 'jaringan', 'internet', 'jelek', 'lambat', 'tolong', 'perbaiki', 'tmbah', 'jelek', 'sinyalnya', 'ganti', 'dahhh']</t>
  </si>
  <si>
    <t>['sms', 'pulsa', 'mencukupi', 'aktipkan', 'paket', 'darurat', 'pulsa', 'pas', 'isi', 'pulsa', 'ribu', 'langsung', 'hilang', 'keterangan', 'membayar', 'paket', 'darurat', 'sblumnya', 'mengaktifkan', 'paket', 'darurat']</t>
  </si>
  <si>
    <t>['jaringanya', 'tolong', 'diperbaiki', 'karna', 'error', 'sore', 'malam', 'memperngaruhi', 'onbid', 'ojol', 'performa', 'daring', 'mengajar', '']</t>
  </si>
  <si>
    <t>['kasi', 'jujur', 'telkomsel', 'semangkin', 'parah', 'jaringan', 'bagus', 'tagihannya', 'semangkin', 'mahal', 'tolong', 'perbaiki', 'mahal', 'berkualitas', '']</t>
  </si>
  <si>
    <t>['diperbarui', 'dibuka', 'muncul', 'diperbarui', 'dipencet', 'pembaruan', 'gimana', 'opr', 'telkomsel', 'aplikasinya', 'ecek', 'ecek', 'malu', 'in', 'bagus', 'diotak', 'atik', 'magang', 'becus']</t>
  </si>
  <si>
    <t>['kak', 'gmn', 'beli', 'kuota', 'belajar', 'kepake', 'udah', 'conference', 'zoom', 'ganti', 'jaringan', 'data', 'telkom', 'out', 'zoom', 'kuota', 'dipale', 'ngapain', 'nama', 'kuota', 'belajar', 'zoom', 'trust', 'dipake', 'beli', 'rb', 'gb', 'saranin', 'teman', 'mikir', 'beli', 'kuota', 'belajar', 'telkom', '']</t>
  </si>
  <si>
    <t>['menang', 'cek', 'tunai', 'jta', 'dipoin', 'link', 'sms', 'langsung', 'providers', 'nomor', 'csnya', 'mengabaikan', 'sms', 'aktiv', 'undi', 'undi', 'telkomsel', 'poling', 'pokoknya', 'kirim', 'poin', 'grandfrice', 'toyota', 'yaris', 'masuk', 'poin', 'nomor', 'undian', 'awas', 'bohong', 'peluru', 'buble', 'menembus', 'kepala', 'telkomsel', '']</t>
  </si>
  <si>
    <t>['laporan', 'point', 'puluhan', 'kali', 'poin', 'tuker', 'gagal', 'mulu', 'poin', 'udah', 'ratusan', 'emang', 'berlaku', 'adain', 'tukar', 'poin', 'laporan', 'poinlah', 'berguna', 'dipakai']</t>
  </si>
  <si>
    <t>['pembayaran', 'pembelian', 'kuota', 'gopay', 'muncul', 'maaf', 'gangguan', 'sistem', 'gitu', 'pasahal', 'update', 'lancar', 'lancar']</t>
  </si>
  <si>
    <t>['jaringan', 'buruk', 'complain', 'pengguna', 'gitu', 'tingkatin', 'fasilitas', 'jaringan', 'komsumen', 'complain', 'enak', 'beralih', 'perdana', 'sebelah', 'lancar', 'jaringan', '']</t>
  </si>
  <si>
    <t>['tolong', 'telkomsel', 'paket', 'habis', 'langsung', 'dipakai', 'pulsa', 'pelanggan', 'kecolongan', 'habis', 'pulsanya', 'jaringan', 'permasalahkan', 'lelet', '']</t>
  </si>
  <si>
    <t>['gimana', 'min', 'login', 'susah', 'dikirim', 'kode', 'otp', 'klik', 'login', 'solusi', 'solusi', 'solusi', 'min']</t>
  </si>
  <si>
    <t>['beli', 'paket', 'aktivasi', 'blom', 'aktif', 'pulsa', 'utama', 'kesedot', 'ceck', 'habis', 'gunain', 'internet', 'data', 'off', 'macem', 'gini', 'aplikasi', 'pdahal', 'dlu', 'bagus', 'bngt', 'loch']</t>
  </si>
  <si>
    <t>['udah', 'isi', 'pulsa', 'notifikasi', 'pulsa', 'masuk', 'telkomsel', 'belom', 'pulsa', 'gabisa', 'beli', 'paket', 'udah', 'refresh', 'berkali', 'kali', 'tetep', 'belom', '']</t>
  </si>
  <si>
    <t>['langgan', 'paket', 'interner', 'seminggu', 'sehari', 'kepake', 'kepotong', 'pulsa', 'legiler', 'habis', 'tersisa', 'sisaquota', 'giga', '']</t>
  </si>
  <si>
    <t>['daftar', 'paket', 'unlimited', 'jaringan', 'bagus', 'bagus', 'daftar', 'paket', 'mendadak', 'sinyal', 'stabil', 'tuk', 'masuk', 'apl', 'telkomsel', 'gagal', 'mengecewakan', 'jaringan', 'telkomsel', 'payah', 'buka', 'aplikasi', 'whatsapp', '']</t>
  </si>
  <si>
    <t>['pengen', 'liat', 'telkomsel', 'ulasan', 'bagus', 'cuman', 'komplain', 'doang', 'bener', 'update', 'sinyal', 'lemot', 'banget', 'aplikasi', 'login', 'ulang', 'hadeuh']</t>
  </si>
  <si>
    <t>['jelek', 'harga', 'sesuai', 'kualitas', 'jaringan', 'lemot', 'lemot', 'lemot', 'parah', 'streaming', 'ngeleg', 'parah', 'beli', 'kuota', 'buang', 'buang', 'duit', 'lemot']</t>
  </si>
  <si>
    <t>['senang', 'buk', 'aplikasi', 'telkomsel', 'ngak', 'sms', 'aplikasinya', 'bagus', 'banget', 'makannya', 'buruan', 'download', 'ngk', 'ngeliat', 'kebawah', 'aplikasinya', 'bagus', 'banget', 'siih', '']</t>
  </si>
  <si>
    <t>['dikota', 'jaringan', 'data', 'bagus', 'pinggiran', 'kota', 'jaringan', 'hilang', 'laporkan', 'veronica', 'live', 'chat', 'pemeriksaan', 'tower', 'kabel', 'hilang', 'penyebab', 'lelet', 'solusinya', 'pinggiran', 'kota', 'jaringan', 'lelet', 'lapor', 'resminya', 'grapari', 'ngantrinya', 'prosesnya', 'mahal', 'maklum', 'orang', 'miskin', 'bodoh', 'maaf', 'ocehhan', 'salah', 'orang', '']</t>
  </si>
  <si>
    <t>['mohon', 'paket', 'internet', 'corporate', 'full', 'internet', 'dimana', 'dibagi', 'kedalam', 'internet', 'lokal', 'kesibukan', 'pekerjaan', 'menetap', 'wilayah']</t>
  </si>
  <si>
    <t>['pakai', 'telkomsel', 'telkomsel', 'pencuri', 'saldo', 'pulsa', 'saldo', 'pulsanya', 'cek', 'pulsa', 'berkurang', 'mengeluhkan', 'mohon', 'telkomsel', 'hilangkan', 'ketidak', 'nyamanan']</t>
  </si>
  <si>
    <t>['susah', 'login', 'wifi', 'hospot', 'temen', 'beli', 'paket', 'muat', 'ulang', 'teruuuusssss', 'pancar', 'lamaaa', 'asli', 'emosi', '']</t>
  </si>
  <si>
    <t>['telkomsel', 'jancook', 'hidup', 'data', 'pulsa', 'rb', 'habis', 'kemana', 'paket', 'data', 'pulsa', 'sedot', 'sampek', 'anjeng', 'anjeng', 'kuntull', '']</t>
  </si>
  <si>
    <t>['paket', 'internet', 'putus', 'laporan', 'telkomsel', 'disuruh', 'coba', 'ganti', 'suruh', 'ganti', 'bukanya', 'kirim', 'teknisi', 'cek', 'daerah', 'putus', 'sinyal', 'internetnya', 'kasih', 'solusi', 'kayak', 'ampas']</t>
  </si>
  <si>
    <t>['bagus', 'cepat', 'tolong', 'mengisi', 'survey', 'kepuasan', 'muncul', 'mohon', 'maaf', 'mengganggu', '']</t>
  </si>
  <si>
    <t>['syarat', 'ketentuan', 'pembelian', 'paket', 'unlimited', 'nelpon', 'sesuai', 'pelaksanaannya', 'memotong', 'paket', 'pdhl', 'syarat', 'ketentuan', 'laporan', 'berkali', 'respond', 'lambat', 'menunggu', 'org', 'lupa', 'ttg', 'pengaduan', 'org', 'bersifat', 'random', 'pdhl', 'syarat', 'ketentuan', 'pembelian', 'tertulis', 'kesalahan', 'perusahaan', 'sekelas', 'telkomsel', 'beli', 'paket', 'rb', 'jt', 'penduduk', '']</t>
  </si>
  <si>
    <t>['beli', 'paket', 'combo', 'thrifty', 'mnt', 'tsel', 'sms', 'tsel', 'sayang', 'telp', 'masuk', 'mnt', 'mnt', 'dipromosikan', 'komplain', 'penyelesaian', '']</t>
  </si>
  <si>
    <t>['tolong', 'terkait', 'memaksimalkan', 'kinerja', 'jaringan', 'banget', 'bermasalah', 'jaringan', 'bayar', 'mahal', 'tpi', 'bermasalah', 'masak', 'kalah', 'jaringan', 'abal', '']</t>
  </si>
  <si>
    <t>['beli', 'paket', 'bonus', 'paket', 'disney', 'hostar', 'pas', 'memutar', 'filmnya', 'paket', 'utama', 'embat', 'halnya', 'penipuan', 'kasi', 'bintang', 'karna', 'kecewa', 'janji', 'manis', 'telkomsel', 'komitmen', 'paket']</t>
  </si>
  <si>
    <t>['mahal', 'dibanding', 'provider', 'harga', 'promo', 'bedanya', 'pembagian', 'paket', 'berguna', '']</t>
  </si>
  <si>
    <t>['beli', 'paket', 'sore', 'paket', 'masuk', 'ujan', 'angin', 'badai', 'sinyal', 'kuat', 'doang', 'gitu', 'kecewa', 'bet', 'sumpah']</t>
  </si>
  <si>
    <t>['aplikasi', 'buruk', 'bagus', 'pengupgradetanya', 'bobrok', 'instal', 'kagak', 'kecewa', 'paketan', 'mahal', 'perparah', 'kebobrokan', 'aplikasinya', 'kecewaa', '']</t>
  </si>
  <si>
    <t>['unlimited', 'batasnya', 'mencapai', 'batas', 'liat', 'poto', 'muter', 'boro', 'boro', 'buka', 'tik', 'tok', 'gua', 'beli', 'kaya', 'gitu', 'rugi', 'banget', 'sumpah', 'tolong', 'perbaiki', 'min', 'otaknya', 'paketnya']</t>
  </si>
  <si>
    <t>['kartu', 'pasca', 'bayar', 'kartu', 'halo', 'pra', 'bayar', 'karna', 'paket', 'bayar', 'rb', 'mba', 'custamernya', 'konfirmasi', 'muncul', 'artian', 'pajak', 'cantumkan', 'nominalnya', 'total', 'rb', 'pajak', 'rb', 'tekor', 'boss', 'qyu', 'intinya', 'berhenti', 'berlangganan', 'kartu', 'halo', 'pasca', 'bayar', 'terima', 'kasih']</t>
  </si>
  <si>
    <t>['gmn', 'buka', 'aplikasinya', 'berat', 'udah', 'masuk', 'nge', 'blank', 'berat', 'pokoknya', 'kalah', 'ama', 'aplikasi', 'sebelah', 'permudah', 'pemakaian', 'aplikasinya', '']</t>
  </si>
  <si>
    <t>['jelek', 'pulsa', 'telkomsel', 'membeli', 'berlangganan', 'app', 'game', 'google', 'play', 'riwayat', 'pembelian', 'pembayaran', '']</t>
  </si>
  <si>
    <t>['update', 'aplikasi', 'kualitas', 'jaringannya', 'diperbaiki', 'paketan', 'harganya', 'mahal', 'bintang', 'yak', 'maap', 'min']</t>
  </si>
  <si>
    <t>['telkomsel', 'jaringannya', 'kayak', 'kotoran', 'lemot', 'ampun', 'orang', 'beli', 'paket', 'uang', 'daun', 'kering', 'tolong', 'kasih', 'kenyamanan', 'pelanggan', '']</t>
  </si>
  <si>
    <t>['buruk', 'pengguna', 'telkomsel', 'puluhan', 'kesini', 'jaringan', 'buruk', 'kebun', 'binatang', 'mulut', 'bermain', 'game', 'buka', 'apk', 'muter', 'stress', 'gila', 'kacau', 'harga', 'mahal', 'maksimal', 'sungguh', 'kecewa', '']</t>
  </si>
  <si>
    <t>['poin', 'isi', 'ulangnya', 'tukar', 'poin', 'menang', 'mobil', 'toyota', 'yaris', 'bgm', 'undiannya', 'bro', 'aplikasi', 'merugikan', 'konsumen', 'koreksi', '']</t>
  </si>
  <si>
    <t>['provider', 'tertua', 'negeri', 'sayang', 'harga', 'paket', 'data', 'internetnya', 'pengertian', 'dzaman', 'sudh', 'didominasi', 'jringn', 'internet', 'harga', 'mehong', '']</t>
  </si>
  <si>
    <t>['', 'sore', 'telkomsel', 'jaringan', 'ilang', 'kartu', 'sim', 'kaya', 'copot', 'kebaca', 'payah', 'sumpah', 'telkomsel', 'terganggu', 'kaya', 'gini', 'trus', 'bener', 'beli', 'mahal', 'paketannya', '']</t>
  </si>
  <si>
    <t>['jaringan', 'buruk', 'minggu', 'tunggu', 'perbaikan', 'jaringan', 'edge', 'hancur', 'manyuruh', 'melakukam', 'restar', 'menyobanya', 'kali', 'hasilnya', 'nol', 'andai', 'daerah', 'provider', 'pindah', 'provider', 'telkomsel', 'komentar', 'orang', 'orang', 'baca', 'baca', 'tolong', 'perbaiki', 'kecewa', 'kondisi', 'telkomsel', '']</t>
  </si>
  <si>
    <t>['terpaksa', 'kasih', 'bintang', 'telkomsel', 'lemot', 'sinyalnya', 'hilang', 'tinggal', 'kota', 'mahal', 'beli', 'kuota']</t>
  </si>
  <si>
    <t>['udah', 'banget', 'telkomsel', 'kecewa', 'udah', 'nelpon', 'operator', 'reset', 'ganti', 'tetep', 'jaringanny', 'loadingg', 'banget', 'gereget', 'ampun', 'tawarin', 'pindah', 'paket', 'promo', 'apalah', 'bodo', 'mahhh', 'paket', 'internetnya', 'payah', 'gregettttt', 'maless', '']</t>
  </si>
  <si>
    <t>['beli', 'paket', 'pilihan', 'unlimited', 'beli', 'pulsa', 'pilihanya', 'hilang', 'kaya', 'gini', 'politik', 'telkomsel', 'kmrn', 'beli', 'paket', 'unlimited', 'youtube', 'seminggu', 'cuman', 'sebel', 'telkomsel', 'kwalitas', 'telkomsel', '']</t>
  </si>
  <si>
    <t>['gimana', 'aplikasi', 'beli', 'pulsa', 'platform', 'mytelkomsel', 'udah', 'transfer', 'saldo', 'kepotong', 'pulsanya', 'masuk', 'sampe', 'skrg', '']</t>
  </si>
  <si>
    <t>['paket', 'ekstra', 'unlimited', 'max', 'tambahin', 'wilayah', 'sragen', 'wilayah', 'indonesia', 'indonesia', 'beda', 'beda', 'kannn', '']</t>
  </si>
  <si>
    <t>['tolong', 'jaringan', 'perkuat', 'daerah', 'pakai', 'telkomsel', 'tpi', 'sayang', 'ngeluh', 'gara', 'jaringan', 'putus', 'game', 'susah', 'banget', 'jaringan', 'telkomsel', 'tolong', 'min', 'perkuat', 'jaringan', 'telkomsel', 'area', 'bojonegoro', 'tower', 'susah', 'jaringan', 'kasih', 'bintang', 'kecewa', 'telkomsel', '']</t>
  </si>
  <si>
    <t>['tolong', 'perbaiki', 'kode', 'puk', 'nomor', 'lemot', 'aplikasi', 'terimah', 'kasih', '']</t>
  </si>
  <si>
    <t>['ketik', 'abis', 'kejadianya', 'telkomsel', 'babi', 'jaringan', 'hilang', 'sinyal', 'pas', 'main', 'game', 'trus', 'dibilang', 'kartu', 'sim', 'jaringan', 'kayak', 'gini', 'slalu', 'mendukung', '']</t>
  </si>
  <si>
    <t>['paket', 'bicara', 'sms', 'internet', 'undian', 'berhadiahnya', 'semoga', 'menang', 'undian', 'motor', 'nmaxnya', 'hehehe', 'okey', 'like', '']</t>
  </si>
  <si>
    <t>['kouta', 'mahal', 'banget', 'jaringan', 'stabil', 'buang', 'kartu', 'telkomsel', 'mending', 'indosat', 'koutanya', 'murah', 'jaringan', 'lumayan', 'nonton', 'main', 'game', 'lancar', 'untung', 'im', 'aman', 'kouta', 'kayak', 'telko', 'puyeng']</t>
  </si>
  <si>
    <t>['apk', 'bngst', 'buruk', 'sedunia', 'gara', 'gara', 'apk', 'gua', 'depresi', 'pulsa', 'gua', 'kesedot', 'update', 'kesedot', 'pulsa', 'gua', 'kesedot', 'beli', 'paket', 'belajar', 'daring', 'gara', 'gara', 'apk', 'gua', 'marahin', 'ortu', 'pertanggung', 'ngak', 'doa', 'apk', 'bangkrut', 'sebangkrut', 'amin']</t>
  </si>
  <si>
    <t>['parah', 'nye', 'turun', 'harga', 'paket', 'nye', 'heee', 'kondisi', 'kaya', 'gini', 'pelnggan', 'mah', 'paketnye', 'murah', 'wort', 'gue', 'pelanggan', 'nomor', 'gue', 'dapet', 'paket', 'wort', 'dapetnye', 'mahalmulu', 'apaiya', 'protes', 'dikasih', 'murah', 'sinyal', 'nye', 'patah', 'tolong', 'telkom', 'pikirin', 'pelnggan', 'pelanggan', 'pindah', 'brand', 'sebelah', 'dikasih', 'pilihn', 'paket', 'mahal', 'mulu', 'gue', 'orang', 'kaya', '']</t>
  </si>
  <si>
    <t>['maap', 'ganti', 'bintang', 'lelet', 'lemot', 'andalan', 'kerja', 'amburadul', 'gara', 'lemotnya', 'udah', 'pelanggan', 'kali', 'kecewa', 'parah', '']</t>
  </si>
  <si>
    <t>['krnapa', 'paket', 'unlimited', 'bayar', 'mahal', 'paket', 'unlimited', 'utu', 'namanya', 'limited', 'min', 'deh', 'kadi', 'kek', 'rugi', 'beli', 'unlimited', 'sekian', 'terima', 'kuota']</t>
  </si>
  <si>
    <t>['jaringan', 'telkon', 'gangguan', 'udah', 'bagus', 'sinyal', 'pas', 'masuk', 'game', 'online', 'tolong', 'telkom', 'beli', 'vocer', 'telkom', 'mahal', 'sesuai', 'jaringan', 'bagus', '']</t>
  </si>
  <si>
    <t>['kuota', 'udh', 'tinggal', 'dikit', 'kecepatan', 'ping', 'dikurangin', 'drastis', 'paket', 'kuota', 'udh', 'dikit', 'tolong', 'developer', 'diubah', 'kekuatan', 'ping', 'butuh', 'kelancaran', 'internet', 'daerah', 'minim', 'sinyal', 'developer', 'bijak', '']</t>
  </si>
  <si>
    <t>['tolonglah', 'telkomsel', 'sukak', 'motong', 'pulsa', 'orang', 'alasan', 'paket', 'darurat', 'pulsa', 'terpotong', 'kali', 'terkadangpun', 'paket', 'darurat', 'mengisi', 'pulsa', 'pulsanya', 'terpotong', '']</t>
  </si>
  <si>
    <t>['taikkomsel', 'kimak', 'sinyal', 'kuota', 'internet', 'buka', 'you', 'tube', 'video', 'apaaaaaaa', '']</t>
  </si>
  <si>
    <t>['tolong', 'jaringannya', 'ditingkatkan', 'tolong', 'cepat', 'selesaikan', 'belajar', 'online', 'kesusahan', 'sinyal', 'ngerti', 'harga', 'mahal', 'jaringan', 'menurun', '']</t>
  </si>
  <si>
    <t>['jaringan', 'palsu', 'rumah', 'penuh', 'total', 'stabil', 'diluar', 'rumah', 'jaringan', 'berkurang', 'drastis', 'stabil', 'lancar', 'tiru', 'indosat', 'didalam', 'rumah', 'sinyal', 'buruk', 'stabil', 'telkomsel', 'berbohong']</t>
  </si>
  <si>
    <t>['bagus', 'paketan', 'data', 'unlimited', 'habis', 'unlimited', 'dipake', 'minggu', 'habis', 'iki', 'opoooo', '']</t>
  </si>
  <si>
    <t>['min', 'harga', 'kuota', 'mahal', 'kasian', 'orang', 'tua', 'anak', 'sekolah', 'online', 'boros', 'kuota', 'dri', 'uang', 'buku', '']</t>
  </si>
  <si>
    <t>['salah', 'provider', 'telekomunikasi', 'professional', 'terbukti', 'mengambil', 'pulsa', 'konsumen', 'curang', 'oknum', 'ditangkap', 'hahahaha', '']</t>
  </si>
  <si>
    <t>['paket', 'internet', 'combo', 'sakti', 'unlimited', 'pakai', 'paket', 'internetnya', 'habis', 'aktifkan', 'barengan', 'terpakai', '']</t>
  </si>
  <si>
    <t>['aplikasi', 'dibuka', 'opsi', 'update', 'aplikasi', 'update', 'aplikasi', 'tunda', 'update', 'opsi', 'sperti', 'memilih', 'update', 'aplikasi', 'knapa', 'update', 'mengharuskan', 'orang', 'update', 'iya', 'lancar', 'ngga', 'dibuka', 'aplikasi', 'sblmnya', 'lancar', '']</t>
  </si>
  <si>
    <t>['paketannya', 'paket', 'tlp', 'paket', 'kring', 'skrg', 'paket', 'sli', 'paket', 'spt', 'sodorkan', 'paket', 'internet', 'omg', 'paket', 'combo', 'sakti', 'mahal', 'serba', 'beda', 'wilayah', 'mahal', 'harganya']</t>
  </si>
  <si>
    <t>['pakek', 'telkomsel', 'deh', 'udah', 'mahal', 'boros', 'banget', 'pulsanya', 'banget', 'kesedot', 'tolong', 'pencerahannya']</t>
  </si>
  <si>
    <t>['berharap', 'semoga', 'ofrator', 'telkomsel', 'sudi', 'kasi', 'hadia', 'kasi', 'hadia', 'promosi', 'aplikasi', 'teman', 'keluarga', 'skrg', 'percaya', 'telkomsel', 'hadia', '']</t>
  </si>
  <si>
    <t>['gimana', 'seneng', 'kemarin', 'bayar', 'shopeepay', 'udah', 'woy', 'mengecewakan', 'banget', 'protes', 'telkomsel', 'diginiin', 'njir', 'klu', 'beli', 'pulsa', 'ditempat', 'biaya', 'adminnya', 'kesel', 'banget', 'kembaliin', 'metode', 'pembayaran', 'shopeepay', 'edit', 'udah', 'dikembaliin', 'metode', 'pembayaran', 'saldo', 'spay', 'dipake', 'beli', 'pulsa', 'beli', 'paket', 'data', '']</t>
  </si>
  <si>
    <t>['paket', 'swadaya', 'jaringan', 'lelet', 'kuota', 'sms', 'dipake', 'kuota', 'telp', 'nda', 'buka', 'kaitannya', 'gojek', 'lelet', 'buka', 'lumayanlah', 'tingkatkan', 'maaf', 'terima', 'kasih', '']</t>
  </si>
  <si>
    <t>['jaringan', 'telkomsel', 'telkomsel', 'mengecewakan', 'paket', 'internet', 'optimal', 'bayar', 'daun', 'tolong', 'perbaiki', 'rugi', 'mahal', 'udah', 'untung', 'mencurangi', 'pemakai', 'internet', 'lokak', 'udah', 'hapus', 'menunya', 'takut', 'rugi', 'perasaan', 'rugi', 'pelanggan', 'rugikan', 'perbaikan', 'total']</t>
  </si>
  <si>
    <t>['pancen', 'telkomsel', 'mbelek', 'singa', 'jam', 'sblm', 'kuota', 'abis', 'data', 'matiin', 'trus', 'beli', 'paket', 'dial', 'numb', 'stengah', 'jam', 'nunggu', 'sms', 'dapet', 'sekalinya', 'dapet', 'isinya', 'maaf', 'pulsa', 'membeli', 'paket', 'pas', 'cek', 'pulsa', 'kepotong', 'aneh', 'nyata', 'pdhl', 'kuota', 'mash', 'sblm', 'abis', 'stngah', 'jam', 'sblm', 'paketan', 'abis', 'matiin', 'data', 'tolong', 'jng', 'kya', 'mbelek', 'singa', 'untung', 'gtu']</t>
  </si>
  <si>
    <t>['tolong', 'benerin', 'sinyal', 'min', 'tkp', 'palembang', 'seberang', 'ulu', 'rumah', 'sinyal', 'wuss', 'mending', 'kartu', 'tri', 'axis', 'indosat', 'dalem', 'rumah', 'sinyal', 'dapet', 'wus', 'ujan', 'abis', 'ujan', 'sinyal', 'nothing', 'beli', 'paketnya', 'murah', 'min', '']</t>
  </si>
  <si>
    <t>['sisa', 'quota', 'diakumulasi', 'merugikan', 'sisa', 'quota', 'tolong', 'diakumulasikan', 'sisa', 'quota', 'kemarin', '']</t>
  </si>
  <si>
    <t>['paket', 'mahal', 'kualitas', 'sinyal', 'kacau', 'main', 'game', 'pink', 'sampe', 'pengguna', 'udh', 'kecewa', 'ngepeeetlah', '']</t>
  </si>
  <si>
    <t>['maaf', 'bintang', 'alami', 'paket', 'combo', 'unlimited', 'ribu', 'unlimited', 'whatsapp', 'hilang', 'muncul', 'kecewa', 'bergantung', 'paket', 'disaat', 'menu', 'pembelian', 'paket', 'hilang', 'mohon', 'telkomsel', 'mengatasi', 'alami', '']</t>
  </si>
  <si>
    <t>['sinyal', 'telkomsel', 'daerah', 'ilang', 'ilang', 'besok', 'ngetik', 'ulasan', 'mending', 'sekuat', 'telkomsel', 'stabil', 'ilang', 'terimakasih', '']</t>
  </si>
  <si>
    <t>['tolong', 'pihat', 'telkomsel', 'bermain', 'mobile', 'legend', 'jaringan', 'turun', 'kesel', 'sesuai', 'harga', 'beli', 'mahal', 'mahal', 'kecewa', 'berat']</t>
  </si>
  <si>
    <t>['udah', 'beli', 'voucher', 'giliran', 'masukin', 'kode', 'vouchernya', 'jaringan', 'sibuk', 'sampe', 'berulang', 'kali', 'tetep', 'rugi', 'banget', 'udah', 'beli', 'vouchernya', 'pakai', 'pindah', 'langganan']</t>
  </si>
  <si>
    <t>['', 'download', 'smp', 'skrng', 'eror', 'ditambah', 'download', 'app', 'pedulilindungi', 'parah', 'app', 'telkomsel', 'kacaunya', 'isi', 'paket', 'susah', 'org', 'telkomsel', 'bantu', 'menyelesaikan', 'mslh', 'bobrok', 'perusahaan']</t>
  </si>
  <si>
    <t>['paket', 'unlimited', 'dipermanenkan', 'udah', 'makai', 'telkomsel', 'beli', 'paket', 'mulu', 'sampe', 'sebulan', 'udah', 'habis', 'duluan', 'syukur', 'kuota', 'unlimited', 'ganti', 'kartu', 'perdana', 'semoga', 'dipermanenkan', '']</t>
  </si>
  <si>
    <t>['paket', 'internet', 'utuk', 'game', 'main', 'lancar', 'main', 'internet', 'lokal', 'menipu', 'merugikan', '']</t>
  </si>
  <si>
    <t>['telkomsel', 'beli', 'paketan', 'sampek', 'sebulan', 'aktifnya', 'beli', 'tgl', 'ganti', 'nomor', '']</t>
  </si>
  <si>
    <t>['parahnya', 'habis', 'fikir', 'harga', 'paket', 'beli', 'ribu', 'ribu', 'aneh', 'beli', 'ribu', 'telkomsel', 'kalah', 'im', 'im', 'harga', 'paket', 'ganjil', 'pulsa', 'jual', 'ganjil', 'coba', 'fikir', 'coba', '']</t>
  </si>
  <si>
    <t>['bagus', 'sinyal', 'telkomsel', 'parah', 'udah', 'harga', 'paket', 'mahal', 'pelayanan', 'sebanding', 'turun', 'provider', '']</t>
  </si>
  <si>
    <t>['kualitas', 'sinyal', 'susah', 'normal', 'stabil', 'brp', 'kali', 'komplain', 'tlp', 'lgsung', 'tpi', 'perubahan', 'mhn', 'tindak', 'lanjuti', 'thx']</t>
  </si>
  <si>
    <t>['tolong', 'kasih', 'fitur', 'pengunci', 'pulsa', 'kaya', 'sebelah', 'kesal', 'terpakai', 'pulsa', 'kuota', 'data', 'merugikan', 'kuota', 'data', 'ngambil', 'pulsa', 'beli', 'kuota', 'pulsa', 'app', 'kesal', 'benerin', 'pelanggan', 'nyaman', 'pakai', 'app']</t>
  </si>
  <si>
    <t>['bangke', 'telkomsel', 'mna', 'mahal', 'kuota', 'sinyal', 'jelek', 'ngk', 'kantor', 'bangkrut', 'peminat', 'telkomsel', 'hilang', 'beralih', 'kekartu', 'tolong', 'perbaiki', 'secepat', '']</t>
  </si>
  <si>
    <t>['jaringannya', 'meresahkan', 'aktif', 'game', 'menit', 'kendala', 'lag', 'koneksi', 'internet', 'hilang', 'kecewa', 'produk', 'telkomsel', 'indonesia', 'medan', '']</t>
  </si>
  <si>
    <t>['beli', 'paket', 'combo', 'sakti', 'kuota', 'utama', 'gb', 'kuota', 'sosmed', 'chat', 'games', 'gb', 'kuota', 'utama', 'habis', 'gb', 'gabisa', 'dipake', 'kecewa', 'banget', 'semenjak', 'ditelantarin', '']</t>
  </si>
  <si>
    <t>['makasih', 'suka', 'aplikasi', 'membantu', 'aplikasi', 'silahkan', 'buka', 'play', 'store', 'donlot', 'jang', 'ketinggalal', 'infio', 'menarik', 'ayo', 'buruan', '']</t>
  </si>
  <si>
    <t>['isi', 'pulsa', 'rb', 'paketkan', 'berhasil', 'charge', 'pulsanya', 'tampil', 'kuota', 'aplikasi', 'telkomsel', 'cek', 'kuota', 'internet', 'muncul', 'tampilan', 'aplikasi', 'aktifasi', 'gagal', 'kena', 'charge', 'tarif', 'non', 'kuota', 'saran', 'aplikasi', 'telkomsel', 'bunyi', 'notifikasi', 'aplikasi', 'bedakan', 'anatara', 'berhasil', 'aktfasi', 'paket', 'keliru', 'orang', 'berhasil', 'aktifasi']</t>
  </si>
  <si>
    <t>['sangaaat', 'bermanfaat', 'klw', 'beli', 'qombo', 'giga', 'nelfon', 'smsan', 'pulsa', 'trus', 'kiya', 'nelfon', 'pulsa', 'habis', 'telkomsel', 'banget', 'ngasih', 'pulsa', 'nelfon', 'heheh', 'terbaiiik', '']</t>
  </si>
  <si>
    <t>['dipakai', 'jarang', 'update', 'beli', 'kuota', 'kuota', 'kebeli', 'pulsa', 'dipake', 'internetan', 'penjelasan', 'kuota', 'bisanya', 'pulsa', 'sedot', 'kuota', 'telkomsel']</t>
  </si>
  <si>
    <t>['telkomsel', 'penipu', 'kuota', 'multimedia', 'spt', 'chat', 'game', 'sosmed', 'bermain', 'game', 'sosmed', 'habis', 'kuota', 'internet', 'penipu', 'kembalikan', 'kuota', '']</t>
  </si>
  <si>
    <t>['hai', 'telkom', 'ancur', 'sumpah', 'parah', 'andikan', 'jaringan', 'kartu', 'udah', 'lancar', 'lokasih', 'gua', 'udah', 'gua', 'ganti', 'kartu', 'sumpah', 'gua', 'jabarin', 'keluh', 'kesah', 'gua', 'harga', 'kuota', 'internet', 'ngotak', 'paket', 'unlimited', 'gadungan', 'batasnya', 'udah', 'abis', 'paket', 'game', 'pulsa', 'kesedot', 'pas', 'main', 'game', 'paket', 'game', 'kesedot', 'karna', 'kuota', 'latar', 'aps', 'gua', 'matiin', 'kuota', 'latar', 'apk']</t>
  </si>
  <si>
    <t>['developer', 'terhormat', 'maaf', 'bintang', 'mengajukan', 'keluhan', 'paket', 'lokal', 'paket', 'unlimited', 'paket', 'lokal', 'gb', 'sudh', 'sebulan', 'kartu', 'prabayar', 'mohon', 'verifikasi', 'verifikasi', 'bintang']</t>
  </si>
  <si>
    <t>['pakai', 'apliksi', 'beli', 'kouta', 'dapanya', 'siisa', 'kouta', 'maxtreme', 'pakai', 'apliksi', 'maxtreme', 'habis', 'sisa', 'dibuka', 'ketipu', 'beli', 'kouta', 'sesuaiiiiiii']</t>
  </si>
  <si>
    <t>['kecewa', 'provider', 'telkomsel', 'jaringannya', 'bagus', 'anjlok', 'keseringan', 'hilang', 'timbul', 'nonton', 'youtube', 'main', 'games', 'online', 'jaringannya', 'hilang', 'pas', 'call', 'call', 'via', 'telepon', 'jaringannya', 'hilang', 'berharap', 'telkomsel', 'merespon', 'ulasan', 'tolong', 'harga', 'paket', 'internet', 'kondisikan', 'mahal', 'zaman', 'pandemik', 'covid', 'salam', 'hangat']</t>
  </si>
  <si>
    <t>['', 'penawaran', 'paket', 'aktifkan', 'jam', 'malam', 'gnti', 'jam', 'udh', 'angus', 'paketnya', 'hrsnya', 'keitung', 'jam', 'malem', 'esoknya', 'blm', 'kejadian', 'mengecek', 'telkomsel', 'disaat', 'paket', 'non', 'aktif', 'peringatan', 'pakai', 'pulsa', 'non', 'paket', 'dikenalan', 'bla', 'pdhl', 'ngecek', 'telkomsel', 'dipotong', 'mohon', 'perbaiki', 'kejadiannya', 'developer', 'programnya', 'makan', 'uang', 'halal', 'memeras', 'pengguna', 'hasil', 'sebanding']</t>
  </si>
  <si>
    <t>['sinyal', 'telkomsel', 'parah', 'masuk', 'login', 'ditgu', 'sms', 'loginnya', 'masuk', 'gimana', 'login', 'kalu', 'kayak', 'gini', 'cek', 'paket', 'paket', 'kagak', 'apk', 'mytelkomsel', 'jelek', 'update', 'annya', 'orang', 'kesel', 'gara', 'nie', 'apk', 'hadeh', '']</t>
  </si>
  <si>
    <t>['mahal', 'kuota', 'kayak', 'provider', 'bintang', 'kualitas', 'bintang', 'uda', 'penipuan', 'telkomsel', 'check', 'point', 'dll', 'telkomsel', 'provider', 'memeras', 'masyarkat', 'skarang', 'pandemi', 'bantu', 'diskon', 'mencekik', 'masyarakat', 'harga', 'kuota', 'mahal', 'parahnya', 'kualiatas', 'hancur', 'mohon', 'perbaiki', 'angkat', 'koper', 'telkomsel', 'mending', 'ganti', 'kecewa']</t>
  </si>
  <si>
    <t>['aplikasi', 'bobrok', 'usak', 'gaya', 'login', 'link', 'mending', 'metode', 'udah', 'dicoba', 'login', 'berkali', 'kali', 'login', 'sinyal', 'internet', 'nomor', 'terhubung', 'udah', 'sinyal', 'internet', 'wifi', 'kecewa', 'update']</t>
  </si>
  <si>
    <t>['beli', 'pulsa', 'kuota', 'telkomsel', 'kadang', 'masuk', 'komplain', 'via', 'email', 'direspon', 'bukti', 'transaksi', 'kirim', 'buktinya', 'kuota', 'internet', 'masuk', 'kuota', 'beli', 'kuota', 'ketengan', 'utama']</t>
  </si>
  <si>
    <t>['parah', 'main', 'game', 'lag', 'ampun', 'lokasi', 'ane', 'bandung', 'kota', 'telkomsel', 'khusus', 'daerah', 'pelosok', 'paketan', 'mahal', 'kualitas', 'menjamin', 'kecewa', '']</t>
  </si>
  <si>
    <t>['jaringan', 'oke', 'menggunakanya', 'cuman', 'rajin', 'menukar', 'poin', 'alhamdulillah', 'hadiahnya', 'semoga', 'dapetlah', 'hahaha', 'terimakasih', 'telkomsel']</t>
  </si>
  <si>
    <t>['mohon', 'paketku', 'habis', 'diteruskan', 'pulsa', 'sisa', 'pulsa', 'konversi', 'paket', 'data', 'mohon', 'perbaiki', 'layanan', 'aplikasinya', '']</t>
  </si>
  <si>
    <t>['aplikasi', 'pulsa', 'ribu', 'paketan', 'pulsa', 'tarik', 'kartu', 'aplikasi', 'niat', 'operator', 'merugikan', 'masyarakat', 'benerin', 'woy', 'kuota', 'tarik', 'pulsa', 'jelek', 'telkomsel', 'kaya', 'gini', 'gini', 'sumpah', 'telkomsel', 'sejas', 'isi', 'pulsa', 'hilang', '']</t>
  </si>
  <si>
    <t>['kesini', 'darah', 'gue', 'ngisi', 'pulsa', 'notifnya', 'masuk', 'pas', 'cek', 'gaada', 'parahnya', 'pulsa', 'gue', 'habis', 'sayang', 'gini', 'isi', 'kembaliin', 'pulsa', 'tolong', '']</t>
  </si>
  <si>
    <t>['kembalikan', 'pulsa', 'potong', 'curang', 'terpotong', 'ribu', 'pengisian', 'nominal', 'ribu', 'isi', 'ulang', 'membeli', 'paket', 'swadaya', 'gojek', 'driver', 'uang', 'sistem', 'telkomsel', 'maen', 'ambil', 'pulsa', 'sikat', 'pulsa', 'diam', 'diam', 'namanya', 'mengambil', 'hak', 'orang', 'tolong', 'perhatikan', 'operator', 'management', 'ambil', 'hak', 'jaringan', 'suka', 'lemooot']</t>
  </si>
  <si>
    <t>['kasih', 'masukan', 'niyah', 'apk', 'telkomsel', 'apk', 'pengen', 'pengunci', 'pulsa', 'nyah', 'kuota', 'abis', 'pulsa', 'aman', 'tersedot', 'sekian', 'terimakasih', '']</t>
  </si>
  <si>
    <t>['beli', 'paket', 'kuota', 'jam', 'paketnya', 'lenyap', 'sisa', 'paketnya', 'disedot', 'gitu', 'pencurian', 'tolong']</t>
  </si>
  <si>
    <t>['kuota', 'udah', 'darurat', 'habis', 'beli', 'paket', 'saldo', 'notifikasi', 'pembelian', 'proses', 'tolong', 'servis', 'tingkatkan', 'ksh']</t>
  </si>
  <si>
    <t>['update', 'kwalitasnya', 'buruk', 'perbaiki', 'sinyal', 'jabodetabek', 'sinyal', 'hancur', 'kota', 'bagus', 'jabodetabek', 'ambil', 'untung', 'indonesia', 'ngaco', 'aur', 'auran', 'sampah', '']</t>
  </si>
  <si>
    <t>['pelayanan', 'buruk', 'aktifin', 'kartu', 'telkomsel', 'hilang', 'nomor', 'kartu', 'hilang', 'laporan', 'polisi', 'paksa', 'kartu', 'halo', 'kartu', 'mati', 'habis', 'aktif', 'kecewakan', 'telkomsel', 'pelayanan', 'burukkkkkk']</t>
  </si>
  <si>
    <t>['mahal', 'gada', 'murni', 'internet', 'kuota', 'aplikasi', 'nonton', 'gaguna', 'butuhnya', 'internet', 'jam', 'burik', 'merah', 'main', 'game', 'pas', 'masuk', 'promo', 'gb', 'pas', 'teken', 'maaf', 'promo', 'habis', 'apalah', 'lupa', 'pokonya', 'gabisa', 'dibeli', 'batin', 'asw', 'asw', 'butuh', 'kuota', 'murni', 'internet', 'jam']</t>
  </si>
  <si>
    <t>['sinyal', 'buruk', 'koneksi', 'hilang', 'main', 'game', 'data', 'internet', 'setabil', 'sya', 'tanggung', 'pakai', 'telkomsel', 'tolong', 'perbaiki', 'jaringan', 'data', 'tinggal', 'wilayah', 'cengkareng', 'kapuk', 'jakarta', 'barat', '']</t>
  </si>
  <si>
    <t>['dikasih', 'bonus', 'gb', 'pakai', 'kuota', 'utama', 'niat', 'ngk', 'ngasih', 'bonus', 'provaider', 'sampah', 'ngk', 'ngibul', 'ngk', 'telkomsel', 'namanya', 'udah', 'patahin', 'kartu', '']</t>
  </si>
  <si>
    <t>['jaringan', 'oke', 'daerah', 'untungnya', 'layanan', 'buffering', 'telkomsel', 'langsung', 'sambung', 'kadang', 'gangguan']</t>
  </si>
  <si>
    <t>['tolong', 'developernya', 'gni', 'gwe', 'top', 'kuota', 'gb', 'merdeka', 'gwe', 'pulsa', 'top', 'gagal', 'gue', 'isi', 'pulsa', 'ribu', 'point', 'tertulis', 'melampaui', 'batas', 'tukar', 'point', 'kesel', 'bet', 'gue', 'tolong', 'perbaiki', 'donk', 'masaak', 'top', 'gagal', 'trus', 'top', 'bener', 'kerja', 'sistemnya', 'gni']</t>
  </si>
  <si>
    <t>['maaf', 'ubah', 'bintang', 'paketanya', 'mahal', 'sinyalnya', 'lost', 'connect', 'jaringanya', 'luas', 'pengguna', 'kartu', 'kecewa', 'berat', 'ketidak', 'puasan', 'pelanggan', 'telkomsel', 'emang', 'bagus', 'sinyal', 'kuat', 'nyambung', 'turun', 'derasti', 'kb', 'menerus', 'puas', 'turunya', 'kualitas', 'sinyalnya', 'maaf', 'kurangi', 'beli', 'paketan', 'telkom', '']</t>
  </si>
  <si>
    <t>['mahal', 'sinyal', 'jelek', 'sesuai', 'harga', 'udah', 'stress', 'dinaikin', 'harganya', 'goodbye', 'telkomsel', 'terkahir', 'beli', 'kuota', 'provider', '']</t>
  </si>
  <si>
    <t>['pembelian', 'paket', 'combo', 'batasi', 'skarang', 'pandemi', 'sperti', 'membantu', 'smua', 'paket', 'mahal', 'maaf', 'kasih', 'rate', 'star', 'udah', 'fix', 'naikin', '']</t>
  </si>
  <si>
    <t>['', 'telkomsel', 'pertahankan', 'dapatkan', 'bonus', 'data', 'internet', 'murah', 'coba', 'lakukan', 'tks']</t>
  </si>
  <si>
    <t>['kapok', 'pakai', 'telkomsel', 'beli', 'kuota', 'belajar', 'internet', 'max', 'dibatasi', 'elearning', 'buka', 'elearning', 'kagak', 'udah', 'melewati', 'batas', 'berlangganan', 'kuota', 'belajar', 'internet', 'max', 'kayak', 'serasa', 'buang', 'buang', 'uang']</t>
  </si>
  <si>
    <t>['pelayanan', 'via', 'online', 'buruk', 'chat', 'veronika', 'dijawabnya', 'chat', 'veronika', 'pelayanan', 'chat', 'sesuai', 'ekspetasi', 'sekedar', 'formalitas', 'mengimbangi', 'saingan', 'super', 'sibuk', 'nasib', 'konsumen', 'perusahaan', 'ditipu', 'murah', 'promo', 'menjanjikan', 'pelayanan', 'terbaik', 'kenyataannya', 'ketidakpedulian', 'ditutup', 'promo', 'menarik', '']</t>
  </si>
  <si>
    <t>['apk', 'lumayun', 'ngecek', 'pulsa', 'lelet', 'ampun', 'rela', 'begadang', 'telkomsel', 'tolong', 'admin', 'telkomsel', 'perbaiki', '']</t>
  </si>
  <si>
    <t>['kartu', 'ndasmu', 'sinyal', 'lemot', 'trus', 'mahal', 'kuota', 'udah', 'mahal', 'beli', 'sinyal', 'emosi', 'mah', '']</t>
  </si>
  <si>
    <t>['kecewa', 'berat', 'telkomsel', 'pulsa', 'beli', 'paket', 'pulsa', 'kesedot', 'gagal', 'beli', 'paket', 'perbaiki', 'sistem', 'jaringan', 'parah', 'stabil', '']</t>
  </si>
  <si>
    <t>['jaringan', 'telkomsel', 'berkualitas', 'ancur', 'lemot', 'jual', 'kuota', 'mahal', 'kualitas', 'jaringan', 'buruk']</t>
  </si>
  <si>
    <t>['kunaon', 'menta', 'updet', 'trus', 'maap', 'kituweh', 'hungkul']</t>
  </si>
  <si>
    <t>['membantu', 'praktis', 'promo', 'pilihan', 'mempermudah', 'pemakaian', 'kartu', 'telkomsel', 'aplikasi', 'telkomsel', 'pakek', 'pengaturan', 'bahasa', 'gitu', 'alih', 'bahasa', 'lancar', 'bahasa', 'asing', 'trimakasih']</t>
  </si>
  <si>
    <t>['upgrade', 'coba', 'uninstall', 'trus', 'install', 'ulang', 'rusak', 'banget', 'udah', 'mahal', 'jelek', 'kualitas', 'kecewa']</t>
  </si>
  <si>
    <t>['redeem', 'poin', 'karna', 'pulsa', 'redeem', 'dihitung', 'redeem', 'redeem', 'pulsa', 'tolong', 'diperbaiki']</t>
  </si>
  <si>
    <t>['kualitas', 'sinyal', 'internet', 'stabil', 'kencang', 'disemua', 'lokasi', 'indonesia', 'perkotaan', 'padat', 'pegunungan', 'pedesaan', 'daerah', 'kota', 'desa', 'buffering', 'sinyal', 'turun', 'pengguna', 'setia', 'patut', 'mempertimbangkan', 'bintang', 'nilai', 'tertinggi', 'telkomsel', '']</t>
  </si>
  <si>
    <t>['telkomsel', 'jaringan', 'serasa', 'kyk', 'ampun', 'lihat', 'jaringan', 'tolng', 'perbaiki', 'jaringan', 'sprt', 'normal', 'online', 'jaringan', 'eror', 'ank', 'sekolah', 'bnyk', 'lgi', 'daring', 'tolong', 'labnrn', 'jaringan', 'kyk', 'gini', 'jaringan', 'setia', 'telkomsel', 'bnyak', 'orang', 'kirim', 'ulasan', 'jlk', 'pakai', 'telkomsel', 'setia', 'sia', 'nnti', 'gaada', 'pakai', 'telkomsel', 'lgi', 'auto', 'bangkru', '']</t>
  </si>
  <si>
    <t>['', 'rubah', 'kacau', 'sicnyal', 'simpati', 'pas', 'ujang', 'tolong', 'menguna', 'permudah', 'plus', 'aplikasi', 'telkomsel', 'membatu', '']</t>
  </si>
  <si>
    <t>['aplikasi', 'bagus', 'koneksi', 'lancar', 'paket', 'kuotanya', 'bika', 'kuota', 'harga', 'terjangkau', 'murah', 'kekuatan', 'kestabilan', 'jaribgan', 'ditingkatkan', '']</t>
  </si>
  <si>
    <t>['nawar', 'in', 'tuker', 'point', 'dapet', 'dipake', 'taunya', 'tersentuh', 'sedikitpun', 'kesedot', 'kuota', 'utama', 'nyesel', 'niat', 'hemat', 'rugi']</t>
  </si>
  <si>
    <t>['sayang', 'membatalkan', 'paket', 'pemakaian', 'membeli', 'paket', 'prioritas', 'paket', 'diatur', 'otomatis', 'sistem', 'mengecewakan', 'kuota', 'tenggat', 'singkat', 'terpakai', 'dibandingkan', 'kuota', '']</t>
  </si>
  <si>
    <t>['telkomsel', 'parah', 'jaringannya', 'jelek', 'jaringannya', 'gue', 'kecewa', 'menyesal', 'telkomsel', 'tolong', 'perbaiki', 'jaringan', 'bagusin', 'gtu', 'sumpah', 'nyesel', 'bat', 'pke', 'telkomsel']</t>
  </si>
  <si>
    <t>['jaringannya', 'kacau', 'membutuhkan', 'jaringan', 'nggak', 'tolonglah', 'telkomsel', 'perbaiki', 'jaringan', 'dikerinci', 'jambi', 'dikota', 'didesa', 'membutuhkan', 'jaringan', 'bagus', 'ditambah', 'harga', 'kuota', 'internet', 'mahal', 'kecewa', 'tolonglah']</t>
  </si>
  <si>
    <t>['sms', 'telkomsel', 'tukar', 'poin', 'pulsa', 'rp', 'pelanggan', 'gold', 'platinum', 'diamon', 'sms', 'dikirim', 'remdom', 'remdom', 'terima', 'karenakan', 'promo', 'promo', 'habis', 'jam', 'telkomsel', 'mainkan', 'pelanggan', 'namanya', 'pelanggan', 'gold', 'tirima', 'berlangganan', 'telkomsel', 'jujur', 'kecewa', 'telkomsel', '']</t>
  </si>
  <si>
    <t>['kecewa', 'telkomsel', 'menipu', 'iming', 'promo', 'prnukaran', 'poin', 'kuota', 'gb', 'karna', 'pulsa', 'kmudian', 'pengisian', 'pulsa', 'ribu', 'telkomsel', 'langsung', 'pemotongan', 'ribu', 'penukaran', 'poin', 'dinyatakan', 'penukaran', 'pulsa', 'sisa', 'ribuan', 'mengunjungi', 'myteljomsel', 'penukaran', 'pulsa', 'nol', 'blom', 'dapt', 'paket', 'pulsa', 'hbis', 'krna', 'kecewa', 'pinjaman', 'pket', 'ribu']</t>
  </si>
  <si>
    <t>['coba', 'perhatikan', 'dlu', 'jaringanx', 'kecamatan', 'bualaemo', 'kab', 'banggai', 'desa', 'bualemo', 'jaringanx', 'knp', 'kayak', 'gini', 'mati', 'lampu', 'jaringan', 'hilang', 'coba', 'carikan', 'solusinya', 'dlu', '']</t>
  </si>
  <si>
    <t>['beli', 'paket', 'udah', 'nunggu', 'beli', 'paket', 'internet', 'aplikasi', 'banget', 'makan', 'paket', 'lelet', 'kadang']</t>
  </si>
  <si>
    <t>['terimakasih', 'telkomsel', 'berkat', 'kuota', 'darurat', 'kuota', 'ketengan', 'membantu', 'dimasa', 'pandemi', 'tukar', 'point', 'gb', 'kemerdekaan', 'semoga', 'wanda', 'yudha', 'pratama', 'memenangkan', 'undian', 'tukar', 'point', 'toyota', 'yaris', 'aamiin', 'menang', 'hadiah', 'dijual', 'juta', 'santunan', 'anak', 'yatim', 'dll', 'beserta', 'gift', 'perdana', 'kuota', 'orang', 'hadir', 'acara', 'syukuran', 'semoga', 'membantu', '']</t>
  </si>
  <si>
    <t>['setahun', 'aplikasi', 'telkomsel', 'terbuka', 'kali', 'lakukan', 'operator', 'telkomsel', 'hapus', 'instal', 'dll', 'aplikasi', 'telkomsel', 'blank', 'tertutup', 'menu', 'android', 'kali', 'terpaksa', 'via', 'web', 'disitu', 'kadang', 'kendalanya']</t>
  </si>
  <si>
    <t>['duh', 'gimana', 'telkomsel', 'internetnya', 'muterrrrr', 'hutan', 'kuota', 'bayar', 'gratis', 'coba', 'tolong', 'perbaiki', 'ganti', 'nomer', 'sayang', 'berlangganan', 'sampe', 'manca', 'negara']</t>
  </si>
  <si>
    <t>['tolong', 'min', 'udah', 'log', 'berulang', 'kali', 'besok', 'log', 'tolong', 'perbaiki', 'apk', 'rusak', 'jaringan', 'susah', 'kuota', 'mahal', '']</t>
  </si>
  <si>
    <t>['saran', 'kartu', 'udah', 'udah', 'bertahun', 'promo', 'murah', 'meriah', 'pelanggan', 'setia', 'istimewakan', 'bukanya', 'paksa', 'ganti', 'kartu', 'kartu', 'sakti', '']</t>
  </si>
  <si>
    <t>['update', 'slow', 'respon', 'beli', 'paket', 'suka', 'slow', 'respon', 'cepet', 'melayani', 'kali', 'lamban', 'banget', '']</t>
  </si>
  <si>
    <t>['aplikasi', 'bagus', 'fresh', 'liat', 'kuota', 'pulsa', 'mudah', 'beli', 'paket', 'mudah', 'tambahkan', 'fitur', 'pulsa', 'tersedot', 'data', 'seluler', 'memiliki', 'kuota', 'aplikasi', 'gagal', 'memuat', 'eror', 'semoga', 'dibenahi']</t>
  </si>
  <si>
    <t>['website', 'telkomsel', 'cek', 'nomer', 'nomer', 'terdaftar', 'nik', 'ktp', 'disalahgunakan', 'orang', 'cepat', 'langsung', 'unreg', 'lihat', 'nomer', 'nomer', 'terdaftar', 'nik', 'sulit', 'grapari', 'cek', 'nomer', 'nomer', 'nik', 'grapari', 'knapa', 'hidup', 'sulit', 'mudah', '']</t>
  </si>
  <si>
    <t>['pelanggan', 'udah', 'meresa', 'terganggu', 'jaringan', 'stabil', 'mohonlah', 'secepat', 'perbaiki', 'karna', 'mohon', 'maap', 'dikasih', 'reting', 'dikit', 'karna', 'pakta', 'membuktikan', 'trimakasih']</t>
  </si>
  <si>
    <t>['', 'telkomsel', 'jaringan', 'oke', 'indonesia', 'salah', 'menilai', 'minus', 'jaringan', 'full', 'koneksi', 'internet', 'udah', 'seminggu', 'perbaikan', 'maaf', 'rating', 'telkomsel', 'minus', '']</t>
  </si>
  <si>
    <t>['beli', 'kuota', 'internet', 'nggk', 'metode', 'pembayarannya', 'pulsa', 'maaf', 'ubah', 'bintang', 'bintang', 'masuk', 'mengubah', 'bintangnya', 'bintang']</t>
  </si>
  <si>
    <t>['tingkatkan', 'kalonya', 'boss', 'beralih', 'jaringan', 'pertahankan', 'telkomsel', 'unggul', 'jaga', 'kualitas', 'telkomsel', 'jaga', 'kenyamanan', 'konsumen', 'jngn', 'nyaman', '']</t>
  </si>
  <si>
    <t>['pengguna', 'telkomsel', 'puas', 'layanannya', 'wilayah', 'kupang', 'jaringannya', 'bagus', 'gangguan', 'perbaikan', 'pengembangan', 'promonya', 'mahal', 'mahal', 'pelanggan', 'telkomsel', 'pendapatan', 'usulkan', 'namanya', 'promo', 'mahal', 'mahal', 'gitu', 'contohnya', 'kartu', 'promo', 'promonya', 'mahal', 'terimakasih']</t>
  </si>
  <si>
    <t>['bagus', 'baget', 'pokok', 'download', 'liat', 'ngetot']</t>
  </si>
  <si>
    <t>['jaringan', 'dipakek', 'telkomsel', 'rugi', 'beli', 'paket', 'data', 'habis', 'gara', 'jaringan', 'macem', 'sedekah', 'telkomsel', 'beli', 'paket', 'tolong', 'perbaiki', 'merugikan', 'pelanggan']</t>
  </si>
  <si>
    <t>['poin', 'tukar', 'paket', 'data', 'pulsa', 'telkomsel', 'berguna', 'anjinggg', 'sia', 'paket', 'data', 'berlangganan', 'feedback', 'menyenangkan', 'nasabah', 'babii']</t>
  </si>
  <si>
    <t>['paket', 'bulanan', 'ganjil', 'harganya', 'genap', 'istilahnya', 'biaya', 'paket', 'bulanan', 'maunya', 'maunya', '']</t>
  </si>
  <si>
    <t>['tolong', 'masak', 'stabil', 'trosss', 'desa', 'stabil', 'kota', 'stabil', 'kadang', 'stabil', 'menyebal', 'harga', 'paket', 'udah', 'stabil', 'gkkk', 'parahhhhhhhhhhh']</t>
  </si>
  <si>
    <t>['aplikasi', 'masuk', 'aplikasinya', 'min', 'telkomsel', 'ngaur', 'aje', 'kacau', 'pulsa', 'beli', 'main', 'potong', 'sesuka', 'ude', 'pakai', 'telkomsel', 'thn', 'kecewa', 'telkomsel', 'smpai', 'jdi', 'call', 'center', 'telkomsel', 'sngat', 'sulit', 'hubungi', 'ngapain', 'aje', 'kantor', 'telkomsel', 'smpai', 'hubungin', 'mohon', 'jawabannya', 'min', '']</t>
  </si>
  <si>
    <t>['turunin', 'bintangnya', 'langganan', 'kesini', 'kualitas', 'buruk', 'didaerah', 'rumah', 'lihat', 'story', 'youtub', 'dulunya', 'lancar', 'udah', 'gitu', 'paketan', 'mahal', 'operator', '']</t>
  </si>
  <si>
    <t>['ajar', 'banget', 'telkomsel', 'ngaktifin', 'paket', 'darurat', 'notifikasi', 'udah', 'mengaktifkan', 'kuota', 'paket', 'darurat', '']</t>
  </si>
  <si>
    <t>['kartu', 'beda', 'beda', 'pilihan', 'paket', 'apk', 'merekomendasikan', 'memakai', 'kartu', 'simpati', 'loop', 'beda', 'harga', 'jenis', 'kartu', 'telkomsel', 'harga', 'paket', 'internet', 'selisih', 'rb', 'harga', 'paket', 'kartu', 'telkomsel', 'mantap', 'telkomsel']</t>
  </si>
  <si>
    <t>['', 'kualitasnya', 'menurun', 'kadang', 'sinyal', 'suka', 'tbtb', 'ngilang', 'kaya', 'doi', 'tolong', 'perbaiki', 'jaringannya', 'pengguna', 'telkomsel', 'udh', 'percaya', 'pakai', 'telkomsel', 'kali', 'ngerasa', 'kecewa', 'banget']</t>
  </si>
  <si>
    <t>['isi', 'ulang', 'penawaran', 'bonus', 'dibeli', 'sesuai', 'arahan', 'tertulis', 'paket', 'tersedia', 'nggak', 'ditawarin', '']</t>
  </si>
  <si>
    <t>['dear', 'admin', 'telkomsel', 'tolong', 'diperhatikan', 'ditindak', 'lanjuti', 'aduan', 'keluhan', 'customer', 'update', 'aplikasi', 'telkomsel', 'data', 'murah', 'mahalnya', 'nggak', 'ketulungan', 'jamannya', 'jaman', 'sms', 'telepon', 'sebenar', 'benarnya', 'kuota', 'multimedia', 'isinya', 'sms', 'telepon', 'gunanya', 'pandemi', 'kuota', 'internet', 'mahalnya', 'ampun', 'tolong', 'diperbaiki', 'sistemnya', 'kecewa', '']</t>
  </si>
  <si>
    <t>['membantu', 'membeli', 'data', 'pemakaian', 'data', 'pakai', 'suka', 'aplikasi', 'lengkap', 'mudah', 'pakai', 'makasih', 'telkomsel', 'the', 'best', '']</t>
  </si>
  <si>
    <t>['telkomsel', 'hobi', 'orang', 'kesel', 'aktivasi', 'paket', 'promo', 'banget', 'kadang', 'gagal', 'udah', 'dicoba', 'berkali', 'kali', 'pulsa', 'kesedot', 'tolong', 'ganti', 'pembayaran', 'uang', 'pulsa', 'ovo', 'shopeepay', 'dll']</t>
  </si>
  <si>
    <t>['parah', 'jaringannya', '']</t>
  </si>
  <si>
    <t>['simcard', 'bagus', 'pakai', 'telkomsel', 'pakai', 'telkomsel', 'rugi', 'kuota', 'internet', 'mahal', 'pembagian', 'kuotanya', 'internetnya', '']</t>
  </si>
  <si>
    <t>['okelah', 'mohon', 'kabupaten', 'tangerang', 'banten', 'daerah', 'bencongan', 'indah', 'kelapa', 'sinyal', 'diperkuat', 'sinyal', 'internet', 'lemah', '']</t>
  </si>
  <si>
    <t>['capek', 'kali', 'liat', 'apk', 'udah', 'apknya', 'cuman', 'gabisa', 'buka', 'ngeblank', 'gitu', 'kukira', 'jaringan', 'kali', 'tebuka', 'aplikasi', 'ngeblank', 'putih', 'gitu', 'sampek', 'emosi', 'cuman', 'cek', 'kuota', 'doang', 'uninstal', 'gabisa', 'klik', 'install', 'gabisa', 'download', 'dahlaa', 'capek', 'kayak', 'gini', 'kali', 'telkomsel', 'gini', 'kali']</t>
  </si>
  <si>
    <t>['jalan', 'dusun', 'bunut', 'utara', 'kecamatan', 'rembang', 'pasuruan', 'jawa', 'timur', 'pabrik', 'pier', 'sinyal', 'telkomsel', 'kbps', 'sinyal', 'apaaa', 'perbaiki', 'komplinan', 'perluas', 'area', 'jaringan', '']</t>
  </si>
  <si>
    <t>['aplikasi', 'rugi', 'isi', 'pulsa', 'beli', 'paket', 'data', 'pakai', 'aplikasi', 'status', 'pembelian', 'paket', 'berhasil', 'paket', 'data', 'masuk', 'pulsa', 'habis', 'kesedot', 'internetan', 'aplikasi', 'payah']</t>
  </si>
  <si>
    <t>['', 'tinggal', 'kota', 'jakarta', 'boz', 'hutan', 'belantara', 'dikamar', 'signal', 'brengsek', 'parah', 'kamar', 'sengaja', 'trus', 'internet', 'keles', 'dikamar', 'ruang', 'tamu', 'beda', 'meter', 'signal', 'beda', 'hahaha', 'kebanyakan', 'makan', 'kuota', 'doang', 'mah', 'parah', 'bintang', 'berubah', 'kasih', 'rating', 'karyawan', 'saudara', 'telkomsel', '']</t>
  </si>
  <si>
    <t>['assalamualaikum', 'pengguna', 'telkomsel', 'mengajukan', 'permasalahan', 'jaringan', 'telkomsel', 'berguna', 'dipakai', 'disegala', 'didalam', 'rumah', 'rusak', 'diluar', 'rumah', 'mohon', 'diperbaiki', 'semaksimal']</t>
  </si>
  <si>
    <t>['kesini', 'parah', 'bli', 'paket', 'telkomsel', 'susah', 'kadang', 'ampe', 'seharian', 'kadang', 'massa', 'tenggang', 'haru', 'kartu', 'bayar', 'mati', 'kartu', 'perbaikin', 'donk', 'kualitas', '']</t>
  </si>
  <si>
    <t>['telkomsel', 'kesini', 'ngirim', 'kode', 'otp', 'apk', 'ngga', 'ngeselin', 'banget', 'kuota', 'internet', 'udah', 'gitu', 'lelet', 'gimana', 'ditinggal', 'coba', 'pengguna', 'masi', 'gitu', 'bagusan', 'telkomsel', 'paket', 'mahal', 'lancar', 'jaringan', 'trs', 'otp', 'perna', 'telat', 'masuk', 'kek', 'sorry', 'kecewa', 'telkomsel', '']</t>
  </si>
  <si>
    <t>['koneksi', 'internet', 'putus', 'lambat', 'kuota', 'pakai', 'kecepatan', 'internet', 'mbps', 'hujan', 'muter', 'semenjak', 'jaringan', 'ancur', 'tsel']</t>
  </si>
  <si>
    <t>['auto', 'login', 'verifikasi', 'ribet', 'mending', 'versi', 'bahasanya', 'inggris', 'bahasa', 'indonesia', 'balikin', 'donk', 'sel', 'telkomsel', 'bener', 'bikinnya']</t>
  </si>
  <si>
    <t>['harganya', 'mahal', 'beli', 'kuota', 'main', 'game', 'online', 'mobile', 'legend', 'lemot', 'kuota', 'telkomsel', 'mahalmu', 'berkualitas', 'tolong', 'kuota', 'mahal', 'cepat', 'main', 'game', 'online', 'kaya', 'lancar', 'lemot']</t>
  </si>
  <si>
    <t>['sinyal', 'telkomsel', 'parah', 'parah', 'main', 'game', 'sinyal', 'down', 'pas', 'sengaja', 'game', 'pas', 'ulang']</t>
  </si>
  <si>
    <t>['tukar', 'poin', 'undi', 'undi', 'hepi', 'menang', 'khusus', 'pulau', 'jawa', 'diluar', 'pulau', 'jawa', 'hnya', 'php', 'tukar', 'poin', 'dapatin', 'nama', 'reward', 'telkomsel', 'puluhan', 'pelanggan', 'telkomsel', 'keliatan', 'kali', 'setingan', 'reward', '']</t>
  </si>
  <si>
    <t>['maaf', 'download', 'apk', 'murah', 'promo', 'boros', 'kouta', 'apk', 'bagus', 'promo', 'paket', 'poin', 'tuker', 'paket', 'pulsa', 'hadiah', 'terjangkau', 'harganya', 'segitu', 'pendapat', 'thanks', 'the', 'app', 'makers', '']</t>
  </si>
  <si>
    <t>['update', 'buka', 'aplikasinya', 'disuruh', 'update', 'aplikasi', 'playstore', 'halamannya', 'bolak', 'aplikasi', 'telkomsel', 'playstore', 'gitu', 'sampe', 'kiamat']</t>
  </si>
  <si>
    <t>['kurangi', 'fitur', 'mubazir', 'bermanfaat', 'kuota', 'multimedia', 'mubazir', 'kepake', 'tukar', 'quota', 'internet', 'bermanfaat', 'undian', 'koin', 'transparan', 'pemenang', 'diumumkan', 'kali', 'bonus', 'kuota', 'login', 'harian', 'gagal', 'terkirim', 'kabar', '']</t>
  </si>
  <si>
    <t>['knp', 'beli', 'kuota', 'telkomsel', 'mahal', 'banget', 'beli', 'ribu', 'dpt', 'mlh', 'dpt', 'tolong', 'benerin', 'lgi', 'lgi', 'skrg', 'pandemi', 'orang', 'uang', 'beli', 'kuota', 'dengar', 'harga', 'mahal']</t>
  </si>
  <si>
    <t>['mohon', 'perbaiki', 'jaringan', 'internet', 'daerah', 'limpakuwus', 'kecamatan', 'sumbangan', 'kabupaten', 'banyumas', 'harga', 'paket', 'data', 'internet', 'mahal', 'sinyalnya', 'ngga', 'lancar', 'mikirin', 'blm', 'stabil']</t>
  </si>
  <si>
    <t>['jelek', 'kualitas', 'internetnya', 'harga', 'paketannya', 'mahal', 'kualitas', 'perbaiki', 'percaya', 'bagus', 'ganti', '']</t>
  </si>
  <si>
    <t>['skrng', 'admnya', 'gimana', 'isi', 'pulsa', 'ambil', 'paket', 'kepotong', 'pulsanya', 'isi', 'pulsanya', 'pas', 'lgi', 'harga', 'paket', 'ambil', 'paket', 'darurat', 'paket', 'data', 'ponselpun', 'udah', 'matikan', 'sblumnya', '']</t>
  </si>
  <si>
    <t>['membeli', 'paket', 'data', 'darurat', 'data', 'gini', 'namanya', 'pemerasan', 'keterangan', 'membayar', 'paket', 'data', 'darurat', 'aktif', 'paket', 'daruratnya', 'beli', 'dipaksa', 'beli', 'tolong', 'diperbaiki', 'admin', 'merugikan']</t>
  </si>
  <si>
    <t>['sms', 'telkomsel', 'amarah', 'meningkat', 'dasar', 'cek', 'paket', 'murah', 'eglh', 'beli', 'ngak', 'kesal', 'sms', 'telkomsel', 'sakit', 'hati']</t>
  </si>
  <si>
    <t>['aplikasi', 'instal', 'ulang', 'buka', 'lol', 'banget', 'niat', 'nda', 'orng', 'apps', 'membantu', 'mempersulit']</t>
  </si>
  <si>
    <t>['aplikasinya', 'search', 'rumit', 'pembelian', 'paket', 'telepon', 'paket', 'telepon', 'negri', 'doang', 'pengguna', 'berbisnis', 'orang', 'asing', 'tkw']</t>
  </si>
  <si>
    <t>['mahal', 'doang', 'jaringan', 'burik', 'kemanggisan', 'jakarta', 'barat', 'kampung', 'jaringannya', 'woi', 'perbaiki', 'jaringan', 'kerja', 'neh', 'hadeuh', 'ngapa', 'kantor', 'kerjasama', 'telkomsel', 'jaringannya', 'burik', 'kaya', 'gini', '']</t>
  </si>
  <si>
    <t>['kuota', 'memiliki', 'aktif', 'diprioritaskan', 'kali', 'penggunaannya', 'menghabiskan', 'kuota', 'aktifnya', 'kuota', 'aktifnya', 'pendek', 'kesalnya', 'dipaksa', 'menghabiskan', 'kuota', 'secepatnya', 'membeli', 'pengguna', 'kuota', 'internet', 'pemerintah', 'berharap', 'telkomsel', 'memperhatikan', 'berkaitan', 'kenyamanan', 'pelanggannya', '']</t>
  </si>
  <si>
    <t>['bagus', 'kesini', 'pulsa', 'hilang', 'isi', 'pulsa', 'malam', 'tinggal', 'pakek', 'data', 'telkomsel', 'ngelag', 'beli', 'paket', 'aplikasi', 'pulsa', 'terpotong', 'paket', 'masuk', 'jaringan', 'hilang', 'pakai', 'telkomsel', 'kuliah', 'online', 'tolong', 'diperbaiki', 'kesini', 'amburadul', 'terputus', 'koneksi', 'kuliah', 'daring', '']</t>
  </si>
  <si>
    <t>['kuota', 'doang', 'mahal', 'jaringan', 'kek', 'babi', 'sumpah', 'emosi', 'bnget', 'pas', 'maen', 'mobile', 'legend', 'war', 'lag', 'mohon', 'telkomsel', 'perbaiki', 'gara', 'gara', 'turun', 'bintang', 'pdahl', 'udah', 'mytic', '']</t>
  </si>
  <si>
    <t>['dipaksa', 'daerah', 'sidas', 'kabupaten', 'landak', 'kalimantan', 'barat', 'tower', 'jaringan', 'tipu', 'merusak', 'kerja', 'org', 'ilang', '']</t>
  </si>
  <si>
    <t>['sms', 'info', 'sms', 'bonus', 'bicara', 'adukan', 'grapari', 'jawabannya', 'memuaskan', 'ttp', 'rugi', 'pulsa', 'terpotong', 'gratis']</t>
  </si>
  <si>
    <t>['aplikasi', 'mudah', 'mengecek', 'sisa', 'kuota', 'pulsa', 'dimiliki', 'selebihnya', 'ditingkatkan', 'promo', 'promo', 'paket', 'kuota', 'internet', 'terjangkau', '']</t>
  </si>
  <si>
    <t>['jaringannya', 'diperbaiki', 'kualitasnya', 'buruk', 'aplikasinya', 'simple', 'merepotkan', 'loginnya', 'hadeehhh', 'telkomsel', 'update', 'masuk', 'zzzzzz']</t>
  </si>
  <si>
    <t>['operator', 'tipu', 'tipu', 'notifikasi', 'penawaran', 'kuota', 'murah', 'klik', 'muncul', 'tulisan', 'maaf', 'penawaran', 'anjim', 'kaya', 'gitu']</t>
  </si>
  <si>
    <t>['beli', 'paket', 'special', 'bener', 'bener', 'spe', 'sial', 'khusus', 'jaringan', 'kena', 'potong', 'pulsa', 'alasan', 'jaringan', 'jaringannya', 'telkomsel', 'kota', 'merata', '']</t>
  </si>
  <si>
    <t>['kecewa', 'kecewa', 'banget', 'beli', 'paket', 'gb', 'dikartu', 'bsa', 'dpake', 'gb', 'gb', 'ngga', 'bsa', 'dipake', 'kek', 'gitu', 'kek', 'gini', 'bnyak', 'beralih', 'kartu', 'tolong', 'kecewa', 'costumer', '']</t>
  </si>
  <si>
    <t>['harga', 'paketannya', 'okelah', 'kebeli', 'aktifnya', 'terllu', 'sebentar', 'udah', 'pke', 'telkomsel', 'kali', 'maaf', 'pindah', 'profeder', 'mikirin', 'konsumen']</t>
  </si>
  <si>
    <t>['semoga', 'penggunaan', 'telkomsel', 'khusus', 'pelayanan', 'terbaik', 'merasakan', 'kepuasan', 'smoga', 'kesempatan', 'hadiah', 'undian', 'selenggarakan', 'telkomsel', 'sukses', 'aminn']</t>
  </si>
  <si>
    <t>['disarankan', 'aplikasi', 'buka', 'terhubung', 'jaringan', 'internet', 'kuota', 'butuhkan', 'pengisian', 'paket', 'data', '']</t>
  </si>
  <si>
    <t>['hati', 'terkait', 'informasi', 'sisa', 'kuota', 'internet', 'tenggang', 'pengalaman', 'internet', 'kuota', 'tenggang', 'berlaku', 'informasinya', 'valid', 'internet', 'sisa', 'pulsa', 'nggak', 'tanggung', 'ribu', 'rupiah', 'tersedot', 'mending', 'hapus', 'app', '']</t>
  </si>
  <si>
    <t>['gdk', 'paket', 'gratis', 'nie', 'apk', 'telkomsel', 'paket', 'axis', 'gratis', 'gdk', 'parah', 'bat', 'telkomsel', 'tolong', 'paket', 'gratis', 'supya', 'terbantu']</t>
  </si>
  <si>
    <t>['jaringan', 'udah', 'lumayan', 'bagus', 'kayak', 'pembelian', 'paketnya', 'susah', 'prosesnya', 'paket', 'blom', 'kebeli', 'pulsa', 'udah', 'tarik', '']</t>
  </si>
  <si>
    <t>['telkomsel', 'sinyal', 'bagus', 'cuman', 'sayang', 'program', 'konsumen', 'rating', 'rendah', 'telkom', 'cepat', 'tanggap', 'konsumen', 'puas', 'rugkan']</t>
  </si>
  <si>
    <t>['sinyal', 'telkomsel', 'menurun', 'sebagus', 'kali', 'main', 'game', 'error', 'permainan', 'mohon', 'ditingkatkan', 'telkomsel', 'terpercaya', 'sinyalnya', 'masak', 'turun', 'raitingnya', 'gara', 'gara', 'sinyal', '']</t>
  </si>
  <si>
    <t>['beli', 'paket', 'diproses', 'cek', 'pulsa', 'berkurang', 'coba', 'beli', 'diproses', 'cek', 'pulsa', 'berkurang', 'beli', 'eeee', 'sekalinya', 'transaksi', 'berhasil', 'habis', 'pulsa', 'beli', 'paket', 'gb']</t>
  </si>
  <si>
    <t>['paket', 'unlimited', 'beli', 'unlimited', 'gb', 'kuota', 'utama', 'habis', 'langsung', 'masuk', 'notif', 'pemakaian', 'batas', 'wajar', 'habis', 'kuota', 'utama', 'habis', 'unlimited', 'buka', 'status', 'gabisa', 'payaah', '']</t>
  </si>
  <si>
    <t>['diupdate', 'terbaru', 'pas', 'dibuka', 'aplikasinya', 'disuruh', 'update', 'lgi', 'pdahal', 'diupate', 'aplikasinya', 'tdak', 'dibuka', 'bgmana', '']</t>
  </si>
  <si>
    <t>['pembelian', 'sebulan', 'dipotong', 'beli', 'kemarin', 'tgl', 'expired', 'tgl', 'ato', 'nga', 'potong', 'pembeli', 'sebulan', 'namanya', 'tolong', 'seimbangi', 'pelanggan', 'nga', 'rugi', 'terimakasih']</t>
  </si>
  <si>
    <t>['ojol', 'terbantu', 'krna', 'paket', 'promo', 'gb', 'sebulan', 'ppkm', 'sesuai', 'bajet', 'pendapatan', 'tpi', 'krna', 'promonya', 'udah', 'ngak', 'orderannya', 'sepi', 'paketnya', 'mahal', 'huuuuuffttt', 'udah', 'bginilah', 'nasib', 'rakyat', 'jelata', 'rakyat', 'indonesia', 'merdeka', 'negerinya', '']</t>
  </si>
  <si>
    <t>['jaringan', 'koneksi', 'intrnetnya', 'jelek', 'kaya', 'gitu', 'udah', 'beli', 'paket', 'mahal', 'koneksinya', 'stabil', '']</t>
  </si>
  <si>
    <t>['bermanfaat', 'membantu', 'berbagi', 'konsumen', 'keperluan', 'membeli', 'paket', 'kuota', 'pulsa', 'prabayar', 'terimakasih', 'telkomsel', '']</t>
  </si>
  <si>
    <t>['kuota', 'multimedia', 'terpakai', 'update', 'download', 'aplikasi', 'via', 'play', 'store', 'kuota', 'malam', 'kuota', 'nasional', 'bener', 'bener', 'kacau']</t>
  </si>
  <si>
    <t>['plnggn', 'telkomsel', 'bertahun', 'jaringannya', 'kaya', 'kura', 'jelek', 'pakai', 'bingit', 'sesuai', 'harganya', 'tolong', 'telkomsel', 'perbaiki', 'pelayanan']</t>
  </si>
  <si>
    <t>['mimin', 'tsel', 'tolong', 'perbaiki', 'apk', 'upgrade', 'lemot', 'gimana', 'jaringan', 'top', 'ohya', 'ngeluarin', 'promo', 'khusus', 'ppkm', '']</t>
  </si>
  <si>
    <t>['aplikasi', 'maunya', 'gimana', 'masak', 'paket', 'tersedia', 'pilihan', 'kemana', 'woeee', 'gigamax', 'dipromoin', 'emang', 'internet', 'nonton', 'video', 'online', 'kecewa', 'pelanggan', 'simcard', '']</t>
  </si>
  <si>
    <t>['diupdate', 'paket', 'dibeli', 'paketnya', 'mahal', 'udh', 'gitu', 'ribet', 'penggunaan', 'aplikasinya', 'balikin', 'sprti', 'dlu', 'please', 'min', 'maaf', 'sya', 'kurangin', 'bintang', 'aneh', 'aplikasinya', 'pulsanya', 'berkurang', 'habis', 'sndrinya', 'pdhal', 'kuota', 'internet', 'nlp', 'bnyak', 'pulsanya', 'berkurang', 'kmrin', 'lgsung', 'habis', 'gtu', 'tolong', 'shrusnya', 'update', 'bagus', 'error', '']</t>
  </si>
  <si>
    <t>['heran', 'telkomsel', 'pekanbaru', 'sinyal', 'internet', 'jelek', 'bekasi', 'jelek', 'bogor', 'jelek', 'kesini', 'sinyalnya', 'buruk', 'aceh', 'pakai', 'pakai', 'deh', '']</t>
  </si>
  <si>
    <t>['ane', 'kasih', 'bintang', 'seneng', 'jujur', 'ane', 'kecewa', 'pelanggan', 'kartu', 'lahir', 'kecewanya', 'aktivasi', 'combo', 'sakti', 'kena', 'potong', 'aktivasi', 'tgl', 'applikasi', 'terhitungnya', 'tgl', 'tgl', 'ngapah', 'begonoooo', 'ngapah', 'mundur', 'tanggalnya', 'bosssssss', '']</t>
  </si>
  <si>
    <t>['bintang', 'edit', 'bintang', 'kualitas', 'kecepatan', 'internet', 'telkomsel', 'buruk', 'pelayanan', 'keluhan', 'pelanggan', 'memuaskan', 'penukaran', 'point', 'kupon', 'undian', 'komplain', 'memuaskan', 'pelanggan', '']</t>
  </si>
  <si>
    <t>['sinyal', 'lemot', 'banget', 'gitu', 'pulsa', 'hilang', 'blm', 'pakai', 'tolong', 'telkomsel', 'jng', 'pelanggan', 'jenuh', 'mohon', 'perbaiki', '']</t>
  </si>
  <si>
    <t>['telkomsel', 'jaringannya', 'bener', 'bener', 'harga', 'rupa', 'harga', 'rupa', 'memadai', 'kali', 'internetan', 'malem', 'doang', 'jam', 'malam', 'ampun', 'liat', 'kecepatannya', 'toloooooooooongg', 'udah', 'chat', 'tetep', 'bener', 'ampun', 'parah', '']</t>
  </si>
  <si>
    <t>['gimana', 'telkomsel', 'terhormat', 'kondisi', 'internet', 'sagat', 'buruk', 'lokasi', 'lancarnya', 'pas', 'buka', 'telkonsel', 'aplikasi', 'buruk', 'ngak', 'solusi', 'ngak', 'perbaikan', 'woi', 'beli', 'paket', 'internet', 'pakai', 'uang', 'pakai', 'daun', 'tolong', 'perbaiki', 'jagan', 'menerus', 'mengecewakan', 'konsumen', 'kalin', 'kaya', 'miskin', 'karna', 'internet', 'buruk']</t>
  </si>
  <si>
    <t>['tolong', 'telkomsel', 'sistemnya', 'gimana', 'udah', 'sedia', 'pulsa', 'udah', 'beli', 'paket', 'paket', 'nyampe', 'nyampe', 'udah', 'berulang', 'kali', 'coba', 'tolong', 'costumer', 'nyaman', 'paketnya', 'mahal', 'akses', 'susah', 'udah', 'kali', 'transaksi', 'paket', 'data', 'lohh', '']</t>
  </si>
  <si>
    <t>['aplikasi', 'telkomsel', 'senang', 'aplikasi', 'telkomsel', 'sisa', 'pulsa', 'sisa', 'kuota', 'internet', 'sisa', 'kuota', 'nelpon', 'sisa', 'kuota', 'sms', 'serentak', 'terima', 'kasih', 'telkomsel', 'aplikasi', 'telkomselnya', '']</t>
  </si>
  <si>
    <t>['aplikasi', 'paketin', 'kuota', 'kokk', 'tulisan', 'check', 'connection', 'again', 'and', 'repeat', 'the', 'transaction', 'after', 'one', 'minute', 'udah', 'pakai', 'wifi', 'udah', 'sinyalnya', 'kuat', 'gabisa', 'dipaketin', 'kuota']</t>
  </si>
  <si>
    <t>['beli', 'paket', 'internet', 'hr', 'gb', 'uda', 'sdi', 'beli', 'gara', 'lemoooooottt', 'ampun', 'beli', 'paket', 'untung', 'uda', 'pakai', 'telkom', 'klau', 'buang', 'nomor', 'kecewa', 'telkomsel', '']</t>
  </si>
  <si>
    <t>['aplikasi', 'telkomsel', 'berterima', 'kasih', 'mempermudah', 'mendaftar', 'memilih', 'paket', 'semoga', 'promo', 'murah', '']</t>
  </si>
  <si>
    <t>['tolong', 'sinyal', 'susah', 'surabaya', 'loadingnya', 'zoom', 'meeting', 'masuk', 'udah', 'trouble', 'jaringan', 'beli', 'paketan']</t>
  </si>
  <si>
    <t>['aplikasi', 'beli', 'pulsa', 'langsung', 'habis', 'grgr', 'kepencet', 'nyalain', 'data', 'internet', 'ampe', 'detik', 'langsung', 'habis', 'ridho', 'pulsa', 'potong', 'gua', 'doain', 'mati', 'konyol', '']</t>
  </si>
  <si>
    <t>['tolong', 'perbaiki', 'jaringan', 'telkomsel', 'main', 'game', 'lag', 'banget', 'gimna', 'pro', 'jaringan', 'kek', 'siput', 'telkomsel', 'wifi', 'mas', 'lag', 'emang', 'kota', 'tower', '']</t>
  </si>
  <si>
    <t>['paket', 'kuota', 'main', 'game', 'game', 'sosmed', 'dll', 'cuman', 'kuota', 'utama', 'hbis', 'main', 'game']</t>
  </si>
  <si>
    <t>['', 'bngt', 'pelanggan', 'setia', 'skrg', 'data', 'cpt', 'hbs', 'yaa', 'oecewa', 'bngt', 'jaman', 'pandemi', 'gini', 'lbh', 'bnyk', 'butuh', 'data', 'telkomsel', 'bonus', 'data', 'dipandemi', 'payah', 'yaa', '']</t>
  </si>
  <si>
    <t>['udah', 'berberapa', 'sinyal', 'telkomsel', 'lemot', 'udah', 'kartu', 'mahal', 'paket', 'mahal', 'sinyal', 'lemot', 'sekira', 'robohkan', 'tower', 'sinyal', 'pemain', 'game', 'kecewa', 'sinyal', 'telkomsel', '']</t>
  </si>
  <si>
    <t>['telkomsel', 'gangguan', 'tkp', 'jabar', 'barat', 'knp', 'harga', 'paket', 'internet', 'mahal', 'sesuai', 'kualitas', 'mohon', 'koreksi']</t>
  </si>
  <si>
    <t>['', 'promo', 'beranda', 'beli', 'smw', 'org', 'kaya', 'liat', 'promo', 'beli', 'pulsa', 'beli', 'pulsa', 'promo', 'ilang', 'setan', 'penipuan', 'orang', 'beli', 'pulsa', 'hadeh', 'bagus', 'dikit']</t>
  </si>
  <si>
    <t>['maaf', 'rubah', 'ulasa', 'fikir', 'permasalahan', 'pengguna', 'telkomsel', 'terpecahkan', 'solusi', 'berkutat', 'disitu', 'naro', 'harapan', 'provider', '']</t>
  </si>
  <si>
    <t>['kemana', 'hilangnya', 'paket', 'khusus', 'driver', 'online', 'trus', 'naikin', 'harga', 'kemarin', 'dipaksa', 'beli', 'seharga', 'rb', 'rb', 'udah', 'jaringan', 'turun']</t>
  </si>
  <si>
    <t>['sungguh', 'kecewa', 'banget', 'sinyal', 'suka', 'hilang', 'sinyal', 'lemot', 'lambat', 'banget', 'mohon', 'secepatnya', 'tolong', 'perbaiki', 'pengguna', 'kecewakan']</t>
  </si>
  <si>
    <t>['berinovasi', 'mudah', 'ajz', 'lemot', 'aplikasi', 'tolong', 'evaluasi', 'permudah', 'versi', 'tgl', 'agustus', 'promo', 'kuotanya', 'kalah', 'aplikasi', 'tetangga', 'milik', 'bumn', '']</t>
  </si>
  <si>
    <t>['sinyal', 'full', 'kuota', 'full', 'internet', 'ndak', 'jalan', 'parah', 'sinyal', 'beralih', 'pulsa', 'reguler', 'ludess', 'parah', 'telkomsel', 'fitur', 'pulsa', 'safe', 'ngambil', 'pulsa', 'diam', '']</t>
  </si>
  <si>
    <t>['kecewa', 'simpati', 'signal', 'buruk', 'ganti', 'kartu', 'udah', 'dibela', 'in', 'beli', 'pulsa', 'alasannya', 'jaringan', 'error', 'mengecewakan', 'customer', 'servicenya', 'nggk', 'modal', 'tlp', 'buruk', 'bangettt', 'simpati', '']</t>
  </si>
  <si>
    <t>['kecewa', 'mengambil', 'paket', 'tersedia', 'berulang', 'kali', 'dicoba', 'notif', 'berhasil', 'gagal', 'syarat', 'pulsa', 'terpenuhi', 'chat', 'admin', 'telkomsel', 'telegram', 'solusi', 'menjadikan', 'alasan', 'penawaran', 'sms', '']</t>
  </si>
  <si>
    <t>['habis', 'update', 'login', 'kesalahan', 'trs', 'dicoba', 'berkali', 'skali', 'sms', 'diklik', 'linknya', 'aneeehh', '']</t>
  </si>
  <si>
    <t>['paket', 'ditawarkan', 'nomor', 'telkomsel', 'berbeda', 'beda', 'paket', 'internet', 'ditawarkan', 'nomor', 'telkomsel', 'istri', 'paket', 'pembelian', 'voucher', 'telkomsel', 'telepon', 'call', 'center', 'sorry', 'say', 'kebijakan', 'telkomsel', '']</t>
  </si>
  <si>
    <t>['berulang', 'kali', 'coba', 'rendem', 'point', 'paket', 'data', 'sms', 'balasan', 'mohon', 'maaf', 'sistem', 'sibuk', 'point', 'kembalikan', 'kasih', 'hadiah', 'penipuan', 'konsumen', 'namanya', 'telkomsel', 'bumn', 'masak', 'perusahaan', 'milik', 'negara', 'malu', 'bangsa', 'indonesia', 'erik', 'tohir', 'menteri', 'bumn', 'evaluasi', 'manajemen', 'telkomsel', 'pecat', 'manajemen', 'malu', 'negara']</t>
  </si>
  <si>
    <t>['kali', 'puluhan', 'kali', 'beli', 'paket', 'mytelkomsel', 'syaratnya', 'terpenuhi', 'aplikasi', 'layanan', 'telkomsel', 'transaksinya', 'buruk']</t>
  </si>
  <si>
    <t>['derita', 'ppkm', 'harga', 'paket', 'selangit', 'susah', 'aaja', 'promo', 'diskon', 'mahal', 'provider', 'injam', 'pulsa', 'kuota', 'pas', 'kepepet', 'pulak', 'sistem', 'kek', 'liat', 'provider', 'dipercaya', 'pinjol', 'dlu', 'lgi', 'kasih', 'poin', 'tukar', 'paket', 'konsument', 'butu', 'tukar', 'koin', 'shop', 'ect', '']</t>
  </si>
  <si>
    <t>['maaf', 'edit', 'bintang', 'pelayanan', 'jaringan', 'jelek', 'stabil', 'berbanding', 'terbalik', 'pembelian', 'harga', 'paketan', 'mahal', 'operator', 'sebelah', 'operator', 'sebelah', 'hatha', 'murah', 'jaringan', 'internet', 'stabil', 'pemakaian', 'internet', 'jangkau', 'aktif', 'kuota', 'habis', 'telkomsel', 'mimpi', 'belaka', 'operator', 'berkembang', 'maju', 'mengecewakan']</t>
  </si>
  <si>
    <t>['pelayanan', 'kepuasan', 'pelanggan', 'mines', 'slow', 'respon', 'direspon', 'keluhan', 'terselesaikan', 'sekrng']</t>
  </si>
  <si>
    <t>['telkomsel', 'saldo', 'gua', 'giliran', 'pilih', 'paket', 'kompir', 'telom', 'kagak', 'tolong', 'perbaiki', 'beli', 'kuota', 'saldo', 'gua', 'kesedot']</t>
  </si>
  <si>
    <t>['aplikasi', 'sekelas', 'operator', 'terbesar', 'indonesia', 'juta', 'pelanggan', 'aplikasi', 'ringan', 'sanggup', 'animasi', 'app', 'berat', 'spek', 'rendah', 'aplikasi', 'cek', 'pulsa', 'ama', 'beli', 'paket', 'data', 'menggelikan', '']</t>
  </si>
  <si>
    <t>['telkomsel', 'terhitung', 'mahal', 'paket', 'dllnya', 'pakai', 'telkomsel', 'knp', 'signal', 'jelek', 'usaha', 'online', 'merugikan', 'signal', 'kena', 'pengaruh', 'covid', 'yeeee']</t>
  </si>
  <si>
    <t>['babi', 'beli', 'kuota', 'belajar', 'dipake', 'google', 'classroom', 'paket', 'internet', 'gacha', 'mahal', 'emang', 'babi', 'telkomsel', 'pandemi', 'dimurahin', 'naek', 'gini', 'tinggal', 'indonesia']</t>
  </si>
  <si>
    <t>['sms', 'telkomsel', 'promo', 'gb', 'aktifkan', 'telkomsel', 'didownload', 'cek', 'promonya', 'akses', 'mengakses', 'promo', 'telkomsel', 'dipercaya', 'bintang', 'kasih', 'kecewa', 'banget']</t>
  </si>
  <si>
    <t>['aplikasi', 'ngabis', 'duit', 'jaringa', 'jelek', 'hilang', 'internet', 'nye', 'menyesal', 'berlanggan', 'memakai', 'telkomsel', 'thn', 'bagus', 'skrng', 'nda', 'ade', 'bagus', 'nye', 'saye', 'beli', 'paket', 'mahal', 'bise', 'duet', 'rb', 'bln', 'kali', 'beli', 'paket', 'skrng', 'udh', 'cukop', 'nak', 'ganti', 'kartu', 'menyesal']</t>
  </si>
  <si>
    <t>['aplikasi', 'bagus', 'banget', '']</t>
  </si>
  <si>
    <t>['', 'pertahanin', 'jaringan', 'sampah', 'drop', 'maksain', 'muasin', 'pelanggan', 'mending', 'bakar', 'perusahaan', 'putusin', 'deh', 'jaringan', '']</t>
  </si>
  <si>
    <t>['tolong', 'min', 'tarifnya', 'mahal', 'mahal', 'mahal', 'bulanan', 'pengguna', 'telkomsel', 'terima', 'kasih']</t>
  </si>
  <si>
    <t>['mahal', 'tarifnya', 'buruk', 'pelayanannya', 'mati', 'lampu', 'sinyal', 'telkomsel', 'tetep', 'kuat', 'skrg', 'mati', 'lampu', 'sinyal', 'jga', 'ilang', 'kalah', 'tetangga', 'sebelah', '']</t>
  </si>
  <si>
    <t>['muncul', 'sinyal', 'lemot', 'gerangan', 'telkomsel', 'harga', 'paket', 'mahal', 'lhooo', 'canda', 'mahal', 'cuman', 'nginfo', 'aplikasi', 'mytelkomsel', 'error', 'login', '']</t>
  </si>
  <si>
    <t>['pulsa', 'ditarik', 'hutang', 'darurat', 'operator', 'sebenernya', 'dipake', 'ambil', 'paket', 'internet', 'mingguan', 'gb', 'isi', 'pulsa', 'sisa', 'habis', 'hilang', 'ntah', 'kemana', 'pas', 'dicek', 'aplikasi', 'mytelkomsel', 'pulsa', 'tinggal', '']</t>
  </si>
  <si>
    <t>['mahall', 'paket', 'murah', 'murah', 'hilang', 'setia', 'tsel', 'bye', 'terimakasih', 'bro', 'rating', 'copot', '']</t>
  </si>
  <si>
    <t>['gimana', 'maju', 'tumbuh', 'paket', 'mahal', 'sinyal', 'doang', 'jakarta', 'disana', 'hellooooo', '']</t>
  </si>
  <si>
    <t>['pulsa', 'ngurang', 'pakai', 'udh', 'kali', 'coba', 'unreg', 'all', 'tolong', 'kasih', 'pencerahan', '']</t>
  </si>
  <si>
    <t>['isi', 'ulang', 'aplikasi', 'telkomsel', 'masuk', 'tunggu', 'jam', 'membayar', 'akun', 'virtual', 'mbanking', 'bca', 'kecewa', 'udah', 'telkomsel', 'pulsa', 'kunjung', 'masuk', 'saldo', 'terpotong', '']</t>
  </si>
  <si>
    <t>['skrg', 'telkomsel', 'knpa', 'sihh', 'bangkrut', 'langsung', 'tutup', 'org', 'rugiiii', 'kota', 'tembus', 'barr', 'malu', 'ama', 'provider', 'lrbih', 'murah', 'bagus', 'tutup', 'gan', 'bumn', '']</t>
  </si>
  <si>
    <t>['pengguna', 'berlangganan', 'paket', 'kuota', 'mahal', 'pelanggan', 'mahalin', 'pengguna', 'murahin', 'kecewa', '']</t>
  </si>
  <si>
    <t>['terimakasih', 'promo', 'promo', 'menarik', 'aplikasi', 'telkomsel', 'jujur', 'banget', 'membantu', 'kesibukan', 'sehari', 'contoh', 'daring', 'jualan', 'online', 'dll', 'terimakasih', 'telkomsel']</t>
  </si>
  <si>
    <t>['kasi', 'bintang', 'karna', 'jaringannya', 'jelek', 'banget', 'kahususnya', 'kota', 'rantapao', 'saran', 'tinkatkan', 'donk', 'jarigan', 'sebelah', '']</t>
  </si>
  <si>
    <t>['update', 'aplikasi', 'koneksi', 'gaada', 'perubahan', 'lemot', 'parah', 'pakai', 'telkomsel', 'jaringan', 'stabil', 'stabil', 'sinyal', 'telkomsel', 'jaringan', 'bagus', 'kesini', 'buruk', 'akses', 'web', 'kadang', 'lambat', '']</t>
  </si>
  <si>
    <t>['gila', 'mahal', 'paket', 'kapok', 'simpati', 'keluarga', 'off', 'simpati', 'tarif', 'kesini', 'mahal', 'normal', 'stabil', 'jaringan', 'kadang', 'ilang', '']</t>
  </si>
  <si>
    <t>['jaringan', 'leg', 'parah', 'malam', 'lag', 'jaringan', 'main', 'game', 'stabil', 'toling', 'perbaiki', 'telkomsel', 'daerah', 'palembang', 'mahal', 'jaringan', 'lemot', 'lelet', 'kecewa', 'nian', 'telkomsel']</t>
  </si>
  <si>
    <t>['buka', 'aplikasi', 'telkomsel', 'loading', 'teruss', 'muter', 'diupdate', 'bagus', 'beli', 'paket', 'telpon', 'skr', 'app', 'error', 'mulu', 'kaya', 'gini', 'telkomsel', 'ditinggal', 'customer']</t>
  </si>
  <si>
    <t>['promonya', 'mahal', 'jaringannya', 'jelek', 'lalot', 'promo', 'tawarkan', 'mahal', 'mahal', 'pelanggan', 'nyaman', 'aplikasi', 'saranya', 'tingkatkan', 'kualitasnya', 'pelanggan', 'telkomsel']</t>
  </si>
  <si>
    <t>['perusahaan', 'biadab', 'merampok', 'duit', 'rakyat', 'dalih', 'menjual', 'jasa', 'komunikasi', 'promo', 'kegiatan', 'promo', 'bertujuan', 'menjebak', 'konsumen', 'menguras', 'nominal', 'pulsa', 'kartu', 'sim', 'selayaknya', 'dituntut', 'pidana', 'perdata', 'sehari', 'bertahun', 'berubah', 'perampok', 'duit', 'nyata', '']</t>
  </si>
  <si>
    <t>['mantap', 'tolong', 'perbaiki', 'sinyal', 'sinyalnya', 'susah', 'lock', 'internetan', 'dusun', 'sasak', 'desa', 'santaban', 'kec', 'sajingan', 'kab', 'sambas', 'prov', 'kalbar', '']</t>
  </si>
  <si>
    <t>['dear', 'admin', 'sinyal', 'diperkuat', 'mind', 'harga', 'kuota', 'mahal', 'sinyal', 'ilang', 'nomor', 'telkomselku', 'tdak', 'terdaftar', 'akun', 'bank', 'dll', 'udah', 'ganti', 'provider', 'mind', 'pelayanan', 'menurun', 'telkomsel', 'bsa', 'menanggapi', 'perbaiki', 'trimakasih', '']</t>
  </si>
  <si>
    <t>['beli', 'paket', 'hati', 'hati', 'modus', 'pencurian', 'pulsa', 'sedetik', 'lupa', 'matiin', 'data', 'nelpon', 'gitu', 'nyedot', 'pulsa', 'nggak']</t>
  </si>
  <si>
    <t>['udah', 'komersil', 'membantu', 'masyarakat', 'harga', 'paket', 'terjangkau', 'mengurangi', 'kualitas', '']</t>
  </si>
  <si>
    <t>['udah', 'update', 'playstore', 'aplikasi', 'mytelkomnyet', 'update', 'pas', 'klik', 'pembarruan', 'playstore', 'update', 'lingkaran', 'setan', 'kasih', 'bintang', 'saranin', 'bintang']</t>
  </si>
  <si>
    <t>['parah', 'telkomsel', 'gara', 'ikutin', 'rekomendasi', 'telkomsel', 'kartu', 'prabayar', 'gua', 'jdi', 'aktip', 'ngapa', 'in', 'tolong', 'balikin', 'bner', 'merugikan', '']</t>
  </si>
  <si>
    <t>['poin', 'tukar', 'tpi', 'kadang', 'emosi', 'sendri', 'berharap', 'egaa', 'pengen', 'yaa', 'kerja', 'usaha', 'tpi', 'pundi', 'hepy', 'kya', 'iklan', 'produk', 'warung', 'pdahal', 'data', 'manipulasi', 'pemakai', 'pakai', 'wfi', 'telkomsel', 'pst', 'emang', 'harapan', 'palsu', 'mohon', 'tiadakan', 'tpi', 'valid', 'tlng', 'cek', 'pemakai', 'mkash']</t>
  </si>
  <si>
    <t>['tampilan', 'aplikasi', 'mytelkomsel', 'berubah', 'ubah', 'bingung', 'ribet', 'tampilan', 'sekrang', 'terbiyasa', 'ubah', 'rubah', 'rubah', 'mulu', 'bosen', 'gitu', 'mantengin', 'dlm', 'aplikasi', 'info', 'kuota', 'pulsa', 'promo', 'paket', 'udah', 'harga', 'kuota', 'jual', 'mikir', 'tinggal', 'paket', 'bersahabat', 'kek', 'nggak', 'varian', 'kuota', 'aneh', 'aneh', 'beli', 'kuota', 'sebulan']</t>
  </si>
  <si>
    <t>['pelayana', 'buruk', 'pagi', 'isi', 'pulsa', 'saldo', 'pulsa', 'saldo', 'pas', 'sore', 'sisa', 'sekian', 'data', 'berlaku', 'data', 'depannya', 'sungguh', 'menyedihkan', '']</t>
  </si>
  <si>
    <t>['salah', 'pengguna', 'telkomsel', 'kecewa', 'paket', 'telkomsel', 'mahal', 'tolong', 'permurah', 'paket', 'telkomsel', '']</t>
  </si>
  <si>
    <t>['kecewa', 'karenankan', 'jaringan', 'sinyal', 'lelet', 'harga', 'mahal', 'ukuran', 'jaringan', 'promo', 'mahal', 'jaringan', 'stabil', 'mohon', 'stabilkan', 'terima', 'kasih']</t>
  </si>
  <si>
    <t>['jaringan', 'telkomsel', 'bagus', 'ehh', 'parah', 'taikk', 'tarifnya', 'mahal', 'lgii', 'tolong', 'perbaiki', 'sumpek', 'kek', 'duluuu', 'jaringan', 'telkomsel', 'naikin', 'tarifnya', 'jaringan', 'perbaiki', 'kota', 'jogja', 'ajaa', 'jelek', 'jaringan', 'taikk']</t>
  </si>
  <si>
    <t>['maaf', 'kurangi', 'appnya', 'layanan', 'internetnya', 'alasan', 'sinyal', 'internet', 'bagus', 'kota', 'desa', 'nggak', 'diandalkan', 'kuota', 'internet', 'mahal', 'operator', 'ketiga', 'paket', 'kuota', 'pelit', 'operator', 'semoga', 'perbaikan', 'berkaitan', 'layanan', 'internet']</t>
  </si>
  <si>
    <t>['lemottttttttttttttttttttttttt', 'bettttttth', 'bnjirrrrrrr', 'singnal', 'adaaaaaa', 'samaa', 'sekalii', 'njirrrrrrrrrrrrr', 'tolonggg', 'diperbaikiiii', 'secepatnya', 'nyaa', 'tidaaa', 'inginnn', 'kehilangan', 'pelanggan', 'telkommmmmmmmmmmmmmmmmmmmmsel', 'setia', 'andaaaaaaa', '']</t>
  </si>
  <si>
    <t>['kasih', 'bintang', 'ikhlas', 'tlp', 'telkomsel', 'sampe', 'habis', 'rb', 'sampe', 'tlp', 'gila', 'cari', 'untung', 'bangkrut', 'orang', 'gitu', 'banget', 'telkomsel', 'skrg', 'cari', 'untung', '']</t>
  </si>
  <si>
    <t>['', 'aktifin', 'combo', 'tgl', 'notifikasi', 'sbbi', 'selamat', 'paket', 'combo', 'sakti', 'mnt', 'tsel', 'sms', 'tsel', 'langganan', 'disney', 'hotstar', 'aktif', 'berlaku', 'tgl', 'pkl', 'wib', 'cek', 'status', 'berhenti', 'berlangganan', 'telkomsel', 'apps', 'hub', 'info', 'tertera', 'mnt', 'tsel', 'mnrt', 'pemahaman', 'dpt', 'mnt', 'gratis', 'nelp', 'tsel', 'bener', 'klu', 'pagi', 'nelp', 'nomer', 'tsel', 'bbrp', 'menit', 'keputus', 'trnyata', 'bns', 'habis', 'mhn', 'penjelasannya']</t>
  </si>
  <si>
    <t>['tolong', 'diperbaiki', 'aktifin', 'paket', 'kuota', 'ceria', 'pas', 'internetan', 'motong', 'pulsa', 'utama', 'berasa', 'daftar', 'paket', 'dapet', 'paket', 'syarat', 'ketentuan', 'ceria', 'gimana', 'app', 'keterangan', 'kuota', 'utama', 'pakai', 'makasih', 'responnya', '']</t>
  </si>
  <si>
    <t>['', 'sinyal', 'full', 'kualitas', 'lemot', 'level', 'bumn', 'kelas', 'abal', 'mahal', 'kualitas', 'terjamin', 'parah', 'jelek', 'this', 'real', 'not', 'fake']</t>
  </si>
  <si>
    <t>['telkomsel', 'terhormat', 'tolong', 'jaringan', 'telpon', 'internet', 'terganggu', 'desa', 'bapangi', 'kecamatan', 'pancalautang', 'kabupaten', 'sidrap', 'diperbaiki', 'kasihan', 'anak', 'sekolah', 'aparatur', 'desa', '']</t>
  </si>
  <si>
    <t>['dear', 'telkomsel', 'mohon', 'upgrade', 'pelayanannya', 'konsumen', 'puas', 'servicenya', 'pandang', 'kasta', 'fasilitas', 'disediakan', 'terlayani', 'adil', 'masukannya', 'mohon', 'sediakan', 'paket', 'kuota', 'sesuai', 'mahal', 'kuota', 'utamanya', 'bonus', 'promo', 'mohon', 'tingkatkan', 'bagus', 'masyarakat', 'membelinya', '']</t>
  </si>
  <si>
    <t>['habis', 'perbarui', 'aplikasi', 'telkomsel', 'cek', 'mahal', 'banget', 'harga', 'paket', 'kyotanya', 'pas', 'cek', 'ricek', 'isi', 'ulang', 'kuota', 'promo', 'seneng', 'bet', 'ngisi', 'pulsa', 'pas', 'ama', 'promokan', 'lancar', 'internet', 'gb', 'normal', 'seneng', 'karna', 'suami', 'beli', 'pulsanya', 'ngepas', 'promokan', 'tks', 'telkomsel', 'beli', 'gb', 'cmn', 'tahan', 'minggu', 'kali', 'isi', 'mudahan', 'gb', 'tahan', 'aga', '']</t>
  </si>
  <si>
    <t>['update', 'knp', 'saldo', 'linkaja', 'hilang', 'disuruh', 'download', 'aktivasi', 'kmn', 'sisa', 'saldo', 'linkaja', 'kecewa', 'telkomsel', '']</t>
  </si>
  <si>
    <t>['kecewa', 'nomor', 'thn', 'pakai', 'terblokir', 'diaktifkan', 'beli', 'nomor', 'pakai', 'daftar', 'banking', 'trnyata', 'nmr', 'orang', 'terdaftar', 'pdhl', 'beli', 'nomor', 'jaringan', 'lemot', 'paketan', 'internet', 'mahal', 'sesuai', 'udh', 'mahal', 'bagus', 'jaringan', 'pelanggan', 'telkomsel', 'kecewa', 'brengsek', 'telkomsel', '']</t>
  </si>
  <si>
    <t>['paket', 'kartu', 'halo', 'unlimited', 'merugikan', 'unlimited', 'makan', 'kuota', 'utama', 'dlu', 'trs', 'udh', 'habis', 'fup', 'akses', 'aplikasi', 'unlimited', 'udh', 'hbs', 'udh', 'lemot', 'abis', 'plg', 'unlimited', 'nua', 'buka', 'buka', 'vidio', 'disney', 'maxstream', 'bro', 'jaringan', 'error', 'mgkn', 'speed', 'rendah', 'pengguna', 'kartu', 'halo', 'lbh', 'dri', 'sekecewa', 'paket', 'kartu', 'halo', 'pindah', 'paket', 'halo', 'kick', 'udh']</t>
  </si>
  <si>
    <t>['', 'ngisi', 'plsa', 'min', 'rb', 'skrng', 'max', 'rb', 'takt', 'telkomsel', 'serng', 'nyedot', 'plsa', 'bhkn', 'bsa', 'prnh', 'smpe', 'rb', 'pdhl', 'pkt', 'msh', 'bnyak', 'kalopun', 'pkt', 'hbis', 'knp', 'kyk', 'sbelah', 'nyedot', 'pulsa', 'paket', 'habis', 'udah', 'masang', 'dirumah', 'sempet', 'nyedot', 'pulsa', 'nanggung', 'nyedotnya', 'rb', 'ngirim', 'foto', 'udah', 'nelpon', 'nunggu', 'kerja', 'sprti', 'udah', 'jls', 'kacau', '']</t>
  </si>
  <si>
    <t>['kecewa', 'penukaran', 'poin', 'tukar', 'poin', 'pulsa', 'ambil', 'beli', 'data', 'mah', 'sok', 'kasih', 'iming', 'iming', 'kumpulin', 'poin', 'voucher', 'merampok', '']</t>
  </si>
  <si>
    <t>['nyuruh', 'upadate', 'sinyal', 'hancur', 'trlkomsel', 'udh', 'paket', 'mahal', 'harga', 'paket', 'kaya', 'pejabat', 'sinyal', 'melarat', 'jengkel', 'telkomsel', 'perusahaan', 'terbesar', 'indonesia', 'kaya', 'gini', 'telkomsel', 'kesini', 'parah', 'bagus', 'mapah', 'bokbrok']</t>
  </si>
  <si>
    <t>['telkomsel', 'payah', 'beli', 'kuota', 'belajar', 'kepake', 'kuota', 'utama', 'kuota', 'utama', 'habis', 'pulsa', 'kesedot', 'parahh', '']</t>
  </si>
  <si>
    <t>['kasar', 'aspal', 'lega', 'telkomsel', 'bayar', 'ratusan', 'bohongi', 'elit', 'global', 'video', 'peluncuran', 'satelit', 'buatan', 'bohong', 'udah', 'copy', 'paste', 'udah', 'gitu', 'ganti', 'logo', 'doang', 'pantasan', 'paketan', 'mahal', 'rugi', '']</t>
  </si>
  <si>
    <t>['harga', 'mahal', 'jaringan', 'beli', 'paket', 'berubah', 'ubah', 'harganya', 'sesuai', 'ragu', 'bingung']</t>
  </si>
  <si>
    <t>['beli', 'paket', 'darurat', 'tagihan', 'via', 'sms', 'paket', 'kuota', 'unlimited', 'dibatasi', 'kuota', 'mytelkomsel', 'aneh', 'telkomsel', 'kuota', 'gb', 'bohong', 'daily', 'check', 'dihentikan', 'jaringan', 'lemooooot', 'ditinggalkan', '']</t>
  </si>
  <si>
    <t>['program', 'daily', 'check', 'dpt', 'promo', 'disuruh', 'bayar', 'dibelakang', 'sebenernya', 'promo', 'pemotongan', 'telkomsel', 'paket', 'rp', 'mytelkomsel', 'rp', 'pemakaian', 'dikenakan', 'tariff', 'normal', 'cek', 'mytsel', 'app', 'harap', 'isi', 'ulang', 'pulsa', 'pembayaran', '']</t>
  </si>
  <si>
    <t>['skrng', 'unlimited', 'target', 'sepuasnya', 'suka', 'unlimited', 'sepuasnya', 'pembatas', 'nnya', 'kasi', 'bintang', 'unlimited', 'kasi', 'full', 'bintang', '']</t>
  </si>
  <si>
    <t>['knp', 'aplikasi', 'mytelkomsel', 'kgk', 'tampilin', 'pulsa', 'tulisannya', 'unable', 'load', 'udah', 'pencet', 'tombol', 'retrynya', 'kgk', 'udah', 'install', 'ulang', 'aplikasinya', 'tetep', 'kgk', 'tolong', 'perbaikin', '']</t>
  </si>
  <si>
    <t>['harga', 'paket', 'bintang', 'kualitas', 'singnal', 'bintang', 'lambat', 'lemot', 'lelet', 'ihhh', 'ngeselinn', 'allah', 'pengen', 'banting', 'gara', 'telkomsel']</t>
  </si>
  <si>
    <t>['kecewa', 'kesini', 'jls', 'telkomsel', 'update', 'buruk', 'jaringan', 'tolong', 'diperbaiki', 'langganan', 'hmpir', 'thn', 'tolong', 'direview', 'ulang', 'trims', '']</t>
  </si>
  <si>
    <t>['', 'hadiah', 'orang', 'poin', 'orang', 'poin', 'orang', 'isi', 'pulsa', 'orang', 'isi', 'pulsa', 'orang', 'kaya', 'kaya', 'kaya', 'point', 'motor', 'palgi', 'mobil', '']</t>
  </si>
  <si>
    <t>['gimana', 'telkomsel', 'beli', 'paket', 'unlimited', 'rb', 'deskripsi', 'kuota', 'utama', 'habis', 'kecepatan', 'koneksi', 'sesuaikan', 'kb', 'knapa', 'kuota', 'utama', 'habis', 'kecepetan', 'koneksi', 'kb', 'tolong', 'perbaiki', 'kecepatan', 'koneksi', 'kb', 'kecepatan', 'sampe', 'kb', 'udah', 'susah', 'main', 'game', 'leg', 'parah', 'gimana', 'siii', '']</t>
  </si>
  <si>
    <t>['tarif', 'super', 'mahal', 'jaringan', 'tolol', 'super', 'lemot', 'beda', 'kartu', 'beda', 'promo', 'promo', 'beli', 'payah', 'baca', 'perbaiki', 'tarif', 'mahalnya', 'jaringanx', 'mata', 'baca', 'bkn', 'cmn', 'pke', 'liat', 'duit', 'tolol', '']</t>
  </si>
  <si>
    <t>['', 'sinyal', 'buruk', 'belumnya', 'jaringan', 'bagus', 'cepat', 'telkom', 'mohon', 'efakuasi', 'cepat', 'jaringan', 'sekian', 'semoga', 'gerak', 'cepat', 'telkomsel', '']</t>
  </si>
  <si>
    <t>['sinyal', 'penuh', 'nge', 'lag', 'mahal', 'barengi', 'kualitas', 'mahal', 'doang', 'jaringan', 'lemot', 'kyk', 'keong']</t>
  </si>
  <si>
    <t>['terganggu', 'jaringan', 'telkomsel', 'seminggu', 'jaringan', 'stabil', 'buruk', 'mohon', 'telkomsel', 'jaringan', 'perbaiki', 'promo', 'adakan', 'khusus', 'kalbar', 'kab', 'landak', '']</t>
  </si>
  <si>
    <t>['makai', 'aplikasi', 'murah', 'belih', 'kuota', 'mahal', 'sinyalnya', 'luas', 'jaringan', 'buruk', 'telkomsel', 'periksa', 'permasalahan', 'sinyal', 'jaringan', 'gangguan', 'menglami', 'kota', 'pedesaan', 'jaringan', 'jelek', 'kondisi', 'covid', 'diharuskan', 'online', 'cekin', 'aplikasi', 'telkomsel', 'idak', 'cexin', 'idaka', '']</t>
  </si>
  <si>
    <t>['parah', 'paket', 'data', 'gua', 'pulsa', 'tersedot', 'cek', 'habis', 'penggunaan', 'kuota', 'kesekian', 'kalinya', 'pulsa', 'gua', 'kesedot', 'gua', 'ganti', 'kartu', 'indosat', '']</t>
  </si>
  <si>
    <t>['heran', 'pulsa', 'berkurang', 'sms', 'memakai', 'akses', 'internet', 'non', 'paket', 'kuota', 'msh', 'aktif', 'mohon', 'penejelasnya']</t>
  </si>
  <si>
    <t>['jaringan', 'telkomsel', 'didalam', 'diluar', 'ruangan', 'memuaskan', 'super', 'lelet', 'signal', 'berganti', 'memperparah', 'banyaknya', 'keluhan', 'pengguna', 'diharapkan', 'motivasi', 'provider', 'telkomsel', 'pelayanan', 'memaksimalkan', 'beli', 'telkomsel', 'keuntungan', 'patut', 'post']</t>
  </si>
  <si>
    <t>['semenjak', 'umumkan', 'telkomsel', 'tower', 'bela', 'belain', 'pergi', 'sinyal', 'bagus', 'kecewa', '']</t>
  </si>
  <si>
    <t>['pelanggan', 'setia', 'tsel', 'jaringannya', 'ancur', 'tmbah', 'paket', 'worth', 'banget', 'banding', 'terbalik', 'jaringannya', 'semoga', '']</t>
  </si>
  <si>
    <t>['tolong', 'donk', 'telkomsel', 'naikin', 'harga', 'donk', 'update', 'jaringan', 'jelek', 'harga', 'mahal', 'jaringan', 'jelek', 'malu', 'sma', 'kartu', 'perbaiki', 'jaringan', '']</t>
  </si>
  <si>
    <t>['memakasi', 'tekkomsel', 'sya', 'beli', 'kuota', 'itupun', 'pas', 'jaringan', 'perdana', 'sebelah', 'bermasalah', 'kuota', 'internet', 'mahal', 'perdana', 'telkomsel', 'pelarian', 'doang', '']</t>
  </si>
  <si>
    <t>['astaga', 'sinyal', 'memburuk', 'bermain', 'game', 'tugas', 'online', 'hujan', 'petir', 'jaringan', 'telkomsel', 'memburuk', 'tolong', 'telkomsel', 'memperbaiki', 'jaringan', 'memburuk', 'menjalankan', 'aplikasi', 'online', 'dll', 'kesal', 'jaringan', 'telkomsel', 'memburuk', '']</t>
  </si>
  <si>
    <t>['sinyal', 'knapa', 'telkomsel', 'kayak', 'sinyal', 'doang', 'mohon', 'kpd', 'telkomsel', 'memperbaiki', 'sinyalnya', 'bagus', 'berdomisili', 'pacitan']</t>
  </si>
  <si>
    <t>['', 'suka', 'kuota', 'multimedianya', 'mending', 'batasi', 'itung', 'sodaqoh', 'telkomsel', 'bgtu', 'smkin', 'terdepan', 'smkin', 'maju', 'sukses', 'coba', 'berbagi', 'pengguna', 'telkomsel', 'bnar', 'membutuhkan', 'trima', 'ksih', 'smoga', 'jadikan', 'bahan', 'pertimbangan', '']</t>
  </si>
  <si>
    <t>['dear', 'telkomsel', 'kualitas', 'signal', 'daerah', 'kecamatan', 'cikande', 'kabupaten', 'serang', 'mohon', 'tingkatkan', 'kenyamanan', 'pengguna', 'setia', 'halo', 'telkomsel', 'terima', 'kasih', '']</t>
  </si>
  <si>
    <t>['parah', 'telkomsel', 'jelek', 'harga', 'paket', 'jaringan', 'lemot', 'beli', 'paket', 'pulsa', 'pas', 'pulsa', 'paket', 'unlimited', 'lemot', 'banget', 'internetan', 'lakuin', 'pakek', 'paket', 'unlimited', 'pesan', 'masuk', 'pokoknya', 'udah', 'ramal', 'telkomsel', 'bangkrut', 'gini', 'pindah', 'kartu', 'edit', 'pagi', 'beli', 'paket', 'malam', 'ribu', 'tulisan', 'paket', 'benci', 'telkom', '']</t>
  </si>
  <si>
    <t>['dahlah', 'males', 'ganti', 'kartu', 'sim', 'sayang', 'kartu', 'telkom', 'udah', 'telkomsel', 'sinyal', 'jelek', 'banget', 'promo', 'suprisedealnya', 'konsisten', 'bulannya', 'jdi', 'habis', 'paket', 'beli', '']</t>
  </si>
  <si>
    <t>['telkomsel', 'selakin', 'mahal', 'berpindah', 'oprator', 'sinyal', 'semu', 'lelet', 'sesuai', 'mahalnya', 'paket', 'telkomsel', 'lelet', 'lemot', 'televan', '']</t>
  </si>
  <si>
    <t>['astagfirullah', 'sinyal', 'jelek', 'jelek', 'terkadang', 'sinyal', 'suka', 'hilang', 'total', 'telkomsel', 'tinggal', 'kota', 'sinyalnya']</t>
  </si>
  <si>
    <t>['dasar', 'aneh', 'bener', 'aneh', 'sengaja', 'coba', 'beli', 'paket', 'maen', 'game', 'kepake', 'giga', 'nyedot', 'kuota', 'utama', 'gimana', 'maskud', 'heran', 'sengaja', 'kuota', 'internet', 'diisi', 'lemot', 'ampun', 'masuk', 'game', 'loading', 'banget', 'heran', '']</t>
  </si>
  <si>
    <t>['thanks', 'produk', 'telkomsel', 'berlaku', 'kartu', 'sms', 'paket', 'murah', 'cek', 'terdaftar', 'paket', 'vendor', 'diwilayah', 'papua', 'sepakat', 'berahli', 'paket', 'telkomsel', 'sms', 'data', 'mahal', 'banding', '']</t>
  </si>
  <si>
    <t>['', 'tingkat', 'jaringan', 'bst', 'pasang', 'wilayah', 'terpencil', 'jaringan', 'bagus', 'kota', 'kota', 'bagus', 'pulau', 'desa', 'kesulitan', 'jaringan', 'penduduk', 'desa', 'sayang', 'jaringan', 'kadang', 'jaringan', 'hilang', 'pemasangan', 'pemancar', 'wilayah', 'terpencil', 'pulau', 'terluar']</t>
  </si>
  <si>
    <t>['duuhhh', 'telkomsel', 'lemot', 'tolong', 'perbaiki', 'harga', 'kouta', 'nyah', 'mahal', 'kecepatan', 'jaringan', 'bagus', 'kecewa', 'kecepatan', 'jaringan', 'telkomsel']</t>
  </si>
  <si>
    <t>['', 'mengisi', 'pulsa', 'rp', 'cek', 'telkomsel', 'langsung', 'berkurang', 'terpotong', 'rp', 'cek', 'berlangganan', 'apapun', 'penyedotan', 'sms', 'bernomer', 'last', 'transaction', 'telkomsel', 'tertera', 'transaksi', 'biaya', 'membuka', 'aplikasi', '']</t>
  </si>
  <si>
    <t>['kadang', 'lelet', 'kuota', 'multimedia', 'mesti', 'nunggu', 'pulsa', 'dipake', 'pulsa', 'pulsa', 'duluan', 'sedot', 'kuotanya', 'udah', 'gitu', 'skrg', 'jaringan', 'ilang', 'ilang', 'kecewa', 'banget', '']</t>
  </si>
  <si>
    <t>['paket', 'data', 'combo', 'sakti', 'unlimited', 'paket', 'multimedianya', 'chat', 'sosmed', 'game', 'youtube', 'nggak', 'merambah', 'twitter', 'tolong', 'twitter', 'dimasukkan', 'paket', 'multimedia', 'terima', 'kasih']</t>
  </si>
  <si>
    <t>['tolong', 'perbaiki', 'kecepatan', 'internet', 'desa', 'jesape', 'dusun', 'jelatang', 'kec', 'ledo', 'kab', 'bengkayang', 'prov', 'kalimantan', 'barat', 'khusunya', 'ledo', 'perubahan', 'harga', 'kuota', 'mahal', 'keluhan', 'tanggapi', '']</t>
  </si>
  <si>
    <t>['gimana', 'menu', 'belanja', 'combo', 'sakti', 'gb', 'tertera', 'pulsa', 'beli', 'baca', 'syarat', 'ketentuan', 'rb', 'udh', 'ppn', 'knp', 'notif', 'sisa', 'pulsa', 'logis', 'emg', 'sisa', 'pulsa', 'dibwh', 'rb', 'syarat', 'ketentuan', 'sejelas']</t>
  </si>
  <si>
    <t>['sms', 'pulsa', 'darurat', 'emang', 'rb', 'anehnya', 'potong', 'isi', 'pulsa', 'kali', 'sms', 'pulsa', 'darurat', 'anehnya', 'rb', 'udah', 'kaya', 'rentenir', 'lainya', 'bagus', 'kendala', 'cuman']</t>
  </si>
  <si>
    <t>['kemarin', 'masuk', 'telkomsel', 'pas', 'hubungin', 'csnya', 'responnya', 'cepat', 'kali', 'hubungin', 'login', 'thanks', '']</t>
  </si>
  <si>
    <t>['membeli', 'paket', 'darurat', 'terkonfirmasi', 'perlukan', 'terbeli', 'tolonglah', 'perbaiki', 'rugikan', 'akibat', 'membeli', 'paket', 'darurat', 'seminggu', 'kejadian', 'membeli', 'kuotanya', 'berguna', 'tolong', 'telkomsel', 'mengatasi', 'membeli', 'paket', 'darurat', 'edit', 'udh', 'benerin', 'kasi', 'bintang', '']</t>
  </si>
  <si>
    <t>['', 'program', 'aplikasi', 'hilang', 'harga', 'paket', 'mahal', 'promo', 'nomer', 'pakai', 'jaringan', 'lelet', 'pool', 'promo', 'bayar', 'darurat', 'sms', 'aplikasi', 'alias']</t>
  </si>
  <si>
    <t>['paket', 'boster', 'gue', 'hilang', 'jir', 'pas', 'update', 'paket', 'unlimited', 'batasi', 'unlimited', 'nama', 'unlimited', 'itukan', 'kuota', 'batas', 'paket', 'utama', 'habis', 'kartu', 'laen', 'dpt', 'murah', 'mhal', '']</t>
  </si>
  <si>
    <t>['kecewa', 'pdhl', 'beli', 'paket', 'games', 'max', 'tpi', 'voucher', 'masuk', 'udh', 'masuk', 'paket', 'datanya', 'doang', 'mohon', 'diperbaiki', 'enak', 'beli', 'paket', 'lgi', 'was', '']</t>
  </si>
  <si>
    <t>['bagus', 'kontrol', 'pulsa', 'kontrol', 'pulsa', 'terpotong', 'layanan', 'tolong', 'dipertimbangkan', '']</t>
  </si>
  <si>
    <t>['kecewa', 'aplikasi', 'disuruh', 'check', 'ehh', 'udah', 'sebulan', 'check', 'nampak', 'kemana', 'check', 'sembunyi', 'udah', 'kali', 'gue', 'mengalami', 'kena', 'php', 'mulu', 'gue', 'sial']</t>
  </si>
  <si>
    <t>['terima', 'kasih', 'paketnya', 'internetnya', 'murah', 'promo', 'murah', 'pelanggang', 'setia', 'telkomsel', '']</t>
  </si>
  <si>
    <t>['kecewa', 'pulsa', 'habis', 'kuota', 'habis', 'paket', 'data', 'nyalakan', 'berharap', 'telkomsel', 'solusi', 'teman', 'memiliki']</t>
  </si>
  <si>
    <t>['kak', 'admin', 'kartu', 'telkomsel', 'terdaftar', 'halo', 'pulihin', 'telkomsel', 'prabayar', 'gmna', 'terjawab', 'bintang', 'thanks']</t>
  </si>
  <si>
    <t>['sesuka', 'memotong', 'pulsa', 'pelanggan', 'telkomsel', 'mengambil', 'untung', 'memotong', 'pulsa', 'pelanggan', 'rekomendasi', 'maling', 'berdasi', 'dasar', 'anying', 'tutup', 'telkomsel', 'parah', 'jaringan', 'domisili', 'kota', 'jaringan', 'putus', 'korupsi', '']</t>
  </si>
  <si>
    <t>['paket', 'data', 'mahal', 'kualitas', 'jaringan', 'internetnya', 'jelek', 'banget', 'kampung', 'mohon', 'perhatikan', 'daerah', 'daerah', 'kota', 'setia', 'telkomsel', 'provider', 'terimakasih', '']</t>
  </si>
  <si>
    <t>['gmna', 'paket', 'jaringan', 'bagus', 'susah', 'koneksi', 'internet', 'kadang', 'semalaman', 'silang', 'jaringan', '']</t>
  </si>
  <si>
    <t>['pilihan', 'kuotanya', 'paket', 'kuota', 'ketengan', 'tiktok', 'udah', 'gaada', 'tolong', 'adakan', 'udah', 'ketengan', 'tiktok', 'udah', 'beli', 'perdana', 'kek', 'gini']</t>
  </si>
  <si>
    <t>['akses', 'perbaikan', 'mohon', 'beritahu', 'app', 'via', 'sms', 'pengguna']</t>
  </si>
  <si>
    <t>['adain', 'paket', 'darurat', 'darurat', 'hapus', 'pusing', 'dinaikin', 'naikin', 'harga', 'nanggung', 'nanggung', 'sayang', 'sisa', 'pulsanya', 'entar', 'termakan', 'internet', 'data', 'aktif', 'dikurangin', 'isi', 'paket', 'ngurang', 'isinya', 'nambah', 'ehh', 'ehh', 'ehh', '']</t>
  </si>
  <si>
    <t>['kali', 'kecewa', 'memakai', 'telkomsel', 'membeli', 'kuota', 'tunggu', 'kuota', 'masuk', 'pas', 'chek', 'dhaily', 'dipencet', 'tolong', 'telkomsel', 'diperbaiki', 'bug', 'bug']</t>
  </si>
  <si>
    <t>['tolong', 'telkomsel', 'wilayah', 'daerah', 'kec', 'leuwidamar', 'kab', 'lebak', 'prov', 'banten', 'kesini', 'nyaman', 'pakai', 'main', 'game', 'ping', 'stabil', 'harga', 'paket', 'mahal', 'nyaman', 'tolong', 'perbaiki']</t>
  </si>
  <si>
    <t>['isi', 'pulsa', 'mendadak', 'pulsa', 'abis', 'itungan', 'menit', 'pulsa', 'isi', 'nilai', 'pulsa', 'raib', 'sisa', 'kecewa', '']</t>
  </si>
  <si>
    <t>['mahal', 'boros', 'provider', 'udah', 'dapet', 'duuh', 'telkomsel', 'hallo', 'kick', 'dapetnya', 'pindah', 'pasca', 'bayar', 'menyesal', 'gua', 'matiin', 'kartu']</t>
  </si>
  <si>
    <t>['fitur', 'link', 'membantu', 'mendownload', 'apk', 'ribet', '']</t>
  </si>
  <si>
    <t>['', 'emang', 'cepat', 'haji', 'smua', 'harga', 'kouta', 'mahal', 'bat', 'sumpah', 'mrnding', 'gua', 'apk', 'rugi', '']</t>
  </si>
  <si>
    <t>['paket', 'internet', 'maling', 'pulsa', 'reguler', 'sedot', 'pulsa', 'pulsa', 'habis', 'buatlah', 'axis', 'menu', 'konci', 'pulsa', 'males', 'isi', 'pulsa', '']</t>
  </si>
  <si>
    <t>['upgread', 'versi', 'terbaru', 'promo', 'gue', 'beli', 'hilang', 'kemana', 'harga', 'paket', 'internet', 'mahal', 'gb', 'rbu', 'gb', 'rbu', 'gue', 'make', 'telkomsel', 'kareana', 'paket', 'alasan', 'paket', 'internetnya', 'murah', 'kulitas', 'bagus', 'gue', 'suka', 'versi', '']</t>
  </si>
  <si>
    <t>['jelek', 'dibuka', 'pas', 'check', 'kuota', 'mengecewakan', 'aplikasi', 'macet', 'dibuka', 'gini', 'didownload', 'buang', 'buang', 'paket', 'data', 'tukar', 'point', 'cek', 'keliatan', 'result', 'undianya', 'very', 'disepointed', 'isi', 'saldo', 'pulsa', 'rb', 'cuman', 'gb', 'maksudnya']</t>
  </si>
  <si>
    <t>['app', 'diupdate', 'diupdate', 'masuk', 'pas', 'buka', 'app', 'update', 'update', 'gimana', '']</t>
  </si>
  <si>
    <t>['kecewa', 'kuota', 'berkurang', 'kuota', 'terpotong', 'please', 'telkomsel', 'kayak', 'gitu', 'nyari', 'duitnya', '']</t>
  </si>
  <si>
    <t>['daily', 'chekin', 'ter', 'tanggal', 'blum', 'habis', 'tar', 'admin', 'komen', 'mohon', 'maaf', 'basii']</t>
  </si>
  <si>
    <t>['parah', 'ganti', 'logo', 'knp', 'kuota', 'mahal', 'harga', 'berdasarkan', 'loyaliti', 'knp', 'pdhal', 'beli', 'bumn', 'membangun', 'negri', 'indonesia', '']</t>
  </si>
  <si>
    <t>['ribet', 'masuk', 'beli', 'kuota', 'trus', 'diarahin', 'apps', 'telkomsel', 'udah', 'download', 'login', 'masuk', 'daftar', 'pakai', 'jga', 'gmna', 'telkomsel', '']</t>
  </si>
  <si>
    <t>['beli', 'paket', 'internet', 'tlp', 'telkomsel', 'menit', 'tpi', 'pas', 'beli', 'paket', 'telpon', 'menit', 'menit', 'hilang', 'anjirr', 'kecewa', 'banget', '']</t>
  </si>
  <si>
    <t>['daftar', 'paket', 'intrnet', 'sya', 'telkomsel', 'berbeda', 'pdhal', 'sma', 'pengguna', 'telkomsel', 'daftar', 'paket', 'berbeda', '']</t>
  </si>
  <si>
    <t>['jaringannya', 'oke', 'min', 'skrng', 'nyedot', 'pulsa', 'tdi', 'pas', 'cek', 'lgi', 'ilang', 'kmn', 'pulsa', 'cuman', 'banget', 'min', 'mohon', 'perbaiki', 'min', 'terlanjur', 'percaya', 'telkomsel', 'kecewa', 'konsumen', '']</t>
  </si>
  <si>
    <t>['mohon', 'sinyalnya', 'emosi', 'main', 'game', 'serasa', 'siksa', 'neraka', 'kirim', 'pemberitahuan', 'perbaikan', 'beli', 'kenyamanan', 'konsumen', '']</t>
  </si>
  <si>
    <t>['jaringan', 'kaya', 'main', 'game', 'mustahil', 'koneksi', 'hilang', 'cuacanya', 'cerah', 'kah', 'perbaiki', 'kalah', 'propaider', 'sebelah', 'wkwkwkwk']</t>
  </si>
  <si>
    <t>['telepon', 'mohon', 'maaf', 'permintaan', 'proses', 'tolong', 'kasih', 'respon', 'telkomsel', 'perbaiki']</t>
  </si>
  <si>
    <t>['sinyal', 'full', 'pas', 'dipake', 'main', 'ngelag', 'mulu', 'sarankan', 'memakai', 'kartu', 'telkomsel', 'apknya', 'kayak', 'buruk']</t>
  </si>
  <si>
    <t>['signal', 'kereta', 'jelek', 'alat', 'berat', 'beroprasi', 'jelek', 'motor', 'jelek', 'developer', 'customer', 'komplain', 'respon', 'perbaiki', 'signal', 'emang', 'rusak', 'mekanik', 'programnya', '']</t>
  </si>
  <si>
    <t>['kecewa', 'telkomsel', 'pembelian', 'kota', 'mengatasinya', 'download', 'telkomsel']</t>
  </si>
  <si>
    <t>['paket', 'combo', 'sakti', 'unlimited', 'tersedia', 'tolong', 'paket', 'combo', 'sakti', 'unlimited', 'membantu', 'mahasiswa', 'berhemat', 'pengeluaran', 'biaya', 'kuota']</t>
  </si>
  <si>
    <t>['paket', 'dipakai', 'paket', 'aktifnya', 'ditambah', 'paket', 'dibeli', 'berkurang', 'merugikan', 'konsumen', 'telkomsel', 'nomor']</t>
  </si>
  <si>
    <t>['bagus', 'tolong', 'ditingkatkan', 'tambahin', 'menu', 'pengisian', 'voucher', 'paket', 'internet', 'apk', 'tinggal', 'scan', 'mempermudah', 'konsumen', '']</t>
  </si>
  <si>
    <t>['nggak', 'masuk', 'akal', 'harga', 'paketnya', 'sinyal', 'suka', 'turun', 'yaudah', 'deh', 'bintang', 'bintang', 'pilih']</t>
  </si>
  <si>
    <t>['eror', 'proses', 'masuk', 'aplikasi', 'buruk', 'aplikasi', 'apk', 'pemilik', 'jaringan', 'buruk', '']</t>
  </si>
  <si>
    <t>['aplikasi', 'bagus', 'memudahkan', 'rugi', 'beta', 'heran', 'pulsa', 'hilang', 'pulsa', 'cek', 'tinggal', 'berlangganan', 'paket', 'apapun', 'rugi', 'betaaaaa']</t>
  </si>
  <si>
    <t>['update', 'sulit', 'masuk', 'aps', 'berulangkali', 'suruh', 'muat', 'ulang', 'disayangkan', 'mudah', 'buka', 'telkomsel', 'cek', 'kuota', 'sulit', 'tuk', 'buka', 'aplikasi', 'mudah', 'telkomsel', 'sulit', 'tuk', 'masuk', '']</t>
  </si>
  <si>
    <t>['instal', 'apk', 'telkomsel', 'dibuka', 'paket', 'murah', 'banding', 'apk', 'telkomsel', 'uninstal', 'tetep', 'nyesel', 'download', 'aplikasi', '']</t>
  </si>
  <si>
    <t>['kecewa', 'kecewa', 'apk', 'tlkmsl', 'lemot', 'langganan', 'paket', 'combo', 'sakti', 'hilang', 'beli', 'jugu', 'beli', 'udah', 'adalin', 'kartu', 'telkomsel', 'mending', 'ganti', 'kartu', 'mudah', 'akses', 'murah', 'kartu', 'tlp', 'cet', 'net', 'cari', 'kartu', 'komunikasi', '']</t>
  </si>
  <si>
    <t>['sumpah', 'kesel', 'banget', 'telkomsel', 'isi', 'pulsa', 'pulsa', 'potong', 'utang', 'telkomsel', 'paketin', 'mahal', 'hilang', 'paket', 'beli', 'sumpah', 'gedek', 'banget', 'lihat', 'telkomsel', 'kali', 'berkali', 'kali', 'perbaikilah', 'sungguh', '']</t>
  </si>
  <si>
    <t>['update', 'buka', 'uninstal', 'install', 'ulang', 'login', 'responsibility', 'berkurang', 'update', 'transaksi', 'link', 'berpindah', 'aplikasi', 'link', 'transaksi', 'sukses', 'auto', 'home', 'telkomsel', 'tampilan', 'pembayaran', 'transaksi', 'terbayar', 'sukses', 'terbayar', 'link', 'semoga', 'diperbaiki', 'simpel', '']</t>
  </si>
  <si>
    <t>['kuota', 'unlimited', 'sebulannya', 'aplikasi', 'susah', 'dibuka', 'loading', 'loading', 'trs']</t>
  </si>
  <si>
    <t>['tolong', 'min', 'kasih', 'promo', 'kayak', 'kartu', 'sakti', 'min', 'gb', 'gb', 'pandemi', 'kayak', 'gini', 'susah', 'banget', 'caru', 'duit', 'kerjaku', 'karyawan', 'rumah', 'makan', 'gajiku', 'perbulan', 'nda', 'sesuai', 'pengeluaran', 'entar', 'udh', 'dpat', 'promo', 'nnti', 'tambahin', 'deh', 'bintang', 'ulasan', '']</t>
  </si>
  <si>
    <t>['proses', 'buka', 'tutup', 'aplikasi', 'pengoperasian', 'lambat', 'banget', 'muncul', 'peringatan', 'koneksi', 'gagal', 'paket', 'data', 'sinyal', 'konsumsi', 'daya', 'baterai', 'boros', 'banget', 'game', 'pubg', 'seboros', 'mohon', 'diperbaiki', 'bug', 'update', 'separah', '']</t>
  </si>
  <si>
    <t>['alangkah', 'akses', 'lihat', 'promo', 'belanja', 'qouta', 'internet', 'beli', 'pulsa', 'musti', 'beli', 'pas', 'promo', 'mytelkomsel']</t>
  </si>
  <si>
    <t>['lumayan', 'bagus', 'infox', 'sayang', 'kendala', 'sinyal', 'errors', 'kecewa', 'paketan', 'muahhaall', 'pelayanan', 'turun', 'aplikasi', 'jelek', 'banget', 'suruh', 'update', 'muter', 'buang', 'aplikasinya', '']</t>
  </si>
  <si>
    <t>['multimedia', 'nonton', 'lokal', 'kuotanya', 'dipake', 'gb', 'hangus', 'gara', 'dipakai', 'tolong', 'perbaiki', 'membagi', 'paket', 'nama', 'aneh', 'ujung', 'kuota', 'terpakai', 'beli', 'paketnya', 'mahal', 'kuotanya', 'dipakai']</t>
  </si>
  <si>
    <t>['beli', 'paket', 'internet', 'cek', 'saldo', 'sisa', 'pergi', 'menu', 'pembelian', 'paket', 'promo', 'apps', 'pengisian', 'saldo', 'masuk', 'promo', 'hilang', 'pembelian', 'janc', '']</t>
  </si>
  <si>
    <t>['berbangga', 'hati', 'memperkenalkan', 'telkomsel', 'teman', 'saudara', 'aplikasinya', 'lemot', 'abis', 'pemakaian', 'ram', 'mohon', 'solusinya', 'admin']</t>
  </si>
  <si>
    <t>['tolong', 'donk', 'covid', 'gini', 'adakan', 'penukaran', 'koin', 'internet', 'bayar', 'penukaran', 'koin', 'internet', 'biaya']</t>
  </si>
  <si>
    <t>['paket', 'telkomsel', 'udah', 'mahal', 'sinyal', 'kuat', 'mendung', 'udah', 'parah', 'sinyal', 'hujan', 'mendung', 'kerjanya', 'kalok', 'perbaiki', 'doang', 'harga', 'mahal', 'timbal', 'baliknya', 'mahal', 'sinyal', 'musiman', '']</t>
  </si>
  <si>
    <t>['check', 'tuntas', 'sampe', 'dpt', 'diclaim', 'udh', 'batas', 'peringatan', 'hangus', 'udh', 'check', 'mulu', 'dpt', 'claim', '']</t>
  </si>
  <si>
    <t>['telkomsel', 'terhormat', 'pelanggan', 'telkomsel', 'jaringan', 'daerah', 'kerinci', 'jambi', 'dusun', 'tanjung', 'tanah', 'kerincin', 'seminggu', 'mengalami', 'lemot', 'delay', 'jaringan', 'buka', 'sosoal', 'media', 'game', 'online', 'mengalami', 'request', 'time', 'out', 'tolong', 'telkomsel', 'terhormat', 'tolong', 'perbaiki', 'daerah', 'terimakasih', '']</t>
  </si>
  <si>
    <t>['provider', 'pelayanannya', 'sungguh', 'memalukan', 'harga', 'paket', 'mahal', 'jaringan', 'daerah', 'aplikasi', 'loading']</t>
  </si>
  <si>
    <t>['harga', 'paket', 'mahal', 'mahal', 'beli', 'paket', 'beli', 'tertera', 'pembelian', 'produk', 'gimana', 'cuk', 'telkomsel', 'kekurangan', 'uang', 'sampe', 'paket', 'murah', 'mahal', 'lipat']</t>
  </si>
  <si>
    <t>['adakah', 'paket', 'habis', 'aktif', 'paketnya', 'habis', 'pulsanya', 'kunci', 'operator', 'axis', 'memakan', 'pulsa', 'terkadang', 'paket', 'habis', 'ketiduran', 'pas', 'aktif', 'paket', 'habis', 'kelewatan', 'sedot', 'pulsa', 'batas', 'sepersekian', 'detik', 'coba', 'faham', 'terimakasih']</t>
  </si>
  <si>
    <t>['abis', 'update', 'knpa', 'mlh', 'disuruh', 'update', 'perbarui', 'gabisa', 'kebuka', 'apk', 'tolong', 'mlh', 'nambah', 'susaah', 'update', 'masukkkkk']</t>
  </si>
  <si>
    <t>['telkomsel', 'tolong', 'paketnya', 'murahin', 'wilayah', 'sulawesi', 'susah', 'cari', 'jaringan', 'mahalnya', 'paket', 'telkomsel', 'tolong', 'telkomsel', 'kerja', 'samanya', '']</t>
  </si>
  <si>
    <t>['paket', 'combo', 'unl', 'rb', 'dibeli', 'knp', 'tpi', 'dicantumin', 'paketannya', 'sesuai', 'kebutuhan', 'sediain', 'paket', 'internet', 'donk', 'dibagi', 'gtu', 'kuotanya', 'jdi', 'males', 'paketan', 'simpati']</t>
  </si>
  <si>
    <t>['signal', 'jelek', 'mohon', 'konsisten', 'perbaikan', 'paket', 'bonus', 'kualitas', 'jaringan', 'perkuat', 'pengguna', 'setia', 'telkomsel', 'beralih']</t>
  </si>
  <si>
    <t>['maaf', 'banget', 'kasih', 'bintang', 'aplikasi', 'telkomsel', 'lambat', 'banget', 'loadingnya', 'jaringan', 'internet', 'bagus', 'coba', 'mengikuti', 'saran', 'developer', 'hubungi', 'telkomsel', 'menemukan', 'sedih', 'banget', 'pengen', 'uninstal']</t>
  </si>
  <si>
    <t>['harga', 'promo', 'paket', 'internet', 'mahalll', 'membutuhkan', 'paket', 'internet', 'belajar', 'online', 'membelinya', '']</t>
  </si>
  <si>
    <t>['paket', 'mahal', 'unlimitied', 'batasi', 'unlimitied', 'game', 'tpi', 'buka', 'game', 'susah', 'bngt', 'loading', 'mulu', 'klu', 'paket', 'unlimitied', 'ganti', 'paket', 'bonus', 'sosmed', '']</t>
  </si>
  <si>
    <t>['kali', 'update', 'versi', 'terbaru', 'pastinya', 'dayli', 'cek', 'otomatis', 'hilang', 'perbaikilah', 'kesalahan', 'berulang', 'kali', 'beeitahukan', 'tolong', 'perbaiki', '']</t>
  </si>
  <si>
    <t>['tolong', 'jaringan', 'telkomsel', 'perbaiki', 'kaya', 'super', 'cepat', 'loading', 'lemot', 'banget', 'nonton', 'youtube', 'telfon', 'ajja', 'patah', 'parah', 'telkomsel', 'asik', 'game', 'looss', 'jaringan']</t>
  </si>
  <si>
    <t>['koq', 'paket', 'combo', 'sakti', 'unlimited', 'gb', 'tersedia', 'paket', 'omg', 'gb', 'mahal', 'sel', 'gimana', 'tolong', 'donk', 'dihapus', 'pelanggan', 'setia', 'ahhh', 'ribet', 'sel', '']</t>
  </si>
  <si>
    <t>['aplikasi', 'parah', 'susah', 'memuat', 'halaman', 'muncul', 'tulisan', 'silahkan', 'cek', 'internet', 'koneksi', 'jaringan', 'stabil', 'muat', 'ulang', 'harap', 'diperbaiki']</t>
  </si>
  <si>
    <t>['turunkan', 'bintang', 'kesini', 'telkomsel', 'aneh', 'udah', 'jaringan', 'kadang', 'lemot', 'stabil', 'paket', 'data', 'mahal', 'kemaren', 'paket', 'data', 'unlimited', 'gb', 'gb', 'gb', 'sebulan', 'menyediakan', 'kuota', 'unlimited', 'dipikir', 'matang', 'matang', 'mengecewakan', 'pelanggan', 'paket', 'unlimited', 'paket', 'kasih', 'murah', 'gini', 'beralih', '']</t>
  </si>
  <si>
    <t>['telkomsel', 'combo', 'saktinya', 'skrang', 'paket', 'pling', 'murah', 'rb', 'jarang', 'make', 'nnti', 'kyaknya', 'kemaren', 'combo', 'sakti', 'rb', 'boro', 'rb', '']</t>
  </si>
  <si>
    <t>['heran', 'paket', 'jaringan', 'bagus', 'buka', 'internet', 'tlkomsel', 'kesini', 'mengecewakan', 'ganti', 'kartu', 'bagus', 'mengecewakan']</t>
  </si>
  <si>
    <t>['telkomsel', 'jaringan', 'lemot', 'alias', 'lelet', 'paket', 'kartu', 'hallo', 'mbok', 'paket', 'multi', 'media', 'hapus', 'ganti', 'paket', 'boong', 'paket', 'bedak', '']</t>
  </si>
  <si>
    <t>['aplikasih', 'bagus', 'membantu', 'tpi', 'dlam', 'penukaran', 'poin', 'pilihan', 'menu', 'gratis', 'internet', 'coba', 'pilihan', 'menu', 'pnukaran', 'poin', 'gratisan', 'nelpon', 'sms', 'jaaa', '']</t>
  </si>
  <si>
    <t>['mengecewakan', 'yaa', 'main', 'game', 'parah', 'banget', 'jaringannya', 'jelek', 'paketannya', 'gausah', 'jual', 'harga', 'mahal', 'liat', 'story', 'pending', 'unlimited', 'mengecewakan', '']</t>
  </si>
  <si>
    <t>['telkomsel', 'buruk', 'telkomsel', 'puass', 'tempatku', 'jaringan', 'lumayan', 'bagus', 'banding', 'telkomsel', 'sorry', 'telkomsel', 'pindah', 'hati', 'bye', 'telkomsel', '']</t>
  </si>
  <si>
    <t>['sumpah', 'gedek', 'banget', 'beli', 'pulsa', 'blm', 'apain', 'udah', 'kesedot', 'pulsa', 'data', 'nyalakan', 'ambil', 'gpp', 'ambil', 'rb', 'ambil', 'isi', 'paketan', 'orang', 'pengen', 'maki', 'telkomsel']</t>
  </si>
  <si>
    <t>['thn', 'pakek', 'telkomsel', 'mahal', 'mahal', 'tetep', 'beli', 'tolong', 'ngadat', 'siyalnya', 'jaringanya', 'udah', 'bli', 'mahal', 'baut', 'internetan', 'lemot', 'mahal', 'lancar', 'beli', 'mahal', 'tpi', 'lemot', 'petugas', 'cek', 'lokasi', 'kedaerah', 'memperbaiki', 'tower', 'sikyal', 'faham', 'kondisi', 'lapangan']</t>
  </si>
  <si>
    <t>['kesel', 'jaringan', 'beda', 'super', 'lelet', 'kek', 'keong', 'malam', 'jaringannya', 'astaghfirullah', 'nyesek', 'please', 'mohon', 'diperhatikan', 'telkomsel', 'kenyamanan', 'senang', 'senang', 'diperbaiki', 'kasih', 'bintang', 'deh']</t>
  </si>
  <si>
    <t>['beli', 'telkomsel', 'sakti', 'trmergiur', 'paketnya', 'murah', 'kuota', 'maahhaaaalll', 'kuota', 'dikit', 'harga', 'selangit', 'senang', 'hati', 'ngurangi', 'bintang', 'edit', 'ulasan', 'penilaian', 'negatif', '']</t>
  </si>
  <si>
    <t>['check', 'menu', 'klaim', 'hadiah', 'app', 'buruk', 'banget', 'transfer', 'pulsa', 'kena', 'biaya', 'buruk', 'app', '']</t>
  </si>
  <si>
    <t>['sinyal', 'parah', 'dipalembang', 'promonya', 'salah', 'sok', 'sinyal', 'parah', 'tugas', 'online', 'gagal', 'gara', 'gara', 'sinyal', 'telkomsel', 'bagus', 'kacau', 'tugas', 'online', 'kacau', 'gara', 'sinyal', 'telkomsel', 'buruk', '']</t>
  </si>
  <si>
    <t>['update', 'telkomsel', 'makan', 'memory', 'gimanaaa', 'ngeselin', 'pas', 'check', 'kuota', 'dikit', 'update', 'perbaiki', 'nyebelin']</t>
  </si>
  <si>
    <t>['kadang', 'pulsa', 'kesedot', 'kuota', 'main', 'kadang', 'lag', 'harga', 'kuota', 'berubah', 'ubah', 'babi']</t>
  </si>
  <si>
    <t>['perbaiki', 'kualitas', 'sinyal', 'udah', 'paketnya', 'mahal', 'jaringannya', 'kaya', 'provider', 'murahan', 'provider', 'telkomsel', 'pengalaman', 'buruk', 'alami', 'pecat', 'gara', 'kualitas', 'jaringan', 'jelek', '']</t>
  </si>
  <si>
    <t>['aplikasi', 'lumayan', 'bagus', 'jaringan', 'daerah', 'jelek', 'kecewa', 'lemot', 'jaringan', 'kaya', 'edge', '']</t>
  </si>
  <si>
    <t>['serba', 'mahal', 'update', 'memory', 'penuh', 'loading', 'bnget', 'buka', 'apk', 'butuh', 'kesabaran', 'banget', 'sumpah', 'penyimpanannya', 'gede', 'banger', 'wak', '']</t>
  </si>
  <si>
    <t>['sangt', 'memuaskan', 'bukanya', 'telkomsel', 'jaringanya', 'menjangkau', 'pelosok', 'pelosok', 'bohong', 'banget', 'msa', 'derahku', 'jelek', 'banget', 'pelosol', 'pelosok', 'heloow', 'kawan', 'kawan', 'ayo', 'ganti', 'provoder', 'mahal', 'banget', 'paketannya', 'iyeuhhhhhwwww']</t>
  </si>
  <si>
    <t>['diperbaharui', 'aplikasi', 'mytelkomsel', 'mencret', 'susah', 'ngecek', 'pulsa', 'paket', 'datanya', 'sebel', 'udah', 'paketnya', 'mahal', 'amburadul', 'jaringannya', 'bobrok', '']</t>
  </si>
  <si>
    <t>['aplikasi', 'membantu', 'pengguna', 'telkomsel', 'kompatibel', 'smartphone', 'spek', 'rendah', 'disuruh', 'lite', 'fasilitasnya', 'lite', 'ngeluh', 'bermasalah', 'mohon', 'penjelasannya']</t>
  </si>
  <si>
    <t>['knpa', 'skrang', 'paket', 'combo', 'saktinya', 'turun', 'drastis', 'biaya', 'pembeliannya', 'drastis', 'telkomsel', 'udah', 'ngga', 'kaya', 'udah', 'ngga', 'bagusss', 'beli', 'paket']</t>
  </si>
  <si>
    <t>['mohon', 'maap', 'jaringan', 'telkomsel', 'nge', 'lag', 'padah', 'jaringan', 'bagus', 'tetep', 'nge', 'lag', 'tolong', 'benerin']</t>
  </si>
  <si>
    <t>['kemana', 'mengadu', 'veronika', 'aplikasi', 'robot', 'apk', 'eror', 'veronika', 'robot', 'chat', 'online', 'langsung', '']</t>
  </si>
  <si>
    <t>['kuota', 'internet', 'mahal', 'buka', 'aplikasinya', 'lemot', 'teliti', 'beli', 'paket', 'paket', 'menipu', 'judulnya', 'giga', 'giga', 'nonton', 'film', 'jarang', 'nonton', 'film', '']</t>
  </si>
  <si>
    <t>['anjaaay', 'nyisain', 'kuota', 'nonton', 'vidio', 'berguna', 'beli', 'paket', 'gb', 'lokal', 'inet', 'gb', 'nonton', 'gb', 'kuota', 'nonton', 'akhlak', 'berguna', 'beli', 'kuota', 'gb', 'telkomsel', 'bacott', 'beralih']</t>
  </si>
  <si>
    <t>['mahal', 'senadai', 'kasih', 'bintang', 'nol', 'gua', 'kasih', 'auto', 'ganti', 'pindah', 'jaringan', 'sebelah', 'bukanya', 'manjaain', 'pelanggan', 'isi', 'pulsa', 'mahal', 'otak', 'pikir', 'orng', 'kaya', 'paket', 'mahal']</t>
  </si>
  <si>
    <t>['flores', 'nusa', 'tenggara', 'timur', 'pelanggan', 'telkomsel', 'setia', 'harapan', 'kesempatan', 'hadiah', 'penukaran', 'poin', 'menukar', 'kali', 'mengisi', 'pulsa', 'hadiah', 'telkomsel', 'terimakasih']</t>
  </si>
  <si>
    <t>['harganya', 'ngebug', 'ribu', 'ribu', 'ribu', 'ribu', 'ribu', 'kadang', 'tolong', 'perbaikin', 'posisi', 'darurat', 'bahaya', 'ngalamin', 'semoga', 'nggk', 'orang', 'kena', 'kyak', 'gni', 'baca', 'komentar', 'potsitif', 'doang', 'negatif', 'baca', '']</t>
  </si>
  <si>
    <t>['kali', 'login', 'masuk', 'aplikasi', 'udh', 'kecewa', 'berat', 'udh', 'pakai', 'aplikasi', 'nggak', 'instal', 'akunya', 'delete', 'loadingnya', 'buangettttt', '']</t>
  </si>
  <si>
    <t>['apk', 'busuk', 'error', 'cepat', 'rusak', 'apk', 'sampah', 'sampek', 'sekrang', 'erro', 'klau', 'buka', 'apk', 'benerin', 'woi', 'untung', 'gede', 'kebanyakan', 'nipu', 'apk', 'bangke', 'busuk', 'brengsek', '']</t>
  </si>
  <si>
    <t>['beli', 'paket', 'combo', 'sakti', 'unlimited', 'rb', 'tertulis', 'langganan', 'disney', 'hotstar', 'paket', 'aktif', 'nonton', 'disney', 'hotstar', 'mohon', 'dibantu', 'penyelesaiannya', 'otomatis', 'berlangganan', 'beli', 'paket', 'combo', 'sakti', 'unlimited']</t>
  </si>
  <si>
    <t>['bintang', 'respon', 'bagus', 'kasih', 'sinyal', 'pindah', 'lemot', 'mohon', 'perbaiki', 'lancar', 'jaringan', 'terimakasih', '']</t>
  </si>
  <si>
    <t>['tolong', 'poin', 'tukar', 'langsung', 'data', 'bayar', 'poin', 'ditukar', 'langsung', 'poin', 'bayar', 'buwat', 'pas', 'kepepet', 'kehabisan', 'kuwota', 'duwit']</t>
  </si>
  <si>
    <t>['telkomsel', 'menganggap', 'provider', 'terbaik', 'salah', 'karna', 'paket', 'kompetitif', 'harganya', 'aplikasi', 'lambat', 'mendengar', 'pengguna', 'keluhan', 'telkomsel', 'sinyalnya', 'merata', 'stabil', 'survey', 'sinyal', 'merata', 'contoh', 'bendungan', 'batutegi', 'tanggamus', 'pengguna', 'telkomsel', 'sinyal', 'buruk', 'buruk', 'kecepatan', 'buruk', 'harap', 'keluhan', 'mata']</t>
  </si>
  <si>
    <t>['halo', 'telkomsel', 'membeli', 'paket', 'ceria', 'kepotong', 'pulsa', 'paketnya', 'berkurang', 'mohon', 'pertanggungjawabanya', 'dirugikan', 'terimakasih']</t>
  </si>
  <si>
    <t>['gua', 'heran', 'orang', 'indonesia', 'heran', 'heran', 'telkomsel', 'mahal', 'jaringan', 'trusss', 'menerus', 'pringkat', 'telkomsel', 'indinesia', 'kalah', 'telkomsel', 'tertinggal', 'hebat', 'seakkk', 'hebat']</t>
  </si>
  <si>
    <t>['', 'sinyal', 'telkomsel', 'jelek', 'internet', 'bojonegoro', 'tanjung', 'harjo', 'dusun', 'karang', 'jaringan', 'frekuansi', 'berdiri', 'berpengaruh', 'jaringan', 'telkomsel', 'maaf', '']</t>
  </si>
  <si>
    <t>['maaf', 'dirawat', 'update', 'insha', 'allah', 'mengalami', 'buruk', 'telkomsel', 'uang', 'top', 'mendadak', 'hilang', 'kurun', 'transaksi', 'pembelian', 'paket', 'gb', 'seminggu', 'hasil', 'screenshot', 'kirim', 'via', 'gmail', 'top', 'kiriman', 'orang', 'orang', 'bersimpati', 'say']</t>
  </si>
  <si>
    <t>['isi', 'pulsa', 'via', 'may', 'telkomsel', 'pembayaran', 'via', 'shoope', 'pay', 'saldo', 'shope', 'terpotong', 'pulsa', 'masuk', 'chat', 'via', 'direspon', 'chat', 'telkomsel', 'kemana', 'lapor', 'graparii', 'pulsa', 'ribu', 'perak', 'mending', 'cek', 'kuota', 'telkomsel', 'sampah', 'sampah', 'sampahh']</t>
  </si>
  <si>
    <t>['suka', 'emang', 'initu', 'kartunya', 'cepet', 'banget', 'buar', 'internetan', 'telkom', 'trus', 'instal', 'mytelkomsel', 'deh', 'enakeun', 'lho', 'apknya', 'emg', 'kekurangan', 'smga', 'kedepannya', '']</t>
  </si>
  <si>
    <t>['telkomsel', 'hai', 'kerja', 'telkom', 'sel', 'tolonglah', 'beli', 'kuota', 'internet', 'dibeli', 'truss', 'disimpan', 'ajaa', 'kuota', 'dipake', 'gunanya', 'sinyalnya', 'parah', 'provider', 'kelebihan', 'kuota', 'beli', 'diambil', 'betldku', 'paketnya', 'truss', 'beli', 'kuota', 'sisa', 'kuota', 'kemarin', 'dijual', 'nafkahi', 'keluarga', 'benarr', 'telkomsel', 'sampah']</t>
  </si>
  <si>
    <t>['kesini', 'mahal', 'pembelian', 'paket', 'data', 'paket', 'beli', 'beli', 'beda', 'paket', 'mahal', 'sayang', 'data', 'bnyk', 'aktif', 'abis', 'rugi']</t>
  </si>
  <si>
    <t>['axis', 'net', 'fitur', 'gratis', 'membuka', 'aplikasi', 'paket', 'apps', 'telkomsel', 'paket', 'membuka', 'aplikasi', 'pulsa', 'sedot', 'sepengetahuan', 'pulsa', 'korban', 'tolong', 'mengerti', 'perbaiki', 'admin', 'telkomsel', 'tolong', 'pesan', 'ceo', 'telkomsel', 'terhormat']</t>
  </si>
  <si>
    <t>['kecewa', 'respon', 'beli', 'paket', 'proses', 'apk', 'sengaja', 'matiin', 'pulsa', 'tetep', 'abis', 'otak', 'atik', 'apk', 'telkomsel', 'gara', 'beli', 'paket', 'proses', 'pulsa', 'ilang', 'kecewa']</t>
  </si>
  <si>
    <t>['paket', 'data', 'aktif', 'paket', 'quota', 'habis', 'pulsa', 'dihabisi', 'telkomsel', 'telkomsel', 'makan', 'duit', 'haram', 'karna', 'ikhlas', 'potongan', 'pulsa', 'internet', 'semahal', 'bertobatlah', 'usahamu', 'berkah', '']</t>
  </si>
  <si>
    <t>['jam', 'klaim', 'hadiah', 'bantuannya', 'membantu', 'pilihan', 'membantu', 'check', 'klaim', 'ngerti', 'aplikasi', 'telkom']</t>
  </si>
  <si>
    <t>['hang', 'gitu', 'telkomsel', 'poin', 'mesti', 'repot', 'mending', 'langsung', 'opsi', 'ketik', 'poin', 'ditukar', 'dunia', 'canggih', 'aplikasi', 'ngrepotin', '']</t>
  </si>
  <si>
    <t>['kecewa', 'telkomsel', 'disaat', 'cek', 'harian', 'koq', 'hilang', 'hadiahnya', 'diklaim', 'mengikuti', 'aturan', 'hrus', 'cek', 'hadiahnya', 'hilang', 'telkomsel', 'penipu', 'jaringannya', 'lemot', 'telkomsel', 'penipu', 'penipu', 'penipu']</t>
  </si>
  <si>
    <t>['susah', 'beli', 'paket', 'internet', 'malam', 'semenjak', 'upgrade', 'nomor', 'susah', 'internetan', 'perubahan', 'enak', 'nyesal', 'upgrade', 'sms', 'telkomsel', 'dtang', 'beli', 'paket', 'internet', 'unlimited', 'beli', 'paket', 'malam', 'mahal', 'balasan', 'otomatis', 'meningkatkan', 'kualitas', 'coba', 'aktivitas', 'layanan', 'coba', 'jam', 'bls', 'tolong', 'diperbaiki', 'telkomsel', '']</t>
  </si>
  <si>
    <t>['aplikasi', 'jelek', 'berat', 'banget', 'loading', 'buka', 'game', 'berat', 'cepet', 'aplikasinya', 'tolonglah', 'diperbaiki', 'sekelas', 'telkomsel', 'aplikasi', 'kayak', 'sampah', '']</t>
  </si>
  <si>
    <t>['aplikasinya', 'memuaskan', 'isi', 'pulsa', 'aplikasi', 'mytelkomsel', 'pembayaran', 'shopeepay', 'pulsanya', 'masuk', 'kecewa', 'mohon', 'ditingkatkan', 'aplikasi', 'kartu', 'pulsanya', 'masuk', 'pembayarannya', 'shopeepay', '']</t>
  </si>
  <si>
    <t>['bug', 'beli', 'paket', 'malam', 'berhasil', 'lihat', 'timbul', 'pulsa', 'ambil', 'paket', 'download', 'filem']</t>
  </si>
  <si>
    <t>['knp', 'beli', 'paket', 'combo', 'sakti', 'pulsa', 'mencukupi', 'kesini', 'pelayana', 'telkomsel', 'memuaskan', 'yaa', '']</t>
  </si>
  <si>
    <t>['hadiah', 'cek', 'klim', 'menu', 'hadiah', 'langsung', 'hilang', 'hadiah', 'klim', 'aplikasi', 'setting', 'curang', 'sengaja', 'klim', 'masuk', 'aplikasi', 'menu', 'hadiah', 'tulisan', 'cek', 'besok', 'aplikasi', 'nipu', 'hadiah', 'klim', 'menu', 'hadiah', 'hilang', 'percaya', 'telkomsel', 'aplikasi', 'mytelkomsel', 'menipu', 'hadiah', 'cek', 'harian', '']</t>
  </si>
  <si>
    <t>['beli', 'paket', 'metode', 'pembayaran', 'link', 'saldo', 'link', 'udah', 'berkurang', 'paket', 'internet', 'masuk', 'sms', 'silahkan', 'aktivasi', 'layanan', 'maksudnya']</t>
  </si>
  <si>
    <t>['telkomsel', 'mempersulit', 'pelanggan', 'pulsa', 'aktivasi', 'paket', 'internet', 'malam', 'sebulan', 'nominal', 'ribu', 'aktivasi', 'jam', 'pagi', 'butuh', 'nunggu']</t>
  </si>
  <si>
    <t>['', 'lancar', 'pembelian', 'gb', 'seminggu', 'diperbarui', 'error', 'teler', 'apalah', 'namanya', 'perbarui', 'seminggu', 'kali', 'pembaruan', 'kerjaan', 'banget', 'maaf', 'apk', 'outkan', 'mending', 'beli', 'langsung', 'mahal', 'dikit', 'gpp', 'lancar', 'ribet', 'disuruh', 'nanya', 'veronika', 'bohong', 'solusi', 'maaf', 'unistall', '']</t>
  </si>
  <si>
    <t>['pembelian', 'paket', 'malam', 'suruh', 'nunggu', 'jam', 'orang', 'butuhnya', 'alasan', 'peningkatan', 'kualitas', 'mengganggu', '']</t>
  </si>
  <si>
    <t>['tolong', 'telkomsel', 'kecewa', 'banget', 'kartu', 'handphone', 'jaringannya', 'muncul', 'setingan', 'hpnya', 'tsel', 'doang', 'jaringannya', 'hspa', 'gnya', 'aneh', 'banget', 'trs', 'barusan', 'hubungi', 'call', 'centernya', 'nyambung', 'aneh', 'buanget', 'mah', 'paraaaaaaaaaaaaaaaaah', '']</t>
  </si>
  <si>
    <t>['ngerti', 'prosedur', 'paket', 'nelfon', 'unlimited', 'ambil', 'paket', 'nelfon', 'pulsa', 'habis', 'terkuras', 'paket', 'dibeli', 'kayak', 'sia', 'sia', 'beli', 'paket', 'nelfon', 'banget', 'bertahan', 'orang', 'tua', 'makai', 'perdana']</t>
  </si>
  <si>
    <t>['', 'gara', 'update', 'app', 'dibuka', 'app', 'dibuka', 'dijalankan', 'update', 'terbaru', 'knp', 'tlg', 'opsi', 'update', 'apps', 'kali', 'cancel', 'dll', '']</t>
  </si>
  <si>
    <t>['daily', 'check', 'terlambat', 'error', 'bintangnya', 'semoga', 'kedepan', 'bonus', 'daily', 'check', 'isi', 'bonus', 'kuota', 'monetery', 'contoh', 'discount', 'dihilangkan', 'ganti', 'bonus', 'kuota', 'monetary']</t>
  </si>
  <si>
    <t>['update', 'semkain', 'nge', 'lag', 'error', 'other', 'payment', 'method', 'gabisa', 'pakai', 'pas', 'bayar', 'balance', 'telkomsel', 'gabisa', 'error', 'kadang', 'pas', 'genting', 'repot', 'semoga', 'perbaiki', 'kedepannya', 'appnyaa', '']</t>
  </si>
  <si>
    <t>['telkomsel', 'mahal', 'sinyalnya', 'gajelas', 'lemah', 'tolong', 'perhatikan', 'perbaiki', 'urusan', 'sinyal', 'hak', 'menerima', 'layanan', 'sinyal', 'bagus', 'membeli', 'paket', 'data', 'telkomsel', 'perbaiki', 'kredibilitas', 'terancam']</t>
  </si>
  <si>
    <t>['kecewa', 'simpati', 'beli', 'pulsa', 'sampe', 'ribu', 'paketan', 'lemot', 'banget', 'nonton', 'browser', 'sampe', 'beli', 'indosat', 'perbandingan', 'indosat', 'nonton', 'pikir', 'bermasalah', 'udah', 'lapor', 'tetep', 'mati', 'isi', 'pulsa', 'angka', 'minimal', 'ribu', 'gini', 'pindah', 'org', 'provider', 'mikir', 'petinggi', 'simpati']</t>
  </si>
  <si>
    <t>['membantu', 'andai', 'saldo', 'pulsa', 'dikunci', 'diatur', 'pemakayannya', 'pribadi', 'saldo', 'pulsa', 'dgunakan', 'telpon', 'smsan', 'telpon', 'sms', 'kouta', 'internet', 'habis', 'nyedot', 'pulsa', 'sayang', 'pulsa', 'kepake', 'internetan', 'pdhl', 'pulsa', 'telponan', 'smsan', 'tabungan', 'isi', 'kouta', 'trmkgh', '']</t>
  </si>
  <si>
    <t>['halo', 'telkomsel', 'coba', 'login', 'link', 'masuk', 'pas', 'pencet', 'ulang', 'tolong']</t>
  </si>
  <si>
    <t>['maaf', 'kasih', 'rating', 'rendah', 'karna', 'paham', 'keterangan', 'didalam', 'isinya', 'tertera', 'contoh', 'pulsa', 'monetary', 'fungsinya', 'beli', 'paket', 'telkomsel', 'coba', 'beli', 'paket', 'pulsa', 'terpotong', 'beli', 'mohon', 'maaf', 'sayanya', 'salah', 'paham', 'mohon', 'dikoreksi', 'karna', 'terhitung', 'pengguna', '']</t>
  </si>
  <si>
    <t>['alhamdulillah', 'resposif', 'operator', 'via', 'email', 'chat', 'veronica', 'kerja', 'jam', 'signal', 'gsm', 'data', 'super', 'lelet', 'respon', 'skrng', 'super', 'konsisten', 'terima', 'kasih']</t>
  </si>
  <si>
    <t>['telkomsel', 'aplikasinya', 'update', 'kualitas', 'jaringannya', 'aplikasi', 'harga', 'paketnya', 'update', 'mulu', 'puas', 'pelanggan', 'binis', 'tpi', 'pikirkan', 'kepuadan', 'pelangan', 'terimakasih', '']</t>
  </si>
  <si>
    <t>['min', 'tolong', 'gimana', 'yutub', 'lancar', 'donlot', 'lancar', 'lancar', 'buka', 'aplikasi', 'telkom', 'gagal', 'mulu', 'aneh', 'banget', 'maap', 'uninstal', 'deh', 'gua', 'processor', 'sd', 'kebuka', '']</t>
  </si>
  <si>
    <t>['nggak', 'mood', 'bangt', 'pakai', 'telkomsel', 'paketan', 'mahal', 'udah', 'gitu', 'kuotanya', 'dibagi', 'sinyal', 'jelek', 'telkomsel', 'jamin', 'pelanggan', 'ganti', 'jaringan', '']</t>
  </si>
  <si>
    <t>['tolong', 'bantu', 'update', 'coba', 'hapus', 'coba', 'download', 'ulang', 'download', '']</t>
  </si>
  <si>
    <t>['uda', 'nyaman', 'paket', 'gb', 'mala', 'ilang', 'gb', 'signal', 'lag', 'mati', 'lampu', 'siignal', 'ikutan', 'mati', 'namba', 'mahaal', 'pelayanan', 'ancur', 'gaak', '']</t>
  </si>
  <si>
    <t>['telkomsel', 'pulsa', 'pakek', 'nelpon', 'sms', 'berkurang', 'paket', 'gb', 'semalam', 'masak', 'pulsa', 'diambil', 'kelen', 'cilat', 'gimana', '']</t>
  </si>
  <si>
    <t>['mantaff', 'pokonya', '']</t>
  </si>
  <si>
    <t>['assalamualaikum', 'kemanakah', 'kuota', 'keluarga', 'tolong', 'dikembalikan', 'kuota', 'keluarga', 'hapus', 'internet', 'malam', 'begadang', 'dimalam', 'terimakasih', '']</t>
  </si>
  <si>
    <t>['kecewa', 'banget', 'deh', 'telkomsel', 'paket', 'berlangganan', 'beli', 'terkhir', 'kali', 'pakai', 'telkomsel', 'aneh', 'suka', 'suka', 'hatinya', 'ngubah', 'peraturan', 'fucek', 'telkomsel', 'sad', '']</t>
  </si>
  <si>
    <t>['telkomsel', 'rampok', 'pulsa', 'udh', 'beli', 'paket', 'kena', 'tarif', 'non', 'paket', 'telp', 'alesan', 'tercover', 'jual', 'paket', 'deskripsi', 'pembelian', 'paket', 'nyari', 'celah', 'kelemahan', 'konsumen', 'tipu', 'daya', 'deskripsi', '']</t>
  </si>
  <si>
    <t>['', 'abis', 'update', 'pas', 'buka', 'suruh', 'update', 'lgi', 'bsa', 'buka', 'app', 'pas', 'klik', 'perbarui', 'play', 'store', 'udh', 'updat', 'tinggal', 'buka', 'pas', 'buka', 'suruh', 'perbarui', 'gmn', '']</t>
  </si>
  <si>
    <t>['update', 'gaada', 'belanja', 'kuota', 'ketengan', 'internet', 'bulanan', 'aplikasinya', 'beli', 'kuota', 'satt', '']</t>
  </si>
  <si>
    <t>['telkomsel', 'event', 'event', 'perbaiki', 'jaringan', 'daerah', 'kecepatan', 'kb', 'nyampe', 'kb', 'ganti', 'kartu', 'cuman', 'cuman', 'telkomsel', 'bagus', 'jaringan', 'full', 'kecepatan', 'cuman', 'kb']</t>
  </si>
  <si>
    <t>['sya', 'berhenti', 'langganan', 'paket', 'darurat', 'terkena', 'tagihan', 'kuota', 'apapun', 'kak', 'tlong', 'perbaiki', 'tlong', 'kasih', 'berhenti', 'berlangganan', 'paket', 'darurat', 'stress', 'pulsa', 'gampang', 'tersedot', 'pas', 'pulsa', 'sedot', 'kuota', 'apapun', 'tolong', 'kak']</t>
  </si>
  <si>
    <t>['login', 'dipersulit', 'kedepan', 'permudah', 'persulit', 'masuk', 'akun', 'berbeda', 'aplikasi', 'konfim', 'via', 'sms', 'pakai', 'browser', 'gimana', 'hape', 'jadul', 'ngk', 'browser', 'ganti', 'kartu', 'hape', 'browser', 'kepentingan', 'penguna', 'pakai', 'aplikasi', 'akun', 'beda', 'pengunaan', 'beda', 'kepentingan', 'boss', 'sistem', 'mempersulit', 'fungsi', 'penguna', 'beda', '']</t>
  </si>
  <si>
    <t>['kecewa', 'membeli', 'kuota', 'telkomsel', 'paketannya', 'aktif', 'pulsanya', 'kesedot', 'sinyal', 'jelek', 'paketannya', 'tolong', 'perbaiki', 'sodara']</t>
  </si>
  <si>
    <t>['telkomsel', 'percaya', 'smua', 'masuk', 'akal', 'jga', 'butuh', 'playanan', 'yng', 'pulsa', 'mahal', 'harga', 'paket', 'terjangkau', 'aplikasi', 'jelek', 'pelayanan', 'profesional', 'benahi', 'feedback', '']</t>
  </si>
  <si>
    <t>['puas', 'aktif', 'kuota', 'aktif', 'kartu', 'sesuai', 'kartu', 'hangus', 'aktif', 'kuota', 'merugikan']</t>
  </si>
  <si>
    <t>['tolong', 'perbaiki', 'sinyal', 'penuh', 'jaringan', 'lemot', 'lag', 'parah', 'tolong', 'kuota', 'game', 'sinyal', 'bagus', 'lag', 'pas', 'kuota', 'internet', 'bagus', 'why', 'boong', 'beli', 'internet', 'game', 'tolong', 'perbaiki']</t>
  </si>
  <si>
    <t>['saran', 'send', 'gift', 'unlimited', 'batas', 'maksimal', 'sms', 'diterima', 'penerima', 'gift', 'mencantumkan', 'harga', 'sebutkan', 'kuota', 'diterima', 'terima', 'kasih', '']</t>
  </si>
  <si>
    <t>['', 'kuota', 'game', 'dll', 'mainkan', 'doang', 'terputus', 'dissconnect', 'kuota', 'internet', 'gb', 'sinyal', 'jelek', 'banget', 'kdang', 'kdang', 'tlong', 'telkomsel', 'kuota', 'game', 'maksimal', 'gb', 'bln', 'terpakai', 'gb', 'sbulan', 'msalah', 'msalah', 'sinyal', 'jelek', 'amaat', 'internet', 'gb', 'kuota', 'game', 'gb', 'game', 'mobile', 'legend', 'dlu', 'free', 'fire']</t>
  </si>
  <si>
    <t>['halo', 'team', 'telkomsel', 'maaf', 'aplikasinya', 'mengecewakan', 'aplikasi', 'aplikasi', 'download', 'berfungsi', 'notif', 'google', 'has', 'stopped', 'mendadak', 'black', 'out', 'tolong', 'diperbaiki', 'terima', 'kasih']</t>
  </si>
  <si>
    <t>['mff', 'kak', 'update', 'paketnya', 'murah', 'gb', 'skrang', 'susah', 'fiturnya', 'beli', 'paket', 'allah', 'mohon', 'kak', 'update', 'jngn', 'berubah', 'kirain', 'updtae', 'paket', 'murah', 'gimana', 'adasama', 'update', 'beli', 'paket', 'udh', 'dpat', 'skrang', 'gara', 'update']</t>
  </si>
  <si>
    <t>['jaringan', 'internet', 'telkomsel', 'desa', 'beringin', 'lestari', 'kecamatan', 'tapung', 'hilir', 'kabupaten', 'kampar', 'propinsi', 'riau', 'lelet', 'mohon', 'perbaikan', 'telkomsel', 'terima', 'kasih']</t>
  </si>
  <si>
    <t>['udah', 'mahal', 'pelit', 'kuota', 'internet', 'makan', 'pulsa', 'tutup', 'ngak', 'ato', 'jualan', 'negara', 'indonesia']</t>
  </si>
  <si>
    <t>['mudan', 'cepat', 'puas', 'mwnggunakannya', 'kerjaan', 'jdi', 'lbih', 'cepat', 'anak', 'anak', 'lbih', 'mudah', 'cepat', 'mengerjakannya', 'jaringannya', 'lelet', 'usulan', 'saran', 'paketnya', 'diskon', 'pandemi', 'kondisi', 'perekonomian', 'anak', 'sekolah', 'daring', 'kebutuhan', 'bertambah', 'dimasa', 'pandemi', 'pekerjaan', 'susah', 'perekonomian', 'keluarga', 'sesuai', 'pendapatan', 'berterimah', 'kasih', '']</t>
  </si>
  <si>
    <t>['propider', 'beli', 'paket', 'situ', 'tertera', 'gb', 'rb', 'pas', 'pilih', 'beli', 'rb', 'penipuan', 'org', 'udh', 'cape', 'beli', 'pulsa', 'rb', 'konter', 'jln', 'kaki', 'hrs', 'beli', 'pulsa', 'rb', 'uang', 'rb', 'rakyat', 'susah', 'lgian', 'propider', 'plat', 'merah', 'memalukan', 'malunya', 'murah', 'propider', 'ngutang', 'negri', 'rakyat', 'paksa', 'membayarnya', 'menaikan', 'sgla', 'zolim']</t>
  </si>
  <si>
    <t>['kecewa', 'aplikasi', 'eror', 'beli', 'paket', 'pembelian', 'gagal', 'alhasil', 'coba', 'beli', 'anehnya', 'pembelian', 'paket', 'internet', 'berhasil', 'merugikan', 'pulsa', 'berkurang', 'paket', 'sia', 'mohon', 'diperbaiki', 'kendala', 'pembelian', 'paket', '']</t>
  </si>
  <si>
    <t>['mahal', 'harga', 'paket', 'data', 'tawarkan', 'pelanggan', 'berbeda', 'merugikan', 'komplain', 'berkali', 'kali', 'tetep', 'perubahan', 'berasa', '']</t>
  </si>
  <si>
    <t>['paket', 'mahal', 'pulsa', 'hilang', 'pemberitahuan', 'notif', 'pasang', 'paket', 'tlp', 'sms', 'internet', 'isi', 'rb', 'orang', 'tlp', 'pulsa', 'hilang', 'tinggal', 'tlp', 'orang', 'pulsa', 'hilang', 'paket', 'tlp', 'gratis', 'operator']</t>
  </si>
  <si>
    <t>['sinyal', 'jelek', 'harga', 'tetep', 'mahal', 'kualitas', 'buruk', 'tsel', 'dimasa', 'pandemi', 'kayak', 'gini', 'beralasan', 'pemeliharaan', 'efektif', 'hah', 'harga', 'kuota', 'mahal', 'bisanya', 'nurunin', 'kualitas', 'seenak', 'jidat', 'kecewa', '']</t>
  </si>
  <si>
    <t>['jaringan', 'telkomsel', 'buruk', 'buffering', 'parah', 'nonton', 'loading', 'main', 'game', 'ngebug', 'tolong', 'telkomsel', 'tingkatkan', 'kualitas', 'jaringannya', 'gnya', 'edge', 'edit', 'jaringannya', 'membaik', 'terimakasih']</t>
  </si>
  <si>
    <t>['download', 'apk', 'entar', 'kaget', 'loe', 'lihat', 'pemakaian', 'data', 'karna', 'login', 'apk', 'deres', 'banget', 'pemakaian', 'datanya', 'cek', 'data', 'jaringan', 'telkomsel', 'semangkin', 'parah', 'jaringannya', 'mati', 'lampu', 'jaringan', 'telkomsel', 'lancar', 'ehh', 'mati', 'lampu', 'langsung', 'hilang', 'jaringannya', 'jaringannya', 'pakai', 'axis', 'kartu', 'mahal', 'kayak', 'gini', 'sampah', 'telkomsel', '']</t>
  </si>
  <si>
    <t>['knapa', 'harga', 'paket', 'internetnya', 'gonta', 'ganti', 'murah', 'mahal', 'besok', 'lgi', 'harganya', 'ganti', 'kartu', 'smart', 'kawan', 'murah', 'terjangkau', 'kurangin', 'retting', 'uninstall', 'apknya', '']</t>
  </si>
  <si>
    <t>['kecewa', 'telkomsel', 'udah', 'mahal', 'jaringan', 'bagus', 'emosi', 'jaringan', 'telkomsel', 'lemah', 'hilangin', 'jaringan', 'telkomsel', 'pengguna', 'emosi', 'telkomsel', 'udah', 'bangkrut', '']</t>
  </si>
  <si>
    <t>['beli', 'paket', 'nonton', 'maxstreem', 'hbo', 'koq', 'kuota', 'data', 'utama', 'disedotnya', 'kuota', 'multimedia', 'nyesel', 'buang', 'duit', 'beli', 'paket', 'datanya', 'pakai', 'telkomsel', 'nyesel', 'banget', 'lelet', 'lemot', 'jaringan', 'buruk', '']</t>
  </si>
  <si>
    <t>['jadikan', 'aplikasi', 'ringan', 'ramah', 'min', 'sebentar', 'masuk', 'klik', 'link', 'handphone', 'bentar', 'perbaharui', 'bentar', 'evaluasi', 'bosan', 'klik', 'bintang', 'melulu', 'telkomsel', 'mahal', 'nyata', 'ooredoo', 'exis', '']</t>
  </si>
  <si>
    <t>['membeli', 'paket', 'pulsa', '']</t>
  </si>
  <si>
    <t>['berharap', 'jaringan', 'internet', 'perluas', 'pelosok', 'dataran', 'rendah', 'loading', 'amd', 'babakan', 'pocis', 'jaringannya', 'stabil', 'suka', 'loadingnya', 'mohon', 'diperbaiki', 'jaringan', 'internet', 'terimakasih']</t>
  </si>
  <si>
    <t>['gilaaaa', 'harga', 'paket', 'mahal', 'maen', 'nyari', 'dibawah', 'susah', 'ampun', 'udah', 'isi', 'pulsa', 'sengaja', 'beli', 'aplikasi', 'taunya', 'pas', 'liat', 'harga', '']</t>
  </si>
  <si>
    <t>['sinyal', 'buruk', 'buka', 'nonto', 'susah', 'tolong', 'perbaikin', 'sinyal', 'sinyal', 'jelek', 'kali', 'bali', 'mahal', 'sinyal']</t>
  </si>
  <si>
    <t>['', 'pulsa', 'rb', 'berkurang', 'rb', 'pdhl', 'kuota', 'gb', 'bonus', 'pulsa', 'hilang', 'berkurang', 'rb', 'tolong', 'ditingkatkan', 'keamanan', 'kenyamanan', 'pengguna', 'provider', 'mohon', 'tanggapan', '']</t>
  </si>
  <si>
    <t>['telkomsel', 'ribett', 'paket', 'unlimate', 'syarat', 'paket', 'reguler', 'terpotong', 'duluhh', 'unlimate', 'namanya', 'klu', 'batasi', '']</t>
  </si>
  <si>
    <t>['beli', 'paket', 'apk', 'akses', 'gagal', 'pulsa', 'mencukupi', 'dapet', 'promo', 'bangke', 'telkomsel', 'adain', 'promo', 'telkomsel', 'beli', '']</t>
  </si>
  <si>
    <t>['min', 'nanya', 'bbrp', 'beli', 'paket', 'belajar', 'min', 'pulsa', 'all', 'internet', 'gb', 'kuota', 'bljr', 'tpi', 'kuota', 'paket', 'belajarnya', 'bsa', 'udh', 'chat', 'dri', 'apk', 'tpi', 'slow', 'respon', 'blum', 'jawaaan', 'mhon', 'min', 'pencerahannya', 'makasih', 'maaf', 'kasih', 'bintang', 'karna', 'paket', 'belajarnya', 'emg', 'akses', 'kaya', 'chrone', 'youtube', 'gtu', 'syaa', 'belajar', 'bsa', 'duit', 'lgi', 'paket', 'hem', 'mhon', 'min', 'bantu', '']</t>
  </si>
  <si>
    <t>['paketnya', 'diubah', 'telkomsel', 'berlangganan', 'paket', 'dirubah', 'sekaranf', 'nggak', 'bsa', 'dibeli', 'riwayat', 'pembelian', 'kemarin', 'kemarin', 'perasaan']</t>
  </si>
  <si>
    <t>['tipu', 'telkomsel', 'undian', 'mobil', 'vocher', 'dapet', 'trus', 'pengumumannya', 'jls', 'kecewa', 'pelanggan', 'telkomsel', 'bertahaun', 'sngaja', 'kasih', 'bintang', 'masuk', 'belanda']</t>
  </si>
  <si>
    <t>['apps', 'hbis', 'update', 'buka', 'menu', 'tampilan', 'blank', 'putih', 'notif', 'perbarui', 'trus', 'klik', 'mlah', 'msuk', 'playstore', 'pdhal', 'barusan', 'update', 'knapa', 'gerangan', '']</t>
  </si>
  <si>
    <t>['jaringan', 'telkomsel', 'pekanbaru', 'lelet', 'banget', 'kecewa', 'pelanggan', 'telkomsel', 'udah', 'banget', 'knp', 'skrang', 'mengecewakan', 'mohon', 'provider', 'telkomsel', 'perbaiki', 'jaringan', '']</t>
  </si>
  <si>
    <t>['paket', 'data', 'gb', 'unlimited', 'gb', 'utuh', 'knp', 'pulsa', 'isi', 'tinggl', 'perak', 'hidup', 'data', 'makan', 'pulsa', 'kah', 'seharus', 'data', 'internet', 'gua', 'makan', 'perbaiki', '']</t>
  </si>
  <si>
    <t>['aplikasi', 'eror', 'bagus', 'aduh', 'bagus', 'ngaktivin', 'auto', 'daily', 'check', 'pengingat', 'boro', 'diingetin', 'kagak', 'diingetin', 'udah', 'check', 'pengingat', 'besok', 'ngulang', 'aneh', 'aneh', '']</t>
  </si>
  <si>
    <t>['jaringan', 'susah', 'buka', 'aplikasi', 'telkomsel', 'sndri', 'susah', 'pdhal', 'data', 'paket', 'pemakaian', 'paket', 'boros', 'pembelian', 'paket', 'mahal', 'paket', 'udah', 'beli', 'hilang', 'eror', 'aplikasi', 'maaf', 'kecewa', 'pelayanan', 'telkomsel', '']</t>
  </si>
  <si>
    <t>['bagus', 'opsi', 'penukaran', 'point', 'pandemi', 'pembatasan', 'rumah', 'poin', 'tukar', 'pulsa', 'paket', 'data', 'tks']</t>
  </si>
  <si>
    <t>['beli', 'paket', 'unlimited', 'gb', 'rb', 'pulsa', 'beli', 'masuk', 'masuk', 'paketnya', '']</t>
  </si>
  <si>
    <t>['kartu', 'ngisi', 'paket', 'data', 'telkomsel', 'murah', 'kartu', 'simpati', 'teman', 'ngisi', 'paket', 'data', 'murah', 'mohon', 'penjelasannya', '']</t>
  </si>
  <si>
    <t>['admin', 'membeli', 'paket', 'ceria', 'ngga', 'batas', 'promonya', 'september', 'pulsa', 'mencukupi', 'mohon', 'responnya', 'kasi', 'bintang', 'makasih']</t>
  </si>
  <si>
    <t>['puas', 'pulsa', 'suka', 'habis', 'pakai', 'nelpon', 'sms', 'sisa', 'pulsa', 'udah', 'habis', '']</t>
  </si>
  <si>
    <t>['apk', 'telkomsel', 'jelek', 'karna', 'jam', 'udah', 'beli', 'paket', 'jam', 'paket', 'masuk', 'udh', 'ulang', 'pencet', 'tetep', 'kalinya', 'udh', 'tolong', 'perbaiki', 'apknya']</t>
  </si>
  <si>
    <t>['gimana', 'telkomsel', 'beli', 'paket', 'terdelay', 'mencet', 'kali', 'paketan', 'internet', 'masuk', 'alhasil', 'pulsa', 'tersedot', 'tolong', 'perbaiki', '']</t>
  </si>
  <si>
    <t>['kuota', 'internet', 'mahal', 'membingungkan', 'beli', 'internet', 'pecah', 'belah', 'majunya', 'bangsa', 'internet', 'aplikasi', 'harga', 'sesuaikan', 'perekonomian', 'rakyat', 'mecekik', 'rakyat', 'tolong', 'merdekakan', 'rakyat', 'rakyat', 'menengah', '']</t>
  </si>
  <si>
    <t>['aplikasi', 'telkomsel', 'memudahkan', 'mengecek', 'sisa', 'pulsa', 'paket', 'internet', 'dll', 'memudahkan', 'promo', 'promo', 'menarik', '']</t>
  </si>
  <si>
    <t>['alhamdulillah', 'kendala', 'sinyal', 'daerah', 'subang', 'kota', 'sinyal', 'bagus', 'mengganti', 'kartu', 'kartu', 'terimakasih', '']</t>
  </si>
  <si>
    <t>['telkomsel', 'gimana', 'harga', 'mahal', 'kualitas', 'turun', 'jaringan', 'suka', 'nge', 'lag', 'game', 'sinyal', 'merah', 'kuning', 'mulu', 'kesal', 'pakai', 'telkomsel']</t>
  </si>
  <si>
    <t>['', 'beli', 'dikasih', 'kartu', 'telkomsel', 'dikardus', 'hpnya', 'tulisan', 'paket', 'bundling', 'max', 'gb', 'isi', 'pulsa', 'paketin', 'tulisan', 'mohon', 'maaf', 'pembelian', 'produk', 'kecewa']</t>
  </si>
  <si>
    <t>['ngurangi', 'bintangnya', 'pusing', 'nyampe', 'puluhan', 'sms', 'telkomsel', 'pusing', 'ngehapusnya', 'tolong', 'keseringan', 'ngirim', 'sms', 'bosan', 'males', 'pakai', 'telkomsel', 'mohon', 'perbaiki']</t>
  </si>
  <si>
    <t>['sinyal', 'telkomsel', 'daerah', 'buruk', 'banget', 'kaya', 'pas', 'beli', 'pembelajaran', 'terganggu', 'drama', 'sinyal', 'males', 'telkomsel', '']</t>
  </si>
  <si>
    <t>['pas', 'umur', 'belia', 'bangku', 'sampe', 'telkomsel', 'kepuasan', 'tersendiri', 'pelanggannya', 'harganya', 'bersaing', 'kompetitor', 'telkomsel', 'kalangan', 'anak', 'muda', '']</t>
  </si>
  <si>
    <t>['mantap', 'combo', 'promo', 'internetnya', 'lengkap', 'paket', 'kuota', 'unlimited', 'game', 'gamer', 'bermain', 'game', 'batas', 'semoga', 'update', '']</t>
  </si>
  <si>
    <t>['fungsi', 'bagus', 'ngasih', 'promo', 'jebakan', 'mending', 'ngga', 'ngaih', 'promo', 'ngga', 'diisi', 'pulsa', 'dpt', 'promo', 'gb', 'ngga', 'paket', 'utama', 'tetep', 'pulsa', 'utama', 'habis', '']</t>
  </si>
  <si>
    <t>['pagi', 'admin', 'telkomsel', 'terhormat', 'semenjak', 'minggu', 'jaring', 'lemot', 'kemaren', 'jaringan', 'normal', 'tolong', 'donk', 'solusi']</t>
  </si>
  <si>
    <t>['disayangkan', 'operator', 'diwilayah', 'kabupaten', 'morowali', 'kec', 'bumiraya', 'jaringan', 'buruk', 'tower', 'indosat', 'semntara', 'dibangun', 'tinggal', 'tunggu', 'beroprasi', 'jaringan', 'telkomsel', 'dimorowali', 'byk', 'beralih', 'indosat', '']</t>
  </si>
  <si>
    <t>['susah', 'login', 'nomor', 'bisanya', 'cuman', 'nomor', 'beda', 'upgrade', 'skarang', 'upgrade', 'gagal', 'mulu', 'login', 'nomor', '']</t>
  </si>
  <si>
    <t>['pelayanannya', 'puas', 'bagud', 'mudah', 'pahami', 'app', 'sblmnya', 'biaya', 'paket', 'pembelian', 'kuota', 'yolong', 'naikan', 'pelanggan', 'berganti', 'alih', 'produk', 'bersahabat', 'harganya', 'jaman', 'pandemi', 'baiknya', 'dimohon', 'bersahabat', 'prihal', 'harganya', 'telkomsel', 'paket', 'unlimited', 'rb', 'udh', '']</t>
  </si>
  <si>
    <t>['aplikasi', 'telkomsel', 'dibuka', 'ngelag', 'aplikasi', 'not', 'responding', 'urgensi', 'buka', 'aplikasi', 'kehabisan', 'paket', 'membeli', 'paket', 'tolong', 'diperbaiki', 'kenyamanan', 'pelanggan', 'terima', 'kasih']</t>
  </si>
  <si>
    <t>['maaf', 'telkomsel', 'jaringan', 'lancar', 'udah', 'bln', 'tinggal', 'lelet', 'banget', 'buka', 'data', 'loading', 'mulu', 'puas', '']</t>
  </si>
  <si>
    <t>['loading', 'lelet', 'kadang', 'ngilang', 'rimbanya', 'mmng', 'nambah', 'kapasitas', 'knp', 'duhai', 'tsel', 'seputar', 'jaringan', 'tsel', 'teknis', 'knp', 'hrs', 'app', 'tsel', 'one', 'hrs', 'buka', 'app', 'nggak', '']</t>
  </si>
  <si>
    <t>['telkomsel', 'mengambil', 'uang', 'perbulan', 'menambahkannya', 'olah', 'berlangganan', 'kuota', 'internet', 'kebutuhan', 'ketahuannya', 'komplain', 'graha', 'telkomsel', 'hati', 'hati', 'pengguna', 'tagihannya', 'wajar', 'periksa', 'tagihannya', '']</t>
  </si>
  <si>
    <t>['telkomsel', 'sinyal', 'internet', 'jelek', 'harga', 'mahal', 'pelayanan', 'jelek', 'padal', 'kartu', 'hallo', 'kartu', 'hallo', 'bagus', 'tetep', 'jelek', 'perubahan', 'jual', 'telkomsel', 'sukur', 'sukur', 'telkomsel', 'jual', 'sinyal', 'bagus']</t>
  </si>
  <si>
    <t>['pelanggan', 'setia', 'windu', 'promo', 'hemat', 'harga', 'mahal', 'ditampilkan', 'spt', 'halnya', 'combo', 'sakti', 'unlimited', 'dibawah', 'rb', 'menu', 'mytelkomel', 'laman', 'kerabat', 'umur', 'kartu', 'pendek', 'kartu', 'mohon', 'maaf', 'kebijakan', 'terbalik', 'yaa', 'trimakasih', 'semoga', 'mjd', 'perhatian', 'shg', 'mohon', 'maaf', 'berkenan', 'rasakan', '']</t>
  </si>
  <si>
    <t>['dear', 'telkomsel', 'kalu', 'kampung', 'jarigan', 'telkomsel', 'kartu', 'telkomsel', 'uda', 'paket', 'mahal', 'jarigan', 'lemot', 'siang', 'malam', 'bodohin', 'org', 'korupsi', 'lgi']</t>
  </si>
  <si>
    <t>['harga', 'paket', 'internet', 'mahal', 'applikasi', 'susah', 'buka', 'telkomsel', 'lemooootttt', 'kaya', 'denger', 'dpt', 'undian', 'undi', 'undi', 'beneran', 'cek', 'kolom', 'pemenang', 'telp', 'tutup', 'digitnya', 'ngecek', 'menang', 'kasih', 'pemenang', 'hubungi', 'bro', '']</t>
  </si>
  <si>
    <t>['maaf', 'telkomsen', 'mahal', 'paketnya', 'promonya', 'menarik', 'masak', 'tukar', 'poin', 'pulsa', 'gb', 'kayak', 'harga', 'volcer', 'mohon', 'kewarasanya', 'tingkatkan', 'gini', 'butuh', 'kouta', 'petimbangan', 'pelanganya', 'pelangan', 'layanan']</t>
  </si>
  <si>
    <t>['hai', 'parah', 'sinyalnya', 'udah', 'mahal', 'ngelag', 'ngegame', 'buka', 'browser', 'kalah', 'sebelah', '']</t>
  </si>
  <si>
    <t>['metode', 'pembayarannya', 'langsung', 'terhubung', 'akun', 'dana', 'tolong', 'telkomsel', 'diperbaiki', '']</t>
  </si>
  <si>
    <t>['masukkan', 'vocher', 'kali', 'masukkan', 'kode', 'gagal', 'beritahu', 'maaf', 'layanan', 'sibuk', 'mohon', 'tunggu', 'gitu', 'telkomsel', 'kesini', 'jelek', 'jaringan']</t>
  </si>
  <si>
    <t>['parah', 'telkomsel', 'sinyal', 'berfungsi', 'sinyal', 'buka', 'apk', 'geleng', 'geleng', 'kepala', 'cuman', 'harga', 'mahal', 'zonk', 'kecepatan', 'kalah', 'indosat', 'notabene', 'orang', 'ngomong', 'jelej', 'sinyalnya', 'pengguna', 'telkomsel', 'pindah', 'indosat']</t>
  </si>
  <si>
    <t>['topik', 'berhubungan', 'telkomsel', 'nanya', 'jaringan', 'telkomsel', 'bagus', 'tolong', 'kembalikan', '']</t>
  </si>
  <si>
    <t>['jaringan', 'bagus', 'karna', 'pertahankan', 'tingkatkan', 'kualitas', 'jaringan', 'telkomsel', 'telkomsel', 'menyebar', 'pelosok', 'tanah', 'air', 'indonesia', 'membutuhkan', 'jaringan', 'telkomsel', 'terapi', 'mahal', 'pemkainan', 'data', 'oleha', 'pwrhtikan', 'diturunkan', 'tarif', 'zona', 'indonesia', 'timur', 'indonesi', 'telkomsel', 'kalah', 'bersaing', 'jaringan', 'krna', 'menyampik']</t>
  </si>
  <si>
    <t>['permisi', 'kpd', 'telkomsel', 'beli', 'kuota', 'mahal', 'tpi', 'jaringan', 'jelek', 'trus', 'yaa', 'tolong', 'perbaiki', 'kpd', 'telkomsel']</t>
  </si>
  <si>
    <t>['hai', 'tolong', 'kah', 'pulsa', 'terpakai', 'pemakaian', 'internet', 'posisi', 'jaringan', 'data', 'matikan', 'pakai', 'wifi', 'tolong', 'penjelasan', 'thanks', '']</t>
  </si>
  <si>
    <t>['ngecewain', 'sinyalnya', 'mabar', 'kadang', 'udah', 'mode', 'pesawat', 'sembuh', 'ntar', 'menit', 'tolong', 'tingkatin', 'min', 'user', 'telkomsel', 'kecewa', 'terima', 'kasih', '']</t>
  </si>
  <si>
    <t>['aplikasi', 'mudah', 'murah', 'harga', 'kuota', 'berkualitas', 'akses', 'cepat', 'hemat', 'bermanfaat', 'terima', 'kasih', 'telkomsel']</t>
  </si>
  <si>
    <t>['harga', 'paketan', 'mahal', 'kualitas', 'mengecewakan', 'malam', 'ngelag', 'akses', 'internrt', 'nelpon', 'tersambung', 'ngga', 'suaranya', 'orang', 'pindah', 'operator', 'gini', 'karyawan', 'gaji', 'kerjanya', 'becus', 'sistem', 'bukanya', 'perbaiki', 'santai', 'kerjanya']</t>
  </si>
  <si>
    <t>['buruk', 'banget', 'sumpah', 'boro', 'boro', 'capai', 'susah', 'kaya', 'iiii', 'kadang', 'kadang', 'bego', 'ratain', 'tower', 'tower', 'ratalan', 'jaringan', 'ngab', 'emosi', 'jaringan', 'udah', 'mah', 'mahal', 'jaringan', 'sesuai', 'tarif', '']</t>
  </si>
  <si>
    <t>['mohon', 'diluncurkannya', 'aplikasi', 'telkomsel', 'paketnya', 'rubah', 'paket', 'corporate', 'kadang', 'timbul', 'tenggelam', 'paketnya', 'aplikasi', 'lengkap', 'aplikasi', 'hilang', 'mohon', 'pertimbangan', 'telkomsel', 'terima', 'kasih', 'membantu', 'berjalannya', 'mengajar', 'daring', 'guru', 'indonesia', 'mengharapkan', 'telkomsel', 'salam', 'guru', 'berjuang', 'papua', '']</t>
  </si>
  <si>
    <t>['provider', 'babi', 'sialan', 'penipuan', 'nyedot', 'pulsa', 'klen', 'anjenk', 'udh', 'lemot', 'betingkah', 'disney', 'hotstar', 'sebulan', 'tpi', 'disedot', 'kuota', 'utama', 'babi', 'klen', 'ambil', 'paket', 'disney', 'sebulan', 'mlah', 'semoga', 'bangkrut', 'perusahaan', 'klian', 'provider', 'terburuk', 'terburuk', 'sialan', 'setan']</t>
  </si>
  <si>
    <t>['aplikasi', 'telkomsel', 'berat', 'banget', 'susah', 'login', 'aplikasinya', 'bagus', 'beli', 'paketnya', 'mahal', 'bukanya', 'kesini', 'bagus', 'buruk', '']</t>
  </si>
  <si>
    <t>['buruk', 'data', 'pulsa', 'kesedot', 'mengecewakan', 'mohon', 'diperbaiki', 'kasih', 'bintang', 'thanks', '']</t>
  </si>
  <si>
    <t>['puas', 'jaringan', 'susah', 'ngegem', 'suka', 'lag', 'paketan', 'mahal', 'sultan', 'banget', 'kek', 'kartu', 'kemudahan', 'pemakainya', 'isi', 'pulsa', 'suka', 'berkurang', 'pokoknya', 'puas']</t>
  </si>
  <si>
    <t>['kartu', 'sebelah', 'pakai', 'promo', 'gb', 'pembagian', 'taik', 'tergoda', 'kartu', 'telkomsel', 'promo', 'sakti', 'gb', 'pembagiannya', 'hilang', 'tergoda', 'beli', 'tunggu', 'sampek', 'perpanjang', 'aktif', '']</t>
  </si>
  <si>
    <t>['aplikasi', 'telkomsel', 'mempermudah', 'mengatasi', 'kebutuhan', 'aplikasi', 'mudah', 'dipahamin', 'pengguna', 'kalangan', 'anak', 'anak', 'orang', 'tua']</t>
  </si>
  <si>
    <t>['sekian', 'pakai', 'telkomsel', 'prlayanan', 'telkomsel', 'kacau', 'kemarin', 'beli', 'paket', 'ketengan', 'youtube', 'pakek', 'beli', 'pulsa', 'rb', 'kepotong', 'rb', 'tagihan', 'beli', 'rb', 'diapa', 'in', 'udah', 'abis', 'trus', 'maksdnya', 'kecewa', 'pelanggan', 'mengambil', 'hak', 'orang', 'tolong', 'diperbaiki', 'lelayanana', 'pengaduan', 'susah', 'dibikin', 'ribet', 'telkomsel']</t>
  </si>
  <si>
    <t>['suruh', 'hubungi', 'mahal', 'doang', 'kualitas', 'emang', 'benerin', 'sinyal', 'benerin', 'hub', 'langsung', 'kerjakan', 'bertele', 'tele']</t>
  </si>
  <si>
    <t>['telkomsel', 'kualitas', 'jaringannya', 'rendah', 'aplikasinya', 'susah', 'dibuka', 'paket', 'data', 'tersedia', 'aplikasi', 'menu', 'berbeda', 'sungguh', 'kecewa', '']</t>
  </si>
  <si>
    <t>['isi', 'saldo', 'statusnya', 'beli', 'kuota', 'internet', 'sedikitpun', 'transaksi', 'notifikasi', 'sms', 'sukses', 'anehnya', 'paket', 'murah', 'transaksi', 'mahal', 'kebayang', 'diisi', 'pulsa', 'gede', 'abis', 'neg', 'telkomsel', 'parahhhhhhh', '']</t>
  </si>
  <si>
    <t>['sinyal', 'telkomsel', 'ilang', 'main', 'liat', 'tik', 'tok', 'liat', 'youtube', 'buka', 'play', 'store', 'surfing', 'internet', 'putus', 'putus', 'telkomsel', 'payah', 'pertma', 'setia', 'telkomsel', 'simpati']</t>
  </si>
  <si>
    <t>['telkomsel', 'parah', 'sinyal', 'turun', 'sinyal', 'jam', 'sinyal', 'bermasalah', 'udah', 'harga', 'quotanya', 'mahal', 'kualitas', 'benerin', 'pioner', 'sah', 'muluk', 'stabilin', 'dlu', 'jaringan', '']</t>
  </si>
  <si>
    <t>['gara', 'gara', 'apk', 'update', 'dimarahin', 'beli', 'disney', 'hostar', 'dibayar', 'apk', 'update', 'dimarahin', 'are', 'you', 'happy', 'developer', 'telkomsel', '']</t>
  </si>
  <si>
    <t>['coba', 'mytelkomsel', 'cek', 'kuota', 'mudah', 'gampang', 'blm', 'silahkan', 'download', 'aplikasinya', 'suka', 'kecewa', '']</t>
  </si>
  <si>
    <t>['pengurangan', 'kuota', 'sesuaikan', 'pemakaian', 'aplikasi', 'berjalan', 'kuota', 'utama', 'tersedot', 'gunanya', 'pembagian', 'kuota', 'harga', 'merakyat', 'telkomsel', 'provider', 'terbesar', 'membatu', '']</t>
  </si>
  <si>
    <t>['harga', 'produk', 'telkomsel', 'jaringan', 'bermasalah', 'pjj', 'ppkm', 'bermasalah', 'performa', 'mendukung', 'mohon', 'penjelasan']</t>
  </si>
  <si>
    <t>['', 'telkomsel', 'pengen', 'bos', 'tercipta', 'pemulung', 'sampah', 'kotoran', 'kotoran', 'mulung', 'apk', 'apk', 'playstore', 'apps', 'masi', 'pemulung', 'bos', 'pemulung', 'tangkap', 'polisi', 'sukurin', 'dikenakan', 'terciptalah', 'telkomsel', 'cek', 'pelanggan', 'coba', 'klik', 'bos', 'pemulung', 'sisa', 'pulsa', 'hilang', 'mulung', '']</t>
  </si>
  <si>
    <t>['telkomsel', 'uda', 'pakai', 'borosss', 'mahal', 'kayak', 'sinyal', 'lancar', 'uda', 'loading', 'lancar', 'perkotaan', 'dikampung', 'lemot', 'sinyal', 'hadeeuuhhhhh', 'bangat', 'bermutu', 'acara', 'mas', 'dibagi']</t>
  </si>
  <si>
    <t>['pelanggan', 'telkomsel', 'kecewa', 'harga', 'jual', 'pulsa', 'paket', 'internet', 'jaringan', 'mahal', 'pengelola', 'telkomsel', 'pro', 'pelanggan', 'dlm', 'persingan', 'harga', 'murah', 'ditawarkan', 'provider', 'murah', 'tolong', 'perhatikan', 'msarakat', 'skrng', 'serba', 'internet', 'tolong', 'masarakat', 'indonesia', '']</t>
  </si>
  <si>
    <t>['', 'ngerti', 'telkomsel', 'sekarangg', 'jaringan', 'parah', 'banget', 'ilang', 'jaringan', 'udah', 'dipindah', 'manual', 'otomatis', '']</t>
  </si>
  <si>
    <t>['kesini', 'pelayanannya', 'menurun', 'sinyal', 'jelek', 'banget', 'full', 'pakai', 'hallo', 'tolong', 'diperbaiki', 'kekuatan', 'jaringannya', '']</t>
  </si>
  <si>
    <t>['komen', 'respon', 'sampe', 'spam', 'gitu', 'halo', 'telkomsel', 'takut', 'ketahua', 'penipu', 'njiiiiiinggg', 'you']</t>
  </si>
  <si>
    <t>['selamat', 'tinggal', 'kartu', 'sel', 'kartu', 'kali', 'beli', 'pulsa', 'beli', 'paket', 'harga', 'paket', 'ganjil', 'otomatis', 'beli', 'pulsa', 'paket', 'habis', 'sisa', 'pulsanya', 'ikutan', 'ketarik', 'sel', 'memperbaiki', 'kecewa', 'karna', 'susah', 'cari', 'uang', '']</t>
  </si>
  <si>
    <t>['tolong', 'telkomsel', 'daftar', 'paket', 'mohon', 'nominalnya', 'disesuaikan', 'mending', 'dikurangin', 'harganya', 'ditambahin', 'coz', 'nambahinya', 'daftar', 'paket', 'harga', 'trus', 'ngisi', 'pulsanya', 'gimana', 'ngisi', 'pulsa', '']</t>
  </si>
  <si>
    <t>['berkunjung', 'daerah', 'pegunungan', 'sinyal', 'manteng', 'sayang', 'daerah', 'pegunungan', 'konek', 'sinyal', 'internet', 'semoga', 'tingkatkan', 'maju', 'telkomsel']</t>
  </si>
  <si>
    <t>['parah', 'jaringnnya', 'anjim', 'harga', 'mahal', 'penawaran', 'jarang', 'udah', 'ndk', 'bgus', 'udah', 'pernyataan', 'email', 'telkomsel', 'tweeter', 'dll', 'ndk', 'respon', 'bangke', 'emng', 'rugi', 'beli', 'paket', 'bln', 'boro', 'internet', 'aplikasi', 'nyusahin', 'pengguna', 'intinya', 'jringn', 'terburuk', 'jringn', 'telkomsel', '']</t>
  </si>
  <si>
    <t>['kuota', 'unlimited', 'batasin', 'emang', 'unlimited', 'batas', 'sepuasnya', 'tolong', 'telkomsel', 'kembalikan', 'kuota', 'unlimited', 'udah', 'mahal', 'mahal', 'kena', 'batas', 'krek', '']</t>
  </si>
  <si>
    <t>['tarif', 'paket', 'berubah', 'mahal', 'perjalan', 'jayapura', 'harga', 'tarif', 'berubah', 'mahal', 'mataram', 'lombok', 'harga', 'mahal']</t>
  </si>
  <si>
    <t>['kali', 'isi', 'pulsa', 'leeat', 'telkomsel', 'pulsa', 'masuk', 'udah', 'ditunggu', 'jam', 'mengadu', 'dngn', 'cust', 'service', 'pulsa', 'masuk', 'menunggu', 'tnpa', 'kejelasan', 'gimana', 'sngat', 'mengecewakan']</t>
  </si>
  <si>
    <t>['bintang', 'hilangnya', 'kuota', 'isi', 'ulang', 'pulsa', 'tgl', 'agustus', 'wib', 'gb', 'internet', 'omg', 'semalam', 'pulsa', 'habis', 'pemakaian', 'normal', '']</t>
  </si>
  <si>
    <t>['tolong', 'dibenahi', 'jaringan', 'layanan', 'telkomsel', 'telpon', 'suara', 'putus', 'jaringan', 'data', 'super', 'lelet', 'ppkm', 'gini', 'serba', 'lelet', 'pelosok', 'ketinggalan', 'informasi', 'daring', 'sekolah', 'rapat', 'jualan', 'online', 'kuliah', 'dsb', 'tolong', 'telkomsel', 'memperbaiki', 'kualitas', 'pelayanan', 'jaringan', 'butuh', 'kualitas', 'kuantitas', 'bts', 'diupgrade', 'dimaksimalkan', 'power', 'kekuatan', 'daya', 'pancar', 'bts']</t>
  </si>
  <si>
    <t>['paket', 'data', 'telkomsel', 'mahal', 'jaringan', 'merata', 'wilayah', 'lampung', 'kalah', 'provider', 'axiata', 'paket', 'murah', 'jaringan', 'pelosok', 'lampung', 'pengguna', 'telkomsel', 'kecewa']</t>
  </si>
  <si>
    <t>['telkomsel', 'gimana', 'beli', 'paket', 'confirmasinya', 'pulsa', 'bilangnya', 'pulsa', 'berkurang', 'jaman', 'susah', 'tipu', 'dasar', 'perampok', '']</t>
  </si>
  <si>
    <t>['maaf', 'admin', 'telkomsel', 'versi', 'menu', 'isi', 'ulang', 'pulsa', 'muncul', 'nomornya', 'doang', 'mohon', 'upgrade', 'isi', 'ulang', 'pulsa', 'telkomsel', 'terimakasih']</t>
  </si>
  <si>
    <t>['kuota', 'habis', 'buka', 'telkomsel', 'beli', 'kuota', 'telkomsel', 'haru', 'pertolongan', 'dlm', 'kondisi', 'customer', 'mengecek', 'membeli', 'kuotanya', 'terimakasih', '']</t>
  </si>
  <si>
    <t>['', 'apl', 'gtau', 'ngcek', 'pulsa', 'sma', 'beli', 'kuota', 'giliran', 'pas', 'lgi', 'gada', 'paket', 'data', 'internet', 'aplikasi', 'konekin', 'wifi', 'beli', 'paket', 'data', 'laaaah', 'diskonek', 'kolom', 'isi', 'komentar', 'knapa', 'wrap', 'text', 'devloper', 'psti', 'lurus', 'ajh', 'kanan', 'tolong', 'functional', 'aplikasi', 'rapihin', 'cakep', 'doang', '']</t>
  </si>
  <si>
    <t>['error', 'retry', 'reload', 'spanduk', 'sponsor', 'banyakin', 'berat', 'loading', 'huuu', 'down', '']</t>
  </si>
  <si>
    <t>['layanan', 'jawap', 'kalok', 'seandainya', 'rumah', 'signal', 'enak', 'pakek', 'telcomsel', 'udah', 'mahal', 'layanan', 'menu', 'poin', 'tukar', 'kasih', 'menu', 'kalok', 'tukar', 'hiasan', 'gitu']</t>
  </si>
  <si>
    <t>['boss', 'telkomsel', 'skrg', 'susah', 'bener', 'mao', 'kesono', 'ksini', 'sekrang', 'sinyal', 'msih', 'wilayah', 'jakarta', 'gua', 'iya', 'kga', 'kebagian', 'sinyal', 'tower', 'telkomsel', 'sebelom', 'tenggang', 'mah', 'udh', 'isi', 'paket', 'iya', 'paketan', 'internetan', 'kaga', 'kepake', 'gimana', 'bosss', '']</t>
  </si>
  <si>
    <t>['jaringan', 'internet', 'aplikasi', 'mytelkomsel', 'reloadnya', 'error', 'lambat', 'kebaca', 'gitu', 'informasi', 'kartu', 'ganti', 'flagship', 'coba', 'akses', 'internet', 'aplikasi', 'lancar', 'mytelkomsel', 'semoga', 'diperbaiki', 'kesalahan', 'sistemnya', '']</t>
  </si>
  <si>
    <t>['telkomsel', 'ruwet', 'cek', 'kuota', 'login', 'verifikasi', 'sumpah', 'pengen', 'ganti', 'provider', 'gini', 'sinyal', 'gangguan', 'tower', 'tertutup', 'bukit', 'sinyal', 'siput', 'jalannya', '']</t>
  </si>
  <si>
    <t>['diperbarui', 'error', 'apk', 'nampilin', 'paket', 'apapun', 'download', 'file', 'berat', 'udah', 'dibatalin', 'downloadnya', 'restart', 'mode', 'air', 'plane', 'mempan', 'downloadan', 'gagal']</t>
  </si>
  <si>
    <t>['isi', 'ulang', 'pulsa', 'pulsa', 'masuk', 'aplikasi', 'telkomsel', 'buka', 'login']</t>
  </si>
  <si>
    <t>['apk', 'sampe', 'buka', 'menu', 'belanja', 'setahun', 'loading', 'tolong', 'dibenerin', 'udah', 'bertahun', '']</t>
  </si>
  <si>
    <t>['cek', 'sisa', 'kuota', 'pulsa', 'beli', 'pulsa', 'telkomsel', 'kalah', 'app', 'penyedia', 'pulsa', 'app', 'khusus', 'penyedia', 'pulsa', '']</t>
  </si>
  <si>
    <t>['login', 'telkomsel', 'akses', 'semenjak', 'pembaharuan', 'terkendala', 'akses', 'gmana', 'solusi']</t>
  </si>
  <si>
    <t>['sekelas', 'aplikasi', 'cek', 'ricek', 'telkomsel', 'aplikasi', 'berat', 'memakan', 'ram', 'memakan', 'kuota', 'smooth', 'aplikasi', 'cek', 'ricek', 'ahli', 'ngak', 'make', 'android', 'coba', 'deh', 'bandingin', 'aplikasi', 'sejenis', 'smooth', 'hemat', 'data', 'aplikasi', 'telkomsel', 'musti', 'boros', 'harga', 'data', 'kalah', 'saing', 'promo', 'gede', 'make', 'jaringan', 'telkomsel', '']</t>
  </si>
  <si>
    <t>['buka', 'install', 'ulang', 'gara', 'update', 'lancar', 'jaya', 'mengecewakan', 'auto', 'delete', 'aplikasi', '']</t>
  </si>
  <si>
    <t>['tolong', 'perbaiki', 'jaringan', 'susah', 'banget', 'main', 'game', 'whatsapp', 'pending', 'harga', 'paket', 'mahal', 'jaringan', 'benerin', '']</t>
  </si>
  <si>
    <t>['tolong', 'telkomsel', 'parah', 'sinyal', 'udah', 'kuotanya', 'mahal', 'sinyal', 'lelet', 'trus', 'skrg', 'indosat', 'bagus', 'malu', '']</t>
  </si>
  <si>
    <t>['kuota', 'mahal', 'jaringan', 'aneh', 'ngecek', 'pulsa', 'gangguan', 'paket', 'komplit', 'tolong', 'ngomong', 'maaf', 'enaknya', 'ngomong', 'maaf', 'merasakan', 'keluhan', 'sinyal', 'pengguna', 'telkomsel', 'bisanya', 'ngomong', 'maaf', 'tingkatkan', 'kinerja', 'enak', 'gini', 'mah', 'enak', 'enaknya', 'dikasih', 'kekita', '']</t>
  </si>
  <si>
    <t>['min', 'maaf', 'wilayah', 'lemot', 'separah', 'lemotnya', 'kasian', 'anak', 'anak', 'mengikuti', 'sekolah', 'daring', 'join', 'aplikasi', 'meeting', 'online', 'google', 'karenakan', 'sinyal', 'kekuatan', 'rendah', 'tolong', 'solusinya', 'min', '']</t>
  </si>
  <si>
    <t>['versi', 'aplikasi', 'berat', 'dibuka', 'opsi', 'tutup', 'aplikasi', 'lanjutkan', '']</t>
  </si>
  <si>
    <t>['gatau', 'lancar', 'main', 'game', 'online', 'skrg', 'leg', 'banget', 'lancar', 'make', 'wifi', 'ribet', 'tolong', 'perbaikan', 'kesetabilan', 'jaringan', 'telkomsel', '']</t>
  </si>
  <si>
    <t>['beli', 'paket', 'gamemax', 'silver', 'kuota', 'game', 'login', 'game', 'olah', 'jaringan', 'buang', 'buang', 'uang']</t>
  </si>
  <si>
    <t>['jaringan', 'didaerah', 'lemot', 'terganggu', 'pekerjaan', 'terbengkalai', 'keterlambatan', 'informasi', 'kecewa', 'telkomsel']</t>
  </si>
  <si>
    <t>['nomor', 'paketnya', 'murah', 'nomor', 'paket', 'pelanggan', 'telkomsel', 'paket', 'paket', 'beli', 'mahal', 'paket', 'hilang', 'tuntut', 'tolong', 'telkomsel', 'berlaku', 'adil', 'berlakukan', 'paket', 'nomor', 'semoga', 'telkomsel', 'membantu', 'respon', 'telkomsel', '']</t>
  </si>
  <si>
    <t>['aplikasi', 'lemot', 'susah', 'lamaa', 'banget', 'bukanya', 'kadang', 'dibuka', 'daily', 'check', 'dpt', 'diskon', 'rb', 'dipake', 'pilihan', 'nyambung', 'autoreply', 'kolom', 'terpaksa', 'tulis', 'dsini', '']</t>
  </si>
  <si>
    <t>['aplikasinya', 'bagus', 'gampang', 'pengecekan', 'sisa', 'pulsa', 'kuota', 'bebas', 'memilih', 'promo', 'telkomsel', 'sayang', 'sekian', 'mengikuti', 'telkomsel', 'point', 'menang', '']</t>
  </si>
  <si>
    <t>['knp', 'telkom', 'semenjak', 'jaringan', 'ngga', 'stabil', 'uda', 'beli', 'mahal', 'ujung', 'jelek', 'merugikan', 'main', 'game', 'trus', 'error', 'pas', 'turnamen', 'bagus', 'jelek']</t>
  </si>
  <si>
    <t>['bagus', 'membantu', 'ngecek', 'pembelian', 'pulsa', 'data', 'kuota', 'adain', 'discount', 'promosinya', 'terima', 'kasih', '']</t>
  </si>
  <si>
    <t>['tolong', 'telkomsel', 'paket', 'harganya', 'nmr', 'teman', 'harganya', 'segini', 'nomor', 'mahal', 'padahalkan', 'paketnya', 'paket', 'extra', 'unlimitit', 'tolong', 'benarkan', 'apk', 'temen', 'harganya', 'apk', 'hilangkan', 'gitu', 'adil', 'pengen', 'duitnya', '']</t>
  </si>
  <si>
    <t>['telekomsel', 'parah', 'sinyalnya', 'udh', 'mahal', 'sinyal', 'ilang', 'telkomsel', 'terdepan', 'jaringan', 'mahal', 'dikit', 'sekrng', 'tinggal', 'mahalnya', 'doank', 'sinyal', 'parah', 'mohon', 'perhatikan', 'broo', '']</t>
  </si>
  <si>
    <t>['download', 'nanya', 'percaya', 'telkomsel', 'terbaik', 'harga', 'kwotanya', 'mahal', 'pemakaiannya', 'boros', 'bayangkan', 'jarang', 'download', 'main', 'baca', 'novel', 'main', 'game', 'offline', 'koin', 'cashback', 'pelit', 'udah', 'thn', 'langganan', 'belom', 'ngumpul', 'sampek', 'poin', 'bayangkan']</t>
  </si>
  <si>
    <t>['beli', 'paket', 'data', 'pulsa', 'sisa', 'beli', 'paket', 'data', 'kesedot', 'habis', 'ngga', 'nominalnya', 'kecewa', 'udah', 'aktif', 'paket', 'datanya', 'kesedot', 'paket', 'datanya', 'pulsa', 'tolong', 'dikoreksi']</t>
  </si>
  <si>
    <t>['nanya', 'pulsa', 'kepotong', 'pesan', 'pulsa', 'berkurang', 'tarif', 'non', 'paket', 'nomor', 'akses', 'apapun', 'sms', 'telpon', 'pulsa', 'kepotong', 'gimana', '']</t>
  </si>
  <si>
    <t>['terimakasih', 'telkomsel', 'meeting', 'virtual', 'jaringannya', 'lancar', 'hambatan', 'tingkatkan', 'kualitas', 'kepercayaan', 'setia', '']</t>
  </si>
  <si>
    <t>['pengguna', 'kartu', 'telkomsel', 'senang', 'suka', 'ngeleg', 'nonton', 'video', 'main', 'game', 'sangking', 'senangnya', 'menghancurkan', 'gara', 'gara', 'ngeleg', 'main', 'game', 'sekian', 'terimalah', 'mata', 'indah', '']</t>
  </si>
  <si>
    <t>['telkomsel', 'mengecewakan', 'mentang', 'bnyak', 'pelanggan', 'betingkah', 'gini', 'transaksike', 'link', 'susah', 'aplikasi', 'skrg', 'terpisah', 'skrg', 'pilihan', 'pembayaran', 'metode', 'transaksi', 'pulsa', 'buruk', '']</t>
  </si>
  <si>
    <t>['tolong', 'donk', 'kak', 'perbarui', 'sistem', 'msak', 'beli', 'paket', 'internet', 'apk', 'hrus', 'ngisi', 'plsa', 'dlu', 'bsa', 'metode', 'pembayarn', 'metode', 'pembayarn', 'klik', '']</t>
  </si>
  <si>
    <t>['update', 'update', 'muter', 'beli', 'kuota', 'rating', 'dibawah', 'bintang', 'kasih', 'deh', 'mengenakkan', 'beli', 'beli', 'kuota', 'kartu', 'pasca', 'bayar', 'kuota', 'internet', 'habis', 'buka', 'telkomsel', 'tettringan', 'diluar', 'jaringan', 'telkomsel', 'ribet', 'banget', 'bertahun', 'pakai', 'nomor', 'pasca', 'bayar', 'halo', 'inovasi', 'kecuali', 'suruh', 'update', 'telkomsel', '']</t>
  </si>
  <si>
    <t>['tolong', 'min', 'jaringan', 'diperbaiki', 'klok', 'gini', 'rugi', 'beli', 'paket', 'mahal', 'jaringan', 'jelek', 'banget', 'udh', 'harga', 'paket', 'mahal', 'jaringan', 'lalot', 'jaringan', 'telkomsel', 'rendah', 'banget', 'buka', 'game', '']</t>
  </si>
  <si>
    <t>['aplikasinya', 'dibuka', 'udh', 'upgrade', 'buka', 'url', 'jga', 'bsa', 'kesal', 'kayak', 'gini', 'pdahal', 'pakai', 'nomor', 'apliksi', 'gini', 'beralih', '']</t>
  </si>
  <si>
    <t>['seandainya', 'ilasan', 'kasih', 'bintang', 'berhubung', 'jaringannya', 'alot', 'stabil', 'tambahin', 'bosku']</t>
  </si>
  <si>
    <t>['apk', 'jelek', 'skli', 'bnr', 'hayukkk']</t>
  </si>
  <si>
    <t>['login', 'susah', 'gangguan', 'update', 'menyelesaikan', 'mahal', 'promo', 'menarik', 'berkurang', 'riwayat', 'pembelian', 'tercantum', 'terimakasih', '']</t>
  </si>
  <si>
    <t>['buka', 'aplikasi', 'layar', 'hape', 'putih', 'skrg', 'suruh', 'update', 'udh', 'update', 'playstore', 'udh', 'selesai', 'pas', 'klik', 'buka', 'aplikasi', 'msh', 'tulisan', 'update', 'konyol', 'logo', 'jelek', 'bagusan']</t>
  </si>
  <si>
    <t>['jaringan', 'internet', 'error', 'mengganggu', 'pindah', 'provider', 'mohon', 'diperiksa']</t>
  </si>
  <si>
    <t>['harga', 'mahal', 'ngebut', 'daerah', 'promo', 'pelanggan', 'bagus', 'beli', 'paket', 'games', 'sosmed', 'chat', 'gabisa', 'dipake', 'paketnya', 'hadehh']</t>
  </si>
  <si>
    <t>['benci', 'telkomsel', 'ngisi', 'pulsa', 'ribu', 'kesedot', 'berlangganan', 'disitu', 'tertulis', 'berlangganan', 'nsp', 'telkom', 'tsb', 'seharga', 'ribuan']</t>
  </si>
  <si>
    <t>['', 'aplikasi', 'menipu', 'data', 'cepat', 'habis', 'pemakaian', 'messenger', 'menukar', 'poin', 'pengumuman', 'pemenangnya', 'koin', 'lenyap', '']</t>
  </si>
  <si>
    <t>['ambil', 'pulsa', 'darurat', 'muncul', 'sms', 'pulsa', 'darurat', 'aktif', 'cari', 'untung', 'gini', 'nama', 'merugikan', 'pengguna', 'tutup', 'telkomsel', 'kayak', 'gini', 'telkomsel']</t>
  </si>
  <si>
    <t>['pengguna', 'setia', 'telkomsel', 'skrg', 'kuota', 'mahal', 'sinyal', 'stabil', 'performa', 'menurun', 'mengecewakan', '']</t>
  </si>
  <si>
    <t>['daerah', 'jalan', 'mesjid', 'umar', 'jaktim', 'kualitas', 'sinyal', 'buruk', 'bar', 'kadang', 'tolong', 'tindak', 'lanjuti', 'harga', 'kualitas', 'dmn', 'letak', 'kualitas', 'jaringan', 'bar', 'kadang', 'trm', 'ksh']</t>
  </si>
  <si>
    <t>['masyarakat', 'resah', 'mending', 'telkomsel', 'tutup', 'deh', 'sinyal', 'jelek', 'berkondusif', 'mending', 'tutup', 'tolong', 'telkomsel', 'perbaiki', 'dsr', 'mem', '']</t>
  </si>
  <si>
    <t>['knp', 'aplikasinya', 'buka', 'udah', 'minggu', 'buka', 'aplikasi', 'maaf', 'ubah', 'ratenya', 'aplikasinya', 'sungguh', 'berguna', 'dibuka', 'knp', '']</t>
  </si>
  <si>
    <t>['gift', 'paket', 'internet', 'tambahan', 'pulsa', 'gift', 'paket', 'data', 'hrga', 'rb', 'bayar', 'rb', 'mahal', 'tsel', 'jaringan', 'turun', 'perbaiki', 'jaringannya', 'kasi', 'hrga', 'mahal', 'jayapura', 'hrus', 'pkai', 'tsel', 'krna', 'prov', 'mengecewakan']</t>
  </si>
  <si>
    <t>['semoga', 'maju', 'kepercayaan', 'dimasyarakat', 'mohon', 'kwalitas', 'jaringan', 'ditingkatkan', 'lemut', 'gangguan', 'telkomsel', 'terbaik', 'amin']</t>
  </si>
  <si>
    <t>['terpercya', 'label', 'beli', 'sesuai', 'paket', 'kamahalan', 'smua', 'ditambah', 'udah', 'kotak', 'kotakin', 'paketny', 'video', 'max', 'dibagi', 'perzona', 'kenyamanan', 'bingung', '']</t>
  </si>
  <si>
    <t>['busuk', 'paketan', 'mahal', 'paket', 'internet', 'unlimited', 'make', 'paket', 'internet', 'gb', 'gb', 'minggu', 'udh', 'abis', 'stelah', 'penggunaan', 'make', 'paket', 'unlimited', 'tpi', 'lemot', 'kecepatan', 'kbps', 'googling', 'nunggu', 'ngegame', 'masuk', 'masuk', 'busuk', '']</t>
  </si>
  <si>
    <t>['suka', 'banget', 'pakai', 'telkomsel', 'seneng', 'paketnya', 'lancar', 'jaringannya', 'ilang', 'tinggal', 'daerah', 'kota', 'jaringannya', 'ilang', 'buka', 'tugas', 'filenya', 'terunduh', 'pas', 'cek', 'sinyal', 'hiks', 'sedih', 'orang', 'nelfon', 'nyambung', 'telfon', 'matikan', 'paket', 'data', 'sinyalnya', 'ilang', 'gimana', 'php', '']</t>
  </si>
  <si>
    <t>['pemakaian', 'aplikasi', 'bagus', 'isi', 'pulsa', 'membeli', 'paket', 'data', 'internet', 'aplikasi', 'butuh', 'cepat', 'transaksi', 'langsung', 'menghidupkan', 'data', 'paket', 'data', 'beli', 'aktif', 'alhasil', 'pulsa', 'beli', 'beli', 'paket', 'habis', 'beli', 'paket', 'ulang', 'mohon', 'transaksi', 'pulsa', 'ambil', 'silahkan', 'langsung', 'aktifkan', 'paketnya', 'menunggu', 'menit', 'diaktifkan', '']</t>
  </si>
  <si>
    <t>['', 'gimana', 'beli', 'pulsa', 'agustus', 'langsung', 'beli', 'paket', 'combo', 'sakti', 'dikon', 'ribu', 'pulsa', 'hilang', 'kuota', 'kb', 'ngalamin']</t>
  </si>
  <si>
    <t>['mytelkom', 'gini', 'barusan', 'update', 'suruh', 'update', 'gimana', 'tolong', 'perbaiki', 'barusan', 'isi', 'pulsa', 'pulsa', 'hilang', 'gmna', '']</t>
  </si>
  <si>
    <t>['beli', 'packet', 'langsung', 'dikenakan', 'data', 'xrp', 'update', 'muncul', 'pantes', 'beli', 'packet', 'wifi', 'adh', 'terpotong', 'ribu', '']</t>
  </si>
  <si>
    <t>['harga', 'paket', 'data', 'telkomsel', 'juara', 'juara', 'mahalnya', 'pandemi', 'kasih', 'keringanan', 'pelanggan', 'ngebebani', 'mending', 'sinyal', 'bagus', 'kuota', 'kebuang', 'kartu', 'udah', 'pindah', 'haluan', 'kali', 'tolonglah', 'keringanan', 'main', 'naikin', 'harga', 'mulu', 'perbaiki', 'kualitas', 'paketnya', 'bermanfaat', 'sia', 'beli', 'mahal', '']</t>
  </si>
  <si>
    <t>['telkomsel', 'signalnya', 'ngk', 'beli', 'paket', 'internet', 'buka', 'aplikasi', 'ngk', 'kuat', 'kuota', 'blm', 'kepake', 'jakarta', 'telkomsel', 'gerangan', 'turunin', 'kwalitas', 'sampe', 'ganti', 'kartu', 'chrage', 'gerai', 'pim', 'pikir', 'kartu', 'rusak', 'ganti', 'emang', 'kwalitas', 'turun', 'kartu', 'simpati', 'salah', 'simpati', 'bermigrasi', '']</t>
  </si>
  <si>
    <t>['mengecewakan', 'tolong', 'produk', 'pembohongan', 'publik', 'dijual', 'sperti', 'gamesmax', 'ngandelin', 'kuota', 'utama', 'apahuna', 'kuota', 'game', 'diembat', 'kuota', 'utamanya', 'habis', 'kuota', 'utama', 'login', 'sampe', 'skrg', 'kuota', 'game', 'kepake', 'bit', 'blm', 'menghubungi', 'customercare', 'gabad', 'kejelasan', 'apps', 'mengecewakan', '']</t>
  </si>
  <si>
    <t>['telkomsel', 'skrg', 'suka', 'curi', 'pulsa', 'paket', 'data', 'gb', 'paket', 'nelp', 'telkomsel', 'sepuasnya', 'telp', 'operator', 'tersisa', 'menit', 'isi', 'pulsa', 'pulsa', 'berkurang', 'isi', 'pulsa', 'beli', 'voucher', 'game', 'udah', 'kesedot', 'duluan', '']</t>
  </si>
  <si>
    <t>['jelek', 'aplikasi', 'update', 'pas', 'buka', 'perbarui', 'bolak', 'sekelas', 'telkomsel', 'aplikasinya', 'puas', 'dng', 'aplikasinya']</t>
  </si>
  <si>
    <t>['sinyal', 'mengecewakan', 'callcenter', 'becus', 'laporan', 'perubahan', 'isi', 'data', 'maaf', 'jujur', 'harga', 'mahal', 'kualitas', 'murahan', '']</t>
  </si>
  <si>
    <t>['buktikan', 'nilai', 'plus', 'sabar', 'buktinya', 'download', 'selesai', 'langsung', 'pilihan', 'update', 'dobel', 'kuota', 'data', 'pembaruan', 'app', 'update', 'tampilan', 'daily', 'cek', 'mndpt', 'lenyap', 'gangguan', 'app', 'spy', 'cek', 'taktik', 'tipu', 'dibela', 'belain', 'cek', 'muncul', 'tampilan', 'cek', 'daily', 'maaf', 'ulasan', 'sesuai', 'harapan', 'marketing', '']</t>
  </si>
  <si>
    <t>['daily', 'check', 'stamp', 'dapetin', 'hadiah', 'gb', 'error', 'daily', 'check', 'sengaja', 'jaringan', 'lancar', 'mohon', 'curang', 'kejadian', 'udah', 'dapetin', 'gb', 'erorr', '']</t>
  </si>
  <si>
    <t>['kecewa', 'beli', 'paket', 'telkomsel', 'udah', 'bayar', 'berhasil', 'pembayaran', 'paket', 'masuk', 'beli', 'paket', 'app', '']</t>
  </si>
  <si>
    <t>['nowdays', 'aplikasi', 'mytelkomsel', 'mengalami', 'perubahan', 'arah', 'memiliki', 'tampilan', 'menarik', 'mudah', 'diakses', 'informasi', 'layanan', 'telkomsel', 'aplikasi', 'mudah', 'dipahami', 'belanja', 'produk', 'telkomsel', 'aplikasi', 'ribet', 'semangat', 'tim', 'ciptakan', 'inovasi', 'telkomsel', 'indonesia', 'maju', '']</t>
  </si>
  <si>
    <t>['telkomsel', 'parah', 'pulsa', 'hilang', 'notifikasi', 'iklan', 'produk', 'trus', 'pindah', 'provider', 'kayanya', 'pulsa', 'ilang', '']</t>
  </si>
  <si>
    <t>['coba', 'tulisan', 'kolom', 'penilaian', 'apk', 'baca', 'pelototin', 'doang', 'nilai', 'apk', 'bintang', 'udh', 'kcewa', 'komsumen', 'trhdp', 'provider', 'biayai', 'negara', 'mementingkan', 'kepuasan', 'pelanggan', 'tmbah', 'kesel', 'asli', 'bayangin', 'paket', 'apk', 'gb', 'harian', 'brp', 'coba', 'blm', 'beli', 'paket', 'ampe', 'gb', 'enak', 'beli', 'paket', 'harga', 'merakyat', 'udh', 'jaringan', 'kuat', 'tmbah', 'mbps', 'apain', 'coba', 'gb']</t>
  </si>
  <si>
    <t>['tolong', 'benahi', 'paket', 'game', 'max', 'beli', 'paket', 'game', 'max', 'pakai', 'free', 'fire', 'daftar', 'game', 'mainkan', 'paketan']</t>
  </si>
  <si>
    <t>['lelet', 'sulit', 'sipahami', 'thn', 'kartu', 'merasakan', 'namanya', 'free', 'bonus', 'telkomse', 'kartu', 'salah', 'telkomsel', '']</t>
  </si>
  <si>
    <t>['kesini', 'sinyal', 'telkomsel', 'membaik', 'memburuk', 'tolong', 'perbaiki', 'jaringannya', 'mahal', 'doang', 'jaringan', 'buruk', 'worth', '']</t>
  </si>
  <si>
    <t>['suka', 'aplikasi', 'aplikasi', 'bagus', 'tarik', 'promosi', 'sesuai', 'uang', 'udah', 'gb', 'ribu', 'mahal', 'kali', 'tolong', 'promosi', 'permurah', 'dikit', 'kebawah', 'uang', '']</t>
  </si>
  <si>
    <t>['pegang', 'udah', 'telkomsel', 'sayang', 'lelet', 'telokomsel', 'kali', 'hubungi', 'costumercare', 'jawabanya', 'adaa', 'ganguan', 'please', 'telkomsel', 'kalah']</t>
  </si>
  <si>
    <t>['aplikasinya', 'udah', 'bagus', 'kualitas', 'sinyal', 'diperbaiki', 'bandwidth', 'kurangi', 'jiter', 'apalah', 'jaringan', 'stabil', 'konsisten', 'maaf', 'kesalahan', 'kalimat', 'jaringan', 'kapasitas', '']</t>
  </si>
  <si>
    <t>['', 'bintang', 'kesini', 'performa', 'telkomsel', 'turun', 'sekenceng', 'kasih', 'ulasan', 'masuknya', 'searching', 'google', 'banget', 'saran', 'berani', 'naikin', 'harga', 'paket', 'kuota', 'internet', 'penglaman', 'yng', 'penggunanya', 'nurunin', 'kepercayaan', 'penggunanya', 'terimakasih', '']</t>
  </si>
  <si>
    <t>['teruntuk', 'developer', 'telkomsel', 'terhormat', 'tolong', 'pulsa', 'diambilin', 'salah', 'pulsa', 'tinggal', 'perak', 'berkurang', 'utang', 'program', 'check', 'klaim', 'kuota', 'berasa', 'sia', 'sia', 'check', '']</t>
  </si>
  <si>
    <t>['gila', 'beli', 'paketan', 'sms', 'gratis', 'tlp', 'gratis', 'buktinya', 'penipu', 'doang', 'perusahaan', 'namanya', 'live', 'chat', 'email', 'takut', 'complaint', 'kebaca', 'mental', 'abal', 'abal', 'telkomsel']</t>
  </si>
  <si>
    <t>['operator', 'gini', 'provider', 'luas', 'bagus', 'menjangkau', 'negeri', 'lahh', 'tingkat', 'kecamatan', 'jaringannya', 'super', 'duper', 'lemot', 'bin', 'dipake', 'dipake', 'bagusan', 'jaringannya', 'dipake', 'login', 'game', 'main', 'gakbisa', 'paketannya', 'mahal', 'banget', 'pulak', 'pikir', 'canggihnya', 'tekhnologi', 'jaringan', 'provider', 'telkomsel', 'buruk', '']</t>
  </si>
  <si>
    <t>['telkomsel', 'parah', 'jaringan', 'kuota', 'unlimited', 'kya', 'gini', 'pindah', 'perbaiki', 'kota']</t>
  </si>
  <si>
    <t>['nama', 'syarif', 'didaerah', 'kec', 'muara', 'kab', 'taput', 'prov', 'sumut', 'mohon', 'diperhatikan', 'jaringam', 'mengeluh', 'pengguna', 'kartu', 'milik', 'telkomsel', 'gara', 'jaringan', 'lelet', 'mohon', 'tolong', 'perhatikan', 'jaringan', 'telkomsel', 'menang', 'merk', 'donk', 'buktikan', 'loyalitas', 'koneksi', 'internet', 'unggulkan', 'indonesia', 'thanks', 'tunggu', 'pelaksanaan', 'teknisi', 'lapangan', '']</t>
  </si>
  <si>
    <t>['mohon', 'maaf', 'telkomsel', 'sduah', 'update', 'perbariu', 'tetep', 'ngk', 'login', 'min', 'pas', 'tekan', 'buka', 'play', 'store', 'perbarui', 'udh', 'perbarui', 'play', 'store', 'min', 'kek', 'solusi', 'min']</t>
  </si>
  <si>
    <t>['kadang', 'telkomsel', 'aneh', 'cek', 'paket', 'data', 'apk', 'telkomsel', 'sms', 'masuk', 'menit', 'memberitahukan', 'pulsa', 'paket', 'data', 'rupiah', 'kesel', 'gua', 'kadang', 'sms', 'kadang', 'sms', 'collect', 'pulsa', '']</t>
  </si>
  <si>
    <t>['kuota', 'multimedia', 'dipakek', 'kuota', 'internet', 'duluan', 'habis', 'gunanya', 'kuota', 'multimedia', 'iming', 'iming', 'doang', 'tolong', 'perbaiki', 'pelanggan', 'puas', 'sia', 'sia', 'kuota', 'multimedia', 'gb', 'hangus', 'gitu', '']</t>
  </si>
  <si>
    <t>['tolong', 'telkomsel', 'perbaiki', 'beli', 'paketan', 'gb', 'gb', 'internet', 'gb', 'chat', 'media', 'game', 'sosmed', 'kga', 'kuota', 'gbnya', 'mending', 'satukan', 'internet', 'papa', 'gb', 'berguna', 'kuota']</t>
  </si>
  <si>
    <t>['sinyal', 'jelek', 'paket', 'temen', 'sinyal', 'kecewa', 'telkomsel', 'udah', 'seminggu', 'kaya', 'gini']</t>
  </si>
  <si>
    <t>['aplikasi', 'buruk', 'gua', 'beli', 'kuota', 'alasannya', 'membeli', 'paket', 'sumpah', 'kesel', 'banget', 'gimana', 'laku', 'kartu', 'gini', 'beli', 'kartu', 'telkomsel', 'nyesel', '']</t>
  </si>
  <si>
    <t>['nyesel', 'beli', 'kuota', 'aplikasi', 'buka', 'sebentar', 'pulsa', 'langsung', 'ilang', 'penggunaanx', 'makan', 'pulsa', '']</t>
  </si>
  <si>
    <t>['sinyal', 'buruk', 'paket', 'combo', 'sakti', 'sakti', 'sinyal', 'suka', 'hilang', 'metland', 'cileungsi', 'mahal', 'doank', '']</t>
  </si>
  <si>
    <t>['mengecewakan', 'trust', 'keluhan', 'sekian', 'kalinya', 'bolak', 'gada', 'perbaikan', 'signifikan', 'user', 'kartu', 'telkom', 'indihom', 'disayangkan', 'pindah', 'operator', 'logis', 'mksud', 'memprovokasi', 'pernyataan', 'sejelas', 'sesuai', 'kenyataan', '']</t>
  </si>
  <si>
    <t>['temen', 'ceria', 'kuota', 'gede', 'harga', 'murah', 'giliran', 'ceria', 'kuotanya', 'dikit', 'harga', 'mahal', 'bohong', 'pengguna', 'simpati', 'ayolah', 'ceria', '']</t>
  </si>
  <si>
    <t>['udah', 'update', 'membingungkan', 'kolom', 'searchnya', 'mending', 'versi', 'pindah', 'kartu', 'link', 'udahlah', 'promo']</t>
  </si>
  <si>
    <t>['ayok', 'rame', 'rame', 'kasih', 'rating', 'udag', 'kali', 'bohongi', 'aktif', 'tinggal', 'udah', 'habis', 'unlimited', 'batas', 'jatah', 'pengunaan', 'udah', 'cari', 'provider', 'temen', '']</t>
  </si>
  <si>
    <t>['sinyal', 'lemah', 'pra', 'bayar', 'sampe', 'pasca', 'bayar', 'mahal', 'kualitas', 'munafik', 'pengguna', 'telkomsel', 'kecewa', 'chatt', 'veronika', 'sinyal', 'hasilnya', 'thx']</t>
  </si>
  <si>
    <t>['saran', 'kirim', 'sms', 'spam', 'berguna', 'orang', 'senang', 'sms', 'spam', 'apalah', 'camkan', 'kedepannya']</t>
  </si>
  <si>
    <t>['bintang', 'kurangi', 'jaringan', 'telkomsel', 'sebagus', 'tolong', 'tingkat', 'kwalitas', 'jaringan', 'yerima', 'kasih', '']</t>
  </si>
  <si>
    <t>['telkomsel', 'taik', 'sedih', 'stuck', 'pke', 'nomer', 'telkomsel', 'pelayanan', 'kayak', 'taik', 'disuruh', 'buka', 'aplikasi', 'telkomsel', 'akses', 'internet', 'setan', 'daerah', 'msih', 'dki', 'sinyalnya', 'parah', 'bgitu', 'masuk', 'telkomsel', 'nongol', 'isinya', 'pakai', 'produk', 'telkomsel', 'sarankan', 'cek', 'produk', 'sebelah', 'telkomsel', 'ribet', '']</t>
  </si>
  <si>
    <t>['woy', 'bener', 'napa', 'main', 'game', 'tenang', 'banget', 'sinyal', 'turun', 'mulu', 'darah', 'telkomsel', 'udah', 'bbrapa', 'jaringan', 'drop', 'mulu', 'ditanyain', 'kaga', 'bales', '']</t>
  </si>
  <si>
    <t>['the', 'most', 'useless', 'aplication', 'ever', 'update', 'login', 'tertulis', 'something', 'wrong', 'yahh', 'bug', 'diluncurkan', 'aplikasinya', 'telkomsel', 'operator', 'terkaya', 'indo', 'developer', 'aplikasi', '']</t>
  </si>
  <si>
    <t>['update', 'beli', 'paket', 'suruh', 'update', 'kasihan', 'orang', 'orang', 'uang', 'beli', 'paket', 'pas', 'klaim', 'hadiah', 'gagal', 'batas', 'harian', 'klaim', 'undi', 'hadiah', 'sekian', 'udah', 'perbaiki', 'kasih', 'bintang']</t>
  </si>
  <si>
    <t>['kasih', 'bintang', 'desa', 'rawangkalo', 'kecamatan', 'riung', 'kab', 'ngada', 'ntt', 'pelayanan', 'jaringan', 'optimal', 'persis', 'jaringan', 'telkomsel', 'desa', 'hilang', 'muncul', 'terjadwal', 'pagi', 'wita', 'muncul', 'malam', 'hilang', 'harinya', 'kadang', 'hilang', 'tunggu', 'pelanggan', 'rugi']</t>
  </si>
  <si>
    <t>['bagus', 'memudahkan', 'pengguna', 'penipuan', 'klaim', 'hasil', 'login', 'langsung', 'sesuai', 'tertera', 'promo', '']</t>
  </si>
  <si>
    <t>['bagus', 'mudah', 'transaksi', 'dimana', 'tpi', 'poin', 'tuker', 'poin', 'ilang']</t>
  </si>
  <si>
    <t>['tolong', 'pelayanan', 'maksimalkan', 'telkomsel', 'update', 'lemot', 'lihat', 'sisi', 'kritikan', 'lihat', 'sisi', 'maju', 'berkembang', 'percaya', 'alias', 'amanah', '']</t>
  </si>
  <si>
    <t>['kasi', 'pas', 'tenggang', 'habis', 'isi', 'paket', 'udah', 'peningkatan', 'udah', 'isi', 'paket', 'telkomsel', 'rutin', '']</t>
  </si>
  <si>
    <t>['sebenernya', 'kegunaan', 'kuota', 'multimedia', 'kog', 'habis', 'duluan', 'kuota', 'internet', 'dlu', 'youtubean', 'kepotong', 'kuota', 'internet', 'dlu', 'tlong', '']</t>
  </si>
  <si>
    <t>['nomer', 'simpati', 'paket', 'combo', 'sakti', 'unlimited', 'seharga', 'rp', 'nomer', 'pilihan', 'terpaksa', 'ambil', 'rp', 'gb', 'aneh', 'marketingnya', 'mengecewakan', '']</t>
  </si>
  <si>
    <t>['aplikasi', 'smartphone', 'android', 'aplikasi', 'kompatibel', 'update', 'website', 'smartphone', 'berdasarkan', 'firmwarenya', 'website', 'menyediakan', 'tipe', 'smartphone', 'diinstal', 'aplikasi', 'mohon', 'telkomsel', 'aplikasinya', 'diupdate', 'kompatibel', 'pelangganmu', 'android', '']</t>
  </si>
  <si>
    <t>['pelayanan', 'buruk', 'beli', 'pulsa', 'update', 'aplikasi', 'yootube', 'premium', 'pulsa', 'terpotong', 'aplikasi', 'terupdate', 'error', 'terpaksa', 'ganti', 'layanan', 'kartu', 'pakai', 'telkom', 'layanan', 'indihome', 'telpon', 'rumah', 'kartu', 'perdana', 'pelayanannya', 'buruk']</t>
  </si>
  <si>
    <t>['', 'taiiiiii', 'suruh', 'perbaharui', 'trus', 'udh', 'bayar', 'hutang', 'trus', 'pulsa', 'sedot', 'gmna', 'tolong', 'pengguna', 'tlong', 'catat', 'benerin', 'paket', 'orang', 'udh', 'isi', 'pulsa', 'udh', 'berlaku', 'setan']</t>
  </si>
  <si>
    <t>['sorry', 'ratingnya', 'turun', 'anggap', 'jaringan', 'akurat', 'terlampaui', 'jaringan', 'fokus', 'halo', 'indihome', 'ditinggalkan']</t>
  </si>
  <si>
    <t>['jaringan', 'telkomsel', 'mengecewakan', 'banget', 'sinyal', 'buka', 'aplikasi', 'harganya', 'super', 'mahal', 'kualitas', 'pelayanan', 'jaringan', '']</t>
  </si>
  <si>
    <t>['', 'pandemic', 'telkomsel', 'promo', 'kuota', 'internet', 'telefon', 'murah', 'promo', 'suda', 'promo', 'murah', 'jangakau', 'kasih', 'reting', 'bintang', '']</t>
  </si>
  <si>
    <t>['bug', 'udah', 'update', 'tetep', 'buka', 'disuruh', 'update', 'selesai', 'update', 'harga', 'paket', 'mahal', 'jaringan', 'buruk', 'daerah', 'kota', 'sukabumi']</t>
  </si>
  <si>
    <t>['cari', 'smuanya', 'aplikasi', 'trima', 'kasih', 'tolong', 'murahin', 'dikit', 'harga', 'kuota', '']</t>
  </si>
  <si>
    <t>['jaringan', 'jelek', 'bngt', 'merah', 'beli', 'paket', 'nggk', 'sinyal', 'nggak', 'langsung', 'sinyal', 'data', 'cepet', 'habis', 'jarang', 'make', 'data', 'anehh', 'pengguna', 'telkomsel', 'skrng', 'sinyal', 'nyaa', 'jelek', 'pingin', 'ganti', 'kartu', 'batu', 'isi', 'tgl', 'data', 'cuman', 'udah', 'habis', 'jujur', 'jrng', 'liat', 'tiktok', 'line', 'korupsi', 'ngambil', 'kuota', 'orang']</t>
  </si>
  <si>
    <t>['keluhan', 'limit', 'sya', 'kartu', 'hallo', 'rb', 'tagihan', 'rb', 'sya', 'dipake', 'spam', 'sms', 'kayak', 'gini', 'tekan', 'yes', 'sms', 'dibebankan', 'nomor', 'gitu', 'sms', 'hubungi', 'aplikasi', 'jelass', 'kemana', '']</t>
  </si>
  <si>
    <t>['jaringan', 'buruk', 'kecewa', 'berat', '']</t>
  </si>
  <si>
    <t>['tolong', 'jaringan', 'medan', 'daerah', 'tembung', 'diperbaiki', 'sinyal', 'penuh', 'buka', 'internet', 'mode', 'pesawat', 'bnyakin', 'promo', 'kualitas', 'sinyalnya', 'lemah', 'langganan', 'telkomsel', 'sinyal', 'ngawur', 'bnget']</t>
  </si>
  <si>
    <t>['kuota', 'dipakai', 'informasi', 'akurat', 'cek', 'pemakaian', 'terkahir', 'habis', 'tdak', 'sesuai', 'pemakaian', 'pelanggan', 'kecewa']</t>
  </si>
  <si>
    <t>['sistem', 'lock', 'pulsa', 'telkomsel', 'pulsa', 'kepakai', 'data', 'sms', 'telpon', 'premium', 'pulsa', 'ilang', 'gue', 'pulsa', 'ilang']</t>
  </si>
  <si>
    <t>['telkomsel', 'curang', 'multimedia', 'tersisa', 'ambil', 'kuota', 'internet', 'isi', 'ulang', 'telkomsel', 'pakai', 'kuota', 'multimedia', 'tersisa', 'pemakaian', 'youtube', 'hadeh', 'gimana', 'bumn']</t>
  </si>
  <si>
    <t>['buka', 'aplikasi', 'telkomsel', 'program', 'hanphone', 'berjalan', 'normal', 'berat', 'hanphone', 'cepat', 'mengalami', 'panas', 'hanphone', 'lemot', 'mati', 'mohon', 'penjelansan', 'telkomsel', '']</t>
  </si>
  <si>
    <t>['perbaiki', 'jaringan', 'woy', 'nyuruh', 'nonaktifkan', 'udah', 'beli', 'kouta', 'ratusan', 'ribu', 'sinyal', 'gini', 'rugi', 'pelanggan', 'rugi', 'perusahan']</t>
  </si>
  <si>
    <t>['paket', 'corona', 'harganya', 'jam', 'nelpon', 'gimana', 'telkomsel', 'rugi', 'corona', '']</t>
  </si>
  <si>
    <t>['pket', 'murah', 'kalangan', 'rakyat', 'miskin', 'pelosok', 'desa', 'perbaiki', 'sinyal', 'daerah', 'desa', 'ciuyah', 'kecamatan', 'waled', 'kabupaten', 'cirebon', 'susah', 'sinyal', 'sediakan', 'paket', 'subsidi', 'donk', 'rakyat', 'indonesia', 'kalangan', 'mnikmatin', 'internet', 'mudah', 'trakasih', '']</t>
  </si>
  <si>
    <t>['dikondisi', 'sulit', 'kyk', 'gini', 'telkomsel', 'bersahabat', 'move', 'provider', 'murah', 'paket', 'dipecah', 'internet', 'multimedia', 'dll', 'tetep', 'kepake', 'kuota', 'utama', 'dlu', 'kuota', 'utama', 'habis', 'amsyong', 'during', 'anak', 'via', 'leptop', 'udh', 'ngak', 'paket', 'multimedia', 'semoga', 'telkomsel', 'hidayah', 'membantu', 'komunikasi', 'sulit', '']</t>
  </si>
  <si>
    <t>['menarik', 'daftar', 'paket', 'seminggu', 'adain', 'giveaway', 'paket', 'internet', 'dikala', 'ppkm', 'membantu', 'semoga', 'kedepannya', 'myatelkomsel', 'app', 'recomended', '']</t>
  </si>
  <si>
    <t>['tolong', 'jaringan', 'didaerah', 'perluas', 'telkomsel', 'jaringan', 'didaerah', 'suka', 'stabil', 'kalah', 'providers', 'sebelah', 'terimakasih', '']</t>
  </si>
  <si>
    <t>['tampilan', 'keren', 'lemotnya', 'allah', 'tolong', 'telkomsel', 'stabilkan', 'jaringan', 'suka', 'alasan', 'beli', 'telkomsel', 'cari', 'jaringan', 'bagus', '']</t>
  </si>
  <si>
    <t>['selamat', 'paket', 'combo', 'menit', 'tsel', 'sms', 'tsel', 'aktif', 'berlaku', 'tgl', 'pkl', 'wib', 'cek', 'status', 'berhenti', 'berlangganan', 'telkomsel', 'apps', 'hub', 'info', 'pulsa', 'potong', 'maksud', 'pesan', 'paket', 'masuk', 'pulsa', 'potong', 'gimana', 'telkomsel', 'becus', 'ng']</t>
  </si>
  <si>
    <t>['licik', 'tgl', 'agustus', 'top', 'pulsa', 'kali', 'rb', 'dipotong', 'hutang', 'pulsa', 'dihari', 'pulsa', 'tinggal', 'rb', 'kemana', 'sms', 'notifikasi', 'apapun', 'belikan', 'data', 'paket', 'pulsa', 'rb', 'tinggal', 'rb', 'sekejap', 'dimana', 'lihat', 'history', 'parah', 'maling', 'telkomsel', '']</t>
  </si>
  <si>
    <t>['sinyal', 'jelek', 'banget', 'boro', 'boro', 'perbaiki', 'sinyal', 'ratain', 'sinyal', 'indonesia', 'udah', 'bayar', 'mahal', 'mahal', 'kayak', 'gini', 'hadehhh']</t>
  </si>
  <si>
    <t>['woy', 'admin', 'knpa', 'habis', 'update', 'kog', 'update', 'suruh', 'pilih', 'apk', 'resmi', 'udah', 'dioke', 'kog', 'gimana', 'apk', 'dipakai', '']</t>
  </si>
  <si>
    <t>['kalah', 'ama', 'harga', 'paket', 'datanya', 'terjangkau', 'ama', 'kantong', 'orang', 'indonesia', 'kelas', 'updet', 'lelet', 'payah', '']</t>
  </si>
  <si>
    <t>['buruk', 'sinyal', 'stabil', 'sebelah', 'rumah', 'tower', 'telkomsel', 'lok', 'tangerang', 'kota', 'download', 'film', 'wifi', 'kartu', 'simpati', 'udah', 'mb', 'sinyal', 'ilang', 'berulang', 'kali', 'pas', 'udh', 'download', 'kisaran', 'mb']</t>
  </si>
  <si>
    <t>['update', 'udah', 'suruh', 'update', 'hadeeeew', 'telkomsel', 'lebiah', 'pelayanan', 'spt', 'kompetitor', 'harga', 'pelayanan', '']</t>
  </si>
  <si>
    <t>['suka', 'berkurang', 'pulsa', 'kyaknya', 'ngk', 'hutang', 'pulsa', 'tpi', 'abis', 'data', 'diaktifkan', 'tolong', 'perbaiki', 'sistem', 'data', 'unlimeted', 'giliran', 'kuata', 'utama', 'abis', 'abis', 'unlimetednya', 'unlimeted', 'min']</t>
  </si>
  <si>
    <t>['aplikasi', 'bagussss', 'bangett', 'sayang', 'promo', 'minggu', 'harga', 'tolong', 'adakan', 'suka', 'banget', 'plissss', 'kasih', 'bintang', 'fulll', '']</t>
  </si>
  <si>
    <t>['kecewa', 'pakai', 'telkomsel', 'rencna', 'beli', 'paket', 'nelp', 'rb', 'sebulan', 'saldo', 'tolak', 'alasan', 'pulsa', 'mencukupi', 'stelah', 'belikan', 'pulsa', 'rb', 'genap', 'total', 'saldo', 'pulsa', 'ditolak', 'sbnarnya', 'gimna', 'saldo', 'lbih', 'pakai', 'hilang', 'tlong', 'solusi', 'jngan', 'trlalu', 'mahal', 'pulsa', 'pass', 'beli', 'paket', 'semoga', 'bnyak', 'kecewa', '']</t>
  </si>
  <si>
    <t>['semenjak', 'tsel', 'perubahan', 'logo', 'harga', 'paketannya', 'masuk', 'akal', 'mahal', 'beralih', 'provider', 'harga', 'masuk', 'akal', 'mengecewakan', '']</t>
  </si>
  <si>
    <t>['aplikasi', 'cap', 'ngompol', 'buka', 'apk', 'login', 'loginnya', 'muter', 'link', 'kaya', 'apk', 'indosat', 'kali', 'login', 'pas', 'instal', 'login', 'apk', 'emosi']</t>
  </si>
  <si>
    <t>['beli', 'paket', 'gb', 'masuk', 'masuk', 'telkom', 'sibuk', 'tolong', 'perbaiki', 'perihal', 'pembelian', 'ditunda', 'gagal', 'thanks']</t>
  </si>
  <si>
    <t>['', 'perbaharui', 'tampilan', 'jadul', 'bertambah', 'mundur', 'tolong', 'telkomsel', 'aplikasi', 'mytelkomselnya', 'perbaharui', 'bagusan', 'tampilan', 'keren', 'tampilan', 'jadul', 'menarik', '']</t>
  </si>
  <si>
    <t>['halo', 'telkomsel', 'oprtor', 'opsi', 'input', 'voucher', 'beranda', 'aplikasi', 'memudahkan', 'dlm', 'input', 'nomor', 'voucher', 'fisik', 'aplikasi', 'btw', 'dimana', 'letak', 'input', 'nomor', 'voucher', 'fisiknya', 'bingung', 'nyari', 'berkali', 'kali', 'menu', 'nemu', 'ayo', 'bantu', 'mudahkan', 'operator', 'aplikasinya', 'udah', 'bagus', 'lohh', 'masak', 'iya', 'telkomsel', 'operator', 'segede', 'gini', 'kalah', 'operator', 'pencererahan']</t>
  </si>
  <si>
    <t>['kasih', 'dulutolong', 'perbaiki', 'sinyal', 'stabil', 'sring', 'masuk', 'karna', 'habis', 'tolong', 'tindak', 'kenyamanan', 'konsumen', 'trims', '']</t>
  </si>
  <si>
    <t>['tinggal', 'pekanbaru', 'kota', 'kasih', 'bintang', 'sinyal', 'pekanbaru', 'main', 'sinyal', 'error', 'samapi', 'hitungan', 'perbaikan']</t>
  </si>
  <si>
    <t>['jaringan', 'jelek', 'pulsa', 'tlp', 'manual', 'kuota', 'tlp', 'menit', 'kecewa', '']</t>
  </si>
  <si>
    <t>['jelek', 'beli', 'pulsa', 'pas', 'proses', 'pembayaran', 'gagal', 'gangguan', 'mulu', 'beli', 'pulsa', 'aplikasi', 'hapus', 'trus', 'install', 'males', 'isi', 'via', 'aplikasi', 'diperbaiki']</t>
  </si>
  <si>
    <t>['internet', 'murah', 'lacar', 'rekomendasikan', 'provider', 'karna', 'harga', 'kuota', 'mahal', 'kecepatannya', 'isi', 'pulsa', 'sengaja', 'menyalakan', 'data', 'makan', 'pulsa', 'langsung', 'terpotong', 'alami', 'barusan', 'nyalain', 'data', 'detik', 'matikan', 'cek', 'terpotong', 'sungguh', 'payah', 'pulsa', 'save', 'merekomendasikan', 'provider', '']</t>
  </si>
  <si>
    <t>['pulsa', 'terpotong', 'data', 'selular', 'dinon', 'aktifkan', 'pakai', 'wifi', 'telpon', 'alasannya', 'gprs', 'kartu', 'aktif', 'membeli', 'paket', 'disarankan', 'sinyal', 'gprs', 'kartu', 'dimatikan', 'telkomselnya', 'daftar', 'paket', 'telpon', 'buka', 'sinyal', 'gprs', 'kartunya', 'menyusahkan', 'customer', 'peraturan', 'terpotong', 'pulsa', 'perak', 'lumayan', 'kepotong', '']</t>
  </si>
  <si>
    <t>['setuju', 'teman', 'komplain', 'telkomsel', 'lemot', 'mending', 'operator', 'sebelah', 'paketnya', 'serba', 'murah', 'signal', 'bagus', 'tolong', 'diperbaiki', 'kinerjanya', 'oke']</t>
  </si>
  <si>
    <t>['balikin', 'pulsa', 'gua', 'knp', 'sms', 'beli', 'paket', 'enak', 'bener', 'maen', 'ambil', 'pulsa', 'org', 'beli', 'paket', 'harga', 'segitu', 'udah', 'ngurus', 'sinyal', 'becus', 'muncul', 'kayak', 'gini', 'pulsa', 'ngilang', 'sms', 'beli', 'paket', 'kambing', '']</t>
  </si>
  <si>
    <t>['opsi', 'penukaran', 'poin', 'poin', 'smggu', 'kerjaannya', 'tukar', 'poin', 'doang', 'kasih', 'bintang', '']</t>
  </si>
  <si>
    <t>['signal', 'parah', 'update', 'pas', 'buka', 'update', 'update', 'update', 'signal', 'gacor', 'update', 'signal', '']</t>
  </si>
  <si>
    <t>['beli', 'paket', 'games', 'max', 'silver', 'voucher', 'mlbb', 'paket', 'mengeklamnya', 'voucher', 'tolong', 'direspown', '']</t>
  </si>
  <si>
    <t>['kecewa', 'pulsa', 'habis', 'hilang', 'sinyal', 'data', 'hilang', 'gangguan', 'paket', 'data', 'pulsa', 'terpotong', 'habis', 'tolong', 'terkait', 'apliskasi', 'fitur', 'set', 'security', 'level', 'setting', 'pulsa', 'terpotong', 'sinyal', 'data', 'hilang', 'paket', 'data', 'habis', 'tolong', 'telkomsel', 'pelanggan', 'setia', 'memakai', 'nomor', '']</t>
  </si>
  <si>
    <t>['migrasi', 'rayuannya', 'jaringan', 'prioritas', 'lemot', 'kayak', 'keong', 'ganti', 'nama', 'telkomsel', 'keong', 'halo', 'kartu', 'halo', 'jaringan', 'prioritas', 'prioritas', 'lemotnya']</t>
  </si>
  <si>
    <t>['tolong', 'jaringan', 'telkomsel', 'optimalkan', 'bagus', 'mnguntungkan', 'pengguna', 'jaringan', 'telkomsel', 'jaringantelkomsel', 'kali', 'terkendalikan', '']</t>
  </si>
  <si>
    <t>['motong', 'pulsa', 'dosanya', 'gimana', 'beli', 'paket', 'tgl', 'paketan', 'juli', 'habis', 'tgl', 'lupa', 'paket', 'langsung', 'kena', 'pulsa', 'motong', 'pulsa', 'beli', 'paket', 'data', 'tgl', 'tgl', 'paket', 'kosong', 'ngeri', 'sistemnya', 'hancur', '']</t>
  </si>
  <si>
    <t>['tukar', 'poin', 'dapet', 'pelanggan', 'setia', 'telkomsel', 'mengecewakan', 'isi', 'pulsa', 'ribu', 'pas', 'nukerin', 'poin', 'angin', 'gue', 'dapet', 'hadiah']</t>
  </si>
  <si>
    <t>['assalamualaikum', 'perusahaan', 'telkomsel', 'pengguna', 'setia', 'telkomsel', 'mohon', 'permurah', 'paket', 'internet', 'kasih', 'paket', 'unlimited', 'murah', 'paket', 'internet', 'paket', 'unlimited', 'mahal', 'sekian', 'perusahaan', 'telkomsel', 'wassalamu', 'alaikum', 'warahmatullahi', 'wabarakatuh']</t>
  </si>
  <si>
    <t>['rugi', 'pulsa', 'tukar', 'paket', 'sms', 'muncul', 'maaf', 'pulsa', 'isi', 'pulsa', 'coba', 'menit', 'pulsa', 'paketan', 'pulsa', 'habis', 'paket', 'aplikasi', '']</t>
  </si>
  <si>
    <t>['ngeclaim', 'paket', 'hasil', 'check', 'harian', 'mohon', 'solusinya', 'admin', 'coba', 'pemberitahuan', 'mencapai', 'batas', 'penukaran', 'point', 'kali', 'sehari', 'padah', 'ngeclaim', 'mohon', 'solusinya']</t>
  </si>
  <si>
    <t>['', 'heran', 'bug', 'beli', 'data', 'bayar', 'doang', 'datanya', 'trus', 'bayar', 'perbaiki', 'kecewa', 'kehilangan', 'pulsa', 'beli']</t>
  </si>
  <si>
    <t>['hai', 'telkomsel', 'keren', 'fitur', 'lengkapdeh', 'usul', 'tambahkan', 'fitur', 'keamanan', 'fungsinya', 'cek', 'berkala', 'nomor', 'pelanggan', 'aman', 'penawaran', 'hadiah', 'uang', 'barang', '']</t>
  </si>
  <si>
    <t>['bagus', 'cuman', 'kemarin', 'daerah', 'pekayon', 'pasar', 'rebo', 'sinyal', 'sekolah', 'online', 'tolong', 'diperbaiki', 'sinyalnya', 'terima', 'kasih']</t>
  </si>
  <si>
    <t>['login', 'magic', 'link', 'dikirim', 'klik', 'muncul', 'keterangan', 'link', 'valid', 'kadaluarsa', 'uninstall', 'laen', '']</t>
  </si>
  <si>
    <t>['aplikasi', 'bagus', 'hrga', 'paket', 'nomor', 'sgt', 'mahal', 'beda', 'nomer', 'simpati', 'milik', 'teman', 'paketnya', 'murah', 'knp', 'bgtu', '']</t>
  </si>
  <si>
    <t>['telkomsel', 'nyaman', 'klaim', 'hadiah', 'daily', 'login', 'smua', 'pemenang', 'telkomsel', '']</t>
  </si>
  <si>
    <t>['paket', 'data', 'internet', 'masuk', 'akal', 'donk', 'masak', 'paket', 'paket', 'omg', 'smua', 'akses', 'sekrang', 'batasnya', 'akses', 'aplikasi', 'coba', '']</t>
  </si>
  <si>
    <t>['bintang', 'bos', 'udah', 'thn', 'telkomsel', 'beli', 'paket', 'mytelkomsel', 'bacaanya', 'transaksi', 'berhasil', 'paket', 'masuk', 'terooossss', 'veronica', 'kek', 'nanya', 'ayoo', 'berbenah', 'terbaik', '']</t>
  </si>
  <si>
    <t>['telkomsel', 'kesini', 'kacau', 'jaringannya', 'eror', 'emang', 'akui', 'harga', 'paket', 'murah', 'paket', 'data', 'jaringannya', 'eror', 'tolong', 'seportif', 'untung', 'bahagia', 'intinya', 'kaya', 'gitu', 'maunya', 'untung']</t>
  </si>
  <si>
    <t>['', 'telkomsel', 'edit', 'bintqngg', 'bangke', 'jaringan', 'deket', 'tower', 'gonta', 'ganti', 'gila', 'kali', 'jaman', 'jadul', 'ampe', 'sekrg', 'pke', 'telkomsel', 'sekarng', 'jeleknya', 'ampun', 'telkomsel', 'udah', 'mahal', 'jelek', 'jaringan', 'bangke', 'bener', 'baca', 'perbaiki', 'cari', 'untung', '']</t>
  </si>
  <si>
    <t>['isi', 'ulang', 'pulsa', 'telkomsel', 'habis', 'berlangganan', 'aplikasi', 'apapun', 'data', 'internet', 'memakai', 'wifi', 'kartu', 'operator', 'sms', 'panggilan', 'telkomsel', '']</t>
  </si>
  <si>
    <t>['nyaman', 'asyik', 'eehh', 'berlangganan', 'jaringan', 'lemoott', 'cepet', 'abis', 'kalah', 'saing', 'provider', 'harga', 'mahal', 'ayooo', 'tingkatkan', 'telkomsel', 'sampe', 'kendooor']</t>
  </si>
  <si>
    <t>['sinyal', 'buruk', 'launching', 'parah', 'udah', 'harga', 'mahal', 'lemot', 'ampun', 'kadang', 'menyesal', 'udah', 'beli', 'paket', 'data', 'mahal', 'disisi', 'males', 'gonta', 'ganti', 'kartu', 'krb', 'pindahin', 'data', '']</t>
  </si>
  <si>
    <t>['isi', 'pulsa', 'beli', 'paket', 'dial', 'pulsa', 'disedot', 'abis', 'telkomsel', 'sampe', 'sisanya', 'habis', 'ngerii', 'akibatnya', 'kesannya', 'kesempatan', 'ngecoh', 'pelanggan', 'langsung', 'tenang', 'pelanggan', 'setia', 'telkomsel', 'saking', 'tenang', 'sampe', 'berharap', 'semoga', 'provider', 'tenang', 'pelanggan', 'pokoknya', 'capek', 'nyabarin', 'beda', 'kayak', 'provider', 'im', 'lumayan', 'tenang', 'pelanggan', 'fitur', 'pulsa', 'safe', '']</t>
  </si>
  <si>
    <t>['diupdate', 'login', 'keyboard', 'susah', 'muncul', 'ilang', 'perusahaan', 'gede', 'tim', 'developer', 'app', 'kaya', 'gini', '']</t>
  </si>
  <si>
    <t>['jaringannya', 'jelek', 'terputus', 'hilang', 'sinyal', 'paket', 'mahal', 'dibeli', 'diharapkan', 'pelayanan', 'terbaik', 'tolong', 'diperbaiki', 'jaringan', 'dikota', 'palembang', '']</t>
  </si>
  <si>
    <t>['telkomsel', 'tolong', 'harga', 'paket', 'dikurangi', 'mahal', 'tukar', 'poin', 'kuota', 'tulisan', 'jaringan', 'sibuk', 'males', 'dasar', 'peliiitttttitititititittttt', '']</t>
  </si>
  <si>
    <t>['kasi', 'karna', 'kecewa', 'aplikasi', 'suka', 'aplikasi', 'meng', 'klim', 'hadia', 'cekin', 'aplikasi', 'kecewa', 'telkomsel', 'terimakasi', '']</t>
  </si>
  <si>
    <t>['gimana', 'tolong', 'masi', 'kuota', 'trus', 'isi', 'pulsa', 'pulsa', 'hilang', 'hilang', 'pemberitahuan', 'perampokan', 'namanya', 'kemarin', 'jam', 'membeli', 'paket', 'unlimited', 'youtube', 'besoknya', 'bangun', 'pemberitahuan', 'paket', 'habis', 'udah', 'diajukan', 'pengadilan', 'tutup', 'usaha', 'telkomsel', 'cepat', 'perbaiki', 'sistem', 'laporkan']</t>
  </si>
  <si>
    <t>['pelayanan', 'buruk', 'keuntungan', 'raup', 'telkomsel', 'dri', 'pda', 'provider', 'bnyak', 'pindah', 'provider', 'deh']</t>
  </si>
  <si>
    <t>['tolong', 'telkomsel', 'menjamin', 'kenyamanan', 'pemaikaian', 'jaringan', 'telkomsel', 'mending', 'telkomsel', 'jaringan', 'lemot', 'tolong', 'perbaiki', 'bnyak', 'ngeluh', 'jangn', 'ambil', 'untung', 'jangn', 'baca', 'doang', 'komentar', 'perbaiki']</t>
  </si>
  <si>
    <t>['aplikasinya', 'oke', 'susah', 'tolong', 'diperbaiki', 'isi', 'rb', 'langsung', 'kepotong', 'paket', 'pemberitahuan', 'konfirmasi', 'notifikasi', 'hedeu', '']</t>
  </si>
  <si>
    <t>['poin', 'gunannya', 'tukarkan', 'gimana', 'telkomsel', 'bangsa', 'tt', 'perusahaan', 'terdepan', 'kasih', 'bonus', 'pelitt', 'pant', 'kkk']</t>
  </si>
  <si>
    <t>['pengguna', 'kartu', 'jaringan', 'kartu', 'kedalam', 'sumurpun', 'jossss', 'dijalan', 'raya', 'susah', 'sinyal', 'telkomsel', 'puber', 'telkomsel', '']</t>
  </si>
  <si>
    <t>['kedepan', 'donk', 'ehhh', 'ehhh', 'mundur', 'ikonjya', 'jaringan', 'kek', 'zaman', 'nokia', '']</t>
  </si>
  <si>
    <t>['balikin', 'paket', 'data', 'stelah', 'update', 'paketan', 'kuota', 'langganan', 'gua', 'mahal', 'gua', 'pindah', '']</t>
  </si>
  <si>
    <t>['buruk', 'paket', 'terllu', 'mhal', 'tpi', 'sinyal', 'tdak', 'stabil', 'layanan', 'bruk', 'sya', 'mrasa', 'kecewa', 'telkomsel', 'tlong', 'perbaharui', 'sinyal', 'daerah', 'provinsi', 'jambi', 'kabupaten', 'tanjung', 'jabung', 'barat', 'kecamatan', 'tebing', 'desa', 'kelagian', 'tlong', 'perbaharui', 'kualitas', 'sinyal', 'trimksih', '']</t>
  </si>
  <si>
    <t>['bagus', 'jelek', 'jaringan', 'pdhsl', 'tsel', 'skrg', 'bagus', 'axis', 'mohon', 'perbaiki', '']</t>
  </si>
  <si>
    <t>['pelanggan', 'telkomsel', 'tolong', 'donk', 'sinyal', 'kesini', 'lemot', 'maen', 'game', 'tri', 'kartu', 'maen', 'game', 'sinyal', 'bagus', 'telkomsel', 'gimana', 'kecewa', 'orang', '']</t>
  </si>
  <si>
    <t>['', 'kedepan', 'telkomsel', 'telkomsel', 'mampus', 'sampe', 'aktif', 'tenggangnya', 'habis', 'ruginya', 'paketnya', 'mahal', 'pemberitahuan', 'paket', 'udah', 'habis', 'abis', 'sisa', 'pulsa', 'langsung', 'habis', 'disedot', 'jurug', 'telkomsel', 'akses', 'aplikasi', 'rugi', 'telkomsel', 'mah', 'bonus', 'claim', 'poin', 'diambil', 'bonusnya', 'kagak', 'mending', 'murah', 'jaringan', 'bagus', 'butuh', 'poin', 'butuh', 'iming', '']</t>
  </si>
  <si>
    <t>['telkomsel', 'dimana', 'jaringan', 'lemot', 'internetan', 'uda', 'mahal', 'paketnya', 'dibeli', 'terpakai', 'rugi', 'sopembeli', 'menerima', 'untung', 'sipenjual', 'dilincurkan', 'lemot', 'tolong', 'dipikirkan', '']</t>
  </si>
  <si>
    <t>['maaf', 'ganti', 'ulasan', 'karna', 'kecewa', 'udh', 'telkomsel', 'susah', 'cari', 'sinyal', 'tolong', 'donk', 'jaman', 'nambah', 'cepat', 'mah', 'malahn', 'nambah', 'lemot', 'ajah', 'nyari', 'sinyal']</t>
  </si>
  <si>
    <t>['kuota', 'harga', 'gile', 'jaringan', 'ilang', 'operator', 'orang', 'resah', 'memuaskan', 'kebutuhan', 'gaming', 'orng', 'marah', 'orang', 'memaki', 'maki', 'tolong', 'perbaiki', 'kualitas', 'kepentingan', 'keuntungan', 'perusahaan']</t>
  </si>
  <si>
    <t>['aplikasi', 'gajelas', 'dikit', 'dipaksa', 'update', 'sinyal', 'udah', 'seebagus', 'terpaksa', 'telkomsel', 'provider', 'bagus', 'kampung', 'mah', 'bye', 'telkomsel']</t>
  </si>
  <si>
    <t>['lemot', 'beli', 'paket', 'internet', 'metode', 'pembayaran', 'milih', 'skrg', 'pulsa', 'update', 'tmbah', 'fitur', 'penurunan', '']</t>
  </si>
  <si>
    <t>['mytelkomsel', 'diupdate', 'udah', 'giliran', 'dibuka', 'update', 'playstore', 'udah', 'diupdate', 'pilihannya', 'uninstall', 'buka', 'pas', 'mencet', 'buka', 'suruh', 'update', 'lagiii', 'haduhh', 'disuruh', 'pencet', 'uninstall', '']</t>
  </si>
  <si>
    <t>['kurangin', 'bintangnya', 'udah', 'update', 'pas', 'buka', 'suruh', 'perbarui', 'telkomsel', 'jelek', 'aplikasinya']</t>
  </si>
  <si>
    <t>['beli', 'data', 'pulsa', 'hilang', 'data', 'diterima', 'beli', 'paket', 'data', 'telkomsel', 'bagus', 'dipercaya', 'pulsa', 'hilang', 'arah', 'berhenti', 'langganan', 'susah', 'fear', '']</t>
  </si>
  <si>
    <t>['pengguna', 'kecewa', 'jaringan', 'telkomsel', 'mei', 'jaringannya', 'buruk', 'tolong', 'membeli', 'paket', 'mahal', 'bandingkan', 'provider', 'kestabilan', 'internet', 'sekian', 'terima', 'kasih', '']</t>
  </si>
  <si>
    <t>['maaf', 'telkomsel', 'rubah', 'aturan', 'disaat', 'pemakaian', 'paket', 'data', 'habis', 'jngan', 'langsung', 'main', 'alih', 'pulsa', 'langsung', 'sedot', 'pulsa', 'kayak', 'kartu', 'paket', 'data', 'habis', 'jaringan', 'langsung', 'stop', 'pulsa', 'pulsa', 'aman', 'pulsa', 'paketkan', 'udah', 'mah', 'paket', 'data', 'terhitung', 'mahal', 'kartu', 'paketan', 'habis', 'pulsa', 'langsung', 'embat', 'bijaklah', 'sdikit', 'konsumen', 'rugi', '']</t>
  </si>
  <si>
    <t>['ngalamin', 'jaringan', 'telkomsel', 'kesini', 'jelek', 'harga', 'paket', 'provider', 'kualitas', 'kecepatan', 'jaringan', 'kesini', 'jelek', 'pilih', 'telkomsel', 'karna', 'dlu', 'kecepatan', 'jaringan', 'bagus', 'paket', 'mahal', 'skrng', 'kecewa', 'move', '']</t>
  </si>
  <si>
    <t>['telkomsel', 'tolong', 'klau', 'pket', 'mahal', 'udh', 'kaya', 'kasian', 'nggak', 'uang', 'hrs', 'beli', 'paket', 'mahal', 'terpaksa', 'pakai', 'telkomsel', 'karna', 'kampung', 'sinyal', 'telkomsel', 'klau', 'sinyal', 'mending', 'kartu', 'telkomsel', 'udh', 'mahal', 'sinyal', 'nge', 'lag', 'tolong', 'telkomsel', 'klau', 'jual', 'kuota', 'mahal', '']</t>
  </si>
  <si>
    <t>['suka', 'kartu', 'karna', 'kemaren', 'beli', 'paket', 'pas', 'isi', 'pulsa', 'trus', 'pulsa', 'sedot', 'trus', 'pas', 'isi', 'pulsa', 'sedot', 'gimana', 'jadiin', 'paket', 'ngk', 'trus', 'jaringan', 'ngelag', 'gimana', 'paket', 'mahal', '']</t>
  </si>
  <si>
    <t>['telkomsel', 'jaringan', 'internet', 'buruk', 'harga', 'paket', 'data', 'mahal', 'jaringan', 'internet', 'buruk', 'mengecewakan', 'pengguna', 'telkomsel', '']</t>
  </si>
  <si>
    <t>['aplikasi', 'telkomsel', 'membantu', 'promo', 'menarik', 'sayang', 'kadang', 'harga', 'sesuai', 'sms', 'pemberitahuan', 'signal', 'telkomsel', 'error', 'lola', '']</t>
  </si>
  <si>
    <t>['telkomsel', 'daerah', 'timika', 'papua', 'timika', 'kota', 'jaringan', 'timika', 'bagus', 'tolong', 'pekerja', 'telkomsel', 'jariangan', 'kerja', 'baguss', 'kah', 'teimakasi']</t>
  </si>
  <si>
    <t>['terima', 'kasih', 'telkomsel', 'sinyal', 'jaringan', 'terbaik', 'terluas', 'berharap', 'kouta', 'internetnya', 'murah', 'orang', 'desa', 'pelosok', 'membelinya', 'tersedia', 'sinyal', 'telkomsel', '']</t>
  </si>
  <si>
    <t>['tolong', 'perbaiki', 'jaringan', 'pelosok', 'terpaksa', 'telkomsel', 'seandainya', 'kota', 'cabut', 'telkomsel', 'pindah', 'kartu', 'tolong', 'diperbaiki']</t>
  </si>
  <si>
    <t>['udh', 'kartu', 'telkomsel', 'kesini', 'jaringan', 'jelek', 'tlong', 'perhatiin', 'apaligi', 'bonus', 'paketan', 'mahal', 'kualitas', 'jaringan', 'buruk', '']</t>
  </si>
  <si>
    <t>['paham', 'kerjanya', 'gimana', 'jaringan', 'lost', 'sndiri', 'ditengah', 'kota', 'jaringan', 'ksh', 'bintang', 'ksh', 'bintang', 'nyesel', 'telkomsel', 'jaringan', 'gembel', 'mahal', 'doang', 'baek', 'bangkrut', 'krna', 'pindah', 'provider']</t>
  </si>
  <si>
    <t>['bintang', 'bro', 'karna', 'sinyal', 'harganya', 'super', 'duper', 'mahal', 'kualitasnya', 'sesuai', 'dear', 'admin', 'tolonglah', 'keringanan', 'pengguna', 'harga', 'paketnya', 'turunkan', 'buatlah', 'kali', 'pengguna', 'merasakan', 'paketnya', 'hemat', '']</t>
  </si>
  <si>
    <t>['maaf', 'apk', 'dlu', 'paket', 'terbilang', 'murah', 'dibeli', 'masyallah', 'pulsa', 'lenyap', 'gitu', 'kuota', 'mahal', 'jaringan', 'mendukung', 'seringx', 'pas', 'udah', 'beli', 'paket', 'pulsa', 'udah', 'kepotong', 'paketnya', 'nongol', 'nyesel']</t>
  </si>
  <si>
    <t>['tolong', 'bantu', 'versi', 'kesini', 'berat', 'aplikasinya', 'update', 'nggak', 'dipake', 'pilihan', 'update', 'doang', 'pas', 'update', 'lemot', 'ampun', 'ampun', 'uninstall', 'membantu', '']</t>
  </si>
  <si>
    <t>['sinyal', 'telkom', 'dikit', 'banget', 'ngelag', 'mulu', 'nggak', 'lancar', 'kuliah', 'online', 'paketnya', 'lumayan', 'murah', 'operator', 'tolong', 'sinyal', 'diperbaiki']</t>
  </si>
  <si>
    <t>['telkomsel', 'boros', 'kuota', 'internetnya', 'kaya', 'setia', 'memakai', 'telkomsel', 'kuota', 'internetnya', 'irit', 'lemot', 'internetan', 'lancar', 'beda', 'kuota', 'internetnya', 'boros', 'kadang', 'lemot', '']</t>
  </si>
  <si>
    <t>['gimana', 'telkomsel', 'kuota', 'dikenakan', 'tarif', 'nonton', 'paket', 'pulsa', 'ludes', 'paketnya', '']</t>
  </si>
  <si>
    <t>['jaringan', 'telkomsel', 'jelek', 'kirain', 'complain', 'skrg', 'internet', 'ganti', 'operator', 'stabil', '']</t>
  </si>
  <si>
    <t>['kestabilan', 'jaringan', 'harga', 'kouta', 'internet', 'telkomsel', 'banding', 'mahal', 'mikirin', 'untung', 'kenyamanan', 'pengguna', 'perioritas']</t>
  </si>
  <si>
    <t>['harap', 'mohon', 'diperlengkap', 'pembelian', 'lelet', 'apk', 'nyaa', 'kebanyakan', 'iklannya', 'apknya', 'buruk', 'bohong', 'wkwkw', 'baguss', 'lahh']</t>
  </si>
  <si>
    <t>['paket', 'unlimited', 'cmn', 'bayar', 'money', 'tolong', 'ubah', 'pengen', 'nikmatin', 'unlimitednya', 'pusing', 'bayar', 'money', '']</t>
  </si>
  <si>
    <t>['harga', 'paket', 'mahal', 'dibanding', 'pesaingnya', 'orang', 'berharap', 'bayar', 'mahal', 'sinyal', 'bagus', 'stabil', 'kesini', 'sinyal', 'jaringan', 'terkesan', 'terurus', 'logo', 'berubah', 'perusahaan', 'berharap', 'perubahan', 'logo', 'diubah', 'jaringan', 'telkomsel', 'orang', 'resah', '']</t>
  </si>
  <si>
    <t>['telkomsel', 'god', 'kuota', 'mahal', 'perusahaan', 'terkemuka', 'pengguna', 'keluhan', 'konsumen', 'kuota', 'mahal', 'jaringan', 'lelet', 'solusi', 'perusahaan', 'butuh', 'keuntungan', 'gede', 'banding', 'propider', 'ganti', 'kartu', 'udah', 'tersebar', 'udah', 'thn', 'salah']</t>
  </si>
  <si>
    <t>['aplikasi', 'bermanfaat', 'memudahkan', 'internet', 'aplikasi', 'mytelkomsel', 'mudah', 'membeli', 'kuota', 'pengecekan', 'pulsa', 'anti', 'ribet', '']</t>
  </si>
  <si>
    <t>['puluhan', 'pakai', 'telkomsel', 'kali', 'login', 'telkomsel', 'perbaharui', 'susah', 'telkomsel', 'gimana', 'solusi', 'susah', 'login', 'app', 'telkomsel', 'solusi', '']</t>
  </si>
  <si>
    <t>['sebenernya', 'ganti', 'provider', 'paketnya', 'haduhhhh', 'mahal', 'mualesssss', 'polll', 'kartuku', 'smk', 'banget', 'murah', 'malessssss', 'mahal', 'kebangeten', 'murah', 'berguna', 'dijual', 'bos', 'trus', 'sekaranggggg', 'combo', 'sakti', 'unlimited', 'unlimited', 'judulnya', 'ganti', 'bossssss', '']</t>
  </si>
  <si>
    <t>['tambahkam', 'harga', 'kouta', 'malamnya', 'susah', 'pas', 'beli', 'pulsa', 'perpanjangan', 'nggak', 'kepake', 'kouta', 'beli', 'paket', 'malam', 'nggak', 'tolong', 'dikembalikan', 'alasan', 'memperpanjang', 'aktif', 'paket', 'ketengan', 'busuk', 'minggu', 'berlaku', 'doang', 'nggak', 'haoks']</t>
  </si>
  <si>
    <t>['tolong', 'perbaikin', 'jaringan', 'cuaca', 'hujan', 'angin', 'ngeleg', 'pengguna', 'telkomsel', 'kecewa', 'karna', 'jaringan', 'stabil', 'lag', '']</t>
  </si>
  <si>
    <t>['thank', 'banget', 'apk', 'membantu', 'membeli', 'paket', 'internet', 'nggak', 'beli', 'paket', 'bela']</t>
  </si>
  <si>
    <t>['aplikasi', 'membantu', 'informatif', 'mudah', 'aplikasi', 'telkomsel', 'fitur', 'undian', 'tertarik', 'menyarankan', 'memasang', 'aplikasi', 'telkomsel', 'pengguna', 'telkomsel']</t>
  </si>
  <si>
    <t>['kek', 'jaringan', 'buruk', 'voucher', 'kadang', 'error', 'pulsa', 'kesedot', 'pokonya', 'provider', 'telkom', 'rusak', 'parah', 'tolong', 'perbaiki', 'telkom']</t>
  </si>
  <si>
    <t>['kasih', 'terbaik', 'tutup', 'perusahaannya', 'mahal', 'doank', 'jaringan', 'lelet', 'banget', 'dasar', 'berkualitas', 'nyesal', 'pakai', 'telkomsel', '']</t>
  </si>
  <si>
    <t>['ayolah', 'knp', 'jaringan', 'telkom', 'jelek', 'bnget', 'beli', 'paket', 'mahal', 'tpi', 'jaringan', 'jelek', 'bnget', 'tolong', 'perbaiki', 'lancar', 'pengguna', 'telkomsel', 'trima', 'kasih']</t>
  </si>
  <si>
    <t>['terbantu', 'mytelkomsel', 'sayang', 'harga', 'kuota', 'harga', 'kuota', 'turunkan', 'kepuasan', 'pelanggan', 'terima', 'kasih', '']</t>
  </si>
  <si>
    <t>['telkomsel', 'paketnya', 'mahal', 'mahal', 'udah', 'mahal', 'jaringan', 'nge', 'lag', 'beli', 'paket', 'ketengan', 'whatsapp', 'dipake', 'situ', 'tertulis', 'kuota', 'ketengan', 'whatsapp', 'mengakses', 'whatsapp', 'chating', 'mengirim', 'file', 'danvideocall', '']</t>
  </si>
  <si>
    <t>['maaf', 'banget', 'udah', 'kecewa', 'nyaman', 'banget', 'layanan', 'telkomsel', 'aplikasi', 'susah', 'buka', 'kuota', 'mahal', 'promo', 'kuota', 'lumayan', 'murah', 'pungsi', 'daftar', 'kuota', 'kehabisan', 'pulsa', 'kuras', 'serasa', 'kena', 'maling', 'maaf', 'ngaruh', 'hilang', 'pelanggan', 'telkomsel', 'gapapa', 'udah', 'gue', 'buang', 'telkomsel', 'gue', 'gue', 'mahal', 'beli', 'hpnya', 'lumayan', 'bagus', 'terimakasih', 'and', 'bye', '']</t>
  </si>
  <si>
    <t>['makan', 'ati', 'telkomsel', 'jangka', 'internet', 'lgi', 'kuota', 'gb', 'kali', 'lambatin', 'kecepatan', 'jdi', 'mengakses', 'internet', 'ngebutnya', 'cmn', 'setelahnya', 'lemot', 'kuota', '']</t>
  </si>
  <si>
    <t>['kpd', 'telkomsel', 'tolong', 'membingungkan', 'produknya', 'simple', 'harga', 'kuota', 'dpt', 'kuota', 'brp', 'kebanyak', 'produk', 'harga', 'bingung', 'pelangan', 'simple', 'virtual', 'account', 'khusus', 'telkomsel', 'produk', 'virtual', '']</t>
  </si>
  <si>
    <t>['tolong', 'telkomsel', 'diperbaiki', 'sinyalnya', 'masak', 'pakek', 'keluhan', 'tolong', 'responnya', 'kecewa', 'suruh', 'ganti', 'kartu', '']</t>
  </si>
  <si>
    <t>['emang', 'dasar', 'telkomsel', 'pulsa', 'ribu', 'pket', 'internet', 'say', 'gb', 'paket', 'nlfn', 'jga', 'unlimited', 'pulsa', 'tetep', 'kepake', 'ktanya', 'internet', 'ambil', 'pulsa', 'dikit', 'sampe', 'habis', 'trus', 'paket', 'internet', 'sya', 'gitu', 'smpe', 'pulsa', 'ambil', 'smpe', 'skrang', 'paket', 'internet', 'sma', 'paket', 'nlfn', 'pulsa', 'raib', 'chat', 'veronica', 'aplikasi', 'gajelas', 'lelet', 'gada', 'respon', 'udah', 'mahal', 'suka', 'nyuri', 'pulsa', '']</t>
  </si>
  <si>
    <t>['mohon', 'serius', 'tolonglah', 'perbaiki', 'jaringan', 'sinyal', 'suka', 'stabil', 'keseringan', 'aman', 'sinyal', 'kencang', 'edan', 'membeli', 'sesuai', 'harga', 'kuota', 'gb', 'sinyal', 'buruk', 'kualitas', 'sinyal', 'sebanding', 'harganya', 'pelanggan', 'menyesal', 'berkepanjangan', '']</t>
  </si>
  <si>
    <t>['jaringan', 'sympati', 'jaringan', 'operator', 'tolong', 'tingkatkan', 'paketannya', 'mahal', 'mahal', 'jaringan', 'lemot', 'update', 'lemot', 'ganti', 'kartu', '']</t>
  </si>
  <si>
    <t>['kemudahan', 'pelayanan', 'kecakapan', 'informasi', 'aplikasi', 'pakai', 'pengguna', 'jaringan', 'telkomsel', 'thank', 'you', 'telkomsel']</t>
  </si>
  <si>
    <t>['', 'kartu', 'simpati', 'kartu', 'hallo', 'kartu', 'simpati', 'blokir', 'kare', 'isi', 'permasalahannya', 'isi', 'gisian', 'terakhi', 'sms', 'kartu', 'berlaku', 'sampe', 'nopember', 'isi', 'halo', 'tahunya', 'mei', 'knrn', 'isi', 'isi', 'signalnya', 'msh', 'penuh', 'sdg', 'kartu', 'kartu', 'itudata', 'buka', 'upayakah', 'aktifkan', 'mhn', 'petunjuk', 'kpd', 'telkomsel', 'mksh']</t>
  </si>
  <si>
    <t>['jaringan', 'sinyal', 'jelek', 'sya', 'pelanggan', 'tpi', 'paket', 'internet', 'laen', 'karna', 'lbh', 'bagus', 'kartu', 'telkomsel', 'karna', '']</t>
  </si>
  <si>
    <t>['maap', 'kota', 'kota', 'sisa', 'lgi', 'internet', 'lokal', 'data', 'lebi', 'dipake', 'padahah', 'buaru', 'minggu', 'isi', 'daptarin', 'jarga', 'rbu', 'mohon', 'penjelasanya', 'terimaksih', 'blk', 'simpati']</t>
  </si>
  <si>
    <t>['paket', 'mahal', 'aneh', 'paket', 'jelek', 'kali', 'jaringan', 'deras', 'kali', 'taoi', 'udah', 'sisa', 'jaringan', 'bagus', 'hemat', 'kayak']</t>
  </si>
  <si>
    <t>['mohon', 'kerja', 'samanya', 'masyarakat', 'menengah', 'berat', 'beli', 'paket', 'telkomsel', 'harganya', 'mahal', 'pandemi', 'sulit', 'cari', 'uang', 'perhatiannya', 'terimakasih', '']</t>
  </si>
  <si>
    <t>['tolong', 'kartu', 'disediakan', 'kuota', 'unlimited', 'gaadil', 'orang', 'disekitar', 'dapet', 'unlimited', 'murah', 'gaada', 'sbg', 'pelajar', 'butuh', 'banget', 'giliran', 'unlimited', 'harganya', 'dinaikkan', 'lipat', 'nomor', 'org', 'orang', 'kaya', 'yuk', 'bantuu', 'uda', 'pelanggan', 'telkom', 'gaboong', 'kyk', 'gini', 'sed', 'hiks']</t>
  </si>
  <si>
    <t>['aduh', 'suruh', 'update', 'aplikasi', 'memory', 'gmn', 'males', 'sory', 'dak', 'update']</t>
  </si>
  <si>
    <t>['pengguna', 'setia', 'telkomsel', 'kejadian', 'jaringan', 'telkomsel', 'mengalami', 'gangguan', 'bintang', 'harga', 'paket', 'mahal', 'terkadang', 'sesuai', 'kualitas', 'jaringan', 'tolong', 'lakukan', 'pembenahan', 'jaringannya', 'tolong', 'sia', 'siakan', 'uang', 'pembayaran', 'paket', 'dibayarkan', 'konsumen', 'terimakasih']</t>
  </si>
  <si>
    <t>['ngak', 'respon', 'komentar', 'jaringan', 'lemot', 'harga', 'mahal', 'hadeh', 'perkotaan', 'signal', 'batang', 'susah', 'nyarinya', 'udah', 'ping', 'turun', 'perbanyak', 'perbaikannya', 'masak', 'paket', 'malal', 'signal', 'lemot', 'kalah', 'axis', 'malu', 'malu', 'woiiii', 'sampah']</t>
  </si>
  <si>
    <t>['harga', 'paketanya', 'mahal', 'pemadaman', 'listrik', 'sinyalnya', 'hilang', 'nggak', 'kaya', 'petugas', 'pasang', 'genset', 'udah', 'kasih', 'bintang', 'berbenah']</t>
  </si>
  <si>
    <t>['min', 'jaringan', 'telkomsel', 'anjlok', 'kek', 'gini', 'min', 'udnah', 'setia', 'telkomsel', 'min', 'min', 'tinggal', 'kota', 'padang', 'min', 'jaringan', 'kek', 'gini', 'min', 'kayak', 'gini', 'pelanggan', 'telkomsel', 'bnyak', 'beralih', 'ntar', 'min']</t>
  </si>
  <si>
    <t>['update', 'aplikasi', 'suka', 'error', 'stuck', 'loading', 'clear', 'data', 'plus', 'cache', 'dlu', 'login', 'jaringan', 'stabil', 'ping', '']</t>
  </si>
  <si>
    <t>['jaringan', 'error', 'parah', 'paketnya', 'mahal', 'jaringan', 'jelek', 'mending', 'rubah', 'jalur', 'isi', 'paket', 'mahal', 'kuota', 'internet', 'habis', 'mutar', 'cari', 'jaringan', 'internet', '']</t>
  </si>
  <si>
    <t>['knpa', 'ancur', 'sgala', 'serba', 'mahal', 'knpa', 'stelah', 'perbarui', 'masuk', 'aplikasi', 'kecawa', 'telkomsel', 'terima', 'kasih', '']</t>
  </si>
  <si>
    <t>['menghilakan', 'paket', 'data', 'aplikasi', 'mytsel', 'tertulis', 'beli', 'aplikasi', 'mytelkomsel', 'melaui', 'potongan', 'belimana', 'membeli', 'apps', 'mytelkomsel', 'aplikasi', 'paket', 'internet', 'hapus', 'mengecewakan', 'mempermainkan', 'konsumen', 'mengharahkan', 'untung', 'membeli', 'mahal', 'quota', 'perubahan', 'siginifikan', 'menguntungkan', 'konsumen', 'suka', 'ilang', 'cek', 'quota', 'muter', 'gajelas']</t>
  </si>
  <si>
    <t>['sinyal', 'telkomsel', 'suka', 'ngilang', 'perbaikan', 'tolong', 'fix', 'kartu', 'doang', 'sinyalnya', 'ilang', 'udah', '']</t>
  </si>
  <si>
    <t>['tolonglah', 'telkomsel', 'beli', 'paketan', 'mahal', 'koneksi', 'jaringannya', 'sampah', 'lag', 'banget', 'harganya', 'terjangkau', 'jaringannya', 'muahal', 'paketannya', 'cuman', 'pengalaman', 'buruk', 'combo', 'sakti', 'jaringannya', 'ampas', 'maaf', 'make', 'combo', 'sakti', 'lancar', 'berdasarkan', 'pengalaman', 'tolong', 'telkomsel', 'cari', 'uang', 'susah', '']</t>
  </si>
  <si>
    <t>['aman', 'mahal', 'mah', 'relatif', 'tergantung', 'kemampuan', 'sinyal', 'lumayan', 'bagus', 'kadang', 'suka', 'lemot', 'banget', 'salam', 'abdee', 'slank', 'yak']</t>
  </si>
  <si>
    <t>['jaringan', 'sampe', 'pelosok', 'pelosok', 'negeri', 'jaringan', 'stabil', 'jaringan', 'kuat', 'kartu', 'masuk', 'kedalam', 'hutan', 'jaringan', 'udah', 'stabil', 'ilang', 'timbul', 'ilang', 'timbul', 'bagus', 'kartu', 'axis', 'trus', 'aplikasi', 'mytelkomsel', 'ngebug', 'diperbaiki', 'dibiarkan', 'maju', 'dikritik', 'sikit', 'ngambek']</t>
  </si>
  <si>
    <t>['aplikasinya', 'bagus', 'banget', 'boong']</t>
  </si>
  <si>
    <t>['lahh', 'buka', 'suruh', 'update', 'giliran', 'hbs', 'update', 'layar', 'putih', 'muncul', 'update', 'mulu', 'klik', 'update', 'playstore', 'update', 'gabisa', 'dibuka', 'sebel', '']</t>
  </si>
  <si>
    <t>['kuota', 'beli', 'mahal', 'jaringan', 'kek', 'sakit', 'perut', 'bera', 'kuota', 'mahal', 'jaringan', 'ngebuka', 'donk', 'ngotak', 'kek', 'dkit', 'nguras', 'org', 'beli', 'kuota', 'mahal', 'tpi', 'jaringan', 'kga', '']</t>
  </si>
  <si>
    <t>['mahal', 'udah', 'berlangganan', 'paket', 'combo', 'sakti', 'internet', 'telpon', 'harga', 'teruuusss', 'jaringan', 'podo', 'sing', 'provider', 'ganti', 'kartu', 'eman', 'karna', 'kontak', 'udah', 'nomor', 'udah', 'pakai', 'telkomsel', 'ktp', 'ktp', 'keluhannya', 'samaaa', 'harga', 'teruuuuss', 'inflasiiii', '']</t>
  </si>
  <si>
    <t>['hello', 'telkomsel', 'jaringan', 'lelet', 'promo', 'kartu', 'miliki', 'bener', 'mendukung', 'padhal', 'beli', 'kouta', 'mahal', 'bener', 'kecewa', 'kayak', 'kasih', 'bintang', 'kecewa', 'bannget']</t>
  </si>
  <si>
    <t>['jengkel', 'banget', 'telkomsel', 'bayar', 'paket', 'internet', 'darurat', 'isi', 'pulsa', 'sms', 'telkomsel', 'tertulis', 'melunasi', 'paket', 'darurat', 'kasih', 'bayar', 'paket', 'internet', 'darurat', 'dipotong', 'pulsa', 'kali', 'pulsa', 'potong', 'pokok', 'ganti', 'pulsa', 'telkomsel', 'potong', '']</t>
  </si>
  <si>
    <t>['diperbarui', 'eror', 'gbsa', 'masuk', 'aplikasinya', 'sinyal', 'telkomsel', 'bagus', 'telkomsel', 'kesini', 'bagus', '']</t>
  </si>
  <si>
    <t>['harganya', 'mahal', 'curang', 'paket', 'sisa', 'giga', 'sms', 'masuk', 'pakai', 'paket', 'kuota', 'paket', 'maxtrim', 'jarang', 'dipakai', 'untung', 'operator', 'tolong', 'adil', 'bilangnya', 'anak', 'allah', 'anak', 'tuhan', 'curangnya', '']</t>
  </si>
  <si>
    <t>['', 'habis', 'update', 'langsung', 'buka', 'aplikasinya', 'buka', 'muncul', 'tulisan', 'perbaharui', 'sya', 'perbaharui', 'salah', 'yaaaaa', '']</t>
  </si>
  <si>
    <t>['maaf', 'telkomsel', 'kasih', 'bintang', 'harga', 'paketnya', 'kemahalan', 'sinyalnya', 'kadang', 'lelet', 'saran', 'tlg', 'harga', 'paket', 'diturunin', 'kualitas', 'sinyal', 'perbaiki', 'thank', '']</t>
  </si>
  <si>
    <t>['unlimited', 'max', 'kembalikan', 'kayak', 'akses', 'google', 'kuota', 'internet', 'habis', 'unlimited', 'batas', 'gb', 'kuota', 'utama', 'habis', 'akses', 'lelet', 'tpi', 'enak', 'lelet', 'unlimited', 'max', 'terimakasih']</t>
  </si>
  <si>
    <t>['tolong', 'yaaa', 'telkomsel', 'jaringan', 'gangguan', 'berlaku', 'paket', 'beli', 'hrs', 'otomatis', 'diperpanjang', 'sbg', 'kompensasi', 'adil', 'pelanggan', 'yaaa', 'usulan', '']</t>
  </si>
  <si>
    <t>['tolong', 'telkomsel', 'isi', 'koeta', 'delet', 'internet', 'udalah', 'mahal', 'maju', 'mensejahtrakan', 'rakyat', 'indonesia', 'berubah', 'tolong', 'pikirkan', 'pemimpin', 'ajari', 'anak', 'indonesia', 'virus', '']</t>
  </si>
  <si>
    <t>['tolong', 'pembelian', 'paketnya', 'disesuaikan', 'pengeluaran', 'datanya', 'paket', 'multimedia', 'multimedia', 'paket', 'internet', 'internet', 'beli', 'paket', 'internet', 'dibagi', 'habis', 'duluan', 'paket', 'internet', 'habis', 'paket', 'multimedia', 'nggak', 'pakai', 'nonton', 'aplikasi', 'diluar', 'ketentuan', 'aplikasi', 'multimedia', 'sesuaikanlah', 'buka', 'paket', 'dihabiskan', 'paket', 'paket', 'aplikasi', 'nggk', 'terdaftar', 'nggk', 'buka', '']</t>
  </si>
  <si>
    <t>['fitur', 'fitur', 'bagus', 'gimana', 'sinyal', 'pelosok', 'mengecewakan', 'lihat', 'youtube', 'putus', 'putus', 'main', 'game', 'putus', 'putus', 'paket', 'beli', '']</t>
  </si>
  <si>
    <t>['dapet', 'promo', 'gb', 'ribu', 'gabisa', 'daftar', 'paketnya', 'udah', 'daftar', 'sms', 'coba', 'berkali', 'gaada', 'notif', 'smsnya', 'promonya', 'tgl', 'agustus', 'yaa', 'telkomsel', '']</t>
  </si>
  <si>
    <t>['usul', 'mohon', 'dilengkapi', 'menu', 'mencantumkan', 'nomer', 'telkomsel', 'nomer', 'nik', 'pengguna', 'aplikasi', 'telkomsel', 'terima', 'kasih', '']</t>
  </si>
  <si>
    <t>['matiin', 'penggunaan', 'pulsa', 'paket', 'hbs', 'beli', 'pulsa', 'paket', 'data', 'lupa', 'matikan', 'pas', 'dibeliin', 'paket', 'hbs', 'pulsanya']</t>
  </si>
  <si>
    <t>['kuota', 'sosmed', 'games', 'beli', 'paket', 'slalu', 'nambah', 'skrg', 'sinyal', 'hilang', 'sinyalnya', 'kena', 'covid', 'kali', 'jangkauan', '']</t>
  </si>
  <si>
    <t>['kecewa', 'aplikasi', 'telkomsel', 'liat', 'sisa', 'kuota', 'berguna', 'chat', 'dibalas', 'komputer', 'customer', 'servicenya', 'pembayaran', 'via', 'ovo', 'pilihannya', 'mohon', 'diperbaiki', 'aplikasi', '']</t>
  </si>
  <si>
    <t>['langganan', 'paket', 'combo', 'sakti', 'tenggang', 'tanggal', 'agustus', 'tpi', 'checking', 'hariannya', 'kunci', 'bonus', 'rugi']</t>
  </si>
  <si>
    <t>['habis', 'diperbaharui', 'tampilan', 'menu', 'app', 'bagus', 'suka', 'tampilan', 'jaringannya', 'suka', 'ngelag']</t>
  </si>
  <si>
    <t>['ppkm', 'dperpanjang', 'paket', 'internet', 'mahal', 'jaringan', 'bermasalah', 'perbaikan', 'telkomsel', 'mohon', 'kenyamanan', 'kepuasan', 'kartu', 'telkomsel']</t>
  </si>
  <si>
    <t>['puas', 'telkomsel', 'pelayanannya', 'memudahkan', 'jaringan', 'internet', 'gargantua', 'relatif', 'terjangkau', 'cepat', '']</t>
  </si>
  <si>
    <t>['good', 'kasih', 'masukan', 'pengguna', 'app', 'telkomsel', 'perbarui', 'buka', 'buka', 'pengaturan', 'pengelola', 'app', 'klik', 'app', 'telkomsel', 'klik', 'penyimpanan', 'hapus', 'cache', 'hapus', 'data', 'menu', 'buka', 'app', 'telkomsel', 'masukan', 'login', 'app', 'telkomsel', 'silahkan', 'mencoba', '']</t>
  </si>
  <si>
    <t>['', 'perogram', 'rendeem', 'poin', 'telko', 'penukaran', 'poin', 'paket', 'internet', 'kiote', 'tolong', 'cantumkan', 'pulsa', 'terpotong', 'poin', 'tampilkan', 'redeem', 'menipu', 'kirain', 'hany', 'poin', 'kuota', 'pulsa', 'terpotong']</t>
  </si>
  <si>
    <t>['keluarga', 'penggguna', 'telkomsel', 'kecewa', 'semenjak', 'mode', 'jaringan', 'lelet', 'mohon', 'perbaikannya', '']</t>
  </si>
  <si>
    <t>['mohon', 'maaf', 'mengirim', 'email', 'langsung', 'tsel', 'balasan', 'langsung', 'email', 'blokir', 'nanya', 'pembayaran', 'supercell']</t>
  </si>
  <si>
    <t>['benerin', 'jaringan', 'aplikasi', 'harga', 'mahal', 'sinyal', 'ngga', 'stabil', 'bar', 'doang', 'full', 'internet', 'turun', 'nyampe', 'kb', 'sinyal', 'pas', 'nungguin', 'tim', 'koboi', 'beraksi', 'sadar', 'msih', 'ngga', 'hasil', 'aplikasi', 'ilang', 'ama', 'tim', 'koboi', 'perusahaan', 'tutup', 'usia', '']</t>
  </si>
  <si>
    <t>['udah', 'paket', 'mahal', 'pulsa', 'hilang', 'emg', 'cocok', 'oke', 'telkomsel', 'kalangan', 'menengah', 'mendingan', 'axis', 'klw', 'dibandingkan', 'axis', 'murah', 'irit']</t>
  </si>
  <si>
    <t>['koneksi', 'buruk', 'paket', 'data', 'chat', 'gambar', 'jam', 'kecewa', 'emang', 'koneksi', 'telkomsel', 'down', 'engga', 'emosi', 'tolong', 'diperbaiki']</t>
  </si>
  <si>
    <t>['payah', 'kuota', 'naek', 'smua', 'kuota', 'mlm', 'gb', 'rb', 'rb', 'beli', 'pulsa', 'nanggung', 'mending', 'pas', 'rb', 'kuota', 'tersisa', 'aplikasi', 'smua', 'gini', 'susah', 'tolong', 'perbaiki', '']</t>
  </si>
  <si>
    <t>['kemari', 'ancur', 'hujan', 'pas', 'hujan', 'hujan', 'sinyal', 'kaga', 'karuan', 'lokasi', 'jakpus', 'bintang', 'udah', 'perbaikan', '']</t>
  </si>
  <si>
    <t>['bro', 'jaringan', 'buruk', 'tasik', 'garut', 'bdg', 'hujan', 'gede', 'hujan', 'dikit', 'langsung', 'gimana', 'pelanggan', 'kecewa']</t>
  </si>
  <si>
    <t>['jaringan', 'bener', 'pemain', 'game', 'kenak', 'batin', 'angin', 'hujan', 'edge', 'ilang', 'jaringan', 'bener', 'telkomsel', 'penikmat', 'desa', 'gua', 'tinggal', 'kota', 'jaringan', 'edge', 'ilang', 'down', 'capek', 'gua', 'dhlah', 'sumpah', 'harga', 'pejabat', 'jaringannya', 'lemot', 'edge', 'desa', 'sumpah', 'kali']</t>
  </si>
  <si>
    <t>['updatenya', 'udah', 'enk', 'bgini', 'respon', 'beli', 'paket', 'isi', 'ulang', 'pulsa', 'lemot', 'masuknya', 'tpi', 'dri', 'update', 'logo', 'nice', 'mantap']</t>
  </si>
  <si>
    <t>['mohon', 'promo', 'internet', 'gb', 'rb', 'dipermanenkan', 'mohon', 'sinyalnya', 'diperbaiki', 'min', 'kecewa', 'main', 'susah', 'karna', 'ngelag', 'tolonglah', 'min', 'sinyal', 'diperbaiki', 'didaerah', 'banyumas', 'permintaan', 'dipenuhin', 'nyaman', 'ama', 'telkomsel', 'sinyal', 'buruk', 'tolong', 'diperbaiki', 'didaerah', 'daerah', 'lancar', 'seneng', 'min', 'orang', 'bahagia', 'pahala', 'min']</t>
  </si>
  <si>
    <t>['telkomsel', 'jaringan', 'bagus', 'beda', 'udalah', 'mahal', 'harga', 'jaringan', 'tolong', 'benerin', '']</t>
  </si>
  <si>
    <t>['undian', 'poin', 'cuman', 'trik', 'penjualan', 'tukar', 'poin', 'nyangkut', 'cuman', 'keluarga', 'karyawan', '']</t>
  </si>
  <si>
    <t>['paketnya', 'murah', 'murah', 'banget', 'pas', 'deh', 'dikantong', 'transaksi', 'aman', 'gampang', 'aplikasi', 'mudah', 'pengalaman', 'pelanggan', 'semoga', 'promonya', 'menarik', 'kedepannya', 'recommended', 'mempermudah', 'akses', 'pulsa', 'paket', 'cek', 'kuota', 'dsb', '']</t>
  </si>
  <si>
    <t>['jaringan', 'memburuk', 'tolong', 'harga', 'sesuai', 'kualitas', 'data', 'hasilkan', 'buffering', 'sosial', 'media', 'please', 'fix', 'the', 'signal', 'conection', 'problem']</t>
  </si>
  <si>
    <t>['kecewa', 'paketan', 'internet', 'masi', 'motong', 'pulsa', 'utama', 'pulsa', 'abis', 'mending', 'operator', 'sebelah', 'alasan', 'jarang', 'ngisi', 'simpati', 'tarip', 'ver']</t>
  </si>
  <si>
    <t>['tolong', 'ruangan', 'rumah', 'lemah', 'jaringan', 'datanya', 'ruangan', 'jarak', 'meter', 'jaringan', 'stabil', 'jaringan', 'data', 'perdana', 'pelanggan', 'setia', 'kecewa']</t>
  </si>
  <si>
    <t>['maaf', 'telkomsel', 'diapk', 'promo', 'murah', 'cuman', 'sediakan', 'kuota', 'sms', 'cuman', 'kuota', 'telepon', 'udah', 'memakai', 'aplikasi', 'lihat', 'fiturnya', 'kuota', 'sms', 'mudah', 'mudahan', 'dibaca', 'ulasan', '']</t>
  </si>
  <si>
    <t>['skrang', 'sinyal', 'telkomsel', 'kyk', 'siput', 'lemoooootttt', 'udah', 'harga', 'kuota', 'mahal', 'ngasih', 'terbaik', 'nambah', 'tolong', 'perbaiki', 'lancar', 'kyk', 'kabur', 'pelanggan', 'telkomsel', 'kyk', 'gini', 'mah']</t>
  </si>
  <si>
    <t>['', 'telkomsel', 'jelek', 'kali', 'login', 'susah', 'penampilan', 'mlah', 'karuan', 'gimana', 'memper', 'mudah', 'aplikasi', 'mlah', 'mempersulit', 'kyak', 'gini', 'biaya', 'mahal', 'jaringan', 'lemot', 'pengguna', 'telkomsel', 'mengeluh', 'ulasan', 'aplikasi', 'tpi', 'respon']</t>
  </si>
  <si>
    <t>['aplikasi', 'telkomsel', 'jalan', 'uninstalled', 'install', 'bgerti', 'kemana', 'kesini', 'min', 'tolong', 'apan', 'apkikasi', 'diunduh', 'berhari', 'call', 'forwarding', 'fipakai', 'hilang', 'laporan', 'beresnya', 'pakai', 'nomor', 'provider', 'lihat', 'pulsa', 'nganggur', 'disikat', 'tel', 'simpati', 'blm', 'diangkat', 'disedot', 'pulsa', 'nganggur', 'buang', 'ganti', '']</t>
  </si>
  <si>
    <t>['hay', 'telkomsel', 'jaringan', 'desa', 'ber', 'kadang', 'internetan', 'tower', 'blakang', 'rumah', 'kadang', 'lemot', 'ampun', 'tolong', 'cek', 'perbaiki', 'jaringan', 'daerah', '']</t>
  </si>
  <si>
    <t>['hadeuhhh', 'pulsa', 'kesedot', 'kaya', 'habis', 'rugi', 'jugaa', 'dipake', 'mohon', 'diperbaikiii', 'kondisi', 'susah', 'kaya', 'gini', 'emang', 'pulsa', 'tujuannya', 'beli', 'kuota', 'habis', 'kemana', 'dahal', 'make', 'paket', 'mohon', 'diperbaiki', 'telkomsel', '']</t>
  </si>
  <si>
    <t>['ngerti', 'telkomsel', 'kesini', 'parah', 'sinyalnya', 'emosi', 'beli', 'paketan', 'data', 'harga', 'murah', 'blm', 'pulsa', 'kesedot', 'habis', 'sampe', 'nol', 'alasan', 'akses', 'internet', 'non', 'paket', 'msh', 'paket', 'data', 'bergiga', 'gunanya', 'paket', 'data', 'pulsa', 'kekuras', 'sampe', 'nol', 'gitu', 'ampun', 'deh', '']</t>
  </si>
  <si>
    <t>['selamat', 'malam', 'telkomsel', 'mohon', 'cari', 'solusi', 'sinyal', 'wilayah', 'stabil', 'malam', 'habis', 'magrib', 'pecinta', 'game', 'mobile', 'legends', 'terganggu', 'kendala', 'sinyal', 'lokasi', 'curup', 'kabupaten', 'rejang', 'lebong', 'terima', 'kasih', '']</t>
  </si>
  <si>
    <t>['paket', 'data', 'habis', 'buka', 'niat', 'beli', 'kuota', 'app', 'eehh', 'jalankan', 'paket', 'data', 'hadehh']</t>
  </si>
  <si>
    <t>['jaringan', 'simpati', 'kacau', 'kartu', 'hallo', 'jaring', 'stabil', 'parah', 'kadang', 'palsu', 'kadang', 'jaringan', 'rendah', 'skrng', 'kacau', 'paketan', 'simpati', 'nomer', 'beda', 'murah', 'mahal', 'aneh', 'kaya', 'operator', '']</t>
  </si>
  <si>
    <t>['please', 'telkomsel', 'perusahaan', 'gede', 'penulisan', 'nama', 'paket', 'kuota', 'beranda', 'pembelian', 'salah', 'disayangkan', 'banget', 'kaya', 'gini', 'gimana', 'orang', 'buru', 'kebeli', 'kuota', 'salah', 'nggak', 'nulis', 'lengkap', 'judul', 'gitulah', 'kecewa', 'teknik', 'marketingnya', 'nakal', 'gabanget', '']</t>
  </si>
  <si>
    <t>['user', 'telkomsel', 'smk', 'paket', 'data', 'dibagi', 'kalangan', 'daerahnya', 'sinyal', 'telkomsel', 'diberatkan', 'kuota', 'internet', 'relatif', 'mahal', 'sinyalnys', 'hilang', 'speednya', 'downnya']</t>
  </si>
  <si>
    <t>['telkomsel', 'lemot', 'terhitung', 'koneksi', 'buruk', 'lemot', 'tolong', 'respon', 'cek', 'terimakasih', 'wilayah', 'desa', 'sumber', 'rejo', 'kec', 'waway', 'karya', 'lampung', 'timur', 'lampung', '']</t>
  </si>
  <si>
    <t>['', 'tsel', 'ntah', 'knp', 'emosi', 'notifikasi', 'bershasil', 'transfer', 'pulsa', 'bla', 'bla', 'ngk', 'notif', 'sehari', 'muncul', 'kadang', 'kadang', 'emosi', 'tolong', 'penjelasan', 'woi']</t>
  </si>
  <si>
    <t>['paspasan', 'kecewa', 'banget', 'pembaruan', 'telkomsel', 'sat', 'login', 'phon', 'muncul', 'sms', 'selamat', 'paket', 'pulsa', 'aktif', 'rekomendasi', 'berhenti', 'berlangganan', 'telkomsel', 'bala', 'bala', 'gehu', 'banget', 'sumpah']</t>
  </si>
  <si>
    <t>['tolong', 'respon', 'keluhan', 'dri', 'pelanggan', 'jaringan', 'ngeleg', 'maksud', 'sesuai', 'harga', 'kualitas', 'telkomsel', 'tolong', 'tanggapi', 'serius', 'cma', 'harga', 'mahal', 'tpi', 'jaringan', 'buruk', 'mohon', 'tanggapi']</t>
  </si>
  <si>
    <t>['jaringan', 'lambat', 'mengatasi', 'proses', 'daftar', 'kuota', 'kuota', 'mahal', 'jaringan', 'lambat', 'kuota', 'cepet', 'abis', 'kuota', 'mahal', 'harga', 'paketnya', 'pokoknya', 'buruk', 'telkomsel', 'mengecewakan', 'terima', 'kasih', '']</t>
  </si>
  <si>
    <t>['isi', 'giliran', 'bayar', 'tulisannya', 'system', 'error', 'tunggu', 'menit', 'tulisannya', 'hubungi', 'customer', 'servis', 'telkom', 'niat', 'bisnis', '']</t>
  </si>
  <si>
    <t>['suka', 'memakai', 'aplikasi', 'nyaman', 'bug', 'dimana', 'membeli', 'paket', 'internet', 'membuka', 'aplikasi', 'mohon', 'diperbaiki']</t>
  </si>
  <si>
    <t>['metode', 'pembayaran', 'tersedia', 'mengunakan', 'pulsa', 'banyar', 'pakai', 'shopee', 'tersedia', 'menghubungi', 'bantu', 'telkomsel', 'solusi', 'selesaikan']</t>
  </si>
  <si>
    <t>['harga', 'paket', 'internet', 'telkomsel', 'ngawur', 'sebanding', 'kualitas', 'jaringannya', 'terjangkau', 'kualitas', 'jaringannya', 'area', 'pinggiran', 'tetep', 'strong', '']</t>
  </si>
  <si>
    <t>['', 'slow', 'respon', 'solusi', 'peningkatan', 'system', 'pengecekan', 'pembelian', 'paket', 'sampe', 'proses', 'kunjung', 'sukses', 'pulsa', 'berkurang', 'cek', 'biaya', 'pemakaian', 'trakir', 'tertulis', 'biaya', 'data', 'kb', 'data', 'selular', 'kartu']</t>
  </si>
  <si>
    <t>['blakangan', 'telkomsel', 'pnuh', 'kesabaran', 'jaringannya', 'garis', 'halangan', 'hujan', 'ato', 'apalah', 'cuaca', 'cerah', 'signal', 'lag', 'parah', 'main', 'game', 'terganggu', 'tolonglah', 'gimnaa']</t>
  </si>
  <si>
    <t>['parah', 'telkomsel', 'menyiksa', 'masak', 'menyiksa', 'warga', 'sebangsa', 'setanah', 'air', 'negri', 'mengerti', 'warga', 'telkomsel', 'seumur', 'kali', 'komen', 'kecewa', 'tersangat', 'kecewa', '']</t>
  </si>
  <si>
    <t>['', 'android', 'kompetibel', 'aplikasi', 'android', 'jellybean', 'pakai', 'android', 'android', '']</t>
  </si>
  <si>
    <t>['jaringan', 'telkomsel', 'skrng', 'buruk', 'banget', 'jelek', 'bagus', 'dikota', 'madya', 'ngelag', 'lag', 'jaringan', 'kuota', 'mahal', 'tpi', 'kualitas', 'buruk', 'jelek', 'tlong', 'diperbaiki', 'sampe', 'bnyak', 'pelanggan', 'telkomsel', 'kecewa', 'banget']</t>
  </si>
  <si>
    <t>['memuaskan', 'tukar', 'poin', 'kali', 'total', 'ribu', 'labih', 'kena', 'hadiah', 'payah', 'undiannya', 'seru', 'juni', 'nukar', 'kupon', 'total', 'juli', 'tukar', 'sebulan', 'total', 'kupon', 'kena', 'capeq', 'putus', 'asa', '']</t>
  </si>
  <si>
    <t>['telkomsel', 'maytelkomsel', 'pembaruan', 'mesti', 'masuk', 'game', 'kecewa', 'perubahan', 'merakyat', 'orang', 'tua', 'anak', 'mesti', 'main', 'game', 'pembaruan', 'macan', 'jujurr', 'keputusan', 'ambill', 'maytelkomsel', 'mendidik', 'lihat', 'tiggal', 'berpanya', 'data', 'kuota', 'sulut', 'masuknya', 'pribadi', 'sangaaat', 'kecewa', '']</t>
  </si>
  <si>
    <t>['filter', 'pulsa', 'kesedot', 'langsung', 'quota', 'habis', 'memikirkan', 'axis', 'dipaket', 'pulsa', 'langsung', 'ilang', 'membuka', 'aplikasi', 'mytelomsel', 'gratis', 'bener', 'urgent', 'pulsa', 'utuh', 'angel', 'angel', 'gimana', 'bangga', 'aplikasi', 'anak', 'bamgsa', '']</t>
  </si>
  <si>
    <t>['telkomsel', 'keren', 'mantap', 'jaringannnn', 'good', 'pelosok', 'pelosok', 'daerah', 'tertinggal', 'terluar', 'terjangkau', 'pulau', 'pulau', 'pengguna', 'telkomsel', 'kartu', 'merasakan', 'manfaatt', 'menikmatinya', 'komunikasi', 'lancar', 'tambahan', 'infomasi', 'tinggal', 'daerah', 'pulau', 'tepatnya', 'flores', 'timur', 'kecamatan', 'larantuka', 'alhamdulilah', 'minikmati', 'jaringan', 'lancar', 'komunikasi', 'telfon', 'sma', 'lancar', 'telkomsel', 'jaya', 'sukses']</t>
  </si>
  <si>
    <t>['kecewa', 'telkomsel', 'paket', 'data', 'membeli', 'paket', 'data', 'seharga', 'paket', 'data', 'gb', 'game', 'paket', 'utama', 'habis', 'tinggal', 'paket', 'game', 'main', 'game', 'tolong', 'klarifikasinya', '']</t>
  </si>
  <si>
    <t>['bintangnya', 'pertanda', 'pelanggan', 'telkomsel', 'kecewa', 'nulis', 'ulasan', 'nulis', 'langsung', 'ganti', 'kartu', 'bahan', 'evaluasi', 'telkomsel', '']</t>
  </si>
  <si>
    <t>['skrg', 'telkomsel', 'paket', 'random', 'beli', 'paket', 'tergantung', 'pembelian', 'paket', 'nelpon', 'unlimited', 'batasan', '']</t>
  </si>
  <si>
    <t>['data', 'aktif', 'pulsa', 'berkurang', 'telkomsel', 'aplikasinya', 'bagus', 'telkomsel', 'ambil', 'pulsa']</t>
  </si>
  <si>
    <t>['pengguna', 'skrg', 'jaringan', 'lelet', 'beli', 'paket', 'mahal', 'ajah', 'bundling', 'paket', 'sms', 'jaman', 'paket', 'sms', 'bundling', 'youtube', 'kepake', 'kuota', 'utama', 'karna', 'kuota', 'utama', 'habis', 'keburu', 'paket', 'habis', 'piye', 'telkomsel']</t>
  </si>
  <si>
    <t>['lemot', 'pulsaku', 'kesedot', 'isi', 'pulsa', 'berbuat', 'nggak', 'kemudahan', 'pelanggan', 'menghentikan', 'layanan', 'siluman', 'menyedot', 'isi', 'pulsa', '']</t>
  </si>
  <si>
    <t>['gimana', 'update', 'bagus', 'perbaiki', 'pless', 'seratus', 'kali', 'coba']</t>
  </si>
  <si>
    <t>['beli', 'kuota', 'aplikasinya', 'gangguan', 'mulu', 'gimana', 'suruh', 'periksa', 'koneksi', 'internet', 'signal', 'bagus', 'secepatnya', 'betulkan', 'susah', 'pelanggan', 'coba', 'kali', 'memutuskan', 'meng', 'update', 'terbaru', 'aplikasi', 'keputusan', 'maaf', 'aplikasinya', 'sungguh', 'bermanfaat', 'orang', 'berterima', 'kasih', 'aplikasi', 'sungguh', 'membantu', 'semangat', 'tingkat', '']</t>
  </si>
  <si>
    <t>['beli', 'paket', 'combo', 'gb', 'rincian', 'gb', 'kuota', 'utama', 'gb', 'unlimited', 'kuota', 'utama', 'habis', 'pindah', 'kuota', 'unlimited', 'kuota', 'sungguh', 'lemot', 'menggunakannya', 'gondok', 'saran', 'gimana', 'kuota', 'unlimited', 'separuhnya', 'masukan', 'kuota', 'utama', 'embel', 'kuota', 'unlimited', 'lemot', 'ujung', 'terpakai', 'mahal', 'terpakai', 'terimakasih']</t>
  </si>
  <si>
    <t>['tolong', 'susah', 'login', 'telkomsel', 'mesti', 'kirim', 'link', 'sms', 'ribet', 'bete', 'susah', 'abanget', 'lola', 'gini', 'cepat', 'buka', 'langsung', 'login', 'lelet', 'banget', 'kirim', 'link', 'sms', 'linknya', 'kadang', 'terkirim', 'kadang', 'terkirim', 'susah', 'unk', 'login', 'gagal', 'error', 'tolong', 'grade', 'kecepatannya', '']</t>
  </si>
  <si>
    <t>['beli', 'paket', 'combo', 'sakti', 'berlaku', 'beli', 'tgl', 'juli', 'aktifnya', 'tgl', 'agustus', 'non', 'aktif', 'tanggal', 'agustus', 'tolong', '']</t>
  </si>
  <si>
    <t>['pulsa', 'kepotong', 'paket', 'internet', 'sinyal', 'bapuk', 'tenggah', 'malam', 'saran', 'kasih', 'fitur', 'lock', 'pulsa', '']</t>
  </si>
  <si>
    <t>['versi', 'alhamdulillah', 'lancar', 'dibuka', 'tambahan', 'tambahkan', 'fitur', 'pulsa', 'terambil', 'kuota', 'habis', 'pemberitahuan', 'sms', 'seringkali', 'kuota', 'habis', 'duluan', 'pulsa', 'hilang', 'kec', 'internet', 'pulsa', 'ratusan', 'ribu', 'hilang', 'sekejap', '']</t>
  </si>
  <si>
    <t>['pajet', 'gua', 'beda', 'dewekan', 'ama', 'kartu', 'kartu', 'gaoantes', 'dapet', 'bintang', 'paket', 'mahal', 'jaringan', 'ancur', 'kapokkkk']</t>
  </si>
  <si>
    <t>['tolong', 'telkomsel', 'pulsa', 'terpotong', 'otomatis', 'habis', 'persetujuan', 'mengakses', 'internet', 'kuota', 'internet', 'habis', '']</t>
  </si>
  <si>
    <t>['viral', 'bintang', 'sinyal', 'setahun', 'lemot', 'paket', 'internet', 'mahal', 'klau', 'mahal', 'sesuai', 'kwalitas', 'jaringan', 'apalah', '']</t>
  </si>
  <si>
    <t>['maaf', 'paket', 'unlimited', 'pembatasan', 'pemakaian', 'normal', 'paket', 'data', 'dibagi', 'regulee', 'unlimited', 'unlimited', 'dibatasi', 'penggunaan', 'kuota', 'wajar', 'speed', 'rate', 'internet', 'diturunkan', 'dijadikan', 'regular', 'pakai', 'unlimited', 'harga', '']</t>
  </si>
  <si>
    <t>['suka', 'apk', 'tingkatkan', 'hadiah', 'check', 'mengunakan', 'apk', 'bersemangat', 'mengajak', 'orang', 'terdekat', 'apk', '']</t>
  </si>
  <si>
    <t>['gila', 'mahal', 'paket', 'memuaskan', 'semenjak', 'kebakaran', 'lelet', 'dikota', 'listrik', 'padam', 'paket', 'harga', 'layanan', 'disesuaikan', 'harga', 'the', 'moon', 'layanan', 'the', 'ground', 'terimakasih', 'telkomsel']</t>
  </si>
  <si>
    <t>['telkomsel', 'tega', 'curi', 'pulsa', 'pelanggannya', 'dikala', 'susah', 'susah', 'aneh', 'sengaja', 'aktifin', 'data', 'detik', 'pulsa', 'rb', 'langsung', 'hilang', 'langsung', 'buang', 'telkomsel', 'telkomsel', 'doyan', 'ngambil', 'pulsa', 'pelanggan', 'uninstal', 'ajh', 'jngn', 'sampe', 'nyesel', 'kaya']</t>
  </si>
  <si>
    <t>['apps', 'mytelkomsel', 'jelek', 'banget', 'update', 'login', 'ngak', 'parah', 'jelek', 'aplikasinya', 'jaringannya', 'nyesel', 'ngabisin', 'kuota']</t>
  </si>
  <si>
    <t>['jujur', 'seneng', 'produk', 'telkomsel', 'skrng', 'telkomsel', 'pelayanannya', 'jelek', 'trus', 'produknya', 'bohong', 'kasih', 'unlimited', 'pelanggan', 'mending', 'rubah', 'nama', 'paket', 'unlimited', 'ganti', 'namanya', 'kuota', 'aplikasi', 'habis', 'kuota', 'beli', 'kuota', 'aktif', 'paket', 'males', 'pke', 'telkomsel', 'hemat', 'boroooos']</t>
  </si>
  <si>
    <t>['berkurang', 'kuota', 'kecepatan', 'lambat', 'maaf', 'telkomsel', 'terpaksa', 'ganti', 'kartu', 'kecepatan', 'stabil', 'kuota', 'murah', 'berkali', 'kali', 'lipat', 'contoh', 'ribu', 'kuora', 'gb', 'full', 'dibagi', '']</t>
  </si>
  <si>
    <t>['hey', 'telkomsel', 'terhormat', 'tolong', 'laah', 'bagusin', 'jaringan', 'nyaa', 'sinii', 'jaringan', 'bagus', 'tpi', 'bukak', 'apk', 'kebanyakan', 'muter', 'tolong', 'sekli', 'perbaiki', 'kasihanilah', 'udh', 'belik', 'pulsa', 'paketnya', 'mahal', 'tpi', 'kenpaa', 'jaringan', 'nyaa', 'murah', 'ush', 'gtu', 'laa', 'tolong', 'laa', 'fliss', 'perbaiki', 'jaringan', 'telkom', 'makek', 'telkomsel', 'kecewa', '']</t>
  </si>
  <si>
    <t>['kecewa', 'paket', 'pakai', 'isi', 'ulang', 'sayangkan', 'pelanggan', 'kecewa', 'ulasan', 'respon', 'kecewa', 'telkomsel']</t>
  </si>
  <si>
    <t>['bnyak', 'kecewa', 'telkomsel', 'udh', 'mahal', 'jaringanya', 'lemot', 'udh', 'bangkrut', 'kyak', 'gini', 'mahallin', 'bonusnya', 'mendingan', 'pakek', 'kartu', 'laen', 'gaes', 'udh', 'hrganya', 'muran', 'paket', 'datapun', 'puas', 'sorry', 'bintang', 'telkomsel', '']</t>
  </si>
  <si>
    <t>['udah', 'redem', 'poin', 'beli', 'kupon', 'poin', 'dapetin', 'kupon', 'toyota', 'yaris', 'pengumuman', 'tgl', 'agustus', 'pas', 'cek', 'pengumuman', '']</t>
  </si>
  <si>
    <t>['sinyal', 'jelek', 'solusi', 'komplain', 'udah', 'restart', 'jaringan', 'berpengaruh', 'telkomselnya', 'berbenah', 'udah', 'diinstallkan', 'indihome', 'teknisinya', 'ditelpon', 'bilangnya', 'besok', 'datangnya', 'kualitas', 'jaringan', 'sinyal', 'perusahaan', 'bumn', 'bener']</t>
  </si>
  <si>
    <t>['koneksi', 'buruk', 'jaringan', 'kuota', 'gb', 'akses', 'internet', 'pakek', 'game', 'online', 'sinyal', 'merah', 'parahh', 'bangett', 'jaringan', 'telkomsel', 'tolong', 'perbaiki', 'kerja', 'kerja', 'kerja', 'tidurrr']</t>
  </si>
  <si>
    <t>['jaringan', 'internet', 'telkomsel', 'jelek', 'pelanggan', 'setia', 'telkomsel', 'paket', 'internet', 'mahal', 'setia', 'lancar', 'knapa', 'lelet', 'jelek', 'signal', 'internet', '']</t>
  </si>
  <si>
    <t>['aplikasi', 'melayani', 'upgrade', 'paket', 'layanan', 'pasca', 'bayar', 'istimewa', 'parah', 'sinyal', 'putus', 'putus', 'bts', 'ampun', 'telkomsel', 'terpaksa', 'mending', 'downgrade', 'prabayar', '']</t>
  </si>
  <si>
    <t>['kecewaaaaaaa', 'telkomsel', 'maen', 'game', 'nge', 'lag', 'trs', 'perumahan', 'bukit', 'nusa', 'indah', 'ciputat', 'tolong', 'jaringan', 'perbarui', 'apalah', 'bln', 'harga', 'sesuaikan', 'kualitas', 'matur', 'suwon']</t>
  </si>
  <si>
    <t>['kali', 'gua', 'ulasan', 'komen', 'telkomsel', 'why', 'gua', 'telkomsel', 'seumue', 'hidup', 'kartu', 'telkomsel', 'gua', 'kartu', 'telponan', 'ortu', 'gua', 'tambahin', 'kartu', 'data', 'gua', 'nyadar', 'banget', 'menyadari', 'telkom', 'dirumah', 'gua', 'bagus', 'banget', 'gua', 'pergi', 'jendela', 'kadang', 'rumah', 'dapet', 'sinyal', 'pas', 'gua', 'telkomsel', 'dikamar', 'gua', 'nggak', 'tencu', '']</t>
  </si>
  <si>
    <t>['telkomsel', 'sinyal', 'internet', 'hilang', 'beda', 'hilang', 'sinyalnya', 'capek', 'laporan', 'payah', '']</t>
  </si>
  <si>
    <t>['pengalaman', 'ulasan', 'pelanggan', 'telkomsel', 'jelek', 'mengalami', 'paket', 'darurat', 'sehari', 'transaksi', 'selse', 'kuota', 'untung', 'rumah', 'teman', 'wifi', 'duuuh', 'gimana', 'kenerja', 'kuota', 'tri', 'aman', 'wifi', 'drumah']</t>
  </si>
  <si>
    <t>['tolong', 'nomor', 'gabisa', 'nerima', 'sms', 'mengirim', 'menerima', 'tlp', 'menelepon', 'gangguan', 'gimana', '']</t>
  </si>
  <si>
    <t>['telkomsel', 'masoh', 'buruk', 'jaringan', 'internetnya', 'harga', 'mahal', 'jaringan', 'buruk', 'kota', 'jaringan', 'hilang', 'hilang', 'coba', 'beli', 'paket', 'gb', 'aktif', 'kirain', 'udah', 'perubahan', 'sinyal', 'hilang', 'hilang', 'telkomsel', 'buruk', 'layak', '']</t>
  </si>
  <si>
    <t>['kecewe', 'sinyal', 'internet', 'telkomsel', 'dikota', 'aman', 'lancar', 'ehhhh', 'kesini', 'jatuh', 'tersungkur', 'beli', 'paket', 'mahal', 'provider', 'menentukan', 'hasil', 'tanda', '']</t>
  </si>
  <si>
    <t>['saran', 'admin', 'bikinin', 'paket', 'khusus', 'umkm', 'indonesia', 'bantu', 'perekonomian', 'rakyat', 'paket', 'gratisan', 'sarana', 'jualan', 'online', 'bukalapak', 'shopee', 'tokopedia', 'dsb', '']</t>
  </si>
  <si>
    <t>['telkomsel', 'udah', 'paket', 'mahal', 'idr', 'mahal', 'kadaluarsa', 'sebulan', 'masak', 'beli', 'tgl', 'agutus', 'jatuh', 'tempo', 'agust', 'mafia', 'terbesar', 'telkomsel', 'udah', 'amao', 'tolong', 'mafia', 'masak', 'kalah', 'tetangga', 'paket', 'murah', '']</t>
  </si>
  <si>
    <t>['luncurin', 'maksa', 'ngalami', 'kejadian', 'kaya', 'gini', 'luncurin', 'jaringan', 'aslinya', 'kenceng', 'lemod', 'kejadian', 'signal', 'bar', 'full', 'jaringan', 'koneksi', 'lemod', 'udah', 'harga', 'paketnya', 'mahal', 'pelayanan', 'kalah', 'warteg', 'kecewa', '']</t>
  </si>
  <si>
    <t>['kecewa', 'aplikasi', 'tagihan', 'kartu', 'halo', 'bengkak', 'gara', 'gara', 'paket', 'kuota', 'telpon', 'tertera', 'dipakai', 'terpakai', 'menit', 'aplikasi', 'kartu', 'pokoknya', 'kecewa']</t>
  </si>
  <si>
    <t>['perbaiki', 'jaringan', 'masak', 'login', 'game', 'browsing', 'kenceng', 'pas', 'login', 'game', 'aneh', 'kayak', 'kartu', 'sebelah', 'kota', 'kampung', '']</t>
  </si>
  <si>
    <t>['parah', 'daftar', 'paket', 'internet', 'sistem', 'sibuk', 'aduin', 'minggu', 'perbaikan', '']</t>
  </si>
  <si>
    <t>['sayangnya', 'paketan', 'telkomsek', 'systimnya', 'jadul', 'nggak', 'full', 'jam', 'males', 'isi', 'pulsa', 'kartu', 'emang', 'kadang', 'iming', 'kuota', 'gede', 'pas', 'baca', 'teliti', 'mahal', 'banget', '']</t>
  </si>
  <si>
    <t>['kelemahan', 'aplikasi', 'update', 'lelet', 'cepat', 'telkomsel', 'menit', 'logo', 'muncul', 'login', 'gimana', 'login', 'cepat', 'play', 'store', 'buka', 'buka', 'aplikasinya', 'setahun', 'muncul', 'kecuali', 'diperbaiki', 'perbaiki', 'telkomsel', 'memperbaikinya', 'parah', 'banget', 'aplikasinya', '']</t>
  </si>
  <si>
    <t>['profesioanal', 'layak', 'buruk', 'kuota', 'omg', 'komplen', 'telkom', 'ditanggapi', 'buruk']</t>
  </si>
  <si>
    <t>['nama', 'aplikasi', 'gofood', 'aneka', 'juice', 'kabita', 'pamulang', 'barat', 'nama', 'aplikasi', 'grabfood', 'aneka', 'jus', 'sup', 'buah', 'kabita', 'nama', 'aplikasi', 'shopee', 'food', 'juice', 'kabita', 'pamulang', 'barat', '']</t>
  </si>
  <si>
    <t>['', 'kau', 'wkwkw']</t>
  </si>
  <si>
    <t>['gimana', 'kaga', 'perubahan', 'jaringan', 'lemot', 'didaerah', 'bitung', 'balaraja', 'kecewa', 'pelangan', 'kali', 'merasakan', 'lemotna', 'kondisi', 'hujan']</t>
  </si>
  <si>
    <t>['apk', 'login', 'misi', 'check', 'disaat', 'check', 'full', 'gb', 'disitulah', 'telkomsel', 'sengaja', 'login', 'check', 'selesai', 'udah', 'deh', 'telkomsel', 'rugi', 'kontollllll', 'jancolah']</t>
  </si>
  <si>
    <t>['jaringan', 'telksel', 'desa', 'simangambat', 'kabupaten', 'padang', 'lawas', 'utara', 'akses', 'terkadang', 'terkoneksi', 'putus', 'akses', 'mohon', 'perbaikan', 'provider']</t>
  </si>
  <si>
    <t>['telkomsel', 'anzenggg', 'bangett', 'sumpahh', 'naek', 'darah', 'maen', 'pas', 'deket', 'turet', 'suka', 'nge', 'lag', 'pas', 'deket', 'turet', 'mulu', 'nge', 'lag', 'telkom', 'sinyal', 'suka', 'edge']</t>
  </si>
  <si>
    <t>['telkomsel', 'ancur', 'paraaaah', 'dulunya', 'aman', 'susahnya', 'mintak', 'ampuun', 'gimana', 'tolong', 'diperbaiki', 'kualitas', 'sinyalnya', 'kmaren', 'berbeda', 'pengguna', 'kecewa', 'ditempat', '']</t>
  </si>
  <si>
    <t>['tolong', 'penawaran', 'kartu', 'hallo', 'diberitahu', 'detail', 'kelebihan', 'kekurangannya', 'promosi', 'dikasih', 'benefit', 'tagihan', 'terlanjur', 'diubah', 'kartu', 'orang', 'awam', 'gimana', 'kritis', 'iyaiya', 'orang', 'dirugikan', '']</t>
  </si>
  <si>
    <t>['tolong', 'kirim', 'foto', 'kasih', 'bukti', 'kuota', 'combo', 'omg', 'bonus', 'voice', 'tsel', 'menit', 'keterangan', 'dibawahnya', 'menit', 'korup', 'sadar', 'udah', 'langganan', 'jujur', 'rugi', 'paketan', 'telkomsel', 'udah', 'mahal', 'eror', 'udah', 'kayak', 'kayaknya', 'ganti', 'nomor', 'abis', 'gini', '']</t>
  </si>
  <si>
    <t>['pulsa', 'hilang', 'pas', 'cek', 'pengeluaran', 'pengeluaran', 'internet', 'kuota', 'pinter', 'telkomsel', 'nyari', 'keuntungan', 'intinya', 'nyetok', 'pulsa', 'telkomsel', 'gerus', 'dikit', 'dikit', 'kuota', '']</t>
  </si>
  <si>
    <t>['keseringan', 'lemot', 'jaringan', 'sinyal', 'full', 'muter', 'muter', 'nonton', 'youtube', 'tinggal', 'dipdng', 'kota', 'telkomsel', 'jaringan', 'udah', 'luas', 'sekai', 'lemot', 'buka', 'muter', 'muter', 'teruss', 'kirim', 'nyampe', 'buka', 'vidio', 'ampun', 'deh', 'tolong', 'telkomsel', 'jaringan', 'kota', 'pdng', 'arah', 'cangkeh', 'perbaiki', 'terimakasih', '']</t>
  </si>
  <si>
    <t>['paket', 'game', 'min', 'nda', 'udah', 'coba', 'normal', 'rame', 'banget', 'nambah', 'user', 'telkomsel', 'dijamin', 'min']</t>
  </si>
  <si>
    <t>['', 'design', 'versi', 'terbaru', 'lebai', 'lemotnya', 'ampun', 'blokkk', 'kemudahan', 'layanan', 'bkn', 'tampilan']</t>
  </si>
  <si>
    <t>['tolong', 'ditingkatkan', 'kwalitas', 'jaringan', 'didaerah', 'telaga', 'mas', 'kec', 'harapan', 'bekasi', 'utara', 'internetnya', 'kosong', 'sinyal', 'barnya', 'terimakasih', 'semoga', 'cepat', 'direspon', 'diperbaiki', '']</t>
  </si>
  <si>
    <t>['temen', 'temen', 'pakai', 'telkomsel', 'tolong', 'berhati', 'hati', 'promo', 'ceria', 'usahakan', 'pulsa', 'rupiah', 'pulsanya', 'data', 'dihidupkan', 'jaringan', 'berubah', 'ubah', 'berubahnya', 'berulang', 'ulang', 'pulsa', 'bablas', 'bersisa', 'pinter', 'sistem', '']</t>
  </si>
  <si>
    <t>['bagusnya', 'pulsa', 'poin', 'telkomsel', 'ditukarkan', 'pulsa', 'paket', 'data', 'admin', 'sediain', 'offlinenya', 'pengguna', 'memaksimalkan', 'poin', 'dipakai', 'krisis', 'paket', 'data', 'keuangan', '']</t>
  </si>
  <si>
    <t>['aplikasi', 'penipuan', 'kemaren', 'beli', 'kuota', 'ketengan', 'game', 'aplikasi', 'dipake', 'mengadu', 'tsel', 'disebabkan', 'memiliki', 'kuota', 'reguler', 'membeli', 'paketnya', 'rincian', 'paket', 'tertera', 'memiliki', 'kuota', 'reguler', 'konsumen', 'mersa', 'dirugikan', '']</t>
  </si>
  <si>
    <t>['aplikasi', 'bangke', 'kuota', 'utama', 'habis', 'notif', 'skali', 'alhasil', 'pulsa', 'kekuras', 'bangke', 'bener', 'apk', 'mutu', 'uninstall', 'pindah', 'sebelah', 'bye', '']</t>
  </si>
  <si>
    <t>['paraahhhhh', 'beli', 'paket', 'combo', 'sakti', 'pembayaran', 'pulsa', 'oke', 'dibales', 'ehh', 'taunyaa', 'paketan', 'internet', 'masuk', 'ahirnya', 'pulsa', 'kesedot', 'hilang', 'setelahnya', 'parah', 'balasan', 'berhasil', 'centag', 'hijau', 'masuk', '']</t>
  </si>
  <si>
    <t>['maaf', 'terpaksa', 'posting', 'karn', 'keluhan', 'kendala', 'pengaktifan', 'layanan', 'gprs', 'digubris', 'hub', 'via', 'telegram', 'dpt', 'perkataan', 'mohon', 'menunggu', 'ranggal', 'agustus', 'laporanya', 'dimasa', 'pandemi', 'gini', 'kemudahan', 'dipersulit', 'menyesalkan', 'pelayanan', 'telkomsel', '']</t>
  </si>
  <si>
    <t>['terbaik', 'telkomsel', 'skrg', 'rubah', 'ngasih', 'bintang', 'skrg', 'mudah', 'appnya', 'skrg', 'meloding', 'trima', 'kasih', 'telkomsel', 'merespon', 'masukan', 'semoga', 'pertahankan', 'maju', 'pokoknya', 'penilaian', 'positif', 'deh', 'telkomsel', 'good', '']</t>
  </si>
  <si>
    <t>['telkontel', 'sampah', 'udh', 'kuota', 'mahal', 'dipake', 'dipusat', 'kota', 'main', 'game', 'ping', 'turun', 'ckckckc', 'sampah', 'sampah', 'fitur', 'fitur', 'butuh', 'quota', 'omg', 'omg', 'bang', 'at', 'paham', 'butuh', 'kuotaaaa', 'sinyal', 'perbagusssss', 'dongterlalu', 'mahal', 'jaman', 'pandemi', 'duit', 'serba', 'internet', 'mohon', 'murahin', 'telkomsel', 'jajah', 'negara']</t>
  </si>
  <si>
    <t>['paket', 'doang', 'mahal', 'kualitas', 'buruk', 'jaringan', 'lag', 'parah', 'mnding', 'ganti', 'operator', 'males', 'telkom', '']</t>
  </si>
  <si>
    <t>['masukan', 'kecamatan', 'tampil', 'kecamatan', 'kabupaten', 'bandung', 'coba', 'lengkap', 'aplikasi', 'diedit', 'manual', 'isi', 'alamat', 'tolong', 'perbaiki', 'aplikasinya']</t>
  </si>
  <si>
    <t>['telkomsel', 'knpa', 'saldo', 'pulsa', 'tertera', 'sesuai', 'isi', 'isi', 'beli', 'kuota', 'saldo', 'tertera', 'isi', 'knpa', 'saldo', 'pulsa', 'ngurang', 'kapok', 'fix', 'ganti']</t>
  </si>
  <si>
    <t>['update', 'aplikasinya', 'nggak', 'beli', 'data', 'nyoba', 'puluhan', 'kali', 'update', 'nyoba', 'langsung', 'tolong', 'update', 'dibetulkan']</t>
  </si>
  <si>
    <t>['telkomsel', 'emang', 'terbaik', 'terkait', 'jaringan', 'pelayanan', 'kekurangan', 'jaringan', 'stabil', 'rumah', 'penukanaran', 'poin', 'pilihan', 'game', 'online', 'semoga', 'kedepannya', 'telkomsel', 'memaksimalkan', 'kualitas', 'jaringannya', 'menghadirkan', 'penukaran', 'poin', 'pembelian', 'voucher', 'game', 'online', 'ditunggu', 'telkomsel', 'setia', 'perbaikannya', 'semoga', 'curahan', 'pengguna', 'setia', 'dengar', 'kabilukan', 'aamiin', '']</t>
  </si>
  <si>
    <t>['sumpah', 'aplikasi', 'update', 'pastinya', 'error', 'aplikasi', 'sampek', 'sumpah', 'aplikasi', 'jelek', 'har', 'update', 'basi', 'kadaluarsa', 'errorr', 'bug', '']</t>
  </si>
  <si>
    <t>['kuota', 'cuman', 'ama', 'youtube', 'doang', 'knapa', 'pulsanya', 'kepotong', 'cek', 'data', 'ama', 'kirim', 'laporan', 'disuruh', 'nunggu', 'trus', 'gimana', 'beli', 'paket', 'pulsa', 'kepotong', 'jelek', 'telkomsel', '']</t>
  </si>
  <si>
    <t>['paket', 'ceapat', 'abis', 'mendownload', 'padhal', 'sesui', 'kapasitas', 'download', 'contoh', 'mendownload', 'file', 'bonus', 'kuota', 'masi', 'gb', 'download', 'jalan', 'gb', 'file', 'pas', 'cek', 'bonus', 'kuota', 'udah', 'ketarik', 'duluan', 'gb', 'resiko', 'gagal', 'didownload', 'langsung', 'ilang', 'bonus', 'gb', 'intinya', 'tatik', 'duluan', 'kuota', 'internet', 'seblum', 'kelar', 'download', 'downloader', 'jama', 'samepe', 'skarang', 'berubah']</t>
  </si>
  <si>
    <t>['tolong', 'perbaiki', 'harga', 'paketan', 'mahal', 'sekatak', 'mahal', 'baget', 'ganti', 'kartu', 'tolong', 'turunin', 'harga', 'paketanya', 'sebelah', 'murah', 'cuman', 'jam', 'sebernya', 'nyaman', 'simpati', 'pandemi', 'cari', 'uang', 'susah', 'tolong', 'turunin', 'harganya', 'yaa', '']</t>
  </si>
  <si>
    <t>['', 'butuh', 'jaminan', 'kestabilan', 'signal', 'telkomsel', 'signal', 'down', 'mulu', 'mimpi', 'cepet', 'bangun', 'sadar', 'kenyataan', 'kondisi', 'negara', 'aspek', 'ego', 'nafsu', 'liat', 'negara', 'duit', '']</t>
  </si>
  <si>
    <t>['', 'sampah', 'telkosel', 'enak', 'sinyal', 'lancar', 'game', 'suka', 'jumping', 'paket', 'doang', 'mahal', 'sinyal', 'sampah']</t>
  </si>
  <si>
    <t>['kecewa', 'pelanggan', 'telkomsel', 'paket', 'langganan', 'internet', 'omg', 'gb', 'mahal', 'harga', 'pelanggan', 'membeli', 'promo', 'lbh', 'murahkan', 'smkn', 'dimahalkan', 'jaringan', 'skrg', 'lelah', 'alias', 'lola', 'loading', '']</t>
  </si>
  <si>
    <t>['parah', 'paket', 'internet', 'pulsa', 'disedot', 'lapor', 'disalahin', 'jaringan', 'tanggungjawab', 'jaringan', '']</t>
  </si>
  <si>
    <t>['buka', 'app', 'telkomsel', 'cek', 'kuota', 'perasaan', 'kuota', 'lelet', 'data', 'telkomsel', 'cek', 'notif', 'maaf', 'permintaan', 'proses', 'pantes', 'jaringan', 'full', 'lemott', 'wow', 'gini', 'telkomsel', 'pengguna', 'kecewakaan', 'fix', 'pindah', 'indosat', 'im', 'hemat', 'jaringan', 'setabil', 'terima', 'kasih']</t>
  </si>
  <si>
    <t>['pelanggan', 'pilihan', 'paket', 'internet', 'mahal', 'mahal', 'pelanggan', 'register', 'murah', 'murah', 'pilihat', 'paket', 'internet', 'kecewa', 'gue', 'udah', 'th', 'mahal', 'banget', 'pilihan', 'paket']</t>
  </si>
  <si>
    <t>['buruk', 'beli', 'paket', 'taunya', 'dipakai', 'sinyal', 'bar', 'internetnya', 'buruk', 'dipakai', 'jatuhnya', 'tindak', 'penipuan', 'telkomsel', 'kpd', 'pelangganya', '']</t>
  </si>
  <si>
    <t>['tolong', 'perbaiki', 'kualitas', 'internet', 'telkomsel', 'kecamatan', 'jirak', 'jaya', 'kabupaten', 'musi', 'banyuasin', 'sumsel', 'alhamdulillah', 'telkomsel', 'terbak', '']</t>
  </si>
  <si>
    <t>['semenjak', 'dilucurkan', 'jaringan', 'lelet', 'parah', 'tolong', 'diperbaiki', 'server', 'member', 'pindah', 'provider']</t>
  </si>
  <si>
    <t>['provider', 'koruptor', 'anjeenk', 'beli', 'paketnya', 'mahal', 'sinyal', 'hilang', 'pdhal', 'tinggal', 'kota', 'emng', 'kntol', 'provider', 'gangguan', 'ngasih', 'kompensasi', '']</t>
  </si>
  <si>
    <t>['aplikasinya', 'rusak', 'kaya', 'gabisa', 'masuk', 'udah', 'masuk', 'langsung', 'kluar', 'gabisa', 'aktifasi', 'paket', 'semoga', 'kedepannya', 'apknya', 'dibenahi', 'nyaman', 'dipakai']</t>
  </si>
  <si>
    <t>['mohon', 'diperbaiki', 'sinyal', 'berubah', 'ubah', 'jaringan', 'disaat', 'harga', 'sultan', 'kualitas', 'rendah', '']</t>
  </si>
  <si>
    <t>['aplikasi', 'susah', 'diakses', 'log', 'akun', 'link', 'diakses', 'layanan', 'bantuan', 'veronika', 'diakses', 'kali', 'kecewa', 'aplikasi', 'telkomsel', 'versi']</t>
  </si>
  <si>
    <t>['ngasih', 'bintang', 'dibawah', 'minus', 'parah', 'jaringannya', 'telkomsel', 'lho', 'kalah', 'kartu', 'sebelah', 'catet', 'admin', 'mikir', 'benerin', 'performanya']</t>
  </si>
  <si>
    <t>['gue', 'udah', 'top', 'gopay', 'dapet', 'diskon', 'pas', 'klick', 'buy', 'bayar', 'credit', 'pilihan', 'bayar', 'pakai', 'ngeselin', 'gue', 'beli', 'paket', 'gopulsa', 'sesuaiiiiii', 'keselllll']</t>
  </si>
  <si>
    <t>['kualitas', 'sinyal', 'telkomsel', 'daerah', 'gedong', 'tataan', 'kabupaten', 'pesawaran', 'lampung', 'buruk', 'sinyal', 'operator', 'kualitasnya', 'dipertimbangkan', 'pindah', 'operator', '']</t>
  </si>
  <si>
    <t>['telkomsel', 'burukkkk', 'sinyal', 'busuuukkk', 'aplikasi', 'update', 'gagal', 'login', 'aplikasi', 'berguna', 'harga', 'mahall', 'berkualitas', 'complaint', 'tanggapan', 'respon', 'bertanggung', 'operator', 'operator', 'sekelas', 'telkomsel', 'buruk', 'dibandingkan', 'operator', 'honest', 'review', 'sbg', 'pengguna', 'jasa', '']</t>
  </si>
  <si>
    <t>['paket', 'disney', 'gratis', 'pakai', 'telkomsel', 'operator', 'tertua', 'berpengalaman', 'mimin', 'omdo', 'omongan', 'doang', 'kasih', 'tindakan', '']</t>
  </si>
  <si>
    <t>['maaf', 'menyinggung', 'apk', 'tolong', 'dibetulkan', 'berkali', 'kali', 'log', 'masukin', 'voucher', 'telkomsel', 'tulisan', 'sistem', 'sibuk', 'mohon', 'bantuannya', 'cepat', 'dibetulkan', '']</t>
  </si>
  <si>
    <t>['telkomsel', 'kemarin', 'masuk', 'apk', 'ngga', 'sinyalnya', 'bagus', 'tolong', 'perbaiki', 'banget', 'error', 'ngga', 'buka', 'suka', 'logout']</t>
  </si>
  <si>
    <t>['ganti', 'rugi', 'gua', 'beli', 'kuota', 'paket', 'unlimited', 'game', 'gb', 'internet', 'lokal', 'gb', 'paket', 'gb', 'habis', 'login', 'game', 'unlimited', 'game', 'utuh', 'gimna', 'unlimited', 'telkomsel', 'kaya', 'kartu', 'lian', 'pokonya', 'ganti', 'rugi']</t>
  </si>
  <si>
    <t>['keluhan', 'ratting', 'jelek', 'tanggapan', 'perbaikan', 'gimana', 'maunya', 'gitu', 'fitur', 'ulasan', 'paket', 'jngan', 'dibagi', 'ckup', 'paket', 'internet', '']</t>
  </si>
  <si>
    <t>['jaringan', 'telkomsel', 'gimana', 'udah', 'aman', 'coba', 'beli', 'paket', 'tpi', 'skarang', 'kayak', 'beneran', 'berhenti', 'isi', 'paket', 'telkonsel', 'trakhir', 'kali', 'isi', 'kuota', 'telkomsel', 'slama', 'bulain', 'beralih', 'kartu', 'memuaskan', 'thanks', 'isi', 'paket', 'telkomsel']</t>
  </si>
  <si>
    <t>['bener', 'update', 'dicoba', 'berkali', 'login', 'gagal', 'update', 'dikasih', 'solusi', 'hubungi', 'akun', 'sosmed', 'admin', 'instal', 'apk', 'sosmed', 'hubungi', 'admin', 'ribet', 'gagal', 'login', 'bkn', 'tolong', 'kasih', 'solusi', 'logis', '']</t>
  </si>
  <si>
    <t>['telkomsel', 'gini', 'udah', 'mahal', 'sinyal', 'ngga', 'stabil', 'mah', 'jaringan', 'penuh', 'tolong', 'diperbaiki', '']</t>
  </si>
  <si>
    <t>['kouta', 'mahal', 'jaringan', 'udah', 'kaya', 'telkomsel', 'kaga', 'bafring', 'telkomsel', 'suka', 'bafring', 'jaringan', 'ilang', 'beda', 'smaa', 'sallalu', 'manteng', 'jaringan', '']</t>
  </si>
  <si>
    <t>['paket', 'data', 'habis', 'pas', 'beli', 'gangguan', 'sistem', 'nich', 'beli', 'logonya', 'sesuai', 'mutunya', 'signal', 'ilang', 'harga', 'paket', 'bulanan', 'parah', 'murah', 'minggu', 'promo', 'mahal', 'nama', 'ngeselin', 'rubah', 'permudah', '']</t>
  </si>
  <si>
    <t>['aneh', 'aplikasi', 'cuman', 'jaringan', 'telkomsel', 'ngambil', 'paket', 'jaringan', 'telkomsel', 'sendri', 'giru', 'skrng']</t>
  </si>
  <si>
    <t>['blm', 'simpati', 'anggurin', 'kab', 'bogor', 'sinyal', 'sgt', 'buruk', 'pakai', 'indosat', 'kbtulan', 'kartu', 'indosat', 'sinyal', 'mgkn', 'gangguan', 'isi', 'ulang', 'kartu', 'simpati', 'alhamdulillah', 'sinyal', 'kuat', 'internetan', 'rumah', 'cari', 'posisi', 'bagus', 'semoga', 'simpati', 'telkomsel', 'memperbaiki', 'jaringan', 'pelosok', 'sayang', 'telkomsel', 'sinyal', 'kawasan', 'gunung', 'salak', 'bogor']</t>
  </si>
  <si>
    <t>['aplikasi', 'telkomsel', 'dibuka', 'yaaa', 'beli', 'paket', 'telkomsel', 'sekarng', 'dibuka', 'mohon', 'diperbaiki']</t>
  </si>
  <si>
    <t>['isi', 'voucer', 'gagal', 'telkomsel', 'jaringan', 'mending', 'indosat', 'smartfren', 'isi', 'voucer', 'pelanggan', 'lancar', 'telkomt', 'udah', 'troubel', 'ngertiin', 'pedagang', 'udah', 'dicoba', 'restart', 'download', 'app', 'ganti', 'jaringan', 'ganti', 'voucer', 'berkali', 'tetep', 'gini', '']</t>
  </si>
  <si>
    <t>['aplikasi', 'error', 'login', 'gagal', 'kesalahan', 'mohon', 'ulangi', 'ulang', 'uninstal', 'aplikasinya', 'error', 'isi', 'pulsa', 'kuota', '']</t>
  </si>
  <si>
    <t>['buka', 'aplikasi', 'error', 'trs', 'instal', 'ulang', 'ttp', 'tolong', 'perbaiki', 'semestinya', 'perusahan', 'plat', 'merah', 'mendominasi', 'jaringan', 'seluler', 'tanah', 'air', '']</t>
  </si>
  <si>
    <t>['', 'telkomsel', 'aplikasi', 'dimana', 'sekelas', 'telkomsel', 'aplikasi', 'ngebug', 'mulu', 'malu', 'kuning', 'biru', 'woy', 'telkomsel', 'mahal', 'masak', 'aplikasi', 'jelek', 'hmm']</t>
  </si>
  <si>
    <t>['bingung', 'banget', 'seharian', 'gabisa', 'download', 'aplikasi', 'udh', 'hapus', 'cache', 'playstore', 'jga', 'sesuai', 'instruksi', 'aktifin', 'paket', 'susah', 'bingung', 'aktivasi', 'gaada', 'paket', 'beli', 'tolong', 'gangguannya', 'diperbaiki', '']</t>
  </si>
  <si>
    <t>['', 'aplikasi', 'jaringansemuanya', 'kaya', 'sampah', 'harga', 'mahal', 'onlinenya', 'gaada', 'bener', 'bener', 'telkomsel', 'kayanya', 'emang', 'udah', 'ganti', 'provider', 'telkomsel', 'udah', 'sanggup']</t>
  </si>
  <si>
    <t>['layanan', 'berlangganan', 'paket', 'pulsa', 'udah', 'pulsa', 'terpotong', 'otomatis', 'pencurian', 'namanya']</t>
  </si>
  <si>
    <t>['telkomsel', 'sumpah', 'pulsa', 'dibeliin', 'ketengan', 'youtube', 'dipake', 'pas', 'idupin', 'data', 'sisa', 'pulsa', 'hilang', 'emang', 'mahal', 'kayak', 'kembalikan', 'pulsa', 'gua', 'woii', 'telkomsel', 'ngantuk', 'yaa', 'pelayanan', 'buruk', 'harga', 'sok', 'mewah', 'jaringan', 'jeleknya', 'kuota', 'paket', 'ajalah', 'bodoh', 'bodohin', 'rakyat', 'kau', 'nyari', 'duit', 'gampang', 'kmi', 'kaya', 'butuh', 'kmi', 'telkomsel', 'kmi', 'bawa', 'wifi', 'portable', '']</t>
  </si>
  <si>
    <t>['pengguna', 'telkomsel', 'jaringan', 'menghilang', 'nyaman', 'pakai', 'memutuskan', 'pindah', 'kartu', 'makasih', '']</t>
  </si>
  <si>
    <t>['aplikasi', 'bener', 'buruk', 'mending', 'aplikasi', 'perbaiki', 'nama', 'telkomsel', 'menjamin', 'pelayanan', 'bagus']</t>
  </si>
  <si>
    <t>['seluler', 'terburuk', 'hilang', 'sinyal', 'total', 'sinyal', 'lemah', 'udah', 'lapor', 'telkomsel', 'tanggapi', 'merakyat']</t>
  </si>
  <si>
    <t>['lemot', 'banget', 'tolong', 'diperbaiki', 'log', 'susah', 'banget', 'pakai', 'metode', 'apapun', 'pas', 'masuk', 'loading', 'tolong', 'diperbaiki', 'fokus', 'tampilan', 'doang', 'kenyamanan', 'diperhitungkan', '']</t>
  </si>
  <si>
    <t>['konyol', 'beli', 'paket', 'game', 'moba', 'pke', 'udah', 'matchmaking', 'gagal', 'udah', 'kredit', 'score', 'kena', 'ban', 'niat', 'prodak', 'pket', 'game', 'moba', 'gb', 'mubazir', 'najiss', 'buang', 'duit', '']</t>
  </si>
  <si>
    <t>['rarusan', 'juta', 'telkomsel', 'detik', 'bersumpah', 'kecewa', 'mengganti', 'kartu', 'telkomsel', 'kartu', 'daetah', 'kayumanis', 'jakarta', 'signal', 'simpati', 'buruk', 'mahal', 'selamat', 'tinggal', 'simpati', 'pelayanan', 'buruk', 'harga', 'mahal', 'sesuai', 'pelayanan', 'benci', 'telkomsel', '']</t>
  </si>
  <si>
    <t>['mohon', 'diperbaiki', 'aplikasinya', 'beli', 'pulsa', 'paketkan', 'paket', 'gb', 'bayar', 'stlah', 'paket', 'aktif', 'sisa', 'pulsa', 'pemberitahuan', 'berlangganan', 'paket', 'ujungnya', 'menyedot', 'pulsa', 'rb', 'sekian', 'pulsa', 'blm', 'habis', 'muncul', 'notif', 'mohon', 'telkomsel', 'diperbaiki', 'kendala', 'pelanggan', 'nyaman', 'terima', 'kasih']</t>
  </si>
  <si>
    <t>['gara', 'signal', 'telkomsel', 'buruk', 'ditempat', 'gagal', 'interview', 'pekerjaan', 'online', 'semoga', 'mewakili', 'telkomsel']</t>
  </si>
  <si>
    <t>['buruk', 'sinyal', 'susah', 'isi', 'kuota', 'gagal', 'abis', 'perbaharui', 'log', 'astagfirullahhal', 'azim', 'promosi', 'tingkatkan', 'kualitas', '']</t>
  </si>
  <si>
    <t>['update', 'aplikasi', 'telkomsel', 'payah', 'banget', 'masuk', 'aplikasinya', 'loading', 'slesai', 'sinyalnya', 'ngelag', 'kayak', 'banget', 'pakai', 'telkomsel', 'kartu', 'menurun', 'sebenernya', 'gamau', 'berpaling', 'gimana', 'terpaksa', 'bye', '']</t>
  </si>
  <si>
    <t>['aplikasi', 'telkomsel', 'knapa', 'update', 'ngga', 'update', 'udah', 'buanyak', 'bug', 'ujung', 'nambah', 'bug', 'ampe', 'gua', 'login', 'penanganan', 'lamban', 'kaya', 'kura', 'kura', 'jalan', 'santai', 'sadar', 'telkomsel', 'propider', 'mahal', 'propider', 'perdana', 'sampe', 'harga', 'paketan', 'kalimat', 'harga', 'kualitas', 'berlaku', 'telkomsel', 'btw', 'gua', 'benci', 'gakan', 'pindah', 'propider', 'ngungkapin', 'unek', 'love', 'telkontol', '']</t>
  </si>
  <si>
    <t>['paket', 'mahal', 'berubah', 'ubah', 'sesuai', 'iklan', 'semoga', 'operator', 'menggantikanmu', '']</t>
  </si>
  <si>
    <t>['udah', 'bersihin', 'cache', 'restrart', 'macem', 'tetep', 'buka', 'apps', 'gimana', 'update', 'nyusahin']</t>
  </si>
  <si>
    <t>['jelek', 'curang', 'pas', 'pilih', 'calim', 'hadiah', 'suru', 'bayar', 'pulsa', 'kaget', 'bgtt', 'penipu', 'hadiahnya', 'cmn', 'brlaku', 'hr', 'curang', 'mohon', 'prbaiki', '']</t>
  </si>
  <si>
    <t>['payah', 'mahalnya', 'doang', 'bobrok', 'service', 'memuaskan', 'semenjak', 'update', 'aplikasinya', 'loading', 'dibuka', 'telkomsel', 'payaaaaaahhh', '']</t>
  </si>
  <si>
    <t>['aplikasinya', 'amburadul', 'jelek', 'login', 'pembaruan', 'diperbarui']</t>
  </si>
  <si>
    <t>['disayangkan', 'aplikasinya', 'nggak', 'dibuka', 'kecuali', 'pakai', 'paket', 'data', 'telkomsel', 'gimana', 'beli', 'paket', 'apps', 'paket', 'internet', 'habis', 'pakai', 'paket', 'data', 'akses', 'apps', 'aplikasi', 'dibuka']</t>
  </si>
  <si>
    <t>['kacau', 'sinyal', 'darurat', 'kota', 'pelosok', 'cari', 'sinyal', 'manual', 'rugi', 'lapor', 'pakai', 'aplikasinya', 'bot', 'veronika', 'disuruh', 'ganti', 'apn', 'ngeselin', 'kasih', 'gambar', 'tutorial', 'tulisannya', 'semut', 'diperbesar', 'udah', 'disuruh', 'lapor', 'pakai', 'surat', 'solusi', 'weslah', 'capek', 'ngetik']</t>
  </si>
  <si>
    <t>['kecewa', 'telkomsel', 'login', 'ribet', 'masuk', 'penawaran', 'kuota', 'internetnya', 'sesuai', 'isinya', 'hoax', '']</t>
  </si>
  <si>
    <t>['update', 'aplikasinya', 'susah', 'masuknya', 'beli', 'kouta', 'niat', 'update', 'aplikasinya', '']</t>
  </si>
  <si>
    <t>['aplikasi', 'stress', 'beli', 'paketan', 'coba', 'telkomsel', 'pngen', 'pindah', 'provider', 'kesel', 'bngt', 'keseellllll']</t>
  </si>
  <si>
    <t>['aplikasi', 'buruk', 'buktinya', 'berulang', 'kali', 'masuk', 'diaplikasi', '']</t>
  </si>
  <si>
    <t>['masuk', 'telkomsel', 'terussssss', 'nomor', 'handphone', 'akses', 'telkomsel', 'masuk', '']</t>
  </si>
  <si>
    <t>['pas', 'update', 'diubah', 'menu', 'bingung', 'update', 'menu', 'terlanjur', 'hafal', 'menu', '']</t>
  </si>
  <si>
    <t>['bagus', 'banget', 'berkat', 'aplikasi', 'hemat', 'pulsa', 'uang', 'sediakan', 'paket', 'internet', 'harganya', 'dibawah', 'paketnya', 'dibawah', 'terimakasih', 'mytelkomsel', '']</t>
  </si>
  <si>
    <t>['aplikasi', 'perbaharui', 'tdak', 'perbaharui', 'pas', 'perbaharui', 'playstore', 'udah', 'buka', 'versi', 'barunya', '']</t>
  </si>
  <si>
    <t>['aplikasi', 'update', 'buka', 'error', 'oops', 'something', 'wrong', 'melulu', 'update', 'bener', 'release', 'dipake', 'mendingan', 'versi']</t>
  </si>
  <si>
    <t>['notifikasi', 'pesan', 'tertera', 'aktif', 'paket', 'internet', 'terhitung', 'dirincian', 'pembelian', 'khawatirkan']</t>
  </si>
  <si>
    <t>['telkomsel', 'buriq', 'pas', 'login', 'app', 'harga', 'paketnya', 'mahal', 'mahal', 'plus', 'dikit', 'beda', 'app', 'kuning', 'harganya', 'murah', 'plus', 'jarang', 'namanya', 'lelet', 'jaringan', 'lemoot', 'parah', 'daily', 'checkin', 'notif', 'hidupkan', 'tapiii', 'notif', 'eranya', 'digital', 'lelet', 'sihh', 'mohon', 'tingkatkan', 'app', 'jaringannya', 'lelet', 'rugi', 'donk', 'beli', 'paket', '']</t>
  </si>
  <si>
    <t>['operator', 'mengecewakan', 'komsumen', 'harga', 'spek', 'berbanding', 'harganya', 'mahal', 'sinyalnya', 'jeleknya', 'ampun', 'tolong', 'telkomsel', 'tergerak', 'hatinya', 'memperbaikki', 'kendala', 'konsumen', 'harga', 'doang', 'kualitasnya', 'rendah', 'kec', 'wedung', 'kab', 'demak', 'prov', 'jawa', '']</t>
  </si>
  <si>
    <t>['update', 'telkomsel', 'pelit', 'check', 'abil', 'hadiah', 'bayar', 'tabah', 'lgi', 'tukar', 'poin', 'susah', 'bayar', 'kpan', 'pengguna', 'setia', 'telkomsel', 'istimewa', 'telkomsel', 'salam', 'katu', 'gold']</t>
  </si>
  <si>
    <t>['aplikasi', 'telkomsel', 'kesini', 'aneh', 'susah', 'login', 'kirim', 'data', 'aplikasi', 'loading', 'banget', 'jaringan', 'bagus', '']</t>
  </si>
  <si>
    <t>['aplikasi', 'tolong', 'naikkan', 'gajinya', 'pecat', 'telkomsel', 'bayar', 'programer', 'aplikasi', 'pintar', 'cari', 'programer', 'aplikasi', 'aplikasi', 'aplikasi', 'error', '']</t>
  </si>
  <si>
    <t>['pengguna', 'setia', 'tsel', 'kesini', 'ancur', 'sinyalnya', 'mahalnya', 'doang', 'kartu', 'beda', 'jenis', 'paketnya', 'aneh', 'buka', 'mytsel', 'ribet', 'banget', '']</t>
  </si>
  <si>
    <t>['tolong', 'perbaiki', 'upgrade', 'aplikasi', 'masuk', 'semingguan', 'buka', 'coba', 'gagal', 'area', 'kal', 'sel', '']</t>
  </si>
  <si>
    <t>['install', 'ulang', 'aplikasi', 'daftar', 'paket', 'nlfn', 'susah', 'kali', 'masuk', 'aplikasi', 'telkomsel', 'maunya', '']</t>
  </si>
  <si>
    <t>['udah', 'banget', 'berlangganan', 'lemot', 'banget', 'aplikasi', 'setau', 'selemot', 'deh', 'aplikasi', 'tolong', 'kak', 'kebijakan', 'aplikasi', 'lemot', 'masuk', 'aplikasi', '']</t>
  </si>
  <si>
    <t>['dihape', 'crash', 'aplikasi', 'mytelkomsel', 'pas', 'buka', 'mytelkomsel', 'muncul', 'peringatan', 'google', 'play', 'terhenti', 'mytelkomsel', 'ulang', 'menerus', '']</t>
  </si>
  <si>
    <t>['tolong', 'telkomsel', 'mengubah', 'kartu', 'pascabayar', 'prbayar', 'orang', 'kecewa', 'kartu', 'pascabayar', 'harganya', 'mahal']</t>
  </si>
  <si>
    <t>['seblumnya', 'kali', 'buka', 'aplikasi', 'telkomsel', 'pulsa', 'terpotong', 'semenjak', 'ganti', 'logo', 'aplikasinya', 'dibuka', 'instal', 'ulang', 'aplikasinya', 'layarnya', 'loading', 'tolong', 'diperbaiki', '']</t>
  </si>
  <si>
    <t>['gimana', 'dibuka', 'telkomsel', 'beli', 'kuota', 'ama', 'cek', 'kuota', 'emang', 'eror', 'kali', 'semoga', 'cepet', 'dibenarin', '']</t>
  </si>
  <si>
    <t>['sperti', 'sinyal', 'menu', 'mengunci', 'pulsa', 'otomatis', 'disedot', 'paketan', 'habiss', 'berselancar', 'internet', 'kecolongan', 'knp', 'penguncian', 'pulsa', 'karna', 'mengejar', 'keuntungan', 'ketidak', 'tauan', 'pengguna', 'mmg', 'telkomsel', 'niat', 'curang', '']</t>
  </si>
  <si>
    <t>['harga', 'doang', 'mahal', 'jaringan', 'super', 'lelet', 'plus', 'signal', 'kabur', 'kaburan', 'pindah', 'operator', 'sebelah', 'rugikan', '']</t>
  </si>
  <si>
    <t>['', 'komen', 'pusing', 'kartunya', 'beda', 'harga', 'paket', 'kalah', 'axis', 'indosat', 'murah', 'meriah', 'mengerti', 'kebutuhan', 'pelanggan', '']</t>
  </si>
  <si>
    <t>['jaringan', 'tolong', 'perbaikan', 'aba', 'aba', 'mendadak', 'hilang', 'sinyal', 'dikampung', 'ramai', 'penduduk', 'kampung', 'pelosok']</t>
  </si>
  <si>
    <t>['zaman', 'sekolah', 'smp', 'sampei', 'berkeluarga', 'setia', 'telkomsel', 'keluarga', 'pakai', 'nomer', 'telkomsel', 'menjalin', 'komunikasi', 'sistem', 'jaringannya', 'bagus', 'sampei', 'pelosok', 'telkomsel', 'rajanya', 'sinyal', 'harapan', 'terlewati', 'kesetiaan', 'telkomsel', 'memenangkan', 'salah', 'undian', 'telkomsel', 'poin', 'aamiin', 'syukur', 'motor', 'kerja', 'sulit', 'wiraswasta']</t>
  </si>
  <si>
    <t>['maaf', 'kak', 'keluhan', 'aplikasi', 'telkomsel', 'mimin', 'bantu', 'kakak', 'optimal', 'tolong', 'hubungi', 'mimin', 'fitur', 'bantuan', 'aplikasi', 'telkomsel', 'twitter', 'facebook', 'messenger', 'telkomsel', 'line', 'whatsapp', 'telkomsel', 'virtual', 'assisten', 'makasih', 'lihat', 'jawabannya', 'tindakan', 'perbaiki', 'aplikasinya', 'aplikasi', 'lemoootttt', 'dibuka', 'muter', 'muter', 'update', 'peningkatan', 'penurunan', 'payah', '']</t>
  </si>
  <si>
    <t>['provider', 'beli', 'kuota', 'gamemax', 'ngga', 'main', 'game', 'keterangan', 'main', 'pubg', 'dll', 'main', 'pubg', 'request', 'time', 'out', 'main', 'ngga', 'matching', 'tolong', 'dibenahi', 'kuota', 'habis', 'pulsa', 'langsung', 'kesedot', '']</t>
  </si>
  <si>
    <t>['woy', 'telkomsel', 'tolong', 'benerin', 'sinyal', 'beli', 'paketan', 'mahal', 'gratis', 'ngelag', 'tolong', 'urusin', 'sinyal', 'kgak', 'banget', 'ngelag', 'nggk', 'ush', 'jualan', 'paketan', 'mahal', 'kecewa', 'telkomsel', 'ngelag', 'main', 'game', 'xiaomi', 'note', 'sinyal', 'mabar', 'temen', 'vivo', 'kartu', 'indosat', 'lancar', 'mohon', 'benerin', 'ngambil', 'untung', 'jual', 'mahal', 'kalah', 'kartu', 'murahan', 'kek', 'im', 'indst']</t>
  </si>
  <si>
    <t>['beli', 'paket', 'pulsa', 'kepotong', 'paket', 'internet', 'masuk', 'sistem', 'bermasalah', 'tulisannya', 'telkomsel', 'loading', 'tulisannya', 'kesalahan', 'sistem', 'bla', 'bla', 'bla', 'ampunnnnnn', 'dipindahin', 'provider', 'sang', 'komisaris', 'tolong', 'donk', 'gebrakan', 'kapok', 'udah', 'mahal', 'paketnya', 'dibanding', 'kompetitor', 'tpi', 'layanan', 'kayak', 'gini', 'sinyalnya', 'kadang', 'labil', 'klu', 'fasilitas', 'dipindahin', 'lintas', 'provider', '']</t>
  </si>
  <si>
    <t>['sinyalnya', 'stabil', 'main', 'game', 'kampung', 'sinyalnya', 'bagus', 'main', 'game', 'kuota', 'lokal', 'stabil', 'kuota', 'game', 'stabil', 'sinyalnya', 'tolong', 'diperbaiki', 'diperbaiki', 'sinyalnya', 'kasih', 'bintang', 'full', 'deh', '']</t>
  </si>
  <si>
    <t>['selamat', 'pagi', 'siang', 'malam', 'admind', 'telkomsel', 'mohon', 'dibantu', 'tingkatkan', 'kualitas', 'signal', 'yupz', 'pengguna', 'prioritas', 'utama', 'reguler', 'prioritas', 'limit', 'kali', 'refresh', 'mode', 'pesawat', 'berfungsi', 'tergantung', 'jaringan', 'kali', 'tugas', 'via', 'internet', 'lemot', 'sesuai', 'lokasi', 'tinggal', 'aman', 'kendala', 'blm', 'pararel', 'signal', 'daerah', 'tinggal', 'terima', 'kasih', 'perhatian', 'kerjasamanya', 'ucapkan']</t>
  </si>
  <si>
    <t>['pelanggan', 'telkomsel', 'tinggal', 'kota', 'sidoarjo', 'disayankan', 'nama', 'telkomsel', 'jaringan', 'internet', 'lelet', 'lemot', 'udah', 'aktifkan', 'paket', 'internet', 'karna', 'iseng', 'coba', 'beli', 'paket', 'internet', 'yng', 'ditawarkan', 'asil', 'lemot', 'sinyal', 'nul', 'cobak', 'alihkan', 'nul', 'tolong', 'diperbaiki', 'jaringannya', 'masak', 'kyk', 'gini', 'ntar', 'ditinggal', 'pelanggan', '']</t>
  </si>
  <si>
    <t>['', 'sinyal', 'lemah', 'sinyal', 'full', 'lemot', 'parah', 'jakarta', 'ping', 'auto', 'nge', 'lag', 'game', 'aplikasi', 'telkomsel', 'error']</t>
  </si>
  <si>
    <t>['telkomsel', 'jaringan', 'bagus', 'stabil', 'udah', 'beli', 'mahal', 'stabil', 'udah', 'gitu', 'kuotanya', 'emang', 'ngotak', 'telkomsel', 'telkomsel', 'taik']</t>
  </si>
  <si>
    <t>['aihhj', 'telkomsel', 'malesin', 'udah', 'update', 'paketan', 'mahal', 'semuaa', 'gb', 'gadaa', 'murah', 'gb', 'harganya', 'asikkk', 'banget', 'sumpah', 'paketan', '']</t>
  </si>
  <si>
    <t>['aplikasi', 'login', 'melelu', 'susah', 'loginnya', 'jaringan', 'bagus', 'dikit', 'dikit', 'eror', 'baca', 'lakuin', 'min', 'balasannya', 'suruh', 'mengadu', 'aplikasi', 'burikkkkkkkkkkkkkkkkkkkk', 'logo', 'bagus', 'isinya', 'burikkkkkkkk', 'download', 'rugi', 'kouta', '']</t>
  </si>
  <si>
    <t>['kasih', 'bintang', 'sesuai', 'pelayanan', 'mahal', 'beli', 'paketnya', 'sinyal', 'jaringannya', 'lek', 'heran', 'kota', 'loadingnya', 'muter', 'buatnya', 'jengkelllllllll', '']</t>
  </si>
  <si>
    <t>['tolong', 'perbaiki', 'sinyal', 'bagus', 'buka', 'aplikasi', 'apapun', 'buka', 'aplikasi', 'doang', 'perbaiki', 'bertahun', 'telkomsel', 'sllu', 'aplikasi', 'kecewa', '']</t>
  </si>
  <si>
    <t>['semoga', 'telkomsel', 'jaya', 'ditanah', 'air', 'indonesia', 'berkembang', 'pesat', 'paket', 'internet', 'lebeh', 'murah', '']</t>
  </si>
  <si>
    <t>['telkomsel', 'stabil', 'buka', 'aplikasi', 'loadingnya', 'berjam', 'tolong', 'diperbaiki', 'min', 'telkomsel', 'mahal', 'utamain', 'kwalitas', 'pertahanin', 'kestabilan', 'jaringan', 'kalah', 'provider', 'murah', 'jaringan', 'cepet']</t>
  </si>
  <si>
    <t>['sesuai', 'janji', 'bintang', 'karna', 'bisnis', 'lancar', 'internet', 'telkomsel', 'kendala', 'didaerah', 'dipasang', 'tower', 'telkomsel', 'kuat', 'sinyalnya', 'thanks', 'telkomsel', 'good', 'luck', 'love', 'you', '']</t>
  </si>
  <si>
    <t>['update', 'aplikasi', 'akses', 'login', 'susah', 'ribet', 'mengalami', 'gagal', 'login', 'berkali', 'kali', 'menguji', 'kesabaran', 'aplikasi', 'error', 'tolong', 'diperbaiki', 'terkait', 'login', '']</t>
  </si>
  <si>
    <t>['perbaiki', 'signal', 'tangerang', 'mekar', 'sari', 'mahal', 'doank', 'zaman', 'masak', 'jaringan', 'kualitas', 'telkomsel', 'buruk', 'memalukan', '']</t>
  </si>
  <si>
    <t>['ganti', 'kartu', 'aman', 'simpan', 'pulsa', 'isi', 'kepotong', 'paket', 'terdaftar', 'berulang', 'kali', 'teman', 'kayaknya', 'disengaja', '']</t>
  </si>
  <si>
    <t>['aplikasi', 'sempurna', 'upgrade', 'masuk', 'tolong', 'dibenahi', 'aplikasi', 'berguna', 'pengguna', 'telkomsel', '']</t>
  </si>
  <si>
    <t>['knapa', 'login', 'susah', 'muter', 'kali', 'maaf', 'aplikasi', 'contohnya', 'maaf', 'kesalahan', 'sistem', 'mohon', 'ulangi', 'menit', 'ntar', 'sdah', 'beres', 'normal', 'kasih', 'apk', 'apk', 'hoax', 'yaa', '']</t>
  </si>
  <si>
    <t>['dear', 'telkomsel', 'berlangganan', 'telkomsel', 'kesini', 'jaringan', 'ancur', 'suka', 'bagus', 'membuka', 'aplikasi', 'membutuhkan', 'mohon', 'diperbaiki', 'terimakasih']</t>
  </si>
  <si>
    <t>['aplikasinya', 'ngak', 'paket', 'sinyal', 'bagus', 'tpi', 'ngak', 'akses', 'aplikasi', 'giliran', 'pakai', 'wifi', 'hosport', 'lancar', 'buka', 'aplikasi', 'developer', 'tolong', 'cek']</t>
  </si>
  <si>
    <t>['login', 'apl', 'telkomsel', 'udh', 'kali', 'kali', 'nyoba', 'tetep', 'gagal', 'kali', 'mohon', 'bantu', 'telkomsel', 'susah', 'masuk', 'apl', 'telkomsel', 'gagal']</t>
  </si>
  <si>
    <t>['maaf', 'nanya', 'bagus', 'aplikasi', 'diupdate', 'dibuka', 'aplikasi', 'tolong', 'penjelasan', 'telkomsel', '']</t>
  </si>
  <si>
    <t>['bener', 'telkomsel', 'beli', 'paket', 'gb', 'combo', 'sakti', 'pagi', 'tanggal', 'iya', 'gb', 'habisnya', 'tanggal', 'wajar', 'logika', 'seboros', 'borosnya', 'nonton', 'youtube', 'vidio', 'facebook', 'cepat', 'habisnya', 'minggu', 'rugikan', 'dikarna', 'sebulannya', 'beli', 'paket', 'udh', 'jaringan', 'internet', 'game', 'stabil', 'mohon', 'perbaiki', 'pelanggan', 'telkomsel', 'tipu', 'covid', '']</t>
  </si>
  <si>
    <t>['masuk', 'aplikasi', 'konek', 'wifi', 'saudara', 'telkomsel', 'jelek', 'isi', 'pulsa', 'langsung', 'kepotong', 'sampe', 'hbs', 'pulsa', 'pdhal', 'tolong', 'perbaiki', 'update', 'jelek']</t>
  </si>
  <si>
    <t>['masak', 'login', 'sampa', 'susahnya', 'main', 'beribet', 'nggak', 'kayak', 'tetanga', 'unistal', 'trs', 'donlot', 'app', 'masak', 'donlot', 'udah', 'update', 'udah', 'gitu', 'nggak', 'masuk', '']</t>
  </si>
  <si>
    <t>['paket', 'mahal', 'mahal', 'jaringan', 'hilang', 'timbul', 'telkomsel', 'kayak', 'jaringan', 'kuat', 'kecewa', '']</t>
  </si>
  <si>
    <t>['knp', 'udh', 'login', 'susah', 'banget', 'beda', 'sbelah', 'ngaku', 'terbaik', 'kaya', 'gini', 'masi', 'lemot', '']</t>
  </si>
  <si>
    <t>['udah', 'diupdate', 'pas', 'dibuka', 'diupdate', 'playstorenya', 'udah', 'tulisan', 'update', 'diupdate', 'gimana', 'telkomsel', 'beli', 'paket', 'data']</t>
  </si>
  <si>
    <t>['login', 'susah', 'internet', 'kenceng', 'muter', 'gagal', 'transaksi', 'parah', 'menangani', 'feedback', 'konsumen', 'cepat']</t>
  </si>
  <si>
    <t>['provider', 'buruk', 'layanannya', 'kehilangan', 'customer', 'masuk', 'aplikasi', 'mytelkomsel', 'susah', 'bangat', 'error', 'dll', 'kuota', 'internet', 'habis', 'rincian', 'pemakaiannya', 'mengeceeakan', '']</t>
  </si>
  <si>
    <t>['telkomsel', 'operator', 'mahal', 'suka', 'mengemis', 'sms', 'nsp', 'terkadang', 'facebook', 'gratis', 'disuruh', 'beli', 'paket', 'nipu', 'sms', 'bijak', 'telkomsel', 'nggak', 'pengguna', 'telkomsel', 'bodoh', '']</t>
  </si>
  <si>
    <t>['tolong', 'apk', 'kembalikan', 'telkomsel', 'mah', 'masuk', 'masuk', 'layar', 'sllu', 'putih', 'apk', 'hapus', 'download', 'kmbli', 'ber', 'ulang', 'ulang', 'ttep', 'menampilkan', 'menu']</t>
  </si>
  <si>
    <t>['update', 'berat', 'loading', 'buka', 'apl', 'mytelkomsel', 'fitur', 'enak', 'versi', 'simpel', '']</t>
  </si>
  <si>
    <t>['tarif', 'mahal', 'jaringan', 'dijaga', 'kualitasnya', 'seharian', 'stabil', 'kerjaan', 'terganggu', 'dikelola', 'bumn', '']</t>
  </si>
  <si>
    <t>['paket', 'maketin', 'kirain', 'kasih', 'promo', 'trus', 'naek', 'paketan', 'udah', 'jaringan', 'nge', 'lag', 'trus', 'kasih', 'bintang', 'dlo', 'klw', 'nnti', 'promo', 'jaringan', 'bagus', 'kasih', 'bintang', '']</t>
  </si>
  <si>
    <t>['parah', 'aplikasi', 'pembaruan', 'tampilan', 'susah', 'masuk', 'aplikasi', 'log', 'log', 'susah', 'delay', 'gagal', 'versi', 'lumayan', 'mudah', 'lancar', 'masuk', 'aplikasi', 'parah', 'pokoknya', '']</t>
  </si>
  <si>
    <t>['telkomsel', 'gedeg', 'yaa', 'lamaa', 'ditambah', 'versi', 'sulit', 'banget', 'bukaa', 'kagak', 'menyambungkan', 'mulu', 'kuota', 'mending', 'ajj', 'buang']</t>
  </si>
  <si>
    <t>['beli', 'paketan', 'aplikasi', 'susah', 'masuk', 'pikir', 'trobel', 'bbra', 'menit', 'oke', 'selang', 'bbrpa', 'masuk', 'aplikasi', 'log', 'out', 'sndri', 'smpe', 'skrg', 'masuk', '']</t>
  </si>
  <si>
    <t>['telkomsel', 'bangkrut', 'kekuatan', 'signal', 'susah', 'terhubung', 'internet', 'dana', 'memperbaiki', 'tower', '']</t>
  </si>
  <si>
    <t>['buruk', 'aplikasi', 'berat', 'diakses', 'masuk', 'aplikasi', 'aman', 'merepotkan', 'gagal', 'tautan', 'sms', 'berfungsi', 'gagal', 'masuk', 'berkali', 'kali', 'berhari', 'dipikirkan', 'aplikasi', 'mudah', 'penggunaannya', 'cepat', 'aksesnya', 'permintaan', 'tautan', 'via', 'sms', 'detik', 'langsung', 'dihitung', 'permintaan', 'sms', 'didapatkan', 'habis', 'masukan', 'via', 'bot', 'telegram', 'sayangnya', 'bot', 'berfungsi', '']</t>
  </si>
  <si>
    <t>['aktivasi', 'paket', 'aplikasinya', 'eror', 'sinyalnya', 'jelek', 'restart', 'berulang', 'aplikasinya', 'eror', '']</t>
  </si>
  <si>
    <t>['udah', 'diupdate', 'apk', 'disuruh', 'update', 'diupdate', 'hmm', 'udah', 'terbaru', 'pas', 'verifikasi', 'lemit', 'waktunyahabis', 'ngulang']</t>
  </si>
  <si>
    <t>['parah', 'banget', 'gangguan', 'buka', 'sudh', 'berhari', 'buka', 'jaringan', 'wifi', 'aplikasi', 'berat', 'perkotaan', 'pengguna', 'didaerah', 'telkomsel', 'login', 'bos', 'wifi', 'telkomsel', 'lemot', 'telkomsel', 'memperkuat', 'kecepatan', 'strategi', 'memperkecil', 'akses', 'aplikasi', 'keliatan', 'banget', 'telkomsel', 'buruk']</t>
  </si>
  <si>
    <t>['aplikasi', 'telkomsel', 'ayo', 'berbondong', 'bondong', 'pindah', 'aplikasi', 'sebelah', 'normal', 'lanjay', 'gunanya', 'aplikasi', 'udah', 'didownload', 'uninstal', 'berkali', 'kali', 'tetep', 'gangguan', 'sistem', 'profesional', 'banget', 'kinerjanya', '']</t>
  </si>
  <si>
    <t>['team', 'pembuat', 'aplikasi', 'tolong', 'dipersulit', 'membuka', 'masuk', 'aplikasi', 'betah', 'ganti', 'ofrator', 'masi', 'sayang', 'kartu', 'nomor', 'buru', 'isi', 'kuota', 'paket', 'disuru', 'buka', 'pesan', 'sms', 'dikirim', 'dibuka', 'sms', 'masuk', 'pelanggan', 'menetap', 'tolong', 'dipermudah', 'paket', 'kuota', 'nangis', 'beli', 'mahal', 'mahal']</t>
  </si>
  <si>
    <t>['disuruh', 'update', 'pas', 'update', 'knp', 'aplikasinya', 'dibuka', 'mlah', 'suruh', 'perbarui', 'tekan', 'tombol', 'perbarui', 'play', 'store', 'buka', 'tolong', 'mohon', 'diperbaiki', '']</t>
  </si>
  <si>
    <t>['kesini', 'mahal', 'system', 'aplikasinya', 'mengunguntungkan', 'peguna', 'kali', 'beli', 'quota', 'saldo', 'promo', 'diskonnya', 'gede', 'pas', 'isi', 'saldo', 'harganya', 'normal', 'kesal', '']</t>
  </si>
  <si>
    <t>['maaf', 'turunin', 'bintangnya', 'berlangganan', 'telkomsel', 'ditingkatkan', 'mahal', 'harga', 'paketnya', 'kecewa', '']</t>
  </si>
  <si>
    <t>['ndak', 'masuk', 'clear', 'chace', 'login', 'buka', 'url', 'sms', 'gagal', 'update', 'android', 'telkomselnya', 'komunikasi', 'telkomsel', 'care', 'dipandu', 'email', 'posisi', 'data', 'ganti', 'sim', 'indo', 'gagal', 'mkn', 'developer', 'aplikasi', 'merubah', 'kebijakannya', 'akses', 'jaringan', 'telkomsel', 'kejadian', 'mobile', 'banking', 'aplikasinya', 'diakses', 'data', 'sim', '']</t>
  </si>
  <si>
    <t>['tolong', 'masak', 'update', 'aplikasi', 'telkomselnya', 'layar', 'putih', 'aplikasi', 'telkomsel', 'mudah', 'gampan', 'gimana', 'kalok', 'susah', 'sinyal', 'ribet']</t>
  </si>
  <si>
    <t>['', 'mytelkomsel', 'buka', 'udah', 'masukin', 'gmail', 'tetep', 'gagal', 'veronica', 'bisu', '']</t>
  </si>
  <si>
    <t>['masuk', 'aplikasi', 'jaringan', 'telkomsel', 'data', 'internetnya', 'habis', 'mengisi', 'pulsa', 'terhisap', 'data', 'selulernya', 'aktif', 'masuk', 'mytelkomsel', 'beli', 'paket', 'internet', 'mytelkomsel', 'membayar', 'mengunakan', 'metode', 'pulsa', 'paket', 'internet', 'telkomsel', 'habis', 'jaringan', 'paket', 'internet', 'dpt', 'mytelkomsel', 'menolak', 'jaringan']</t>
  </si>
  <si>
    <t>['sebenernya', 'kadang', 'aplikasi', 'operator', 'suka', 'meresahkan', 'contohnya', 'suka', 'log', 'out', 'suka', 'lemot', 'pemilihan', 'paket', 'sinyal', 'lancar', 'streaming', 'fitur', 'auto', 'safe', 'paket', 'cuman', 'versi', 'paket', 'doang', 'deh', 'ganjil', '']</t>
  </si>
  <si>
    <t>['jaringan', 'telkomsel', 'gabagus', 'beli', 'kuota', 'udah', 'mahal', 'mahal', 'udah', 'beli', 'kuota', 'ribu', 'promo', 'mahal', 'harganya', 'kecewa', 'telkomsel', '']</t>
  </si>
  <si>
    <t>['update', 'terbarunya', 'user', 'friendly', 'erorr', 'loading', 'interfacenya', 'keberatan', 'deh', 'kayaknya', 'selancar', 'tolong', 'diperbaiki', '']</t>
  </si>
  <si>
    <t>['login', 'jaringan', 'telkomsel', 'daftarkan', 'pdahal', 'kuota', 'alhasil', 'kepotong', 'pulsa', 'beli', 'kuota', 'gagal', 'notif', 'normal', 'beli', 'promo', 'gmn', 'promonya', 'beli', 'pajang', 'aplikasi', 'pajang', 'emang', 'dibeli', 'veronica', 'semoga', 'diperbaiki']</t>
  </si>
  <si>
    <t>['update', 'kog', 'log', 'sms', 'acount', 'media', 'sosial', 'email', 'keluarnya', 'opss', 'kesalahan', 'solusinya', '']</t>
  </si>
  <si>
    <t>['gembel', 'pelayanannya', 'iya', 'mengajukan', 'bantuan', 'robot', 'viona', 'males', 'pakai', 'telkomsel', 'tuker', 'poin', 'akal', 'akalan', 'providernya', 'nomor', 'nama', 'pemenang', 'diatur', 'orang', '']</t>
  </si>
  <si>
    <t>['jelek', 'gini', 'beli', 'kuota', 'masuk', 'telkomsel', 'log', 'out', 'masuk', 'sampe', 'udah', 'update', 'tetep', 'sinyal', 'stabil', 'banget', '']</t>
  </si>
  <si>
    <t>['kemarin', 'pagi', 'udah', 'uninstal', 'downld', 'ulang', 'terjangkau', 'login', 'apk', 'mytelkomsel', 'slalu', 'something', 'wrong', 'jam', 'aplikasi', 'diakses', 'bermasalah', 'diapk', 'skrg', 'sinyal', 'lemot', 'turun', 'yaa', 'rating', 'telkomsel', 'sesuai', 'harga', 'kuota', 'mahal', 'masalahnyaaa', 'diupdate']</t>
  </si>
  <si>
    <t>['beli', 'paket', 'langganan', 'disney', 'hotstar', 'penawaran', 'telkomsel', 'udah', 'beli', 'notifikasi', 'keterangan', 'quota', 'gabisa', 'nonton', 'disneyhotstar', 'pulsa', 'terpotong', 'gimana', '']</t>
  </si>
  <si>
    <t>['aplikasi', 'jelek', 'susah', 'masuk', 'eror', 'perusahaan', 'aplikasi', 'jelek', 'halnya', 'internet', 'disediakan', 'perusahaannya', 'lelet', 'mahal']</t>
  </si>
  <si>
    <t>['memakai', 'telkomsel', 'jaringan', 'luas', 'kecuaali', 'daera', 'lembah', 'ter', 'jangkau', 'hilang', 'sinyalnya', 'kesulitan', 'pengguna', 'jari', 'gan', 'telkomsel']</t>
  </si>
  <si>
    <t>['diupgrade', 'dibuka', 'bsa', 'masuk', 'kesalahan', 'please', 'telkomsel', 'yooo', 'perbaiki', 'sistem', 'sungguh', 'menghambat', 'kepentingan', 'sbgi', 'pengguna', 'skrng', 'sinyal', 'stabil', '']</t>
  </si>
  <si>
    <t>['hallo', 'tolong', 'konfirmasi', 'kuota', 'internet', 'lokal', 'pakai', 'beli', 'rugi']</t>
  </si>
  <si>
    <t>['diupdate', 'lambat', 'fitur', 'dijalankan', 'login', 'berkali', 'kali', 'buka', 'applikasi', 'habis', 'update', 'login', '']</t>
  </si>
  <si>
    <t>['paraahh', 'aplikasi', 'telkomsel', 'jelek', 'gua', 'udah', 'aplikasi', 'gua', 'login', 'kecewa', 'gua', 'mendingan', 'gua', 'ganti', 'kartu', 'males', 'telkomsel']</t>
  </si>
  <si>
    <t>['signyal', 'telkomsel', 'puayah', 'koneksi', 'udah', 'ganti', 'berbagi', 'koneksi', 'pekerjaan', 'terhambat', 'telkomsel', 'signyal', 'bagus', 'drastis', 'koneksi', 'mohon', 'maaf', '']</t>
  </si>
  <si>
    <t>['tolong', 'parah', 'kemarin', 'beli', 'paket', 'data', 'susah', 'komplen', 'pelanggan', 'maaf', 'ketidak', 'nyamanan', 'solusi', 'solusi', 'perbaiki']</t>
  </si>
  <si>
    <t>['aktif', 'kouta', 'gua', 'sasuai', 'beli', 'beli', 'paket', 'gb', 'pas', 'aktifnya', 'cuman', 'koutanya', 'sisa', 'gb', 'bangke', 'sistemnya', 'perbaikin', 'tertipu', 'pelanggan']</t>
  </si>
  <si>
    <t>['woi', 'benerin', 'aplikasinya', 'pembaharuan', 'buka', 'aplikasi', 'telkomsel', 'error', 'cek', 'kuota', 'susah', 'banget', 'udah', 'jaringan', 'wifi', 'kebuka', 'tolong', 'perbaiki', 'mesti', 'manual', 'kaya', 'jaman', '']</t>
  </si>
  <si>
    <t>['update', 'aplikasinya', 'payah', 'login', 'menerima', 'magic', 'link', 'udah', 'klik', 'link', 'masuk', 'tulisannya', 'kesalahan', 'sistem', 'coba', 'salah', 'smpe', 'kiamat', 'msuk', 'aplikasi', 'berguna', 'aplikasinya', 'tlong', 'diperbaiki']</t>
  </si>
  <si>
    <t>['ribet', 'login', 'email', 'connect', 'media', 'sosial', 'nmr', 'berbeda', 'aplikasi', 'telkomsel', 'ribet', 'operator', 'mudah', 'susah', '']</t>
  </si>
  <si>
    <t>['veronika', 'operator', 'bener', 'langsung', 'komunikasi', 'dibantu', 'menyelesaikan', 'permasalahan', 'bener', 'payah', 'veronika', 'sistem']</t>
  </si>
  <si>
    <t>['tolong', 'aplikasinya', 'disempurnakan', 'diupdate', 'berat', 'gimana', 'laris', 'jualan', 'kedainya', 'tutup', 'coba', '']</t>
  </si>
  <si>
    <t>['telkomsel', 'kartu', 'ponsel', 'mahal', 'daerah', 'jaringan', 'kartu', 'pindah', 'kartu', 'pakai', 'kartu', 'halo', 'diiming', 'imingi', 'penghargaan', 'pakai', 'kartu', 'telkomsel', 'diperas', '']</t>
  </si>
  <si>
    <t>['aplikasi', 'telkomsel', 'payah', 'udh', 'masuk', 'udh', 'uninstall', 'download', 'msuk', 'susah', 'kali', 'muncul', 'kesalahan', 'login', 'tolong', 'diperbaiki', 'aplikasinya']</t>
  </si>
  <si>
    <t>['udh', 'bolak', 'install', 'uninstall', 'login', 'dikirim', 'link', 'loading', 'ujungnya', 'udh', 'cobain', 'pke', 'device', 'ttp', 'gmn', 'beli', 'paket', 'sblmnya', 'logout', 'buka', 'login', 'klik', 'link', 'ribet', 'wew']</t>
  </si>
  <si>
    <t>['telokomsel', 'tolong', 'jaringan', 'perbaiki', 'aplikasi', 'jelek']</t>
  </si>
  <si>
    <t>['kesini', 'telkomsel', 'ancur', 'sinyalnya', 'parah', 'ibukota', 'aplikasi', 'mytelkomsel', 'memudahkan', 'ribet', 'aplikasi', 'berat', 'lemot', 'daftar', 'harga', 'kuota', 'mahal', 'doang', 'sebanding', 'pelayanan', 'tinggal', 'tunggu', 'hancur', 'berbenah', 'memperbaiki', 'sistemnya', '']</t>
  </si>
  <si>
    <t>['payah', 'ngga', 'login', 'semenjak', 'update', 'tolong', 'perbaiki', 'kecewa', 'pelanggan', 'kabur', 'operator', 'kecewa', 'perbaiki']</t>
  </si>
  <si>
    <t>['kacau', 'telkomsel', 'berkembang', 'selesai', 'update', 'telkomsel', 'login', 'susahnya', 'ampun', 'perbaiki', 'sistemnya', 'ditinggalkan', 'pelanggan', 'setia', '']</t>
  </si>
  <si>
    <t>['bagus', 'banget', 'pke', 'telkomsel', 'beli', 'paket', 'double', 'gakan', 'buang', 'paket', 'kyk', 'kartu', 'sebelah', 'udh', 'pnya', 'paket', 'gede', 'timpa', 'gb', 'paket', 'angus', 'paket', 'gila', 'kali', 'provider']</t>
  </si>
  <si>
    <t>['bagus', 'sisa', 'paket', 'poin', 'langsung', 'pakai', 'ribet', 'terima', 'kasih', 'aplikasi', 'telkomsel', 'pulsa', 'terpotong', 'isi', 'pulsa']</t>
  </si>
  <si>
    <t>['loadingnya', 'masuk', 'aplikasi', 'telkomsel', 'jaringan', 'telkomsel', 'aplikasi', 'optimal', 'menyedihkan', 'ngakunya', 'jaringan', 'terluas', 'indonesia', 'indonesia', 'lelet']</t>
  </si>
  <si>
    <t>['masuk', 'pakai', 'wifi', 'buka', 'aktifkan', 'paket']</t>
  </si>
  <si>
    <t>['kualitas', 'jaringan', 'ancur', 'tower', 'rumah', 'malem', 'minggu', 'wajib', 'jaringan', 'gangguan', 'aplikasi', 'upgrade', 'lemot', 'lelet', 'pokok', 'ancur', 'kwalitas', 'perbaiki', 'tarif', 'internet', 'naiki', 'kwalutas', 'buruk']</t>
  </si>
  <si>
    <t>['apk', 'telkomsel', 'error', 'kemarin', 'ngk', 'masuk', 'udah', 'update', 'udah', 'uninstall', 'download', 'login', 'jaringan', 'telkomsel', 'jelek', 'parah', 'kayak', 'bagus', 'jaringan', 'telkomsel', 'hancur', 'parah', 'jaringannya', 'kalw', 'kayak', 'gini', 'pindah', 'hati', '']</t>
  </si>
  <si>
    <t>['jelek', 'mengecewakan', 'uninstall', 'install', 'buka', 'transaksi', 'complayn', 'via', 'help', 'tsel', 'tolong', 'sgr', 'perbaiki', '']</t>
  </si>
  <si>
    <t>['kemarin', 'beli', 'paker', 'aplikasi', 'pulsa', 'habis', 'paketnya', 'nggak', 'masuk', 'paketnya', 'mahal', 'mahal', 'aplikasi', 'jelek', 'mempermudah', 'mempersulit', 'pelanggan', 'kuotanya', 'nipu', 'rbu', 'dipakai', 'aplikasi', 'sosmed', 'nggak', 'dipakai', 'disosmed', 'nonton', 'tiktok', 'kuota', 'utama', 'dipotong', '']</t>
  </si>
  <si>
    <t>['paketan', 'mahal', 'jaringan', 'lemot', 'amyuun', 'gembor', 'jaringan', 'terluas', 'tercepat', 'klu', 'bukti', 'jaringan', 'ancuur', 'loading', 'trus', 'pulsa', 'berkurang', 'wifi', 'telkomsel']</t>
  </si>
  <si>
    <t>['ganti', 'kartu', 'smartfreen', 'telkomsel', 'jelek', 'parah', 'pakai', 'zoom', 'googlemeet', 'jaringan', 'putus', 'kecewa', 'telkomsel', 'udah', 'pakai', 'tsel', 'kartu', 'buang', 'ganti', 'pakai', 'smartfrend', '']</t>
  </si>
  <si>
    <t>['pakai', 'telkomsel', 'thn', 'tampilan', 'telkomsel', 'jelek', 'pelayanan', 'buruk', 'contohnya', 'aktivasi', 'paket', 'aktivasi', 'tgl', 'agt', 'tgl', '']</t>
  </si>
  <si>
    <t>['undi', 'undi', 'hepi', 'selenggarakan', 'telkomsel', 'tukar', 'poin', 'pernh', 'dengar', 'orang', 'pemenangnya', 'langsung', 'pemenangnya', 'rubah', 'digantikan', '']</t>
  </si>
  <si>
    <t>['transaksi', 'membeli', 'paket', 'pilihan', 'dana', 'beli', 'paket', 'pakai', 'dana', 'males', 'beli', 'pulsa', 'tolong', 'adakan', 'admin', 'telkom', 'pilihan', 'dana', 'jaringannya', 'perbagus', 'ilang', 'ilangan', 'pas', 'main', 'game']</t>
  </si>
  <si>
    <t>['aplikasi', 'telkomsel', 'buruk', 'iya', 'koneksi', 'stabilah', 'kesalah', 'sistemalah', 'veri', 'ama', 'engga', 'kendala', 'tpi', 'knp', 'semenjak', 'perbaharui', 'apalikasinya', 'burik', 'okelah', 'klw', 'kali', 'kali', 'masi', 'maklum', 'keseringan', 'bngat', 'mending', 'gue', 'pinda', 'haluan', 'indosat', '']</t>
  </si>
  <si>
    <t>['aplikasinya', 'rusak', 'kuota', 'kadang', 'nyedot', 'pulsa', 'aneh', 'pulsanya', 'dipake', 'beli', 'kuota', '']</t>
  </si>
  <si>
    <t>['bersukur', 'udah', 'kartu', 'telkomsel', 'kuat', 'jaringannya', 'jaringan', 'internetnya', 'udah', 'dilapor', 'call', 'center', 'berulang', 'kali', 'dibuatkan', 'laporannya', 'emang', 'pikir', 'gue', 'gtratis', 'internet', 'kayaknya', 'permainan', 'telkomsel', 'mengeluarkan', 'jaringan', 'hati', 'hati', 'pelanggan', 'kabur']</t>
  </si>
  <si>
    <t>['wooooy', 'paket', 'mahalin', 'signal', 'perbagus', 'mahal', 'beli', 'paket', 'feed', 'game', 'vangke', 'kecewa', 'ama', 'telkomsel', 'jaringan', 'anjlok', 'sejelek']</t>
  </si>
  <si>
    <t>['grapari', 'telkomsel', 'lokasi', 'jam', 'membantu', 'keluhan', 'warga', 'jakarta', 'pengguna', 'telkomsel', 'khusus', 'dki', 'jakarta', 'perbanyak', 'grapari', 'telkomsel', 'orang', 'memakan', 'jalan', 'alias', 'macet', 'peminat', 'penggunaan', 'telkomsel', 'aplikasi', 'link', 'pribadi', 'terkadang', 'suka', 'kejauhan', 'rumah', 'grapari', 'telkomsel', '']</t>
  </si>
  <si>
    <t>['merger', 'layanan', 'provider', 'terbesar', 'pelanggan', 'didukung', 'pemerintah', 'kinerja', 'layanan', 'aplikasi', 'mumpuni', 'kemana', 'master', 'kehilangan', 'pelanggan', 'loyal', 'sinyal', 'quota', 'gagal', 'autentifikasi', 'masuk', 'aplikasinya', 'cache', 'uda', 'dihapus', 'uda', 'reinstall', 'tetep', 'autentifikasi', 'masuk', 'aplikasi', 'sekalinya', 'masuk', 'load', 'interface', 'aplikasinya', 'udah', 'harga', 'mahal', 'jaringan', 'menurun', 'launching', 'pindah', 'provider', 'gini', '']</t>
  </si>
  <si>
    <t>['aplikasi', 'telkomsel', 'masuk', 'udah', 'seminggu', 'cek', 'pulsa', 'kuota', 'update', 'terbaru', 'kacau', 'payah', 'banget', '']</t>
  </si>
  <si>
    <t>['jelek', 'jaringan', 'simpati', 'lamaya', 'bermutu', 'jaringan', 'kartu', 'sultan', 'paket', 'mahal', 'jaringan', 'taik', 'gaya', 'iklan', 'sok', 'sok', 'bagus', '']</t>
  </si>
  <si>
    <t>['lemot', 'ngecek', 'kuota', 'perbarui', 'kentang', 'paham', 'kepepet', 'bnyk', 'apk', 'belajar', 'udh', 'sinyal', 'jelek', 'males', 'disuruh', 'belajar', 'karna', '']</t>
  </si>
  <si>
    <t>['sinyal', 'buruk', 'banget', 'jaringan', 'lemot', 'buka', 'kadang', 'jaga', 'kualitas', 'hapus', 'paketnya', 'mahal', 'kualitas', 'rendahan']</t>
  </si>
  <si>
    <t>['woii', 'telkomsel', 'harga', 'mahal', 'mahal', 'sinyal', 'ngelebih', 'kartu', 'murah', 'ngelag', 'main', 'sumpaaahhhhhhh', 'nyesel', 'gua', 'beli', 'kartu', 'telkomsel', 'mempermudah', 'mempersulit']</t>
  </si>
  <si>
    <t>['update', 'login', 'ulang', 'biarin', 'update', 'aplikasinya', 'buka', 'giliran', 'update', 'login', 'ulang', 'udah', 'magic', 'link', 'dll', 'gagal', 'mulu', 'kesalahan', 'mulu', 'update', 'mempermudah', 'mempersulit']</t>
  </si>
  <si>
    <t>['telkomsel', 'sekarg', 'karna', 'inet', 'standar', 'harga', 'paketnya', 'standar', 'inbox', 'telkomsel', 'cma', 'refres', 'suruh', 'restar', 'trimakasih', 'menemani']</t>
  </si>
  <si>
    <t>['aplikasi', 'nihh', 'kuota', 'tpi', 'buka', 'buka', 'hadehh', 'paketin', 'ehh', 'pulsa', 'sedot', 'ambil', 'telkomsel', 'gajelas', 'tolong', 'telkomsel', 'benerin', 'sistem', 'kesini', 'orang', 'mah', 'bener', 'mah', 'bobrok']</t>
  </si>
  <si>
    <t>['sinyal', 'tolong', 'dnk', 'muluu', 'yaa', 'haduhh', 'kali', 'wajar', 'banget', 'perbaiki', 'lahh', 'program', 'veronika', 'gunanya', 'muter', 'muter', 'ayolahh', 'duku', 'telkomsel', 'terkenal', 'kartu', 'mahal', 'iya', 'kartu', 'mahal', 'kualitas', 'kaya', 'murahan', '']</t>
  </si>
  <si>
    <t>['udah', 'update', 'buka', 'pas', 'buka', 'aplikasi', 'disuruh', 'update', 'udh', 'klik', 'perbarui', 'playstore', 'udh', 'bsa', 'buka', 'maunya', 'yaa']</t>
  </si>
  <si>
    <t>['tolonglahhh', 'aplikasi', 'terbarunya', 'dibenerin', 'kali', 'akses', 'apk', 'internet', 'kuning', 'pulsa', 'telkomsel', 'tetep', 'terpotong', 'jalannya', 'internet', 'terpake', 'internet', 'sikuning', 'repottt', 'deh']</t>
  </si>
  <si>
    <t>['applikasi', 'berguna', 'slow', 'respon', 'beli', 'kuota', 'applikasi', 'rusak', 'chat', 'twitter', 'blm', 'bales', 'kaka', '']</t>
  </si>
  <si>
    <t>['telkomsel', 'setahun', 'kartu', 'telkomsel', 'telfon', 'internet', 'sinyal', 'buruk', 'maaf', 'telkomsel', 'pindah', 'kelain', 'hati', '']</t>
  </si>
  <si>
    <t>['langganan', 'setia', 'telkomsel', 'jaringan', 'telkomsel', 'jelek', 'tolong', 'perbaikin', 'jaringan', 'kecewe', 'langganan', 'telkomsel', 'main', 'game', 'susah', 'ngeleq', 'bacotin', 'tim', 'gara', 'ngeleq', 'sekian', 'terima', 'kasih', '']</t>
  </si>
  <si>
    <t>['pakai', 'provider', 'pikir', 'uang', 'habis', 'kecewa', 'telkomsel', 'pelayanan', 'segi', 'koneksi', 'jaringan', 'buruk', 'buruk', 'hancur', 'tinggal', 'hutan', 'sinyalnya', 'mending', 'cari', 'stabil', 'jaringan', 'murah', 'mengguna', 'provider', 'kecewa', '']</t>
  </si>
  <si>
    <t>['udh', 'bagus', 'pas', 'update', 'ribet', 'kartu', 'kuota', 'doang', 'sampe', 'email', 'pusing', 'min', 'email', '']</t>
  </si>
  <si>
    <t>['apknya', 'bgus', 'mudah', 'mmbeli', 'paket', 'sisa', 'pulsa', 'jenis', 'paket', 'dibeli', 'telkomsel', 'paket', 'harga', 'mhal', 'drpda', 'telkomsel', '']</t>
  </si>
  <si>
    <t>['aplikasinya', 'cek', 'status', 'beli', 'kuota', 'basic', 'costumer', 'servicenya', 'bot', 'membantu', 'kontak', 'mending', 'via', 'via', 'chat', 'responnya', 'tolong', 'paket', 'promo', 'expired', 'send', 'ujung', 'klik', 'promo', 'penjelasan', 'paket', 'produk', 'detil', 'deskripsi', 'produk', 'spy', 'konsumen']</t>
  </si>
  <si>
    <t>['', 'sinyal', 'telkomsel', 'lemott', 'paket', 'awmua', 'mahal', 'sinyal', 'trus', 'paket', 'kebuang', 'aktif', 'habis', 'bonus', 'paketnya', 'coba', 'bonus', 'dipake', 'gua', 'udah', 'make', 'telkomsel', 'thn', 'ampe', '']</t>
  </si>
  <si>
    <t>['lag', 'main', 'youtube', 'lancar', 'jaya', 'masuk', 'aplikasi', 'lag', 'ampun', 'tolong', 'perhatikan', 'koneksinya']</t>
  </si>
  <si>
    <t>['tolong', 'notifikasi', 'event', 'nonton', 'anime', 'sekian', 'rupiah', 'event', 'menarik', 'tolong', 'kirim', 'pesan', 'notifikasi', 'langsung', 'nongol', 'layar', 'ganggu', 'push', 'rank', 'frame', 'drop', 'lag', 'pas', 'war', 'emosi', 'udah', 'serius', 'main', 'tpi', 'pas', 'war', 'langsung', 'nongol', 'notifikasi', 'event', 'ganggu', 'banget', 'terimakasih', '']</t>
  </si>
  <si>
    <t>['sinyal', 'maksimal', 'kadang', 'hilang', 'terganggu', 'kadang', 'suka', 'setabil', 'jaringan', 'kadang', 'suka', 'membantu', 'bufring', 'tolong', 'perbaiki', 'jaringan']</t>
  </si>
  <si>
    <t>['kecewa', 'pelayanan', 'telkomsel', 'setahun', 'sinyalnya', 'sulit', 'hilang', 'saatsaat', 'urgent', 'aplikasi', 'layanan', 'veronika', 'solusi', 'ajukan', 'pulsa', 'berkurang', 'transaksi', 'apapun', 'mengganggu']</t>
  </si>
  <si>
    <t>['beli', 'paket', 'combo', 'sakti', 'bayar', 'via', 'linkaja', 'paket', 'aktif', 'saldo', 'linkaja', 'udah', 'ditarik', '']</t>
  </si>
  <si>
    <t>['ngga', 'akses', 'tulisannya', 'there', 'something', 'wrong', 'udah', 'wifi', 'jga', 'ttp', 'ngga', 'tolong', 'perbaiki']</t>
  </si>
  <si>
    <t>['gimana', 'aplikasi', 'perbarui', 'ngga', 'pilihan', 'perbarui', 'playstore', 'tolong', 'perbaiki', 'pengguna', 'telkomsel', 'udah']</t>
  </si>
  <si>
    <t>['lemot', 'banget', 'ribet', 'buatlah', 'simpel', 'sesederhana', 'fyi', 'pelosok', 'pelosok', 'apk', 'fitur', 'phone', 'coba', 'solusinya']</t>
  </si>
  <si>
    <t>['minggu', 'susah', 'buka', 'aplikasi', 'telkomasel', 'sinyal', 'kadang', 'hilang', 'upgrade', 'pascabayar', 'halo', 'ngecek', 'via', 'aplikasi', 'susah', '']</t>
  </si>
  <si>
    <t>['aplikasinya', 'masuk', 'login', 'udah', 'diuninstal', 'diinstal', 'lafi', 'tetep', 'dipake', 'tolong', 'cek', 'aplikasinya', 'upgrade', 'versi', 'terbarunya', 'dipakai', 'harap', 'dievaluasi']</t>
  </si>
  <si>
    <t>['', 'telkomsel', 'mengerti', 'bermanfaat', 'manapun', 'terhubung', 'bangga', 'aplikasi', 'telkomsen', 'semoga', 'berguna', 'anak', 'cucu', '']</t>
  </si>
  <si>
    <t>['bad', 'beli', 'paket', 'internet', 'memasukkan', 'telkomsel', 'tersedia', 'paket', 'malam', 'beserta', 'gigamax', 'orang', 'menyukai', 'aplikasi', 'memiliki', 'spesifikasi', 'banding', 'jaringan', 'telkomsel', 'memiliki', 'aplikasi', 'buruk', 'harap', 'telkomsel', 'mengatasi', 'secepatnya', '']</t>
  </si>
  <si>
    <t>['pas', 'masuk', 'telkomsel', 'kegagalan', 'koneksi', 'paket', 'data', 'udah', 'diupdate', 'uninstall', 'mengganggu', 'tolong', 'diperbaiki', 'gitu']</t>
  </si>
  <si>
    <t>['buka', 'mytelkomsel', 'suruh', 'login', 'mulu', 'udah', 'login', 'cerewet', 'pas', 'masuk', 'banget', 'load', 'jaringan', 'lancar', 'tolong', 'min', '']</t>
  </si>
  <si>
    <t>['mohon', 'maaf', 'update', 'apl', 'telkomsel', 'membantu', 'berjalan', 'lancar', 'diupdate', 'lemot', 'susah', 'loginnya', 'susah', 'terimakasih']</t>
  </si>
  <si>
    <t>['parah', 'susah', 'buka', 'aplikasi', 'telkomsel', 'data', 'provider', 'liat', 'pulsa', 'promo', 'kebuka', 'alasannya', 'jaringan', 'lemah', 'telkomsel', 'akses', 'data', 'telkomsel', 'mohon', 'perbaikan']</t>
  </si>
  <si>
    <t>['aplikasinya', 'bagus', 'mengecek', 'saldo', 'kuota', 'tlp', 'sms', 'internet', 'masuk', 'mytelkomsel', 'mengetik', 'bintang', 'pagar', 'beton', 'pagar', 'kayu', 'dll', '']</t>
  </si>
  <si>
    <t>['', 'kondisi', 'harga', 'paket', 'mahal', 'mahal', 'bantuan', 'keringanan', 'paket', 'kuota', 'sinyal', 'jelek', 'berilah', 'keringanan', 'harga', 'paket', 'kuota', 'orang', 'beli', 'paket', 'mahal', 'tolong', 'mengerti', 'situasi', 'paket', 'utama', 'gb', 'harga', 'ribu', 'beli', 'harga', 'paket', 'murah', 'beli', '']</t>
  </si>
  <si>
    <t>['mohon', 'maaf', 'jaringan', 'telkomsel', 'jelek', 'banget', 'pas', 'mabar', 'ngeleg', 'deket', 'ama', 'tower', 'buka', 'youtube', 'ngeleg', 'lgi', 'mohon', 'perbaiki', 'secepatnya']</t>
  </si>
  <si>
    <t>['puas', 'banget', 'paketan', 'promo', 'tawarkan', 'semoga', 'paketan', 'promo', 'promo', 'bagus', 'pelanggan', 'pilihan', 'puas', 'reward', 'pengguna', 'pengguna', 'setia', 'pakai', 'telkomsel', '']</t>
  </si>
  <si>
    <t>['ribet', 'ubek', 'ubek', 'aplikasi', 'beli', 'paket', 'harga', 'paket', 'mahal', 'langganan', 'bertahun', 'pektnya', 'mahal']</t>
  </si>
  <si>
    <t>['aplikasi', 'aneh', 'update', 'paketan', 'hilang', 'mahal', 'gua', 'pakek', 'telkomsell', 'ehhh', 'mahalin', 'paket', 'internet', 'balikin', 'donk', 'paketan', 'gua', 'malahh', 'kartu', 'kartu', 'murah', 'paketannya', 'udh', 'mahalin', 'tolong', 'donk', 'telkomsell', 'balikin', 'paketan', 'gua', 'rban', 'udah', 'dapet', 'ehh', 'sekrang', 'hemzzzzzzzz', 'aplikasi', 'busuk', 'anjjeng']</t>
  </si>
  <si>
    <t>['yakali', 'terhubung', 'internet', 'telkomsel', 'buka', 'aplikasi', 'mikir', 'kuota', 'internet', 'habis', 'pakai', 'jaringan', 'internet', 'pakai', 'wifi', 'isi', 'kuota', 'internet', 'ehh', 'aplikasinya', 'kebuka', 'monopoli', 'aplikasi', 'parahhhh', 'kualitas', 'jaringan', 'internetnya', 'dibilang', 'bagus', 'provide', 'kualitasnya', 'telkomsel', 'ditempat', '']</t>
  </si>
  <si>
    <t>['update', 'login', 'app', 'telkomsel', 'sulit', 'kirain', 'kartunya', 'bermasalah', 'dicoba', 'login', 'kartu', 'tselku', 'kartu', 'adek', 'ttp', 'login', 'trus', 'manfaatnya', 'instal', 'app', 'tsel', 'dipake', 'mohon', 'perbaiki', '']</t>
  </si>
  <si>
    <t>['asli', 'parah', 'aplikasinya', 'bandwith', 'internet', 'kenceng', 'berat', 'loading', 'content', 'saran', 'kembalikan', 'versi', 'mengutamakan', 'fungsi', 'layanan', 'pengguna', 'tampilan', 'menarik', 'mengurangi', 'layanan', 'kenyaman', 'pengguna', 'aplikasi', 'beratnya', 'loading', 'konten', 'fungsi', 'optimal', '']</t>
  </si>
  <si>
    <t>['halo', 'selamat', 'siang', 'mohon', 'maaf', 'pengguna', 'kuota', 'belajar', 'telkomsel', 'conference', 'zoom', 'meeting', 'google', 'meet', 'dll', 'kenyataannya', 'jam', 'pelatihan', 'persiapan', 'ksn', 'google', 'meet', 'udah', 'kali', 'masuk', 'karuan', 'presentasi', 'muncul', 'suara', 'pembicara', 'muncul', 'maksudnya', 'kecewa', 'menyesal', 'pakai', 'telkomsel', 'harganya', 'ribu', 'murah', 'sekian', 'salam', 'kecewa', '']</t>
  </si>
  <si>
    <t>['samsung', 'plus', 'iphone', 'pro', 'max', 'aplikasi', 'mytelkomsel', 'akses', 'coba', 'uninstal', 'download', 'masuk', 'gerangan', 'aplikasi', 'mytelkomsel', 'perubahan', 'sistem', 'aplikasi', 'mytelkomsel', 'akses', 'delete', 'permanen', 'aplikasi', 'mytelkomsel', 'tolong', 'infonya', 'mytelkomsel', 'terimakasih', '']</t>
  </si>
  <si>
    <t>['hey', 'paket', 'kuota', 'ketengan', 'unlimited', 'youtube', 'pakai', 'youtube', 'lihat', 'berkurang', 'kuota', 'utama', 'barusan', 'beli', 'aktif', '']</t>
  </si>
  <si>
    <t>['maaf', 'apk', 'knp', 'login', 'buka', 'tolong', 'pengguna', 'kecewa', '']</t>
  </si>
  <si>
    <t>['buka', 'aplikasi', 'lola', 'loading', 'lambat', 'sinyal', 'log', 'ulang', 'suka', 'error', 'ayo', 'dipermudah', 'udah', 'pelanggan', 'jadikan', 'kecewa']</t>
  </si>
  <si>
    <t>['update', 'buka', 'susah', 'loadingnya', 'mending', 'update', 'kecewa', 'telkomsel', 'mending', 'kaya', 'simple', 'cepet', 'enak', 'murah', '']</t>
  </si>
  <si>
    <t>['selamat', 'siang', 'min', 'min', 'loading', 'telkomsel', 'beli', 'paket', 'telfon', 'telkomsel', 'mohon', 'bantuannya', '']</t>
  </si>
  <si>
    <t>['apps', 'udah', 'apps', 'mytelkomsel', 'sampe', 'udah', 'uninstall', 'login', 'hasilnya', 'tetep', 'mohon', 'bantuannya', 'min', 'terima', 'kasih']</t>
  </si>
  <si>
    <t>['semalam', 'login', 'kesalahan', 'jaringan', 'jelek', 'app', 'lancar', 'kecuali', 'app', '']</t>
  </si>
  <si>
    <t>['maaf', 'min', 'berlangganan', 'telkomsel', 'thn', 'upgrade', 'jaringan', 'ahir', 'kecewa', 'jaringan', 'sinyal', 'log', 'game', 'susah', 'ampun', 'kuota', 'internet', 'kartu', 'telkomsel', 'jaringan', 'tolong', 'min', 'kasih', 'penjelasan', 'terimakasih', '']</t>
  </si>
  <si>
    <t>['asalamualaikum', 'bpk', 'hutang', 'telkomsel', 'kartu', 'hilang', 'nth', 'kemana', 'gmna', 'bayar', 'hutang', 'hutang', 'bawa', 'akhirat', 'tolong', 'telkomsel', 'bantu', 'allah', 'jahat', 'banget', 'email', 'blokir', '']</t>
  </si>
  <si>
    <t>['login', 'aplikasi', 'login', 'muncul', 'pesan', 'ooops', 'kesalahan', 'mencoba', 'berulangkali', 'bintang', 'diperbaiki']</t>
  </si>
  <si>
    <t>['ambyar', 'sinyal', 'boskuh', 'harga', 'sekian', 'jaringan', 'kacau', 'th', 'provider', 'kecewa', 'parah', 'maaf', 'salah', 'ulas', 'meluapkan', 'kekecewaan', 'pemimpin', 'baca']</t>
  </si>
  <si>
    <t>['kuota', 'gb', 'jaringan', 'hr', 'rp', 'rb', 'aktifkan', 'paketnya', 'balas', 'rb', 'sms', 'tsel', 'hotoffer', 'promo', 'aug', 'diakses', 'promo', 'kecewa', 'tsel']</t>
  </si>
  <si>
    <t>['buka', 'aplikasi', 'provider', 'susah', 'banget', 'buka', 'aplikasi', 'butuh', 'sinyal', 'kuat', 'ngisi', 'kuota', 'provider', 'susah', 'banget']</t>
  </si>
  <si>
    <t>['kesalahan', 'kali', 'buka', 'beli', 'kuota', 'kesalahan', 'berkali', 'kali', 'harganya', 'mahal', 'masak', 'error', 'seharian', 'tolong', 'diperbaiki', 'pulau', 'jawa', 'daerah', 'perkotaan', 'kerja', 'bener', 'sekian', 'terima', 'kasih', 'semoga', 'amin']</t>
  </si>
  <si>
    <t>['beli', 'paket', 'combo', 'sakti', 'telkomsel', 'gb', 'rb', 'hilang', 'beli', 'paket', 'telkom', 'gb', 'rb', 'hilang', 'ganti', 'gb', 'rb', 'gb', 'rb', 'hilang', 'gnti', 'gitu', 'gmn', 'tolong', 'developer', 'maaf', 'bintang', 'tpi', 'tolong', 'kedepannya', 'perbaiki', 'bintang']</t>
  </si>
  <si>
    <t>['pembelian', 'ribu', 'telepon', 'aplikasi', 'habis', 'dihapus', 'ajh', 'harapan', 'pulsanya', 'minim', '']</t>
  </si>
  <si>
    <t>['mantap', 'jaringannya', 'mahal', 'harganya', 'klw', 'pakai', 'big', 'giganya', 'klw', 'rb', 'seminggu', 'ekonomi', 'menengah', 'kebawah', 'sumbangannya', 'telkomsel', 'the', 'best', '']</t>
  </si>
  <si>
    <t>['tolong', 'maaf', 'ulasan', 'korporasi', 'bobrok', 'biaya', 'layanan', 'mahal', 'kualitas', 'rendah', 'maunya', 'masuk', 'aplikasi', 'kasi', 'repotnya', 'ampun', 'maksa', 'pelanggan', 'beli', 'paket', 'mahal', '']</t>
  </si>
  <si>
    <t>['app', 'ngeselin', 'login', 'telkomsel', 'gmn', 'dri', 'pagi', 'sampe', 'siang', 'jga', 'ganti', 'kartu']</t>
  </si>
  <si>
    <t>['telkomsel', 'udh', 'bertahun', 'pakai', 'telkomsel', 'kecewa', 'skrg', 'kecewa', 'banget', 'karna', 'sinyal', 'low', 'banget', 'paket', 'data', 'pakai', 'tolong', 'bantuan', 'jujur', 'susah', 'sinyal', 'lemah', 'susah', 'pakai', 'paket', 'data', 'tetep', 'sinyal', 'membaik', 'tolong', 'bantuan', 'nyaman', 'pakai', 'telkomsel']</t>
  </si>
  <si>
    <t>['sinyal', 'leletnya', 'ampun', 'menjelang', 'malam', 'wilayah', 'binjai', 'sumatera', 'utara', 'kuota', 'gb', 'tolong', 'telkomsel', 'benahin', 'mengeluh', 'kondisi', 'jaringan', 'tsel']</t>
  </si>
  <si>
    <t>['kebanyakan', 'eror', 'masuk', 'susah', 'bener', 'nomor', 'bener', 'dapa', 'link', 'sms', 'pas', 'buka', 'boro', 'masuk', 'ngabisin', 'pulsa']</t>
  </si>
  <si>
    <t>['pembohong', 'ngk', 'jujur', 'promo', 'beli', 'ngk', 'orang', 'jawabannya', 'samaa', 'ngk', 'sesuai', 'bodoh', 'tolongla', 'kerja', 'cari', 'utang', 'dunia', 'bro', 'bermurah', 'paket', 'tawarkan', '']</t>
  </si>
  <si>
    <t>['buka', 'min', 'beli', 'paket', 'data', 'layanan', 'telkomsel', 'bermasalah', 'mohon', 'bantuannya', 'min']</t>
  </si>
  <si>
    <t>['pecat', 'kepala', 'dev', 'apps', 'aplikasi', 'provider', 'telekomunikasi', 'gagal', 'load', 'tampil', 'menampilkan', 'informasi', 'dicoba', 'provider', 'smartphone', 'sehatpun', 'berkeluhan', '']</t>
  </si>
  <si>
    <t>['aplikasinya', 'ngak', 'login', 'kemaren', 'udah', 'login', 'aman', 'skrg', 'beli', 'paket', 'pas', 'buka', 'aplikasinya', 'ngak', 'login', 'tolong', 'donk', 'telkomsel', 'gimana', 'solusinya']</t>
  </si>
  <si>
    <t>['konfirmasi', 'twitter', 'download', 'ulasan', 'pengguna', 'handphone', 'mempunya', 'sosial', 'media', 'twitter', 'konfirmasi', 'twitter', 'suara', 'dengarkan', 'tolong', 'persulit']</t>
  </si>
  <si>
    <t>['tolong', 'kasih', 'fitur', 'opsi', 'poin', 'redeem', 'tiket', 'undian', 'poin', 'ingen', 'tuker', 'poin', 'tiket', 'undian', 'ung', 'klik']</t>
  </si>
  <si>
    <t>['aplikasi', 'buruk', 'perasaan', 'kuota', 'internet', 'boros', 'wajar', 'kemarin', 'pemakai', 'wajar', 'terbntu', 'pakai', 'wifi']</t>
  </si>
  <si>
    <t>['emang', 'aplikasi', 'update', 'diupdate', 'login', 'ayo', 'telkomsel', 'bumn', 'telekomunikasi', 'aplikasi', 'penuh', 'bug', 'gini']</t>
  </si>
  <si>
    <t>['vero', 'aplikasi', 'update', 'claim', 'bonus', 'kuota', 'daily', 'check', 'update', 'msh', 'lancar', 'ambil', 'bonus', 'kuota', 'update', 'parah', 'bsa', 'ambil', 'bonus', 'jdi', 'mmberikan', 'program', 'daily', 'check', 'claim', 'tolong', 'perbaiki', 'aplikasi', '']</t>
  </si>
  <si>
    <t>['aplikasi', 'apaa', 'lod', 'masuk', 'login', 'pakai', 'nomor', 'telkom', 'pakai', 'akun', 'kirim', 'notof', 'sms', 'kadaluarsa', 'mulu', 'udh', 'instal', 'aplikasi']</t>
  </si>
  <si>
    <t>['telkomsel', 'ancur', 'daerah', 'bintan', 'parah', 'gini', 'ganti', 'kartu', 'smnjak', 'habis', 'kejadian', 'kebakaran', 'gedungnya', 'ancur', 'jaringan', 'tmpat', 'tolong', 'perbaiki', 'sayankesel', 'karna', 'beli', 'paket', 'mahal', 'dibpake', 'sanagat', 'memuaskan', 'costumeer', '']</t>
  </si>
  <si>
    <t>['', 'telkomsel', 'masuk', 'akun', 'gabisaaa', 'log', 'something', 'went', 'wrong', 'udah', 'update', 'jaringan', 'aman', 'udah', 'gini', 'gini', 'mulu', 'semoga', 'cepet', 'teratasi', 'aga', 'gedeg', 'cman', 'gimana', '']</t>
  </si>
  <si>
    <t>['solusinya', 'beli', 'kuota', 'gamemax', 'kuota', 'syaratnya', 'tertulis', 'mobil', 'legends', 'free', 'fire', 'pubg', 'mobile', 'pas', 'main', 'salah', 'game', 'kuota', 'gb', 'solusinya', '']</t>
  </si>
  <si>
    <t>['', 'maksudnya', 'gimana', 'diupdate', 'login', 'tim', 'developernya', 'disuruh', 'update', 'padaha', 'update', 'trakhir', 'aplikasi', 'ngebug', 'luncurkan', '']</t>
  </si>
  <si>
    <t>['mohon', 'tingkatkan', 'apl', 'pulsa', 'sedot', 'paket', 'internet', 'bingung', 'lari', 'kemana', 'pulsa', 'nelpon', 'sms', 'aneh', 'kemaren', 'ambil', 'bonus', 'daily', 'cek', 'gb', 'terkonfirmasi', 'masuk', 'hape', 'coba', 'telkomsel', 'menanggapi', 'komplain', 'tolong', 'kasih', 'solusi', 'penjelasan', 'omong', 'kosong']</t>
  </si>
  <si>
    <t>['aplikasi', 'sel', 'logo', 'sungguh', 'mengecewakan', 'agt', 'log', 'lancar', 'jaya', 'ganti', 'logo', 'gimana', 'udah', 'sinyal', 'pelit', 'pakrtan', 'mahal', 'buka', 'aplikasi', 'eror', 'teruss', '']</t>
  </si>
  <si>
    <t>['mewakili', 'nama', 'pengguna', 'telkomsel', 'memohon', 'telkomsel', 'konsisten', 'kemudahan', 'jaringan', 'luasnya', 'layanan', 'susah', 'akses', 'hang', 'hadirnya', 'mytelkomsel', 'harinya', 'tema', 'semangat', 'berbeda', 'tebarukan', 'update', 'aplikasi', 'susah', 'diakses', 'logo', 'loading', 'trlalu', 'akses', 'keamanan', 'telat', 'mengirim', 'sms', 'aktivasi', 'telkomsel', '']</t>
  </si>
  <si>
    <t>['masuk', 'aplikasi', 'kesalahan', 'jaringan', 'oke', 'isi', 'pulsa', 'pulsa', 'masuk', 'dikirimi', 'pesan', 'isi', 'pulsa', 'memperpanjang', 'aktif', 'server', 'telkomsel', 'kesini', 'jelek', 'pelayanannya']</t>
  </si>
  <si>
    <t>['buka', 'apl', 'susah', 'ngecek', 'pulsa', 'load', 'selesai', 'iklan', 'provider', 'telekomunikasi', 'jualan', 'fitur', 'memberatkan', '']</t>
  </si>
  <si>
    <t>['uda', 'seminggu', 'coba', 'belik', 'paket', 'gb', 'tpi', 'proses', 'bgus', 'mmg', 'gangguan', 'gmna', 'tanda', 'hitam', 'tutup', 'mna', 'paket', 'pakek', 'kek', 'gni', 'hbis', 'bnyak', 'makan', 'pulsa', 'ngisi', 'kirai', 'uda', 'tpi', 'jga', 'sampe', 'skrg', 'mohon', 'perbaiki', 'mna', 'paket', 'pakek', 'gangguan', 'tutup', 'mengecewakan', 'pelanggan']</t>
  </si>
  <si>
    <t>['tolong', 'telkomsel', 'jelek', 'kali', 'layanan', 'jaringan', 'gua', 'setia', 'kartu', 'bayangin', 'taekk', 'layanan', 'jaringan', 'daerah', 'bogor', 'ciomas', 'cek', '']</t>
  </si>
  <si>
    <t>['dear', 'developer', 'kecewa', 'banget', 'update', 'kali', 'aplikasi', 'jaringan', 'telkomsel', 'membeli', 'packet', 'melalu', 'hotspot', 'operator', 'masuk', 'aplikasinya', 'sekalinya', 'lemotnya', 'ampun', 'coba', 'jaringan', 'telkom', 'membeli', 'paket', 'pulsa', 'langsung', 'tersedot', 'menggunakannya', 'sebentar', 'mohon', 'diperhatikan', 'telkomsel', 'kepuasan', 'pelanggan', '']</t>
  </si>
  <si>
    <t>['yth', 'telkomsel', 'jaringan', 'setabil', 'lag', 'gunannya', 'beli', 'paketan', 'mahal', 'mahal', 'sinyal', 'untung', 'rugi', 'mohon', 'penjelasannya', 'cepat', 'perbaiki', 'belajar', '']</t>
  </si>
  <si>
    <t>['wajib', 'pakai', 'kuota', 'telkomsel', 'buka', 'aplikasi', 'kuota', 'habis', 'jdi', 'terpaksa', 'pakai', 'pulsa', 'buka', 'aplikasi', 'beli', 'kuota', 'tetring', 'kartu', 'kebuka', 'aplikasi', 'eror']</t>
  </si>
  <si>
    <t>['pembaruan', 'fitur', 'otomatis', 'tertutup', 'kuota', 'membeli', 'paket', 'sulit']</t>
  </si>
  <si>
    <t>['jaringan', 'metode', 'masuk', 'loading', 'hadehhh', 'telkomsel', 'telkomsel', 'udah', 'dibela', 'belain', 'ttp', 'telkomsel', 'mahal', 'ttp', 'loading', 'heran', '']</t>
  </si>
  <si>
    <t>['harga', 'paket', 'pelanggan', 'berdasarkan', 'app', 'telkomsel', 'teman', 'bnyk', 'pilihan', 'paket', 'paket', 'sakti', 'app', '']</t>
  </si>
  <si>
    <t>['woyy', 'telkomsel', 'tolong', 'diperbaiki', 'aplikasi', 'sinyal', 'bagus', 'muter', 'muter', 'heran', 'gangguan', 'parah', 'speed', 'internet', 'bagus', 'pas', 'buka', 'aplikasi', 'muter', 'muter', 'keterangan', 'jaringan', 'bermasalah', 'mah', 'bagus', 'jaringan', 'please', 'perbaiki', 'harga', 'kuota', 'murahin', 'dikit', 'napa', 'udah', 'kuota', 'mahal', 'mah', 'kesel', 'perbaiki', 'performa', 'oke', '']</t>
  </si>
  <si>
    <t>['sinyalmu', 'busuk', 'paketan', 'mahal', 'sinyal', 'diandalkan', 'tinggal', 'daerah', 'perkotaan', 'sinyal', 'becus', 'sinyal', 'sesuaikan', 'harga', 'paketanmu', 'gatau', 'malu', '']</t>
  </si>
  <si>
    <t>['berulang', 'kali', 'ganti', 'haribberusaha', 'membeli', 'penawaran', 'paket', 'promo', 'ceria', 'minggu', 'berhasil', 'veronica', 'serata', 'hapus', 'aplikasi', 'donwlot', 'ulang', 'berhasil', 'tolong', 'bantu', 'prosesnya', 'terimakasih']</t>
  </si>
  <si>
    <t>['mao', 'aktivasi', 'paket', 'buka', 'aplikasi', 'errrooorrrr', 'teruusss', 'restart', 'berkali', 'kali', 'hape', 'instal', 'ulang', 'ttp', 'kebuka', 'ngadu', 'twitter', 'cuekin', 'solusi', 'haaaahh', 'ngomong', 'kasar', 'bintang', 'nol', '']</t>
  </si>
  <si>
    <t>['suprise', 'deal', 'unlimited', 'adain', 'min', 'sblm', 'jumat', 'aplgi', 'menjelang', 'bln', 'suka', 'tlg', 'cantumkan', 'perincian', 'mytlkmsl', 'kuota', 'pakai', 'barusan', 'kuota', 'akses', 'ksh', 'lbh', 'rincinya', '']</t>
  </si>
  <si>
    <t>['nyedot', 'pulsa', 'data', 'udah', 'matiin', 'disedot', 'sampe', 'muak', 'telkomsel']</t>
  </si>
  <si>
    <t>['halo', 'udh', 'buka', 'aplikasi', 'telkomsel', 'muter', 'paket', 'aplikasi', 'pindah', 'server', 'bingung', 'greget', 'udh', 'update', 'hadeh', 'mohon', 'perbaiki']</t>
  </si>
  <si>
    <t>['telkomsel', 'thn', 'nomor', 'bbrp', 'update', 'app', 'telkomsel', 'terbaru', 'hasilnya', 'mengecewakan', 'menu', 'point', 'hadiah', 'diakses', 'sll', 'normal', 'grapari', 'wisma', 'alia', 'solusinya', 'dibuatkan', 'laporan', 'perbaikan', 'dijanjikan', 'telkomsel', 'menghubungi', 'nihil',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</si>
</sst>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43"/>
    <col customWidth="1" min="4" max="27" width="8.71"/>
  </cols>
  <sheetData>
    <row r="1">
      <c r="B1" s="1" t="s">
        <v>0</v>
      </c>
      <c r="C1" s="2" t="s">
        <v>1</v>
      </c>
      <c r="D1" s="1" t="s">
        <v>2</v>
      </c>
    </row>
    <row r="2">
      <c r="A2" s="1">
        <v>0.0</v>
      </c>
      <c r="B2" s="3" t="s">
        <v>3</v>
      </c>
      <c r="C2" s="3" t="str">
        <f>IFERROR(__xludf.DUMMYFUNCTION("GOOGLETRANSLATE(B2,""id"",""en"")"),"['Telkomsel', 'Maling', 'Credit', 'Kouta', 'GB', 'Get', 'SMS', 'Koutaa', 'Adequate', 'Sumpot', 'Pulses',' Cave ',' The problem is', 'nominal', 'credit', 'sumps',' Males', 'please', 'Telkomsel', 'check']")</f>
        <v>['Telkomsel', 'Maling', 'Credit', 'Kouta', 'GB', 'Get', 'SMS', 'Koutaa', 'Adequate', 'Sumpot', 'Pulses',' Cave ',' The problem is', 'nominal', 'credit', 'sumps',' Males', 'please', 'Telkomsel', 'check']</v>
      </c>
      <c r="D2" s="3">
        <v>1.0</v>
      </c>
    </row>
    <row r="3">
      <c r="A3" s="1">
        <v>1.0</v>
      </c>
      <c r="B3" s="3" t="s">
        <v>4</v>
      </c>
      <c r="C3" s="3" t="str">
        <f>IFERROR(__xludf.DUMMYFUNCTION("GOOGLETRANSLATE(B3,""id"",""en"")"),"['number', 'Different', 'quota', 'price', 'difficult', 'buy', 'quota', 'quota', 'maxtream', 'want', 'buy', 'quota', ' Internet ',' for ',' Rbu ',' ']")</f>
        <v>['number', 'Different', 'quota', 'price', 'difficult', 'buy', 'quota', 'quota', 'maxtream', 'want', 'buy', 'quota', ' Internet ',' for ',' Rbu ',' ']</v>
      </c>
      <c r="D3" s="3">
        <v>4.0</v>
      </c>
    </row>
    <row r="4">
      <c r="A4" s="1">
        <v>2.0</v>
      </c>
      <c r="B4" s="3" t="s">
        <v>5</v>
      </c>
      <c r="C4" s="3" t="str">
        <f>IFERROR(__xludf.DUMMYFUNCTION("GOOGLETRANSLATE(B4,""id"",""en"")"),"['', 'Region', 'Tanjung', 'Sari', 'Natar', 'Lampung', 'South', 'Signal', 'Telkomsel', 'yaa', 'Allah', 'want', 'Kubanting ',' signal ',' change ',' Change ',' Soon ',' slow ',' Abis', 'Ujan', 'all day', 'so', 'ngg', 'pulse', 'quota', 'Ngga', 'late', ""]")</f>
        <v>['', 'Region', 'Tanjung', 'Sari', 'Natar', 'Lampung', 'South', 'Signal', 'Telkomsel', 'yaa', 'Allah', 'want', 'Kubanting ',' signal ',' change ',' Change ',' Soon ',' slow ',' Abis', 'Ujan', 'all day', 'so', 'ngg', 'pulse', 'quota', 'Ngga', 'late', "]</v>
      </c>
      <c r="D4" s="3">
        <v>1.0</v>
      </c>
    </row>
    <row r="5">
      <c r="A5" s="1">
        <v>3.0</v>
      </c>
      <c r="B5" s="3" t="s">
        <v>6</v>
      </c>
      <c r="C5" s="3" t="str">
        <f>IFERROR(__xludf.DUMMYFUNCTION("GOOGLETRANSLATE(B5,""id"",""en"")"),"['', 'Telkomsel', 'update', 'ugly', 'good', 'ugly', 'moved', 'next door', 'telkomsel', 'anjiiiing', 'people', 'no' take it ',' package ',' emergency ',' pulse ',' cave ',' cut ',' anjiiing ']")</f>
        <v>['', 'Telkomsel', 'update', 'ugly', 'good', 'ugly', 'moved', 'next door', 'telkomsel', 'anjiiiing', 'people', 'no' take it ',' package ',' emergency ',' pulse ',' cave ',' cut ',' anjiiing ']</v>
      </c>
      <c r="D5" s="3">
        <v>1.0</v>
      </c>
    </row>
    <row r="6">
      <c r="A6" s="1">
        <v>4.0</v>
      </c>
      <c r="B6" s="3" t="s">
        <v>7</v>
      </c>
      <c r="C6" s="3" t="str">
        <f>IFERROR(__xludf.DUMMYFUNCTION("GOOGLETRANSLATE(B6,""id"",""en"")"),"['Application', 'garbage', 'RAM', 'Cave', 'GB', 'Internal', 'Open', 'Application', 'Nge', 'Hang', 'Screen', 'White', ' application ',' gamau ',' open ',' regret ',' really ',' waste ',' waste ',' quota ',' download ']")</f>
        <v>['Application', 'garbage', 'RAM', 'Cave', 'GB', 'Internal', 'Open', 'Application', 'Nge', 'Hang', 'Screen', 'White', ' application ',' gamau ',' open ',' regret ',' really ',' waste ',' waste ',' quota ',' download ']</v>
      </c>
      <c r="D6" s="3">
        <v>1.0</v>
      </c>
    </row>
    <row r="7">
      <c r="A7" s="1">
        <v>5.0</v>
      </c>
      <c r="B7" s="3" t="s">
        <v>8</v>
      </c>
      <c r="C7" s="3" t="str">
        <f>IFERROR(__xludf.DUMMYFUNCTION("GOOGLETRANSLATE(B7,""id"",""en"")"),"['Application', 'Delete', 'Delete', 'Review', 'Application', 'Ribet', 'Enter', 'Dikasi', 'Link', 'Link', 'Connected', 'Browser', ' DST ',' enter ',' update ',' application ',' enter ',' reset ',' application ',' account ',' number ',' entered ', ""]")</f>
        <v>['Application', 'Delete', 'Delete', 'Review', 'Application', 'Ribet', 'Enter', 'Dikasi', 'Link', 'Link', 'Connected', 'Browser', ' DST ',' enter ',' update ',' application ',' enter ',' reset ',' application ',' account ',' number ',' entered ', "]</v>
      </c>
      <c r="D7" s="3">
        <v>1.0</v>
      </c>
    </row>
    <row r="8">
      <c r="A8" s="1">
        <v>6.0</v>
      </c>
      <c r="B8" s="3" t="s">
        <v>9</v>
      </c>
      <c r="C8" s="3" t="str">
        <f>IFERROR(__xludf.DUMMYFUNCTION("GOOGLETRANSLATE(B8,""id"",""en"")"),"['internet', 'The network', 'in the area', 'Jakarta', 'Serasa', 'lung "",' amidst ',' sea ',' download ',' upload ',' reset ',' star ',' thanks']")</f>
        <v>['internet', 'The network', 'in the area', 'Jakarta', 'Serasa', 'lung ",' amidst ',' sea ',' download ',' upload ',' reset ',' star ',' thanks']</v>
      </c>
      <c r="D8" s="3">
        <v>1.0</v>
      </c>
    </row>
    <row r="9">
      <c r="A9" s="1">
        <v>7.0</v>
      </c>
      <c r="B9" s="3" t="s">
        <v>10</v>
      </c>
      <c r="C9" s="3" t="str">
        <f>IFERROR(__xludf.DUMMYFUNCTION("GOOGLETRANSLATE(B9,""id"",""en"")"),"['Listen to', 'Min', 'Read', 'Complaints',' User ',' Card ',' Sampe ',' Switch ',' AXIS ',' Live ',' City ',' Sousal ',' "", 'Bener', '']")</f>
        <v>['Listen to', 'Min', 'Read', 'Complaints',' User ',' Card ',' Sampe ',' Switch ',' AXIS ',' Live ',' City ',' Sousal ',' ", 'Bener', '']</v>
      </c>
      <c r="D9" s="3">
        <v>2.0</v>
      </c>
    </row>
    <row r="10">
      <c r="A10" s="1">
        <v>8.0</v>
      </c>
      <c r="B10" s="3" t="s">
        <v>11</v>
      </c>
      <c r="C10" s="3" t="str">
        <f>IFERROR(__xludf.DUMMYFUNCTION("GOOGLETRANSLATE(B10,""id"",""en"")"),"['Telkomsel', 'unlimited', 'gajelas',' garbage ',' good ',' quota ',' abis', 'smooth', 'skrng', 'writing', 'limit', 'natural', ' quota ',' application ',' leftover ',' MB ',' Sampaj ',' smooth ',' game ',' ama ',' meek ',' use ',' waited ',' loading ',' v"&amp;"idio ' , 'century']")</f>
        <v>['Telkomsel', 'unlimited', 'gajelas',' garbage ',' good ',' quota ',' abis', 'smooth', 'skrng', 'writing', 'limit', 'natural', ' quota ',' application ',' leftover ',' MB ',' Sampaj ',' smooth ',' game ',' ama ',' meek ',' use ',' waited ',' loading ',' vidio ' , 'century']</v>
      </c>
      <c r="D10" s="3">
        <v>1.0</v>
      </c>
    </row>
    <row r="11">
      <c r="A11" s="1">
        <v>9.0</v>
      </c>
      <c r="B11" s="3" t="s">
        <v>12</v>
      </c>
      <c r="C11" s="3" t="str">
        <f>IFERROR(__xludf.DUMMYFUNCTION("GOOGLETRANSLATE(B11,""id"",""en"")"),"['Please', 'Sorry', 'complement', 'Please', 'Application', 'Fix', 'Difficult', 'NOT', 'Since', 'replaced', 'Logo', 'Error', ' The application ',' disappointing ',' was so late ',' Sayah ',' uinstal ',' application ',' customer ',' need ',' comfort ',' emp"&amp;"tawan ',' application ', ""]")</f>
        <v>['Please', 'Sorry', 'complement', 'Please', 'Application', 'Fix', 'Difficult', 'NOT', 'Since', 'replaced', 'Logo', 'Error', ' The application ',' disappointing ',' was so late ',' Sayah ',' uinstal ',' application ',' customer ',' need ',' comfort ',' emptawan ',' application ', "]</v>
      </c>
      <c r="D11" s="3">
        <v>1.0</v>
      </c>
    </row>
    <row r="12">
      <c r="A12" s="1">
        <v>10.0</v>
      </c>
      <c r="B12" s="3" t="s">
        <v>13</v>
      </c>
      <c r="C12" s="3" t="str">
        <f>IFERROR(__xludf.DUMMYFUNCTION("GOOGLETRANSLATE(B12,""id"",""en"")"),"['Select', 'Telkomsel', 'because', 'signal', 'network', 'good', 'even', 'tariff', 'expensive', 'laen', 'now', 'left', ' expensive ',' laen ',' signal ',' network ',' good ',' already ',' ']")</f>
        <v>['Select', 'Telkomsel', 'because', 'signal', 'network', 'good', 'even', 'tariff', 'expensive', 'laen', 'now', 'left', ' expensive ',' laen ',' signal ',' network ',' good ',' already ',' ']</v>
      </c>
      <c r="D12" s="3">
        <v>1.0</v>
      </c>
    </row>
    <row r="13">
      <c r="A13" s="1">
        <v>11.0</v>
      </c>
      <c r="B13" s="3" t="s">
        <v>14</v>
      </c>
      <c r="C13" s="3" t="str">
        <f>IFERROR(__xludf.DUMMYFUNCTION("GOOGLETRANSLATE(B13,""id"",""en"")"),"['signal', 'KEK', 'Indosat', 'please', 'path', 'signal', 'Expand', 'Sampe', 'Tempuran', 'Magelang', 'Liat', 'Tasks',' Yutub ',' Dipelek ',' Difficult ',' Mager ',' home ',' Play ',' Gem ',' appears', 'Nga', 'LTE', 'Sometimes',' already ',' LTE ' , 'Sinyal"&amp;"', 'missing', 'network', 'anjg']")</f>
        <v>['signal', 'KEK', 'Indosat', 'please', 'path', 'signal', 'Expand', 'Sampe', 'Tempuran', 'Magelang', 'Liat', 'Tasks',' Yutub ',' Dipelek ',' Difficult ',' Mager ',' home ',' Play ',' Gem ',' appears', 'Nga', 'LTE', 'Sometimes',' already ',' LTE ' , 'Sinyal', 'missing', 'network', 'anjg']</v>
      </c>
      <c r="D13" s="3">
        <v>2.0</v>
      </c>
    </row>
    <row r="14">
      <c r="A14" s="1">
        <v>12.0</v>
      </c>
      <c r="B14" s="3" t="s">
        <v>15</v>
      </c>
      <c r="C14" s="3" t="str">
        <f>IFERROR(__xludf.DUMMYFUNCTION("GOOGLETRANSLATE(B14,""id"",""en"")"),"['Ahir', 'application', 'buy', 'credit', 'missing', 'Tampa', 'Turn on', 'Data', 'SMS', 'Call', 'please', 'card', ' Sultan ',' Package ',' wasteful ',' price ',' Slagit ',' no ',' kah ',' gerangan ',' friend ']")</f>
        <v>['Ahir', 'application', 'buy', 'credit', 'missing', 'Tampa', 'Turn on', 'Data', 'SMS', 'Call', 'please', 'card', ' Sultan ',' Package ',' wasteful ',' price ',' Slagit ',' no ',' kah ',' gerangan ',' friend ']</v>
      </c>
      <c r="D14" s="3">
        <v>1.0</v>
      </c>
    </row>
    <row r="15">
      <c r="A15" s="1">
        <v>13.0</v>
      </c>
      <c r="B15" s="3" t="s">
        <v>16</v>
      </c>
      <c r="C15" s="3" t="str">
        <f>IFERROR(__xludf.DUMMYFUNCTION("GOOGLETRANSLATE(B15,""id"",""en"")"),"['pulp', 'description', 'quota', 'gamesmax', 'there', 'printed', 'writing', 'mlbb', 'pub', 'lifeafter', 'shellfire', 'dsb', ' Just ',' MLBB ',' and then ',' matching ',' enter ',' match ',' disconnected ',' pulp ', ""]")</f>
        <v>['pulp', 'description', 'quota', 'gamesmax', 'there', 'printed', 'writing', 'mlbb', 'pub', 'lifeafter', 'shellfire', 'dsb', ' Just ',' MLBB ',' and then ',' matching ',' enter ',' match ',' disconnected ',' pulp ', "]</v>
      </c>
      <c r="D15" s="3">
        <v>1.0</v>
      </c>
    </row>
    <row r="16">
      <c r="A16" s="1">
        <v>14.0</v>
      </c>
      <c r="B16" s="3" t="s">
        <v>17</v>
      </c>
      <c r="C16" s="3" t="str">
        <f>IFERROR(__xludf.DUMMYFUNCTION("GOOGLETRANSLATE(B16,""id"",""en"")"),"['Recommended', 'use', 'postpaid', 'regret', 'Doank', 'sweet', 'right', 'offer', 'TLP', 'price', 'package', 'expensive', ' quota ',' region ',' remote ',' signal ',' difficult ',' stay ',' customer ',' ']")</f>
        <v>['Recommended', 'use', 'postpaid', 'regret', 'Doank', 'sweet', 'right', 'offer', 'TLP', 'price', 'package', 'expensive', ' quota ',' region ',' remote ',' signal ',' difficult ',' stay ',' customer ',' ']</v>
      </c>
      <c r="D16" s="3">
        <v>1.0</v>
      </c>
    </row>
    <row r="17">
      <c r="A17" s="1">
        <v>15.0</v>
      </c>
      <c r="B17" s="3" t="s">
        <v>18</v>
      </c>
      <c r="C17" s="3" t="str">
        <f>IFERROR(__xludf.DUMMYFUNCTION("GOOGLETRANSLATE(B17,""id"",""en"")"),"['Kasi', 'star', 'dlu', 'times',' shopping ',' Telkomsel ',' pgen ',' looked ',' service ',' quality ',' thank ',' love ',' ']")</f>
        <v>['Kasi', 'star', 'dlu', 'times',' shopping ',' Telkomsel ',' pgen ',' looked ',' service ',' quality ',' thank ',' love ',' ']</v>
      </c>
      <c r="D17" s="3">
        <v>4.0</v>
      </c>
    </row>
    <row r="18">
      <c r="A18" s="1">
        <v>16.0</v>
      </c>
      <c r="B18" s="3" t="s">
        <v>19</v>
      </c>
      <c r="C18" s="3" t="str">
        <f>IFERROR(__xludf.DUMMYFUNCTION("GOOGLETRANSLATE(B18,""id"",""en"")"),"['Please', 'Increase', 'Signal', 'Region', 'Industry', 'Jatake', 'Tangngerang', 'Karna', 'Signal', 'Like', 'Disappearing', 'Watch', ' YouTube ',' muter ',' cool ',' cool ',' watch ',' signal ',' thank you ']")</f>
        <v>['Please', 'Increase', 'Signal', 'Region', 'Industry', 'Jatake', 'Tangngerang', 'Karna', 'Signal', 'Like', 'Disappearing', 'Watch', ' YouTube ',' muter ',' cool ',' cool ',' watch ',' signal ',' thank you ']</v>
      </c>
      <c r="D18" s="3">
        <v>5.0</v>
      </c>
    </row>
    <row r="19">
      <c r="A19" s="1">
        <v>17.0</v>
      </c>
      <c r="B19" s="3" t="s">
        <v>20</v>
      </c>
      <c r="C19" s="3" t="str">
        <f>IFERROR(__xludf.DUMMYFUNCTION("GOOGLETRANSLATE(B19,""id"",""en"")"),"['signalny', 'poor', 'slow', 'really', 'quota', 'msh', 'mb', 'wkt', 'active', 'msh', 'mgu', 'bwt', ' Open ',' application ',' written ',' internet ',' annoyed ',' tired ',' mkn ',' heart ',' feel ',' consumer ',' bbrp ',' operator ',' Telkomsel ' , 'Can',"&amp;" 'sms',' ngak ',' artisan ',' credit ',' pinjol ',' lottery ',' prize ',' dst ',' sya ',' block ',' msh ',' SMS ',' enter ',' kpn ',' waiter ',' kayak ',' gini ']")</f>
        <v>['signalny', 'poor', 'slow', 'really', 'quota', 'msh', 'mb', 'wkt', 'active', 'msh', 'mgu', 'bwt', ' Open ',' application ',' written ',' internet ',' annoyed ',' tired ',' mkn ',' heart ',' feel ',' consumer ',' bbrp ',' operator ',' Telkomsel ' , 'Can', 'sms',' ngak ',' artisan ',' credit ',' pinjol ',' lottery ',' prize ',' dst ',' sya ',' block ',' msh ',' SMS ',' enter ',' kpn ',' waiter ',' kayak ',' gini ']</v>
      </c>
      <c r="D19" s="3">
        <v>1.0</v>
      </c>
    </row>
    <row r="20">
      <c r="A20" s="1">
        <v>18.0</v>
      </c>
      <c r="B20" s="3" t="s">
        <v>21</v>
      </c>
      <c r="C20" s="3" t="str">
        <f>IFERROR(__xludf.DUMMYFUNCTION("GOOGLETRANSLATE(B20,""id"",""en"")"),"['signal', 'data', 'internet', 'normal', 'males']")</f>
        <v>['signal', 'data', 'internet', 'normal', 'males']</v>
      </c>
      <c r="D20" s="3">
        <v>1.0</v>
      </c>
    </row>
    <row r="21" ht="15.75" customHeight="1">
      <c r="A21" s="1">
        <v>19.0</v>
      </c>
      <c r="B21" s="3" t="s">
        <v>22</v>
      </c>
      <c r="C21" s="3" t="str">
        <f>IFERROR(__xludf.DUMMYFUNCTION("GOOGLETRANSLATE(B21,""id"",""en"")"),"['Credit', 'emergency', 'flowering', 'feeling', 'already', 'paid', 'contents',' credit ',' takeup ',' come on ',' price ',' packetan ',' Excellent ',' network ',' Cap ',' iPrit ',' corrupt ', ""]")</f>
        <v>['Credit', 'emergency', 'flowering', 'feeling', 'already', 'paid', 'contents',' credit ',' takeup ',' come on ',' price ',' packetan ',' Excellent ',' network ',' Cap ',' iPrit ',' corrupt ', "]</v>
      </c>
      <c r="D21" s="3">
        <v>1.0</v>
      </c>
    </row>
    <row r="22" ht="15.75" customHeight="1">
      <c r="A22" s="1">
        <v>20.0</v>
      </c>
      <c r="B22" s="3" t="s">
        <v>23</v>
      </c>
      <c r="C22" s="3" t="str">
        <f>IFERROR(__xludf.DUMMYFUNCTION("GOOGLETRANSLATE(B22,""id"",""en"")"),"['ugly', 'signal', 'Telkomsel', 'Sorry', 'star', 'cave', 'stay', 'in the city', 'network', 'bar', 'network', 'smooth' ']")</f>
        <v>['ugly', 'signal', 'Telkomsel', 'Sorry', 'star', 'cave', 'stay', 'in the city', 'network', 'bar', 'network', 'smooth' ']</v>
      </c>
      <c r="D22" s="3">
        <v>1.0</v>
      </c>
    </row>
    <row r="23" ht="15.75" customHeight="1">
      <c r="A23" s="1">
        <v>21.0</v>
      </c>
      <c r="B23" s="3" t="s">
        <v>24</v>
      </c>
      <c r="C23" s="3" t="str">
        <f>IFERROR(__xludf.DUMMYFUNCTION("GOOGLETRANSLATE(B23,""id"",""en"")"),"['Download', 'APK', 'Telkomsel', 'Disruption', 'Move', 'Provider', 'Network', '']")</f>
        <v>['Download', 'APK', 'Telkomsel', 'Disruption', 'Move', 'Provider', 'Network', '']</v>
      </c>
      <c r="D23" s="3">
        <v>1.0</v>
      </c>
    </row>
    <row r="24" ht="15.75" customHeight="1">
      <c r="A24" s="1">
        <v>22.0</v>
      </c>
      <c r="B24" s="3" t="s">
        <v>25</v>
      </c>
      <c r="C24" s="3" t="str">
        <f>IFERROR(__xludf.DUMMYFUNCTION("GOOGLETRANSLATE(B24,""id"",""en"")"),"['like', 'Indihome', 'tournament', 'Wow', 'happy', '']")</f>
        <v>['like', 'Indihome', 'tournament', 'Wow', 'happy', '']</v>
      </c>
      <c r="D24" s="3">
        <v>5.0</v>
      </c>
    </row>
    <row r="25" ht="15.75" customHeight="1">
      <c r="A25" s="1">
        <v>23.0</v>
      </c>
      <c r="B25" s="3" t="s">
        <v>26</v>
      </c>
      <c r="C25" s="3" t="str">
        <f>IFERROR(__xludf.DUMMYFUNCTION("GOOGLETRANSLATE(B25,""id"",""en"")"),"['Telkomsel', 'bnyak', 'disorder', 'sometimes', 'all day', 'full', 'difficult', 'signal', 'please', 'fix', 'quality', 'signal']")</f>
        <v>['Telkomsel', 'bnyak', 'disorder', 'sometimes', 'all day', 'full', 'difficult', 'signal', 'please', 'fix', 'quality', 'signal']</v>
      </c>
      <c r="D25" s="3">
        <v>3.0</v>
      </c>
    </row>
    <row r="26" ht="15.75" customHeight="1">
      <c r="A26" s="1">
        <v>24.0</v>
      </c>
      <c r="B26" s="3" t="s">
        <v>27</v>
      </c>
      <c r="C26" s="3" t="str">
        <f>IFERROR(__xludf.DUMMYFUNCTION("GOOGLETRANSLATE(B26,""id"",""en"")"),"['Please', 'Fix', 'Region', 'Koja', 'Network', 'Evenly', 'Region', 'Koja', 'The Network']")</f>
        <v>['Please', 'Fix', 'Region', 'Koja', 'Network', 'Evenly', 'Region', 'Koja', 'The Network']</v>
      </c>
      <c r="D26" s="3">
        <v>2.0</v>
      </c>
    </row>
    <row r="27" ht="15.75" customHeight="1">
      <c r="A27" s="1">
        <v>25.0</v>
      </c>
      <c r="B27" s="3" t="s">
        <v>28</v>
      </c>
      <c r="C27" s="3" t="str">
        <f>IFERROR(__xludf.DUMMYFUNCTION("GOOGLETRANSLATE(B27,""id"",""en"")"),"['easy', 'fast', 'in', 'transaction', 'purchase', 'check', 'quota', 'pulse', 'make it easy', 'for', 'promo', 'package', ' Purchased ',' ']")</f>
        <v>['easy', 'fast', 'in', 'transaction', 'purchase', 'check', 'quota', 'pulse', 'make it easy', 'for', 'promo', 'package', ' Purchased ',' ']</v>
      </c>
      <c r="D27" s="3">
        <v>5.0</v>
      </c>
    </row>
    <row r="28" ht="15.75" customHeight="1">
      <c r="A28" s="1">
        <v>26.0</v>
      </c>
      <c r="B28" s="3" t="s">
        <v>29</v>
      </c>
      <c r="C28" s="3" t="str">
        <f>IFERROR(__xludf.DUMMYFUNCTION("GOOGLETRANSLATE(B28,""id"",""en"")"),"['Please', 'Signal', 'Increase', 'Karna', 'Play', 'Game', 'Online', 'Signal', 'Pending', 'Severe', 'Kouta']")</f>
        <v>['Please', 'Signal', 'Increase', 'Karna', 'Play', 'Game', 'Online', 'Signal', 'Pending', 'Severe', 'Kouta']</v>
      </c>
      <c r="D28" s="3">
        <v>1.0</v>
      </c>
    </row>
    <row r="29" ht="15.75" customHeight="1">
      <c r="A29" s="1">
        <v>27.0</v>
      </c>
      <c r="B29" s="3" t="s">
        <v>30</v>
      </c>
      <c r="C29" s="3" t="str">
        <f>IFERROR(__xludf.DUMMYFUNCTION("GOOGLETRANSLATE(B29,""id"",""en"")"),"['Love', 'Bintang', 'Read', 'August', 'Network', 'Disconnect', 'Disconnect', 'torture', 'promotion', 'please', 'end', 'Island', ' Country ',' suffer ',' network ',' destroyed ',' Hancuran ', ""]")</f>
        <v>['Love', 'Bintang', 'Read', 'August', 'Network', 'Disconnect', 'Disconnect', 'torture', 'promotion', 'please', 'end', 'Island', ' Country ',' suffer ',' network ',' destroyed ',' Hancuran ', "]</v>
      </c>
      <c r="D29" s="3">
        <v>5.0</v>
      </c>
    </row>
    <row r="30" ht="15.75" customHeight="1">
      <c r="A30" s="1">
        <v>28.0</v>
      </c>
      <c r="B30" s="3" t="s">
        <v>31</v>
      </c>
      <c r="C30" s="3" t="str">
        <f>IFERROR(__xludf.DUMMYFUNCTION("GOOGLETRANSLATE(B30,""id"",""en"")"),"['Telkomsel', 'wants',' contents', 'package', 'cut', 'day', 'example', 'August', 'knapa', 'limit', 'September', 'Yesterday', ' July ',' contents', 'package', 'data', 'date', 'August', 'corruption', 'community', 'sworn', 'cursing', 'emotion', 'sbener', 'he"&amp;"art' , 'brain', '']")</f>
        <v>['Telkomsel', 'wants',' contents', 'package', 'cut', 'day', 'example', 'August', 'knapa', 'limit', 'September', 'Yesterday', ' July ',' contents', 'package', 'data', 'date', 'August', 'corruption', 'community', 'sworn', 'cursing', 'emotion', 'sbener', 'heart' , 'brain', '']</v>
      </c>
      <c r="D30" s="3">
        <v>1.0</v>
      </c>
    </row>
    <row r="31" ht="15.75" customHeight="1">
      <c r="A31" s="1">
        <v>29.0</v>
      </c>
      <c r="B31" s="3" t="s">
        <v>32</v>
      </c>
      <c r="C31" s="3" t="str">
        <f>IFERROR(__xludf.DUMMYFUNCTION("GOOGLETRANSLATE(B31,""id"",""en"")"),"['Help', 'Hopefully', 'Telkomsl', 'Jaya', 'Success', '']")</f>
        <v>['Help', 'Hopefully', 'Telkomsl', 'Jaya', 'Success', '']</v>
      </c>
      <c r="D31" s="3">
        <v>5.0</v>
      </c>
    </row>
    <row r="32" ht="15.75" customHeight="1">
      <c r="A32" s="1">
        <v>30.0</v>
      </c>
      <c r="B32" s="3" t="s">
        <v>33</v>
      </c>
      <c r="C32" s="3" t="str">
        <f>IFERROR(__xludf.DUMMYFUNCTION("GOOGLETRANSLATE(B32,""id"",""en"")"),"['Price', 'Price', 'Quota', 'Offered', 'Customer', 'Different', 'Program', 'Surprise', 'Deal', 'Compare', 'Price', 'Offered', ' Different ',' customers', 'analyzed', 'usage', 'quota', 'tariff', 'expensive', 'suggestion', 'customer', 'use', 'quota', 'savin"&amp;"gs',' best ' , 'Leave', '']")</f>
        <v>['Price', 'Price', 'Quota', 'Offered', 'Customer', 'Different', 'Program', 'Surprise', 'Deal', 'Compare', 'Price', 'Offered', ' Different ',' customers', 'analyzed', 'usage', 'quota', 'tariff', 'expensive', 'suggestion', 'customer', 'use', 'quota', 'savings',' best ' , 'Leave', '']</v>
      </c>
      <c r="D32" s="3">
        <v>1.0</v>
      </c>
    </row>
    <row r="33" ht="15.75" customHeight="1">
      <c r="A33" s="1">
        <v>31.0</v>
      </c>
      <c r="B33" s="3" t="s">
        <v>34</v>
      </c>
      <c r="C33" s="3" t="str">
        <f>IFERROR(__xludf.DUMMYFUNCTION("GOOGLETRANSLATE(B33,""id"",""en"")"),"['The network', 'bad', 'Plis', 'Min', 'UDH', 'Pay', 'expensive', 'package', 'TPI', 'KNPA', 'Buriq', ""]")</f>
        <v>['The network', 'bad', 'Plis', 'Min', 'UDH', 'Pay', 'expensive', 'package', 'TPI', 'KNPA', 'Buriq', "]</v>
      </c>
      <c r="D33" s="3">
        <v>1.0</v>
      </c>
    </row>
    <row r="34" ht="15.75" customHeight="1">
      <c r="A34" s="1">
        <v>32.0</v>
      </c>
      <c r="B34" s="3" t="s">
        <v>35</v>
      </c>
      <c r="C34" s="3" t="str">
        <f>IFERROR(__xludf.DUMMYFUNCTION("GOOGLETRANSLATE(B34,""id"",""en"")"),"['Upset', 'Kampreeet', 'slow', 'open', 'application', 'buy', 'package', 'pulse', 'blank', 'white', 'open', 'the application', ' Tolonh ',' well ',' woi ',' ']")</f>
        <v>['Upset', 'Kampreeet', 'slow', 'open', 'application', 'buy', 'package', 'pulse', 'blank', 'white', 'open', 'the application', ' Tolonh ',' well ',' woi ',' ']</v>
      </c>
      <c r="D34" s="3">
        <v>5.0</v>
      </c>
    </row>
    <row r="35" ht="15.75" customHeight="1">
      <c r="A35" s="1">
        <v>33.0</v>
      </c>
      <c r="B35" s="3" t="s">
        <v>36</v>
      </c>
      <c r="C35" s="3" t="str">
        <f>IFERROR(__xludf.DUMMYFUNCTION("GOOGLETRANSLATE(B35,""id"",""en"")"),"['Please', 'network', 'repaired', 'price', 'package', 'expensive', 'service', 'network', 'kouare', 'wasted', 'thank you', 'services',' ']")</f>
        <v>['Please', 'network', 'repaired', 'price', 'package', 'expensive', 'service', 'network', 'kouare', 'wasted', 'thank you', 'services',' ']</v>
      </c>
      <c r="D35" s="3">
        <v>3.0</v>
      </c>
    </row>
    <row r="36" ht="15.75" customHeight="1">
      <c r="A36" s="1">
        <v>34.0</v>
      </c>
      <c r="B36" s="3" t="s">
        <v>37</v>
      </c>
      <c r="C36" s="3" t="str">
        <f>IFERROR(__xludf.DUMMYFUNCTION("GOOGLETRANSLATE(B36,""id"",""en"")"),"['Good', 'Telkomsel', 'Difficult', 'Difficult', 'Belik', 'Package', 'Stay', 'Belik', 'Simple', 'Practical', 'Okay', 'Really' Ygmalas']")</f>
        <v>['Good', 'Telkomsel', 'Difficult', 'Difficult', 'Belik', 'Package', 'Stay', 'Belik', 'Simple', 'Practical', 'Okay', 'Really' Ygmalas']</v>
      </c>
      <c r="D36" s="3">
        <v>4.0</v>
      </c>
    </row>
    <row r="37" ht="15.75" customHeight="1">
      <c r="A37" s="1">
        <v>35.0</v>
      </c>
      <c r="B37" s="3" t="s">
        <v>38</v>
      </c>
      <c r="C37" s="3" t="str">
        <f>IFERROR(__xludf.DUMMYFUNCTION("GOOGLETRANSLATE(B37,""id"",""en"")"),"['Package', 'card', 'Hello', 'Package', 'SMS', 'Registration', 'Livin', 'Mandiri', ""]")</f>
        <v>['Package', 'card', 'Hello', 'Package', 'SMS', 'Registration', 'Livin', 'Mandiri', "]</v>
      </c>
      <c r="D37" s="3">
        <v>1.0</v>
      </c>
    </row>
    <row r="38" ht="15.75" customHeight="1">
      <c r="A38" s="1">
        <v>36.0</v>
      </c>
      <c r="B38" s="3" t="s">
        <v>39</v>
      </c>
      <c r="C38" s="3" t="str">
        <f>IFERROR(__xludf.DUMMYFUNCTION("GOOGLETRANSLATE(B38,""id"",""en"")"),"['price', 'package', 'extra', 'expensive', 'extend', 'quota', 'lost']")</f>
        <v>['price', 'package', 'extra', 'expensive', 'extend', 'quota', 'lost']</v>
      </c>
      <c r="D38" s="3">
        <v>3.0</v>
      </c>
    </row>
    <row r="39" ht="15.75" customHeight="1">
      <c r="A39" s="1">
        <v>37.0</v>
      </c>
      <c r="B39" s="3" t="s">
        <v>40</v>
      </c>
      <c r="C39" s="3" t="str">
        <f>IFERROR(__xludf.DUMMYFUNCTION("GOOGLETRANSLATE(B39,""id"",""en"")"),"['Thank "",' Love ',' Provides', 'APK', 'Helping', 'Ribet',""]")</f>
        <v>['Thank ",' Love ',' Provides', 'APK', 'Helping', 'Ribet',"]</v>
      </c>
      <c r="D39" s="3">
        <v>5.0</v>
      </c>
    </row>
    <row r="40" ht="15.75" customHeight="1">
      <c r="A40" s="1">
        <v>38.0</v>
      </c>
      <c r="B40" s="3" t="s">
        <v>41</v>
      </c>
      <c r="C40" s="3" t="str">
        <f>IFERROR(__xludf.DUMMYFUNCTION("GOOGLETRANSLATE(B40,""id"",""en"")"),"['promo', 'no', 'interesting', 'sam', 'card', 'Certain', 'already', 'subscribe', 'price', 'tetep', 'no', 'discount', ' his signal ',' poor ',' already ',' pay ',' expensive ',' expensive ',' loding ',' poor ',' no ',' dispensation ',' customer ',' loyal '"&amp;",' wait ' , 'Telkomsel', 'poor', 'relied on', 'already', 'that's', 'his pants', 'ilang', 'collected', 'bnyak', 'Thun', 'was heard', ""]")</f>
        <v>['promo', 'no', 'interesting', 'sam', 'card', 'Certain', 'already', 'subscribe', 'price', 'tetep', 'no', 'discount', ' his signal ',' poor ',' already ',' pay ',' expensive ',' expensive ',' loding ',' poor ',' no ',' dispensation ',' customer ',' loyal ',' wait ' , 'Telkomsel', 'poor', 'relied on', 'already', 'that's', 'his pants', 'ilang', 'collected', 'bnyak', 'Thun', 'was heard', "]</v>
      </c>
      <c r="D40" s="3">
        <v>1.0</v>
      </c>
    </row>
    <row r="41" ht="15.75" customHeight="1">
      <c r="A41" s="1">
        <v>39.0</v>
      </c>
      <c r="B41" s="3" t="s">
        <v>42</v>
      </c>
      <c r="C41" s="3" t="str">
        <f>IFERROR(__xludf.DUMMYFUNCTION("GOOGLETRANSLATE(B41,""id"",""en"")"),"['strange', 'buy', 'package', 'clicked', 'active', 'magically', 'drain', 'pulses', 'trap', 'promo', ""]")</f>
        <v>['strange', 'buy', 'package', 'clicked', 'active', 'magically', 'drain', 'pulses', 'trap', 'promo', "]</v>
      </c>
      <c r="D41" s="3">
        <v>1.0</v>
      </c>
    </row>
    <row r="42" ht="15.75" customHeight="1">
      <c r="A42" s="1">
        <v>40.0</v>
      </c>
      <c r="B42" s="3" t="s">
        <v>43</v>
      </c>
      <c r="C42" s="3" t="str">
        <f>IFERROR(__xludf.DUMMYFUNCTION("GOOGLETRANSLATE(B42,""id"",""en"")"),"['Telkomsel', 'ugly', 'sign', 'lnya', 'dot', 'quota', 'use', 'package', 'data', 'unemployed', 'signal', 'city', ' ',' buy ',' quota ',' used ',' ']")</f>
        <v>['Telkomsel', 'ugly', 'sign', 'lnya', 'dot', 'quota', 'use', 'package', 'data', 'unemployed', 'signal', 'city', ' ',' buy ',' quota ',' used ',' ']</v>
      </c>
      <c r="D42" s="3">
        <v>1.0</v>
      </c>
    </row>
    <row r="43" ht="15.75" customHeight="1">
      <c r="A43" s="1">
        <v>41.0</v>
      </c>
      <c r="B43" s="3" t="s">
        <v>44</v>
      </c>
      <c r="C43" s="3" t="str">
        <f>IFERROR(__xludf.DUMMYFUNCTION("GOOGLETRANSLATE(B43,""id"",""en"")"),"['Bismillah', 'Hopefully', 'Endowed', 'Slalu', 'Best', 'Success', 'Slalu', ""]")</f>
        <v>['Bismillah', 'Hopefully', 'Endowed', 'Slalu', 'Best', 'Success', 'Slalu', "]</v>
      </c>
      <c r="D43" s="3">
        <v>5.0</v>
      </c>
    </row>
    <row r="44" ht="15.75" customHeight="1">
      <c r="A44" s="1">
        <v>42.0</v>
      </c>
      <c r="B44" s="3" t="s">
        <v>45</v>
      </c>
      <c r="C44" s="3" t="str">
        <f>IFERROR(__xludf.DUMMYFUNCTION("GOOGLETRANSLATE(B44,""id"",""en"")"),"['already', 'buy', 'quota', 'gamemax', 'expensive', 'mytelkomsel', 'please', 'how', 'the problem', '']")</f>
        <v>['already', 'buy', 'quota', 'gamemax', 'expensive', 'mytelkomsel', 'please', 'how', 'the problem', '']</v>
      </c>
      <c r="D44" s="3">
        <v>1.0</v>
      </c>
    </row>
    <row r="45" ht="15.75" customHeight="1">
      <c r="A45" s="1">
        <v>43.0</v>
      </c>
      <c r="B45" s="3" t="s">
        <v>46</v>
      </c>
      <c r="C45" s="3" t="str">
        <f>IFERROR(__xludf.DUMMYFUNCTION("GOOGLETRANSLATE(B45,""id"",""en"")"),"['Thank you', 'return', 'credit', 'emergency', 'thousand', 'run out', 'pulses',' Ayooo ',' Activate ',' Package ',' Credit ',' Emergency ',' nutmeg ',' you're ',' cave ',' take ',' credit ',' emergency ',' cut ',' Telkomsel ',' ']")</f>
        <v>['Thank you', 'return', 'credit', 'emergency', 'thousand', 'run out', 'pulses',' Ayooo ',' Activate ',' Package ',' Credit ',' Emergency ',' nutmeg ',' you're ',' cave ',' take ',' credit ',' emergency ',' cut ',' Telkomsel ',' ']</v>
      </c>
      <c r="D45" s="3">
        <v>1.0</v>
      </c>
    </row>
    <row r="46" ht="15.75" customHeight="1">
      <c r="A46" s="1">
        <v>44.0</v>
      </c>
      <c r="B46" s="3" t="s">
        <v>47</v>
      </c>
      <c r="C46" s="3" t="str">
        <f>IFERROR(__xludf.DUMMYFUNCTION("GOOGLETRANSLATE(B46,""id"",""en"")"),"['Telkomsel', 'boss',' pelangement ',' loyal ',' Telkomsel ',' sekrng ',' disappointed ',' JARINAGN ',' LTE ',' signal ',' full ',' data ',' Road ',' Please ',' Fix ',' Network ',' Understand ',' ']")</f>
        <v>['Telkomsel', 'boss',' pelangement ',' loyal ',' Telkomsel ',' sekrng ',' disappointed ',' JARINAGN ',' LTE ',' signal ',' full ',' data ',' Road ',' Please ',' Fix ',' Network ',' Understand ',' ']</v>
      </c>
      <c r="D46" s="3">
        <v>1.0</v>
      </c>
    </row>
    <row r="47" ht="15.75" customHeight="1">
      <c r="A47" s="1">
        <v>45.0</v>
      </c>
      <c r="B47" s="3" t="s">
        <v>48</v>
      </c>
      <c r="C47" s="3" t="str">
        <f>IFERROR(__xludf.DUMMYFUNCTION("GOOGLETRANSLATE(B47,""id"",""en"")"),"['', 'Telkomsel', 'ugly', 'bgd', 'difficult', 'login', 'signal', 'down', 'hopefully', 'in the future', 'Telkomsel', ""]")</f>
        <v>['', 'Telkomsel', 'ugly', 'bgd', 'difficult', 'login', 'signal', 'down', 'hopefully', 'in the future', 'Telkomsel', "]</v>
      </c>
      <c r="D47" s="3">
        <v>2.0</v>
      </c>
    </row>
    <row r="48" ht="15.75" customHeight="1">
      <c r="A48" s="1">
        <v>46.0</v>
      </c>
      <c r="B48" s="3" t="s">
        <v>49</v>
      </c>
      <c r="C48" s="3" t="str">
        <f>IFERROR(__xludf.DUMMYFUNCTION("GOOGLETRANSLATE(B48,""id"",""en"")"),"['Telkomsel', 'the application', 'Nge', 'bug', 'then', 'signal', 'internet', 'slow', 'really', 'already', 'price', 'expensive', ' ']")</f>
        <v>['Telkomsel', 'the application', 'Nge', 'bug', 'then', 'signal', 'internet', 'slow', 'really', 'already', 'price', 'expensive', ' ']</v>
      </c>
      <c r="D48" s="3">
        <v>1.0</v>
      </c>
    </row>
    <row r="49" ht="15.75" customHeight="1">
      <c r="A49" s="1">
        <v>47.0</v>
      </c>
      <c r="B49" s="3" t="s">
        <v>50</v>
      </c>
      <c r="C49" s="3" t="str">
        <f>IFERROR(__xludf.DUMMYFUNCTION("GOOGLETRANSLATE(B49,""id"",""en"")"),"['The application', 'good', 'features',' complete ',' item ',' paid ',' ovo ',' beg ',' solution ',' success', 'always',' Telkomsel ',' ']")</f>
        <v>['The application', 'good', 'features',' complete ',' item ',' paid ',' ovo ',' beg ',' solution ',' success', 'always',' Telkomsel ',' ']</v>
      </c>
      <c r="D49" s="3">
        <v>5.0</v>
      </c>
    </row>
    <row r="50" ht="15.75" customHeight="1">
      <c r="A50" s="1">
        <v>48.0</v>
      </c>
      <c r="B50" s="3" t="s">
        <v>51</v>
      </c>
      <c r="C50" s="3" t="str">
        <f>IFERROR(__xludf.DUMMYFUNCTION("GOOGLETRANSLATE(B50,""id"",""en"")"),"['network', 'stable', 'good', 'play', 'game', 'price', 'package', 'internet', 'expensive', 'compared', 'operator', 'hope', ' Material ',' reference ']")</f>
        <v>['network', 'stable', 'good', 'play', 'game', 'price', 'package', 'internet', 'expensive', 'compared', 'operator', 'hope', ' Material ',' reference ']</v>
      </c>
      <c r="D50" s="3">
        <v>4.0</v>
      </c>
    </row>
    <row r="51" ht="15.75" customHeight="1">
      <c r="A51" s="1">
        <v>49.0</v>
      </c>
      <c r="B51" s="3" t="s">
        <v>52</v>
      </c>
      <c r="C51" s="3" t="str">
        <f>IFERROR(__xludf.DUMMYFUNCTION("GOOGLETRANSLATE(B51,""id"",""en"")"),"['quota', 'expensive', 'network', 'bad', 'mentok', 'network', 'bar', 'doang', 'Telkomsel', 'strange', 'stay', 'tripe', ' Kec ',' Legok ',' Kab ',' Tangerang ',' Ponpes', 'Darussolah', 'Please', 'Fix', 'As soon as'' ']")</f>
        <v>['quota', 'expensive', 'network', 'bad', 'mentok', 'network', 'bar', 'doang', 'Telkomsel', 'strange', 'stay', 'tripe', ' Kec ',' Legok ',' Kab ',' Tangerang ',' Ponpes', 'Darussolah', 'Please', 'Fix', 'As soon as'' ']</v>
      </c>
      <c r="D51" s="3">
        <v>1.0</v>
      </c>
    </row>
    <row r="52" ht="15.75" customHeight="1">
      <c r="A52" s="1">
        <v>50.0</v>
      </c>
      <c r="B52" s="3" t="s">
        <v>53</v>
      </c>
      <c r="C52" s="3" t="str">
        <f>IFERROR(__xludf.DUMMYFUNCTION("GOOGLETRANSLATE(B52,""id"",""en"")"),"['Telkomsel', 'Take', 'Package', 'Emergency', 'Credit', 'Take', 'Credit', 'Severe', 'Telkomsel', ""]")</f>
        <v>['Telkomsel', 'Take', 'Package', 'Emergency', 'Credit', 'Take', 'Credit', 'Severe', 'Telkomsel', "]</v>
      </c>
      <c r="D52" s="3">
        <v>1.0</v>
      </c>
    </row>
    <row r="53" ht="15.75" customHeight="1">
      <c r="A53" s="1">
        <v>51.0</v>
      </c>
      <c r="B53" s="3" t="s">
        <v>54</v>
      </c>
      <c r="C53" s="3" t="str">
        <f>IFERROR(__xludf.DUMMYFUNCTION("GOOGLETRANSLATE(B53,""id"",""en"")"),"['network', 'extensive', 'as long as',' plungok ',' country ',' accept ',' love ',' telkomsel ',' keep ',' work ',' achievement ',' the world ',' ']")</f>
        <v>['network', 'extensive', 'as long as',' plungok ',' country ',' accept ',' love ',' telkomsel ',' keep ',' work ',' achievement ',' the world ',' ']</v>
      </c>
      <c r="D53" s="3">
        <v>5.0</v>
      </c>
    </row>
    <row r="54" ht="15.75" customHeight="1">
      <c r="A54" s="1">
        <v>52.0</v>
      </c>
      <c r="B54" s="3" t="s">
        <v>55</v>
      </c>
      <c r="C54" s="3" t="str">
        <f>IFERROR(__xludf.DUMMYFUNCTION("GOOGLETRANSLATE(B54,""id"",""en"")"),"['', 'Telkomsel', 'Mantaaap', 'recommended', 'friend', 'family']")</f>
        <v>['', 'Telkomsel', 'Mantaaap', 'recommended', 'friend', 'family']</v>
      </c>
      <c r="D54" s="3">
        <v>5.0</v>
      </c>
    </row>
    <row r="55" ht="15.75" customHeight="1">
      <c r="A55" s="1">
        <v>53.0</v>
      </c>
      <c r="B55" s="3" t="s">
        <v>56</v>
      </c>
      <c r="C55" s="3" t="str">
        <f>IFERROR(__xludf.DUMMYFUNCTION("GOOGLETRANSLATE(B55,""id"",""en"")"),"['network', 'internet', 'sympathy', 'rotten', 'disappointed', 'briefly', 'briefly', 'his net', 'Mulu', 'mean', 'kya', 'gini']")</f>
        <v>['network', 'internet', 'sympathy', 'rotten', 'disappointed', 'briefly', 'briefly', 'his net', 'Mulu', 'mean', 'kya', 'gini']</v>
      </c>
      <c r="D55" s="3">
        <v>1.0</v>
      </c>
    </row>
    <row r="56" ht="15.75" customHeight="1">
      <c r="A56" s="1">
        <v>54.0</v>
      </c>
      <c r="B56" s="3" t="s">
        <v>57</v>
      </c>
      <c r="C56" s="3" t="str">
        <f>IFERROR(__xludf.DUMMYFUNCTION("GOOGLETRANSLATE(B56,""id"",""en"")"),"['suda', 'buy', 'package', 'combo', 'kwota', 'plus',' package ',' call ',' minute ',' call ',' pulse ',' chick ',' Please, 'Take', 'Credit', 'Consumer', 'Disappointed', 'Telkomsel', ""]")</f>
        <v>['suda', 'buy', 'package', 'combo', 'kwota', 'plus',' package ',' call ',' minute ',' call ',' pulse ',' chick ',' Please, 'Take', 'Credit', 'Consumer', 'Disappointed', 'Telkomsel', "]</v>
      </c>
      <c r="D56" s="3">
        <v>3.0</v>
      </c>
    </row>
    <row r="57" ht="15.75" customHeight="1">
      <c r="A57" s="1">
        <v>55.0</v>
      </c>
      <c r="B57" s="3" t="s">
        <v>58</v>
      </c>
      <c r="C57" s="3" t="str">
        <f>IFERROR(__xludf.DUMMYFUNCTION("GOOGLETRANSLATE(B57,""id"",""en"")"),"['', 'Severe', 'really', 'fooled', 'package', 'Maxtream', 'buy', 'quota', 'dpat', 'quota', 'main', 'maxtream', 'sucked ',' quota ',' main ',' watch ',' maxtream ',' iflix ',' please ',' return ',' quota ',' main ',' Telkomsel ']")</f>
        <v>['', 'Severe', 'really', 'fooled', 'package', 'Maxtream', 'buy', 'quota', 'dpat', 'quota', 'main', 'maxtream', 'sucked ',' quota ',' main ',' watch ',' maxtream ',' iflix ',' please ',' return ',' quota ',' main ',' Telkomsel ']</v>
      </c>
      <c r="D57" s="3">
        <v>1.0</v>
      </c>
    </row>
    <row r="58" ht="15.75" customHeight="1">
      <c r="A58" s="1">
        <v>56.0</v>
      </c>
      <c r="B58" s="3" t="s">
        <v>59</v>
      </c>
      <c r="C58" s="3" t="str">
        <f>IFERROR(__xludf.DUMMYFUNCTION("GOOGLETRANSLATE(B58,""id"",""en"")"),"['Please', 'Sorry', 'PBK', 'Take', 'Decision', 'Loan', 'Credit', 'Emergency', '']")</f>
        <v>['Please', 'Sorry', 'PBK', 'Take', 'Decision', 'Loan', 'Credit', 'Emergency', '']</v>
      </c>
      <c r="D58" s="3">
        <v>1.0</v>
      </c>
    </row>
    <row r="59" ht="15.75" customHeight="1">
      <c r="A59" s="1">
        <v>57.0</v>
      </c>
      <c r="B59" s="3" t="s">
        <v>60</v>
      </c>
      <c r="C59" s="3" t="str">
        <f>IFERROR(__xludf.DUMMYFUNCTION("GOOGLETRANSLATE(B59,""id"",""en"")"),"['Practical', 'easy', 'contents',' package ',' help ',' complicated ',' contents', 'pulse', 'select', 'package', 'direct', 'done', ' success', '']")</f>
        <v>['Practical', 'easy', 'contents',' package ',' help ',' complicated ',' contents', 'pulse', 'select', 'package', 'direct', 'done', ' success', '']</v>
      </c>
      <c r="D59" s="3">
        <v>5.0</v>
      </c>
    </row>
    <row r="60" ht="15.75" customHeight="1">
      <c r="A60" s="1">
        <v>58.0</v>
      </c>
      <c r="B60" s="3" t="s">
        <v>61</v>
      </c>
      <c r="C60" s="3" t="str">
        <f>IFERROR(__xludf.DUMMYFUNCTION("GOOGLETRANSLATE(B60,""id"",""en"")"),"['Tips',' Telkomsel ',' lag ',' play ',' game ',' make sure ',' use ',' slot ',' simcard ',' make sure ',' simcard ',' simcard ',' Telkomsel ',' byu ',' mixed ',' smartfren ',' experience ',' lag ',' use ',' trick ',' tsb ',' thank God ',' smooth ',' prom"&amp;"o ',' interesting ' , 'Telkomsel', 'Sharing', 'Customer', '']")</f>
        <v>['Tips',' Telkomsel ',' lag ',' play ',' game ',' make sure ',' use ',' slot ',' simcard ',' make sure ',' simcard ',' simcard ',' Telkomsel ',' byu ',' mixed ',' smartfren ',' experience ',' lag ',' use ',' trick ',' tsb ',' thank God ',' smooth ',' promo ',' interesting ' , 'Telkomsel', 'Sharing', 'Customer', '']</v>
      </c>
      <c r="D60" s="3">
        <v>5.0</v>
      </c>
    </row>
    <row r="61" ht="15.75" customHeight="1">
      <c r="A61" s="1">
        <v>59.0</v>
      </c>
      <c r="B61" s="3" t="s">
        <v>62</v>
      </c>
      <c r="C61" s="3" t="str">
        <f>IFERROR(__xludf.DUMMYFUNCTION("GOOGLETRANSLATE(B61,""id"",""en"")"),"['buy', 'package', 'unlimited', 'GB', 'bln', 'rb', 'traveling', 'palembang', 'disappointed', 'heavy', 'package', 'dipake', ' regret ',' ane ',' buy ',' customer ',' buy ',' package ',' dipake ',' MB ',' MB ',' Lansung ',' Nge ',' leg ',' road ' , 'Severe'"&amp;", 'Sampe', 'Wait', 'Gifts',' Tetep ',' Inet ',' Jalan ',' Loe ',' Imagine ',' Try ',' Advertising ',' essence ',' duration ',' ad ',' second ',' woedan ',' tenan ',' leftover ',' package ',' skrg ',' gb ',' what 'do', 'try', 'mending', 'notif' , 'Sorry', "&amp;"'leftover', 'package', 'donated', 'child', 'orphan', '']")</f>
        <v>['buy', 'package', 'unlimited', 'GB', 'bln', 'rb', 'traveling', 'palembang', 'disappointed', 'heavy', 'package', 'dipake', ' regret ',' ane ',' buy ',' customer ',' buy ',' package ',' dipake ',' MB ',' MB ',' Lansung ',' Nge ',' leg ',' road ' , 'Severe', 'Sampe', 'Wait', 'Gifts',' Tetep ',' Inet ',' Jalan ',' Loe ',' Imagine ',' Try ',' Advertising ',' essence ',' duration ',' ad ',' second ',' woedan ',' tenan ',' leftover ',' package ',' skrg ',' gb ',' what 'do', 'try', 'mending', 'notif' , 'Sorry', 'leftover', 'package', 'donated', 'child', 'orphan', '']</v>
      </c>
      <c r="D61" s="3">
        <v>1.0</v>
      </c>
    </row>
    <row r="62" ht="15.75" customHeight="1">
      <c r="A62" s="1">
        <v>60.0</v>
      </c>
      <c r="B62" s="3" t="s">
        <v>63</v>
      </c>
      <c r="C62" s="3" t="str">
        <f>IFERROR(__xludf.DUMMYFUNCTION("GOOGLETRANSLATE(B62,""id"",""en"")"),"['Ribeet', 'Log', 'Simcard', 'Application', 'Telkomsel', 'Nambahin', 'Nomer', 'Log', 'Log', 'Log', 'number', 'application', ' Telkomsel ',' ']")</f>
        <v>['Ribeet', 'Log', 'Simcard', 'Application', 'Telkomsel', 'Nambahin', 'Nomer', 'Log', 'Log', 'Log', 'number', 'application', ' Telkomsel ',' ']</v>
      </c>
      <c r="D62" s="3">
        <v>1.0</v>
      </c>
    </row>
    <row r="63" ht="15.75" customHeight="1">
      <c r="A63" s="1">
        <v>61.0</v>
      </c>
      <c r="B63" s="3" t="s">
        <v>64</v>
      </c>
      <c r="C63" s="3" t="str">
        <f>IFERROR(__xludf.DUMMYFUNCTION("GOOGLETRANSLATE(B63,""id"",""en"")"),"['stop', 'package', 'quota', 'learn', 'sms',' told ',' lwt ',' application ',' the application ',' stop ',' package ',' quota ',' learn ',' buy ',' please ',' fix ',' buy ',' stop ',' application ',' cima ',' told ',' buy ',' untul ',' stop ']")</f>
        <v>['stop', 'package', 'quota', 'learn', 'sms',' told ',' lwt ',' application ',' the application ',' stop ',' package ',' quota ',' learn ',' buy ',' please ',' fix ',' buy ',' stop ',' application ',' cima ',' told ',' buy ',' untul ',' stop ']</v>
      </c>
      <c r="D63" s="3">
        <v>1.0</v>
      </c>
    </row>
    <row r="64" ht="15.75" customHeight="1">
      <c r="A64" s="1">
        <v>62.0</v>
      </c>
      <c r="B64" s="3" t="s">
        <v>65</v>
      </c>
      <c r="C64" s="3" t="str">
        <f>IFERROR(__xludf.DUMMYFUNCTION("GOOGLETRANSLATE(B64,""id"",""en"")"),"['Nomr', 'XCXX', 'Change', 'Nomr', 'Telkomsel', 'Get', 'Gift', 'Car', 'Looks', 'Prizes', 'Hoax', ""]")</f>
        <v>['Nomr', 'XCXX', 'Change', 'Nomr', 'Telkomsel', 'Get', 'Gift', 'Car', 'Looks', 'Prizes', 'Hoax', "]</v>
      </c>
      <c r="D64" s="3">
        <v>3.0</v>
      </c>
    </row>
    <row r="65" ht="15.75" customHeight="1">
      <c r="A65" s="1">
        <v>63.0</v>
      </c>
      <c r="B65" s="3" t="s">
        <v>66</v>
      </c>
      <c r="C65" s="3" t="str">
        <f>IFERROR(__xludf.DUMMYFUNCTION("GOOGLETRANSLATE(B65,""id"",""en"")"),"['Sorry', 'Telkomsel', 'Star', 'Collapse', 'Disappointed', 'Customer', 'Service', 'Call', 'date', 'August', 'offer', ' Switch ',' card ',' hello ',' blng ',' comfortable ',' card ',' skg ',' customer ',' service ',' tone ',' take ',' decide ',' phone ' , "&amp;"'pdhal', 'conversation', 'blm', 'finished', 'dlued', 'dlu', 'for', 'jdi', 'customer', 'service', 'telkomsel', 'input', ' Untk ',' Management ',' Telkomsel ',' Selective ',' LGI ',' Choosing ',' Employee ', ""]")</f>
        <v>['Sorry', 'Telkomsel', 'Star', 'Collapse', 'Disappointed', 'Customer', 'Service', 'Call', 'date', 'August', 'offer', ' Switch ',' card ',' hello ',' blng ',' comfortable ',' card ',' skg ',' customer ',' service ',' tone ',' take ',' decide ',' phone ' , 'pdhal', 'conversation', 'blm', 'finished', 'dlued', 'dlu', 'for', 'jdi', 'customer', 'service', 'telkomsel', 'input', ' Untk ',' Management ',' Telkomsel ',' Selective ',' LGI ',' Choosing ',' Employee ', "]</v>
      </c>
      <c r="D65" s="3">
        <v>3.0</v>
      </c>
    </row>
    <row r="66" ht="15.75" customHeight="1">
      <c r="A66" s="1">
        <v>64.0</v>
      </c>
      <c r="B66" s="3" t="s">
        <v>67</v>
      </c>
      <c r="C66" s="3" t="str">
        <f>IFERROR(__xludf.DUMMYFUNCTION("GOOGLETRANSLATE(B66,""id"",""en"")"),"['Vivo', 'Install', 'Application', 'Lazy', 'Use', 'Telkomsel']")</f>
        <v>['Vivo', 'Install', 'Application', 'Lazy', 'Use', 'Telkomsel']</v>
      </c>
      <c r="D66" s="3">
        <v>1.0</v>
      </c>
    </row>
    <row r="67" ht="15.75" customHeight="1">
      <c r="A67" s="1">
        <v>65.0</v>
      </c>
      <c r="B67" s="3" t="s">
        <v>68</v>
      </c>
      <c r="C67" s="3" t="str">
        <f>IFERROR(__xludf.DUMMYFUNCTION("GOOGLETRANSLATE(B67,""id"",""en"")"),"['Application', 'Uda', 'Exchange', 'Points', 'Pulse', 'Please', 'The Info']")</f>
        <v>['Application', 'Uda', 'Exchange', 'Points', 'Pulse', 'Please', 'The Info']</v>
      </c>
      <c r="D67" s="3">
        <v>5.0</v>
      </c>
    </row>
    <row r="68" ht="15.75" customHeight="1">
      <c r="A68" s="1">
        <v>66.0</v>
      </c>
      <c r="B68" s="3" t="s">
        <v>69</v>
      </c>
      <c r="C68" s="3" t="str">
        <f>IFERROR(__xludf.DUMMYFUNCTION("GOOGLETRANSLATE(B68,""id"",""en"")"),"['knp', 'Android', 'Lollipop', 'supports',' bother ',' buy ',' package ',' data ',' menu ',' package ',' favorite ',' omitted ',' KNP ',' PDHL ',' makes it easier ',' search ',' package ',' according to ',' uninstall ',' ']")</f>
        <v>['knp', 'Android', 'Lollipop', 'supports',' bother ',' buy ',' package ',' data ',' menu ',' package ',' favorite ',' omitted ',' KNP ',' PDHL ',' makes it easier ',' search ',' package ',' according to ',' uninstall ',' ']</v>
      </c>
      <c r="D68" s="3">
        <v>1.0</v>
      </c>
    </row>
    <row r="69" ht="15.75" customHeight="1">
      <c r="A69" s="1">
        <v>67.0</v>
      </c>
      <c r="B69" s="3" t="s">
        <v>70</v>
      </c>
      <c r="C69" s="3" t="str">
        <f>IFERROR(__xludf.DUMMYFUNCTION("GOOGLETRANSLATE(B69,""id"",""en"")"),"['Region', 'Telkomsel', 'ugly', 'signal', 'luplep', 'as good', 'full', 'signal', 'line', ""]")</f>
        <v>['Region', 'Telkomsel', 'ugly', 'signal', 'luplep', 'as good', 'full', 'signal', 'line', "]</v>
      </c>
      <c r="D69" s="3">
        <v>3.0</v>
      </c>
    </row>
    <row r="70" ht="15.75" customHeight="1">
      <c r="A70" s="1">
        <v>68.0</v>
      </c>
      <c r="B70" s="3" t="s">
        <v>71</v>
      </c>
      <c r="C70" s="3" t="str">
        <f>IFERROR(__xludf.DUMMYFUNCTION("GOOGLETRANSLATE(B70,""id"",""en"")"),"['APK', 'good', 'really', 'see', 'emang', 'right']")</f>
        <v>['APK', 'good', 'really', 'see', 'emang', 'right']</v>
      </c>
      <c r="D70" s="3">
        <v>5.0</v>
      </c>
    </row>
    <row r="71" ht="15.75" customHeight="1">
      <c r="A71" s="1">
        <v>69.0</v>
      </c>
      <c r="B71" s="3" t="s">
        <v>72</v>
      </c>
      <c r="C71" s="3" t="str">
        <f>IFERROR(__xludf.DUMMYFUNCTION("GOOGLETRANSLATE(B71,""id"",""en"")"),"['gave', 'star', 'Telkomsel', 'DAK', 'Udalh', 'expensive', 'network', 'ugly', 'pulak', 'hate', 'Telkomsel', 'just', ' Delete ',' From ',' Indonesia ',' Don ',' Know ',' Myself ']")</f>
        <v>['gave', 'star', 'Telkomsel', 'DAK', 'Udalh', 'expensive', 'network', 'ugly', 'pulak', 'hate', 'Telkomsel', 'just', ' Delete ',' From ',' Indonesia ',' Don ',' Know ',' Myself ']</v>
      </c>
      <c r="D71" s="3">
        <v>1.0</v>
      </c>
    </row>
    <row r="72" ht="15.75" customHeight="1">
      <c r="A72" s="1">
        <v>70.0</v>
      </c>
      <c r="B72" s="3" t="s">
        <v>73</v>
      </c>
      <c r="C72" s="3" t="str">
        <f>IFERROR(__xludf.DUMMYFUNCTION("GOOGLETRANSLATE(B72,""id"",""en"")"),"['Pieces', 'pulses', 'missing', 'experience', 'BURIK', '']")</f>
        <v>['Pieces', 'pulses', 'missing', 'experience', 'BURIK', '']</v>
      </c>
      <c r="D72" s="3">
        <v>1.0</v>
      </c>
    </row>
    <row r="73" ht="15.75" customHeight="1">
      <c r="A73" s="1">
        <v>71.0</v>
      </c>
      <c r="B73" s="3" t="s">
        <v>74</v>
      </c>
      <c r="C73" s="3" t="str">
        <f>IFERROR(__xludf.DUMMYFUNCTION("GOOGLETRANSLATE(B73,""id"",""en"")"),"['Pekahhh', 'Wasted', 'Login', 'Already', 'Pressed', 'Magic', 'Link', 'Enter', 'Link', 'Expiration', 'Enter', 'SMS', ' already ',' keep ',' logged ',' told ',' Login ',' Ribet ']")</f>
        <v>['Pekahhh', 'Wasted', 'Login', 'Already', 'Pressed', 'Magic', 'Link', 'Enter', 'Link', 'Expiration', 'Enter', 'SMS', ' already ',' keep ',' logged ',' told ',' Login ',' Ribet ']</v>
      </c>
      <c r="D73" s="3">
        <v>1.0</v>
      </c>
    </row>
    <row r="74" ht="15.75" customHeight="1">
      <c r="A74" s="1">
        <v>72.0</v>
      </c>
      <c r="B74" s="3" t="s">
        <v>75</v>
      </c>
      <c r="C74" s="3" t="str">
        <f>IFERROR(__xludf.DUMMYFUNCTION("GOOGLETRANSLATE(B74,""id"",""en"")"),"['Satisfied', 'really', 'use', 'APL', 'Telkomsel', 'easy', 'choice', 'package', 'interesting', 'check', 'claimed', 'quota', ' discount', '']")</f>
        <v>['Satisfied', 'really', 'use', 'APL', 'Telkomsel', 'easy', 'choice', 'package', 'interesting', 'check', 'claimed', 'quota', ' discount', '']</v>
      </c>
      <c r="D74" s="3">
        <v>5.0</v>
      </c>
    </row>
    <row r="75" ht="15.75" customHeight="1">
      <c r="A75" s="1">
        <v>73.0</v>
      </c>
      <c r="B75" s="3" t="s">
        <v>76</v>
      </c>
      <c r="C75" s="3" t="str">
        <f>IFERROR(__xludf.DUMMYFUNCTION("GOOGLETRANSLATE(B75,""id"",""en"")"),"['Package', 'expensive', 'signal', 'ugly', 'really', 'according to', 'price', 'Please', 'repaired', 'customer', 'loyal', 'Telkomsel', ' patience ',' moved ',' neighbor ',' next door ',' location ',' village ',' sarimulya ',' kec ',' junuhan ',' ilir ',' k"&amp;"ab ',' bungo ',' please ' , 'Monitored', 'Telkomsel', '']")</f>
        <v>['Package', 'expensive', 'signal', 'ugly', 'really', 'according to', 'price', 'Please', 'repaired', 'customer', 'loyal', 'Telkomsel', ' patience ',' moved ',' neighbor ',' next door ',' location ',' village ',' sarimulya ',' kec ',' junuhan ',' ilir ',' kab ',' bungo ',' please ' , 'Monitored', 'Telkomsel', '']</v>
      </c>
      <c r="D75" s="3">
        <v>1.0</v>
      </c>
    </row>
    <row r="76" ht="15.75" customHeight="1">
      <c r="A76" s="1">
        <v>74.0</v>
      </c>
      <c r="B76" s="3" t="s">
        <v>77</v>
      </c>
      <c r="C76" s="3" t="str">
        <f>IFERROR(__xludf.DUMMYFUNCTION("GOOGLETRANSLATE(B76,""id"",""en"")"),"['Satisfied', 'Telkomsel', 'Points', 'Transparent', 'has the right', 'gift']")</f>
        <v>['Satisfied', 'Telkomsel', 'Points', 'Transparent', 'has the right', 'gift']</v>
      </c>
      <c r="D76" s="3">
        <v>5.0</v>
      </c>
    </row>
    <row r="77" ht="15.75" customHeight="1">
      <c r="A77" s="1">
        <v>75.0</v>
      </c>
      <c r="B77" s="3" t="s">
        <v>78</v>
      </c>
      <c r="C77" s="3" t="str">
        <f>IFERROR(__xludf.DUMMYFUNCTION("GOOGLETRANSLATE(B77,""id"",""en"")"),"['Phone', 'sich', 'okay', 'connection', 'internet', 'in the area', 'okay', 'quota', 'fast', 'abis', ""]")</f>
        <v>['Phone', 'sich', 'okay', 'connection', 'internet', 'in the area', 'okay', 'quota', 'fast', 'abis', "]</v>
      </c>
      <c r="D77" s="3">
        <v>3.0</v>
      </c>
    </row>
    <row r="78" ht="15.75" customHeight="1">
      <c r="A78" s="1">
        <v>76.0</v>
      </c>
      <c r="B78" s="3" t="s">
        <v>79</v>
      </c>
      <c r="C78" s="3" t="str">
        <f>IFERROR(__xludf.DUMMYFUNCTION("GOOGLETRANSLATE(B78,""id"",""en"")"),"['Telkomsel', 'Dihati', 'Service', 'User', 'Card', 'Telkomsel', '']")</f>
        <v>['Telkomsel', 'Dihati', 'Service', 'User', 'Card', 'Telkomsel', '']</v>
      </c>
      <c r="D78" s="3">
        <v>5.0</v>
      </c>
    </row>
    <row r="79" ht="15.75" customHeight="1">
      <c r="A79" s="1">
        <v>77.0</v>
      </c>
      <c r="B79" s="3" t="s">
        <v>80</v>
      </c>
      <c r="C79" s="3" t="str">
        <f>IFERROR(__xludf.DUMMYFUNCTION("GOOGLETRANSLATE(B79,""id"",""en"")"),"['Times',' Telkomcel ',' Good ',' Decreases', 'Quality', 'Signal', 'User', 'Disappointed', 'Strength', 'Signal', 'Telkomcel', 'Weak', ' work ',' strip ',' bar ',' signal ',' difficult ',' use ',' loading ',' point ',' smooth ',' stay ',' point ',' friend "&amp;"',' friend ' , 'use', 'Telkomcell', 'Please', 'Increase', 'Quality', 'signal', '']")</f>
        <v>['Times',' Telkomcel ',' Good ',' Decreases', 'Quality', 'Signal', 'User', 'Disappointed', 'Strength', 'Signal', 'Telkomcel', 'Weak', ' work ',' strip ',' bar ',' signal ',' difficult ',' use ',' loading ',' point ',' smooth ',' stay ',' point ',' friend ',' friend ' , 'use', 'Telkomcell', 'Please', 'Increase', 'Quality', 'signal', '']</v>
      </c>
      <c r="D79" s="3">
        <v>5.0</v>
      </c>
    </row>
    <row r="80" ht="15.75" customHeight="1">
      <c r="A80" s="1">
        <v>78.0</v>
      </c>
      <c r="B80" s="3" t="s">
        <v>81</v>
      </c>
      <c r="C80" s="3" t="str">
        <f>IFERROR(__xludf.DUMMYFUNCTION("GOOGLETRANSLATE(B80,""id"",""en"")"),"['Signal', 'Ter', 'Porous',' Bad ',' Quality ',' Badkkkkkkkkkkkkk ',' price ',' expensive ',' according to ',' quality ',' network ',' base ',' signal ',' BBI ',' garbage ']")</f>
        <v>['Signal', 'Ter', 'Porous',' Bad ',' Quality ',' Badkkkkkkkkkkkkk ',' price ',' expensive ',' according to ',' quality ',' network ',' base ',' signal ',' BBI ',' garbage ']</v>
      </c>
      <c r="D80" s="3">
        <v>1.0</v>
      </c>
    </row>
    <row r="81" ht="15.75" customHeight="1">
      <c r="A81" s="1">
        <v>79.0</v>
      </c>
      <c r="B81" s="3" t="s">
        <v>82</v>
      </c>
      <c r="C81" s="3" t="str">
        <f>IFERROR(__xludf.DUMMYFUNCTION("GOOGLETRANSLATE(B81,""id"",""en"")"),"['easy', 'easy', 'purchase', 'koata', 'price', 'affordable', 'usage', 'no', '']")</f>
        <v>['easy', 'easy', 'purchase', 'koata', 'price', 'affordable', 'usage', 'no', '']</v>
      </c>
      <c r="D81" s="3">
        <v>4.0</v>
      </c>
    </row>
    <row r="82" ht="15.75" customHeight="1">
      <c r="A82" s="1">
        <v>80.0</v>
      </c>
      <c r="B82" s="3" t="s">
        <v>83</v>
      </c>
      <c r="C82" s="3" t="str">
        <f>IFERROR(__xludf.DUMMYFUNCTION("GOOGLETRANSLATE(B82,""id"",""en"")"),"['disappointed', 'disorder', 'network', 'card', 'pakek', 'work', 'street', 'difficult', 'communimated', 'people', 'hope', 'ahead' Telkom ',' Good ']")</f>
        <v>['disappointed', 'disorder', 'network', 'card', 'pakek', 'work', 'street', 'difficult', 'communimated', 'people', 'hope', 'ahead' Telkom ',' Good ']</v>
      </c>
      <c r="D82" s="3">
        <v>1.0</v>
      </c>
    </row>
    <row r="83" ht="15.75" customHeight="1">
      <c r="A83" s="1">
        <v>81.0</v>
      </c>
      <c r="B83" s="3" t="s">
        <v>84</v>
      </c>
      <c r="C83" s="3" t="str">
        <f>IFERROR(__xludf.DUMMYFUNCTION("GOOGLETRANSLATE(B83,""id"",""en"")"),"['The application', 'Ribet', 'Hemm', 'BTW', 'users',' Telkomsel ',' confused ',' no ',' udh ',' buy ',' pulse ',' quota ',' The pulses', 'cut', 'wanted', 'Tetep', 'Internet', 'Gada', 'quota', ""]")</f>
        <v>['The application', 'Ribet', 'Hemm', 'BTW', 'users',' Telkomsel ',' confused ',' no ',' udh ',' buy ',' pulse ',' quota ',' The pulses', 'cut', 'wanted', 'Tetep', 'Internet', 'Gada', 'quota', "]</v>
      </c>
      <c r="D83" s="3">
        <v>4.0</v>
      </c>
    </row>
    <row r="84" ht="15.75" customHeight="1">
      <c r="A84" s="1">
        <v>82.0</v>
      </c>
      <c r="B84" s="3" t="s">
        <v>85</v>
      </c>
      <c r="C84" s="3" t="str">
        <f>IFERROR(__xludf.DUMMYFUNCTION("GOOGLETRANSLATE(B84,""id"",""en"")"),"['Turn on', 'data', 'cellular', 'nyampe', 'minute', 'top', 'pulse', 'rb', 'drift', 'already', 'expensive', 'network', ' Stable ',' tggal ',' city ',' please ',' fix ',' service ',' already ',' bnyak ',' complain ', ""]")</f>
        <v>['Turn on', 'data', 'cellular', 'nyampe', 'minute', 'top', 'pulse', 'rb', 'drift', 'already', 'expensive', 'network', ' Stable ',' tggal ',' city ',' please ',' fix ',' service ',' already ',' bnyak ',' complain ', "]</v>
      </c>
      <c r="D84" s="3">
        <v>1.0</v>
      </c>
    </row>
    <row r="85" ht="15.75" customHeight="1">
      <c r="A85" s="1">
        <v>83.0</v>
      </c>
      <c r="B85" s="3" t="s">
        <v>86</v>
      </c>
      <c r="C85" s="3" t="str">
        <f>IFERROR(__xludf.DUMMYFUNCTION("GOOGLETRANSLATE(B85,""id"",""en"")"),"['signal', 'Telkomsel', 'ugly', 'enhanced', 'quality', 'service', '']")</f>
        <v>['signal', 'Telkomsel', 'ugly', 'enhanced', 'quality', 'service', '']</v>
      </c>
      <c r="D85" s="3">
        <v>1.0</v>
      </c>
    </row>
    <row r="86" ht="15.75" customHeight="1">
      <c r="A86" s="1">
        <v>84.0</v>
      </c>
      <c r="B86" s="3" t="s">
        <v>87</v>
      </c>
      <c r="C86" s="3" t="str">
        <f>IFERROR(__xludf.DUMMYFUNCTION("GOOGLETRANSLATE(B86,""id"",""en"")"),"['Yesterday', 'Package', 'RB', 'GB', 'RB', 'Disappointed', 'really', 'lohh', 'card', 'cave', 'already', 'yearn', ' Please ',' Help ',' Dear ',' Developer ']")</f>
        <v>['Yesterday', 'Package', 'RB', 'GB', 'RB', 'Disappointed', 'really', 'lohh', 'card', 'cave', 'already', 'yearn', ' Please ',' Help ',' Dear ',' Developer ']</v>
      </c>
      <c r="D86" s="3">
        <v>3.0</v>
      </c>
    </row>
    <row r="87" ht="15.75" customHeight="1">
      <c r="A87" s="1">
        <v>85.0</v>
      </c>
      <c r="B87" s="3" t="s">
        <v>88</v>
      </c>
      <c r="C87" s="3" t="str">
        <f>IFERROR(__xludf.DUMMYFUNCTION("GOOGLETRANSLATE(B87,""id"",""en"")"),"['Telkomsel', 'Ngelag', 'really', 'play', 'game', 'comfortable', 'already', 'please', 'fix', 'performance', 'signal', 'smooth', ' very', '']")</f>
        <v>['Telkomsel', 'Ngelag', 'really', 'play', 'game', 'comfortable', 'already', 'please', 'fix', 'performance', 'signal', 'smooth', ' very', '']</v>
      </c>
      <c r="D87" s="3">
        <v>1.0</v>
      </c>
    </row>
    <row r="88" ht="15.75" customHeight="1">
      <c r="A88" s="1">
        <v>86.0</v>
      </c>
      <c r="B88" s="3" t="s">
        <v>89</v>
      </c>
      <c r="C88" s="3" t="str">
        <f>IFERROR(__xludf.DUMMYFUNCTION("GOOGLETRANSLATE(B88,""id"",""en"")"),"['danger', 'really', 'program', 'recycle', 'then', 'sell', 'reset', 'because' data ',' terimoan ',' contains ',' sms ',' BANGKINANG ',' Paypal ',' Google ',' BYANG ',' contains', 'money', 'danger', 'Sampendi', 'hand', 'wrong', ""]")</f>
        <v>['danger', 'really', 'program', 'recycle', 'then', 'sell', 'reset', 'because' data ',' terimoan ',' contains ',' sms ',' BANGKINANG ',' Paypal ',' Google ',' BYANG ',' contains', 'money', 'danger', 'Sampendi', 'hand', 'wrong', "]</v>
      </c>
      <c r="D88" s="3">
        <v>1.0</v>
      </c>
    </row>
    <row r="89" ht="15.75" customHeight="1">
      <c r="A89" s="1">
        <v>87.0</v>
      </c>
      <c r="B89" s="3" t="s">
        <v>90</v>
      </c>
      <c r="C89" s="3" t="str">
        <f>IFERROR(__xludf.DUMMYFUNCTION("GOOGLETRANSLATE(B89,""id"",""en"")"),"['Good', 'expensive', 'package', 'multi', 'medium', 'kepakai', 'tetep', 'suck', 'package', 'internet', ""]")</f>
        <v>['Good', 'expensive', 'package', 'multi', 'medium', 'kepakai', 'tetep', 'suck', 'package', 'internet', "]</v>
      </c>
      <c r="D89" s="3">
        <v>4.0</v>
      </c>
    </row>
    <row r="90" ht="15.75" customHeight="1">
      <c r="A90" s="1">
        <v>88.0</v>
      </c>
      <c r="B90" s="3" t="s">
        <v>91</v>
      </c>
      <c r="C90" s="3" t="str">
        <f>IFERROR(__xludf.DUMMYFUNCTION("GOOGLETRANSLATE(B90,""id"",""en"")"),"['class',' Telkomsel ',' the application ',' bad ',' difficult ',' login ',' open ',' application ',' update ',' pulse ',' quota ',' appears', ' ']")</f>
        <v>['class',' Telkomsel ',' the application ',' bad ',' difficult ',' login ',' open ',' application ',' update ',' pulse ',' quota ',' appears', ' ']</v>
      </c>
      <c r="D90" s="3">
        <v>1.0</v>
      </c>
    </row>
    <row r="91" ht="15.75" customHeight="1">
      <c r="A91" s="1">
        <v>89.0</v>
      </c>
      <c r="B91" s="3" t="s">
        <v>92</v>
      </c>
      <c r="C91" s="3" t="str">
        <f>IFERROR(__xludf.DUMMYFUNCTION("GOOGLETRANSLATE(B91,""id"",""en"")"),"['Please', 'Adin', 'Exchange', 'Points', 'Voucher', 'Game', 'Mobile', 'Legend', 'Over', 'Thank "",' Love ',' Exchange ',' Voucher ',' Game ',' Mobile ',' Legend ']")</f>
        <v>['Please', 'Adin', 'Exchange', 'Points', 'Voucher', 'Game', 'Mobile', 'Legend', 'Over', 'Thank ",' Love ',' Exchange ',' Voucher ',' Game ',' Mobile ',' Legend ']</v>
      </c>
      <c r="D91" s="3">
        <v>5.0</v>
      </c>
    </row>
    <row r="92" ht="15.75" customHeight="1">
      <c r="A92" s="1">
        <v>90.0</v>
      </c>
      <c r="B92" s="3" t="s">
        <v>93</v>
      </c>
      <c r="C92" s="3" t="str">
        <f>IFERROR(__xludf.DUMMYFUNCTION("GOOGLETRANSLATE(B92,""id"",""en"")"),"['combo', 'saktinya', 'sympathy', 'loop', 'like', 'ngilan', 'ngilan', 'ilang', 'stop', 'telkomsel', 'already', 'replace', ' card ',' times', 'Gara', 'Gara', 'combo', 'Sakti', 'ngilan', 'sick', 'combo', 'sakti', 'price', ""]")</f>
        <v>['combo', 'saktinya', 'sympathy', 'loop', 'like', 'ngilan', 'ngilan', 'ilang', 'stop', 'telkomsel', 'already', 'replace', ' card ',' times', 'Gara', 'Gara', 'combo', 'Sakti', 'ngilan', 'sick', 'combo', 'sakti', 'price', "]</v>
      </c>
      <c r="D92" s="3">
        <v>2.0</v>
      </c>
    </row>
    <row r="93" ht="15.75" customHeight="1">
      <c r="A93" s="1">
        <v>91.0</v>
      </c>
      <c r="B93" s="3" t="s">
        <v>94</v>
      </c>
      <c r="C93" s="3" t="str">
        <f>IFERROR(__xludf.DUMMYFUNCTION("GOOGLETRANSLATE(B93,""id"",""en"")"),"['Very', 'pulse', 'reduced', 'drastic', 'right', 'check', 'fees',' cost ',' internt ',' so ',' all ',' quota ',' Internet ',' pulse ',' take ',' ']")</f>
        <v>['Very', 'pulse', 'reduced', 'drastic', 'right', 'check', 'fees',' cost ',' internt ',' so ',' all ',' quota ',' Internet ',' pulse ',' take ',' ']</v>
      </c>
      <c r="D93" s="3">
        <v>3.0</v>
      </c>
    </row>
    <row r="94" ht="15.75" customHeight="1">
      <c r="A94" s="1">
        <v>92.0</v>
      </c>
      <c r="B94" s="3" t="s">
        <v>95</v>
      </c>
      <c r="C94" s="3" t="str">
        <f>IFERROR(__xludf.DUMMYFUNCTION("GOOGLETRANSLATE(B94,""id"",""en"")"),"['knp', 'skrng', 'udh', 'click', 'buy', 'enter', 'smpai', 'click', 'brp', 'times',' sllu ',' process', ' Mang ',' promo ',' Jangn ',' Show ',' buy ',' high school ',' pehape ']")</f>
        <v>['knp', 'skrng', 'udh', 'click', 'buy', 'enter', 'smpai', 'click', 'brp', 'times',' sllu ',' process', ' Mang ',' promo ',' Jangn ',' Show ',' buy ',' high school ',' pehape ']</v>
      </c>
      <c r="D94" s="3">
        <v>1.0</v>
      </c>
    </row>
    <row r="95" ht="15.75" customHeight="1">
      <c r="A95" s="1">
        <v>93.0</v>
      </c>
      <c r="B95" s="3" t="s">
        <v>96</v>
      </c>
      <c r="C95" s="3" t="str">
        <f>IFERROR(__xludf.DUMMYFUNCTION("GOOGLETRANSLATE(B95,""id"",""en"")"),"['application', 'like', 'error', 'screen', 'dark', 'appears', 'writing', 'application', 'Google', 'stop', 'strange']")</f>
        <v>['application', 'like', 'error', 'screen', 'dark', 'appears', 'writing', 'application', 'Google', 'stop', 'strange']</v>
      </c>
      <c r="D95" s="3">
        <v>1.0</v>
      </c>
    </row>
    <row r="96" ht="15.75" customHeight="1">
      <c r="A96" s="1">
        <v>94.0</v>
      </c>
      <c r="B96" s="3" t="s">
        <v>97</v>
      </c>
      <c r="C96" s="3" t="str">
        <f>IFERROR(__xludf.DUMMYFUNCTION("GOOGLETRANSLATE(B96,""id"",""en"")"),"['Telkomsel', 'big net', 'BURIK', 'Season', 'Kayak', 'Edge']")</f>
        <v>['Telkomsel', 'big net', 'BURIK', 'Season', 'Kayak', 'Edge']</v>
      </c>
      <c r="D96" s="3">
        <v>1.0</v>
      </c>
    </row>
    <row r="97" ht="15.75" customHeight="1">
      <c r="A97" s="1">
        <v>95.0</v>
      </c>
      <c r="B97" s="3" t="s">
        <v>98</v>
      </c>
      <c r="C97" s="3" t="str">
        <f>IFERROR(__xludf.DUMMYFUNCTION("GOOGLETRANSLATE(B97,""id"",""en"")"),"['convenience', 'buy', 'package', 'informasih', 'complete', 'voice', 'telephone', 'clear', 'thank', 'love', 'telkomsel', 'success']")</f>
        <v>['convenience', 'buy', 'package', 'informasih', 'complete', 'voice', 'telephone', 'clear', 'thank', 'love', 'telkomsel', 'success']</v>
      </c>
      <c r="D97" s="3">
        <v>5.0</v>
      </c>
    </row>
    <row r="98" ht="15.75" customHeight="1">
      <c r="A98" s="1">
        <v>96.0</v>
      </c>
      <c r="B98" s="3" t="s">
        <v>99</v>
      </c>
      <c r="C98" s="3" t="str">
        <f>IFERROR(__xludf.DUMMYFUNCTION("GOOGLETRANSLATE(B98,""id"",""en"")"),"['Gift', 'exchanges', 'Points', 'Hopefully', 'Lucky']")</f>
        <v>['Gift', 'exchanges', 'Points', 'Hopefully', 'Lucky']</v>
      </c>
      <c r="D98" s="3">
        <v>5.0</v>
      </c>
    </row>
    <row r="99" ht="15.75" customHeight="1">
      <c r="A99" s="1">
        <v>97.0</v>
      </c>
      <c r="B99" s="3" t="s">
        <v>100</v>
      </c>
      <c r="C99" s="3" t="str">
        <f>IFERROR(__xludf.DUMMYFUNCTION("GOOGLETRANSLATE(B99,""id"",""en"")"),"['application', 'destroyer', 'Damn', 'ngehang', 'mulu', 'open', 'application', 'strange', ""]")</f>
        <v>['application', 'destroyer', 'Damn', 'ngehang', 'mulu', 'open', 'application', 'strange', "]</v>
      </c>
      <c r="D99" s="3">
        <v>3.0</v>
      </c>
    </row>
    <row r="100" ht="15.75" customHeight="1">
      <c r="A100" s="1">
        <v>98.0</v>
      </c>
      <c r="B100" s="3" t="s">
        <v>101</v>
      </c>
      <c r="C100" s="3" t="str">
        <f>IFERROR(__xludf.DUMMYFUNCTION("GOOGLETRANSLATE(B100,""id"",""en"")"),"['bad', 'network', 'bar', 'network', 'reconnect', 'connect', 'rare', 'gini', 'really', 'please', 'price', 'quota', ' expensive ',' Indonesia ',' provider ',' signal ',' stable ',' kyk ',' gini ', ""]")</f>
        <v>['bad', 'network', 'bar', 'network', 'reconnect', 'connect', 'rare', 'gini', 'really', 'please', 'price', 'quota', ' expensive ',' Indonesia ',' provider ',' signal ',' stable ',' kyk ',' gini ', "]</v>
      </c>
      <c r="D100" s="3">
        <v>1.0</v>
      </c>
    </row>
    <row r="101" ht="15.75" customHeight="1">
      <c r="A101" s="1">
        <v>99.0</v>
      </c>
      <c r="B101" s="3" t="s">
        <v>102</v>
      </c>
      <c r="C101" s="3" t="str">
        <f>IFERROR(__xludf.DUMMYFUNCTION("GOOGLETRANSLATE(B101,""id"",""en"")"),"['Satisfied', 'really', 'Telkomsel', 'Dri', 'smpai', 'msi', 'like', 'buy', 'package', 'cheap', 'really', ""]")</f>
        <v>['Satisfied', 'really', 'Telkomsel', 'Dri', 'smpai', 'msi', 'like', 'buy', 'package', 'cheap', 'really', "]</v>
      </c>
      <c r="D101" s="3">
        <v>4.0</v>
      </c>
    </row>
    <row r="102" ht="15.75" customHeight="1">
      <c r="A102" s="1">
        <v>100.0</v>
      </c>
      <c r="B102" s="3" t="s">
        <v>103</v>
      </c>
      <c r="C102" s="3" t="str">
        <f>IFERROR(__xludf.DUMMYFUNCTION("GOOGLETRANSLATE(B102,""id"",""en"")"),"['Blank', 'White', 'Doank', 'Uninstall', 'Install', 'Open', 'Huft', 'just', 'Problem', 'Kenpa', ""]")</f>
        <v>['Blank', 'White', 'Doank', 'Uninstall', 'Install', 'Open', 'Huft', 'just', 'Problem', 'Kenpa', "]</v>
      </c>
      <c r="D102" s="3">
        <v>1.0</v>
      </c>
    </row>
    <row r="103" ht="15.75" customHeight="1">
      <c r="A103" s="1">
        <v>101.0</v>
      </c>
      <c r="B103" s="3" t="s">
        <v>104</v>
      </c>
      <c r="C103" s="3" t="str">
        <f>IFERROR(__xludf.DUMMYFUNCTION("GOOGLETRANSLATE(B103,""id"",""en"")"),"['Telkomsel', 'Differentition', 'Credit', 'Internet', 'Credit', 'Phone', 'Fill', 'Quota', 'Touch', 'Data', 'Deliberate', 'Deliberate', ' Credit ',' thousand ',' Instant ',' pulses', 'telephone', 'distracted', 'fees',' internet ',' Telkomsel ', ""]")</f>
        <v>['Telkomsel', 'Differentition', 'Credit', 'Internet', 'Credit', 'Phone', 'Fill', 'Quota', 'Touch', 'Data', 'Deliberate', 'Deliberate', ' Credit ',' thousand ',' Instant ',' pulses', 'telephone', 'distracted', 'fees',' internet ',' Telkomsel ', "]</v>
      </c>
      <c r="D103" s="3">
        <v>1.0</v>
      </c>
    </row>
    <row r="104" ht="15.75" customHeight="1">
      <c r="A104" s="1">
        <v>102.0</v>
      </c>
      <c r="B104" s="3" t="s">
        <v>105</v>
      </c>
      <c r="C104" s="3" t="str">
        <f>IFERROR(__xludf.DUMMYFUNCTION("GOOGLETRANSLATE(B104,""id"",""en"")"),"['Application', 'good', 'really', 'ngeta', 'see', 'see', 'talking', 'the application', 'good', 'huhuhuhuhuhuhuhuhu']")</f>
        <v>['Application', 'good', 'really', 'ngeta', 'see', 'see', 'talking', 'the application', 'good', 'huhuhuhuhuhuhuhuhu']</v>
      </c>
      <c r="D104" s="3">
        <v>4.0</v>
      </c>
    </row>
    <row r="105" ht="15.75" customHeight="1">
      <c r="A105" s="1">
        <v>103.0</v>
      </c>
      <c r="B105" s="3" t="s">
        <v>106</v>
      </c>
      <c r="C105" s="3" t="str">
        <f>IFERROR(__xludf.DUMMYFUNCTION("GOOGLETRANSLATE(B105,""id"",""en"")"),"['Gift', 'useful', 'told', 'buy', 'product']")</f>
        <v>['Gift', 'useful', 'told', 'buy', 'product']</v>
      </c>
      <c r="D105" s="3">
        <v>1.0</v>
      </c>
    </row>
    <row r="106" ht="15.75" customHeight="1">
      <c r="A106" s="1">
        <v>104.0</v>
      </c>
      <c r="B106" s="3" t="s">
        <v>107</v>
      </c>
      <c r="C106" s="3" t="str">
        <f>IFERROR(__xludf.DUMMYFUNCTION("GOOGLETRANSLATE(B106,""id"",""en"")"),"['Please', 'explanation', 'quota', 'extra', 'unlimitedmax', 'dated', 'August', 'dated', 'August', 'where', 'package', ' Subscriptions', 'Telkomsel', 'many years',' events', 'weird', 'please', 'response', 'thank you']")</f>
        <v>['Please', 'explanation', 'quota', 'extra', 'unlimitedmax', 'dated', 'August', 'dated', 'August', 'where', 'package', ' Subscriptions', 'Telkomsel', 'many years',' events', 'weird', 'please', 'response', 'thank you']</v>
      </c>
      <c r="D106" s="3">
        <v>2.0</v>
      </c>
    </row>
    <row r="107" ht="15.75" customHeight="1">
      <c r="A107" s="1">
        <v>105.0</v>
      </c>
      <c r="B107" s="3" t="s">
        <v>108</v>
      </c>
      <c r="C107" s="3" t="str">
        <f>IFERROR(__xludf.DUMMYFUNCTION("GOOGLETRANSLATE(B107,""id"",""en"")"),"['Sumpaah', 'Telkomsel', 'The network', 'Parahh', 'Hancatterrr', 'Ngegame', 'Ngelaag', 'Kerangs',' Package ',' Price ',' Expensive ',' Switch ',' Kerugu ',' laen ',' Sumpahh ',' skrg ',' Telkomsel ',' garbage ', ""]")</f>
        <v>['Sumpaah', 'Telkomsel', 'The network', 'Parahh', 'Hancatterrr', 'Ngegame', 'Ngelaag', 'Kerangs',' Package ',' Price ',' Expensive ',' Switch ',' Kerugu ',' laen ',' Sumpahh ',' skrg ',' Telkomsel ',' garbage ', "]</v>
      </c>
      <c r="D107" s="3">
        <v>1.0</v>
      </c>
    </row>
    <row r="108" ht="15.75" customHeight="1">
      <c r="A108" s="1">
        <v>106.0</v>
      </c>
      <c r="B108" s="3" t="s">
        <v>109</v>
      </c>
      <c r="C108" s="3" t="str">
        <f>IFERROR(__xludf.DUMMYFUNCTION("GOOGLETRANSLATE(B108,""id"",""en"")"),"['crazy', 'Telkomsel', 'package', 'data', 'expensive', 'otw', 'moved', 'shop', 'next door', 'mah', 'godbye', 'package', ' Telkom ']")</f>
        <v>['crazy', 'Telkomsel', 'package', 'data', 'expensive', 'otw', 'moved', 'shop', 'next door', 'mah', 'godbye', 'package', ' Telkom ']</v>
      </c>
      <c r="D108" s="3">
        <v>1.0</v>
      </c>
    </row>
    <row r="109" ht="15.75" customHeight="1">
      <c r="A109" s="1">
        <v>107.0</v>
      </c>
      <c r="B109" s="3" t="s">
        <v>110</v>
      </c>
      <c r="C109" s="3" t="str">
        <f>IFERROR(__xludf.DUMMYFUNCTION("GOOGLETRANSLATE(B109,""id"",""en"")"),"['The network', 'ugly', 'stable', 'sometimes',' smooth ',' dominates', 'stable', 'youtube', 'smooth', 'open', 'application', 'slow', ' Open ',' Application ',' Telkomsel ',' Slow ',' Use ',' Quota ',' Telkomsel ',' Telkomsel ',' Bad ',' Package ',' Remove"&amp;"d ',' Performance ',' Decline ' , 'Main', 'Game', 'Online', 'Drop', 'FPS', 'Darear', 'Denpasar', 'Delicious',' Taun ',' Severe ',' User ',' Comfortable ',' Disturbed ',' Lumajang ',' Village ',' Jatigono ',' Internet ',' Telkomsel ']")</f>
        <v>['The network', 'ugly', 'stable', 'sometimes',' smooth ',' dominates', 'stable', 'youtube', 'smooth', 'open', 'application', 'slow', ' Open ',' Application ',' Telkomsel ',' Slow ',' Use ',' Quota ',' Telkomsel ',' Telkomsel ',' Bad ',' Package ',' Removed ',' Performance ',' Decline ' , 'Main', 'Game', 'Online', 'Drop', 'FPS', 'Darear', 'Denpasar', 'Delicious',' Taun ',' Severe ',' User ',' Comfortable ',' Disturbed ',' Lumajang ',' Village ',' Jatigono ',' Internet ',' Telkomsel ']</v>
      </c>
      <c r="D109" s="3">
        <v>1.0</v>
      </c>
    </row>
    <row r="110" ht="15.75" customHeight="1">
      <c r="A110" s="1">
        <v>108.0</v>
      </c>
      <c r="B110" s="3" t="s">
        <v>111</v>
      </c>
      <c r="C110" s="3" t="str">
        <f>IFERROR(__xludf.DUMMYFUNCTION("GOOGLETRANSLATE(B110,""id"",""en"")"),"['Helo', 'Telkomsel', 'Network', 'Telkomsel', 'Tamba', 'Bad', 'Please', 'Fix', 'System', 'Network', 'Meanwhile', 'Sulawesi']")</f>
        <v>['Helo', 'Telkomsel', 'Network', 'Telkomsel', 'Tamba', 'Bad', 'Please', 'Fix', 'System', 'Network', 'Meanwhile', 'Sulawesi']</v>
      </c>
      <c r="D110" s="3">
        <v>1.0</v>
      </c>
    </row>
    <row r="111" ht="15.75" customHeight="1">
      <c r="A111" s="1">
        <v>109.0</v>
      </c>
      <c r="B111" s="3" t="s">
        <v>112</v>
      </c>
      <c r="C111" s="3" t="str">
        <f>IFERROR(__xludf.DUMMYFUNCTION("GOOGLETRANSLATE(B111,""id"",""en"")"),"['Hadia', 'Bener', 'Love', 'Bintang', '']")</f>
        <v>['Hadia', 'Bener', 'Love', 'Bintang', '']</v>
      </c>
      <c r="D111" s="3">
        <v>1.0</v>
      </c>
    </row>
    <row r="112" ht="15.75" customHeight="1">
      <c r="A112" s="1">
        <v>110.0</v>
      </c>
      <c r="B112" s="3" t="s">
        <v>113</v>
      </c>
      <c r="C112" s="3" t="str">
        <f>IFERROR(__xludf.DUMMYFUNCTION("GOOGLETRANSLATE(B112,""id"",""en"")"),"['disappointing', 'region', 'North Sumatra', 'goes',' electricity ',' signal ',' Telkomsel ',' missing ',' delay ',' arising ',' signal ',' Sangaaatt ',' different ',' provider ',' card ',' size ',' price ',' package ',' internet ',' expensive ',' Telkoms"&amp;"el ',' disappointing ',' ']")</f>
        <v>['disappointing', 'region', 'North Sumatra', 'goes',' electricity ',' signal ',' Telkomsel ',' missing ',' delay ',' arising ',' signal ',' Sangaaatt ',' different ',' provider ',' card ',' size ',' price ',' package ',' internet ',' expensive ',' Telkomsel ',' disappointing ',' ']</v>
      </c>
      <c r="D112" s="3">
        <v>5.0</v>
      </c>
    </row>
    <row r="113" ht="15.75" customHeight="1">
      <c r="A113" s="1">
        <v>111.0</v>
      </c>
      <c r="B113" s="3" t="s">
        <v>114</v>
      </c>
      <c r="C113" s="3" t="str">
        <f>IFERROR(__xludf.DUMMYFUNCTION("GOOGLETRANSLATE(B113,""id"",""en"")"),"['Please', 'fixed', 'network', 'stable', 'play', 'game', 'quality', 'please', 'fix', 'package', 'expensive', 'network', ' Leet ',' balanced ', ""]")</f>
        <v>['Please', 'fixed', 'network', 'stable', 'play', 'game', 'quality', 'please', 'fix', 'package', 'expensive', 'network', ' Leet ',' balanced ', "]</v>
      </c>
      <c r="D113" s="3">
        <v>1.0</v>
      </c>
    </row>
    <row r="114" ht="15.75" customHeight="1">
      <c r="A114" s="1">
        <v>112.0</v>
      </c>
      <c r="B114" s="3" t="s">
        <v>115</v>
      </c>
      <c r="C114" s="3" t="str">
        <f>IFERROR(__xludf.DUMMYFUNCTION("GOOGLETRANSLATE(B114,""id"",""en"")"),"['Sorry', 'Move', 'Card', 'Hello', 'Nelp', 'Cellular', 'Limited', 'Padany', 'KartuHalo', 'Costs',' Gede ',' Snarak ',' The subject ',' ']")</f>
        <v>['Sorry', 'Move', 'Card', 'Hello', 'Nelp', 'Cellular', 'Limited', 'Padany', 'KartuHalo', 'Costs',' Gede ',' Snarak ',' The subject ',' ']</v>
      </c>
      <c r="D114" s="3">
        <v>1.0</v>
      </c>
    </row>
    <row r="115" ht="15.75" customHeight="1">
      <c r="A115" s="1">
        <v>113.0</v>
      </c>
      <c r="B115" s="3" t="s">
        <v>116</v>
      </c>
      <c r="C115" s="3" t="str">
        <f>IFERROR(__xludf.DUMMYFUNCTION("GOOGLETRANSLATE(B115,""id"",""en"")"),"['Fix', 'malak', 'what' is' right ',' open ',' application ',' kek ',' download ',' speed ',' internet ',' MB ',' package ',' Data ',' run out ',' cunning ',' telkontol ',' profit ',' network ',' good ',' laen ',' stable ',' already ',' pull out ',' repla"&amp;"ce ',' laten ' , '']")</f>
        <v>['Fix', 'malak', 'what' is' right ',' open ',' application ',' kek ',' download ',' speed ',' internet ',' MB ',' package ',' Data ',' run out ',' cunning ',' telkontol ',' profit ',' network ',' good ',' laen ',' stable ',' already ',' pull out ',' replace ',' laten ' , '']</v>
      </c>
      <c r="D115" s="3">
        <v>1.0</v>
      </c>
    </row>
    <row r="116" ht="15.75" customHeight="1">
      <c r="A116" s="1">
        <v>114.0</v>
      </c>
      <c r="B116" s="3" t="s">
        <v>117</v>
      </c>
      <c r="C116" s="3" t="str">
        <f>IFERROR(__xludf.DUMMYFUNCTION("GOOGLETRANSLATE(B116,""id"",""en"")"),"['woy', 'contents',' pulse ',' intention ',' packagein ',' self-help ',' gojek ',' entry ',' subscription ',' GB ',' direct ',' complain ',' active ',' just ',' that's', 'subscription', 'register', 'package', 'that's',' emotion ',' look for ',' money ',' "&amp;"easy ',' crazy ',' sympathy ' , 'already', 'time', 'gag', 'sympathy', ""]")</f>
        <v>['woy', 'contents',' pulse ',' intention ',' packagein ',' self-help ',' gojek ',' entry ',' subscription ',' GB ',' direct ',' complain ',' active ',' just ',' that's', 'subscription', 'register', 'package', 'that's',' emotion ',' look for ',' money ',' easy ',' crazy ',' sympathy ' , 'already', 'time', 'gag', 'sympathy', "]</v>
      </c>
      <c r="D116" s="3">
        <v>1.0</v>
      </c>
    </row>
    <row r="117" ht="15.75" customHeight="1">
      <c r="A117" s="1">
        <v>115.0</v>
      </c>
      <c r="B117" s="3" t="s">
        <v>118</v>
      </c>
      <c r="C117" s="3" t="str">
        <f>IFERROR(__xludf.DUMMYFUNCTION("GOOGLETRANSLATE(B117,""id"",""en"")"),"['Star', 'dlu', 'good', 'gift', 'point', 'given', 'star', 'full']")</f>
        <v>['Star', 'dlu', 'good', 'gift', 'point', 'given', 'star', 'full']</v>
      </c>
      <c r="D117" s="3">
        <v>1.0</v>
      </c>
    </row>
    <row r="118" ht="15.75" customHeight="1">
      <c r="A118" s="1">
        <v>116.0</v>
      </c>
      <c r="B118" s="3" t="s">
        <v>119</v>
      </c>
      <c r="C118" s="3" t="str">
        <f>IFERROR(__xludf.DUMMYFUNCTION("GOOGLETRANSLATE(B118,""id"",""en"")"),"['buy', 'package', 'internet', 'wallet', 'disappointed', '']")</f>
        <v>['buy', 'package', 'internet', 'wallet', 'disappointed', '']</v>
      </c>
      <c r="D118" s="3">
        <v>5.0</v>
      </c>
    </row>
    <row r="119" ht="15.75" customHeight="1">
      <c r="A119" s="1">
        <v>117.0</v>
      </c>
      <c r="B119" s="3" t="s">
        <v>120</v>
      </c>
      <c r="C119" s="3" t="str">
        <f>IFERROR(__xludf.DUMMYFUNCTION("GOOGLETRANSLATE(B119,""id"",""en"")"),"['Please', 'Telkomsel', 'Sinyal', 'Fix', 'Disappointed', 'Really', 'Times',' Use ',' Card ',' Perdana ',' Getini ',' Change ',' Change ',' intention ',' Please ',' Close ',' Disright ',' People ',' Buy ',' Package ',' Expensive ',' Expensive ',' Sousal ',"&amp;"' Package ',' wasteful ' , 'Ngilake']")</f>
        <v>['Please', 'Telkomsel', 'Sinyal', 'Fix', 'Disappointed', 'Really', 'Times',' Use ',' Card ',' Perdana ',' Getini ',' Change ',' Change ',' intention ',' Please ',' Close ',' Disright ',' People ',' Buy ',' Package ',' Expensive ',' Expensive ',' Sousal ',' Package ',' wasteful ' , 'Ngilake']</v>
      </c>
      <c r="D119" s="3">
        <v>1.0</v>
      </c>
    </row>
    <row r="120" ht="15.75" customHeight="1">
      <c r="A120" s="1">
        <v>118.0</v>
      </c>
      <c r="B120" s="3" t="s">
        <v>121</v>
      </c>
      <c r="C120" s="3" t="str">
        <f>IFERROR(__xludf.DUMMYFUNCTION("GOOGLETRANSLATE(B120,""id"",""en"")"),"['Provider', 'Manep', 'Anyway', 'Network', 'chaotic', 'price', 'expensive', 'according to', 'service', 'easy', 'hopefully', 'bankrupt', ' Ngecewain ',' Doang ']")</f>
        <v>['Provider', 'Manep', 'Anyway', 'Network', 'chaotic', 'price', 'expensive', 'according to', 'service', 'easy', 'hopefully', 'bankrupt', ' Ngecewain ',' Doang ']</v>
      </c>
      <c r="D120" s="3">
        <v>1.0</v>
      </c>
    </row>
    <row r="121" ht="15.75" customHeight="1">
      <c r="A121" s="1">
        <v>119.0</v>
      </c>
      <c r="B121" s="3" t="s">
        <v>122</v>
      </c>
      <c r="C121" s="3" t="str">
        <f>IFERROR(__xludf.DUMMYFUNCTION("GOOGLETRANSLATE(B121,""id"",""en"")"),"['Complain', 'Ticket', 'Served', 'Hanging', 'Ckckck']")</f>
        <v>['Complain', 'Ticket', 'Served', 'Hanging', 'Ckckck']</v>
      </c>
      <c r="D121" s="3">
        <v>1.0</v>
      </c>
    </row>
    <row r="122" ht="15.75" customHeight="1">
      <c r="A122" s="1">
        <v>120.0</v>
      </c>
      <c r="B122" s="3" t="s">
        <v>123</v>
      </c>
      <c r="C122" s="3" t="str">
        <f>IFERROR(__xludf.DUMMYFUNCTION("GOOGLETRANSLATE(B122,""id"",""en"")"),"['star', 'add', 'because', 'comfortable', 'ilang', 'pulse', 'decent', 'star']")</f>
        <v>['star', 'add', 'because', 'comfortable', 'ilang', 'pulse', 'decent', 'star']</v>
      </c>
      <c r="D122" s="3">
        <v>4.0</v>
      </c>
    </row>
    <row r="123" ht="15.75" customHeight="1">
      <c r="A123" s="1">
        <v>121.0</v>
      </c>
      <c r="B123" s="3" t="s">
        <v>124</v>
      </c>
      <c r="C123" s="3" t="str">
        <f>IFERROR(__xludf.DUMMYFUNCTION("GOOGLETRANSLATE(B123,""id"",""en"")"),"['Telkomsel', 'signal', 'ilang', 'stay', 'city', 'signal', 'slalu', 'ugly', 'package', 'internet', 'canal', 'mahalin', ' Pekahhhhh ',' ']")</f>
        <v>['Telkomsel', 'signal', 'ilang', 'stay', 'city', 'signal', 'slalu', 'ugly', 'package', 'internet', 'canal', 'mahalin', ' Pekahhhhh ',' ']</v>
      </c>
      <c r="D123" s="3">
        <v>1.0</v>
      </c>
    </row>
    <row r="124" ht="15.75" customHeight="1">
      <c r="A124" s="1">
        <v>122.0</v>
      </c>
      <c r="B124" s="3" t="s">
        <v>125</v>
      </c>
      <c r="C124" s="3" t="str">
        <f>IFERROR(__xludf.DUMMYFUNCTION("GOOGLETRANSLATE(B124,""id"",""en"")"),"['enter', 'direct', 'application', 'yng', 'wrong', 'improvement', 'version', 'times', '']")</f>
        <v>['enter', 'direct', 'application', 'yng', 'wrong', 'improvement', 'version', 'times', '']</v>
      </c>
      <c r="D124" s="3">
        <v>3.0</v>
      </c>
    </row>
    <row r="125" ht="15.75" customHeight="1">
      <c r="A125" s="1">
        <v>123.0</v>
      </c>
      <c r="B125" s="3" t="s">
        <v>126</v>
      </c>
      <c r="C125" s="3" t="str">
        <f>IFERROR(__xludf.DUMMYFUNCTION("GOOGLETRANSLATE(B125,""id"",""en"")"),"['difficult', 'signal', 'Telkomsel', 'pulse', 'drained', 'notification', 'package', 'emergency', 'claimed', 'failed', 'billed', 'strange']")</f>
        <v>['difficult', 'signal', 'Telkomsel', 'pulse', 'drained', 'notification', 'package', 'emergency', 'claimed', 'failed', 'billed', 'strange']</v>
      </c>
      <c r="D125" s="3">
        <v>3.0</v>
      </c>
    </row>
    <row r="126" ht="15.75" customHeight="1">
      <c r="A126" s="1">
        <v>124.0</v>
      </c>
      <c r="B126" s="3" t="s">
        <v>127</v>
      </c>
      <c r="C126" s="3" t="str">
        <f>IFERROR(__xludf.DUMMYFUNCTION("GOOGLETRANSLATE(B126,""id"",""en"")"),"['Honest', 'Season', 'Udh', 'Bngt', 'Cave', 'Credit', 'Cave', 'Cut', 'Paketan', 'Strange', 'Notification', 'Remnant', ' Paketan ',' Tetep ',' Cut ',' Evil ',' Euy ',' NLPN ',' Credit ',' Adequate ',' UDH ',' Cut ',' Paketan ',' IHH ',' Gedeg ' , 'Bngt', '"&amp;"oath', 'rude', 'pecuma', 'no', 'responded', 'bad', 'euy']")</f>
        <v>['Honest', 'Season', 'Udh', 'Bngt', 'Cave', 'Credit', 'Cave', 'Cut', 'Paketan', 'Strange', 'Notification', 'Remnant', ' Paketan ',' Tetep ',' Cut ',' Evil ',' Euy ',' NLPN ',' Credit ',' Adequate ',' UDH ',' Cut ',' Paketan ',' IHH ',' Gedeg ' , 'Bngt', 'oath', 'rude', 'pecuma', 'no', 'responded', 'bad', 'euy']</v>
      </c>
      <c r="D126" s="3">
        <v>1.0</v>
      </c>
    </row>
    <row r="127" ht="15.75" customHeight="1">
      <c r="A127" s="1">
        <v>125.0</v>
      </c>
      <c r="B127" s="3" t="s">
        <v>128</v>
      </c>
      <c r="C127" s="3" t="str">
        <f>IFERROR(__xludf.DUMMYFUNCTION("GOOGLETRANSLATE(B127,""id"",""en"")"),"['Sousiny', 'effective', 'deh', 'ugly', 'really', 'udh', 'rich', 'signal', 'card', 'cheap', 'cheap', 'gini', ' Gini ',' really ',' please ',' fix ',' times', 'yaa', 'expensive', 'gas',' signal ',' good ',' severe ',' oath ', ""]")</f>
        <v>['Sousiny', 'effective', 'deh', 'ugly', 'really', 'udh', 'rich', 'signal', 'card', 'cheap', 'cheap', 'gini', ' Gini ',' really ',' please ',' fix ',' times', 'yaa', 'expensive', 'gas',' signal ',' good ',' severe ',' oath ', "]</v>
      </c>
      <c r="D127" s="3">
        <v>1.0</v>
      </c>
    </row>
    <row r="128" ht="15.75" customHeight="1">
      <c r="A128" s="1">
        <v>126.0</v>
      </c>
      <c r="B128" s="3" t="s">
        <v>129</v>
      </c>
      <c r="C128" s="3" t="str">
        <f>IFERROR(__xludf.DUMMYFUNCTION("GOOGLETRANSLATE(B128,""id"",""en"")"),"['Package', 'Internet', 'Full', 'Manyakan', 'Package', 'Watch', 'Telkomsel', ""]")</f>
        <v>['Package', 'Internet', 'Full', 'Manyakan', 'Package', 'Watch', 'Telkomsel', "]</v>
      </c>
      <c r="D128" s="3">
        <v>1.0</v>
      </c>
    </row>
    <row r="129" ht="15.75" customHeight="1">
      <c r="A129" s="1">
        <v>127.0</v>
      </c>
      <c r="B129" s="3" t="s">
        <v>130</v>
      </c>
      <c r="C129" s="3" t="str">
        <f>IFERROR(__xludf.DUMMYFUNCTION("GOOGLETRANSLATE(B129,""id"",""en"")"),"['Network', 'rotten', 'according to', 'package', 'expensive', 'pig', '']")</f>
        <v>['Network', 'rotten', 'according to', 'package', 'expensive', 'pig', '']</v>
      </c>
      <c r="D129" s="3">
        <v>1.0</v>
      </c>
    </row>
    <row r="130" ht="15.75" customHeight="1">
      <c r="A130" s="1">
        <v>128.0</v>
      </c>
      <c r="B130" s="3" t="s">
        <v>131</v>
      </c>
      <c r="C130" s="3" t="str">
        <f>IFERROR(__xludf.DUMMYFUNCTION("GOOGLETRANSLATE(B130,""id"",""en"")"),"['Contents', 'credit', 'failed', 'UDH', 'IOTA', 'Times', 'FAILURE', 'Number', 'Talkster']")</f>
        <v>['Contents', 'credit', 'failed', 'UDH', 'IOTA', 'Times', 'FAILURE', 'Number', 'Talkster']</v>
      </c>
      <c r="D130" s="3">
        <v>1.0</v>
      </c>
    </row>
    <row r="131" ht="15.75" customHeight="1">
      <c r="A131" s="1">
        <v>129.0</v>
      </c>
      <c r="B131" s="3" t="s">
        <v>132</v>
      </c>
      <c r="C131" s="3" t="str">
        <f>IFERROR(__xludf.DUMMYFUNCTION("GOOGLETRANSLATE(B131,""id"",""en"")"),"['Bill', 'SLALLU', 'NART', 'Gojek', 'Klu', 'at home', 'Internet', 'Change', 'Telkomsel', 'ngak']")</f>
        <v>['Bill', 'SLALLU', 'NART', 'Gojek', 'Klu', 'at home', 'Internet', 'Change', 'Telkomsel', 'ngak']</v>
      </c>
      <c r="D131" s="3">
        <v>3.0</v>
      </c>
    </row>
    <row r="132" ht="15.75" customHeight="1">
      <c r="A132" s="1">
        <v>130.0</v>
      </c>
      <c r="B132" s="3" t="s">
        <v>133</v>
      </c>
      <c r="C132" s="3" t="str">
        <f>IFERROR(__xludf.DUMMYFUNCTION("GOOGLETRANSLATE(B132,""id"",""en"")"),"['Competitive', 'rivals',' cheap ',' can ',' quota ',' TPI ',' quality ',' network ',' internet you ',' backkkk ',' all ',' already ',' ',' Should ',' Telokomsel ',' owner ',' provider ',' berun ',' Lohh ',' bru ',' mrsa ',' disappointed ']")</f>
        <v>['Competitive', 'rivals',' cheap ',' can ',' quota ',' TPI ',' quality ',' network ',' internet you ',' backkkk ',' all ',' already ',' ',' Should ',' Telokomsel ',' owner ',' provider ',' berun ',' Lohh ',' bru ',' mrsa ',' disappointed ']</v>
      </c>
      <c r="D132" s="3">
        <v>1.0</v>
      </c>
    </row>
    <row r="133" ht="15.75" customHeight="1">
      <c r="A133" s="1">
        <v>131.0</v>
      </c>
      <c r="B133" s="3" t="s">
        <v>134</v>
      </c>
      <c r="C133" s="3" t="str">
        <f>IFERROR(__xludf.DUMMYFUNCTION("GOOGLETRANSLATE(B133,""id"",""en"")"),"['Hello', 'Developer', 'Kayak', 'Update', 'Application', 'Useful', 'Deh', 'Install', 'Android', 'iPhone', 'Enter', 'Alias',' Problematic ']")</f>
        <v>['Hello', 'Developer', 'Kayak', 'Update', 'Application', 'Useful', 'Deh', 'Install', 'Android', 'iPhone', 'Enter', 'Alias',' Problematic ']</v>
      </c>
      <c r="D133" s="3">
        <v>1.0</v>
      </c>
    </row>
    <row r="134" ht="15.75" customHeight="1">
      <c r="A134" s="1">
        <v>132.0</v>
      </c>
      <c r="B134" s="3" t="s">
        <v>135</v>
      </c>
      <c r="C134" s="3" t="str">
        <f>IFERROR(__xludf.DUMMYFUNCTION("GOOGLETRANSLATE(B134,""id"",""en"")"),"['quota', 'stay', 'check', 'quota', 'signal', 'difficult', 'stay', 'stay', 'sub-district', 'gtu', ""]")</f>
        <v>['quota', 'stay', 'check', 'quota', 'signal', 'difficult', 'stay', 'stay', 'sub-district', 'gtu', "]</v>
      </c>
      <c r="D134" s="3">
        <v>3.0</v>
      </c>
    </row>
    <row r="135" ht="15.75" customHeight="1">
      <c r="A135" s="1">
        <v>133.0</v>
      </c>
      <c r="B135" s="3" t="s">
        <v>136</v>
      </c>
      <c r="C135" s="3" t="str">
        <f>IFERROR(__xludf.DUMMYFUNCTION("GOOGLETRANSLATE(B135,""id"",""en"")"),"['likes', 'application', 'makes it easier', 'purchase', 'package', 'data', 'price', 'pretty', 'affordable', 'thank you', 'MyTelkomsel', ""]")</f>
        <v>['likes', 'application', 'makes it easier', 'purchase', 'package', 'data', 'price', 'pretty', 'affordable', 'thank you', 'MyTelkomsel', "]</v>
      </c>
      <c r="D135" s="3">
        <v>5.0</v>
      </c>
    </row>
    <row r="136" ht="15.75" customHeight="1">
      <c r="A136" s="1">
        <v>134.0</v>
      </c>
      <c r="B136" s="3" t="s">
        <v>137</v>
      </c>
      <c r="C136" s="3" t="str">
        <f>IFERROR(__xludf.DUMMYFUNCTION("GOOGLETRANSLATE(B136,""id"",""en"")"),"['Tower', 'Telkomsel', 'collapsed', 'signal', 'mbrebet', 'snail', ""]")</f>
        <v>['Tower', 'Telkomsel', 'collapsed', 'signal', 'mbrebet', 'snail', "]</v>
      </c>
      <c r="D136" s="3">
        <v>1.0</v>
      </c>
    </row>
    <row r="137" ht="15.75" customHeight="1">
      <c r="A137" s="1">
        <v>135.0</v>
      </c>
      <c r="B137" s="3" t="s">
        <v>138</v>
      </c>
      <c r="C137" s="3" t="str">
        <f>IFERROR(__xludf.DUMMYFUNCTION("GOOGLETRANSLATE(B137,""id"",""en"")"),"['Please', 'fix', 'the network', 'ugly', 'really', 'good', 'please', 'fix', 'as soon as possible,' ']")</f>
        <v>['Please', 'fix', 'the network', 'ugly', 'really', 'good', 'please', 'fix', 'as soon as possible,' ']</v>
      </c>
      <c r="D137" s="3">
        <v>1.0</v>
      </c>
    </row>
    <row r="138" ht="15.75" customHeight="1">
      <c r="A138" s="1">
        <v>136.0</v>
      </c>
      <c r="B138" s="3" t="s">
        <v>139</v>
      </c>
      <c r="C138" s="3" t="str">
        <f>IFERROR(__xludf.DUMMYFUNCTION("GOOGLETRANSLATE(B138,""id"",""en"")"),"['signal', 'disappointing', 'price', 'as expensive']")</f>
        <v>['signal', 'disappointing', 'price', 'as expensive']</v>
      </c>
      <c r="D138" s="3">
        <v>1.0</v>
      </c>
    </row>
    <row r="139" ht="15.75" customHeight="1">
      <c r="A139" s="1">
        <v>137.0</v>
      </c>
      <c r="B139" s="3" t="s">
        <v>140</v>
      </c>
      <c r="C139" s="3" t="str">
        <f>IFERROR(__xludf.DUMMYFUNCTION("GOOGLETRANSLATE(B139,""id"",""en"")"),"['Telkomsel', 'owned', 'Indonesia', 'Keep', 'Secrets',' Customer ',' Leave ',' Assets', 'Nation', 'Persons',' Telkomsel ',' Loving ',' Red ',' White ',' NKRI ',' ']")</f>
        <v>['Telkomsel', 'owned', 'Indonesia', 'Keep', 'Secrets',' Customer ',' Leave ',' Assets', 'Nation', 'Persons',' Telkomsel ',' Loving ',' Red ',' White ',' NKRI ',' ']</v>
      </c>
      <c r="D139" s="3">
        <v>5.0</v>
      </c>
    </row>
    <row r="140" ht="15.75" customHeight="1">
      <c r="A140" s="1">
        <v>138.0</v>
      </c>
      <c r="B140" s="3" t="s">
        <v>141</v>
      </c>
      <c r="C140" s="3" t="str">
        <f>IFERROR(__xludf.DUMMYFUNCTION("GOOGLETRANSLATE(B140,""id"",""en"")"),"['Chosen', 'Head', 'Village', 'Berengengses', 'Berengengses', 'Nye', 'Reng', 'Sarayakan', 'People']")</f>
        <v>['Chosen', 'Head', 'Village', 'Berengengses', 'Berengengses', 'Nye', 'Reng', 'Sarayakan', 'People']</v>
      </c>
      <c r="D140" s="3">
        <v>5.0</v>
      </c>
    </row>
    <row r="141" ht="15.75" customHeight="1">
      <c r="A141" s="1">
        <v>139.0</v>
      </c>
      <c r="B141" s="3" t="s">
        <v>142</v>
      </c>
      <c r="C141" s="3" t="str">
        <f>IFERROR(__xludf.DUMMYFUNCTION("GOOGLETRANSLATE(B141,""id"",""en"")"),"['Signal', 'Telkomsel', 'Good', 'Memble', 'ugly', 'Forgiveness', 'Maen', 'Game', 'Current', 'Leg']")</f>
        <v>['Signal', 'Telkomsel', 'Good', 'Memble', 'ugly', 'Forgiveness', 'Maen', 'Game', 'Current', 'Leg']</v>
      </c>
      <c r="D141" s="3">
        <v>1.0</v>
      </c>
    </row>
    <row r="142" ht="15.75" customHeight="1">
      <c r="A142" s="1">
        <v>140.0</v>
      </c>
      <c r="B142" s="3" t="s">
        <v>143</v>
      </c>
      <c r="C142" s="3" t="str">
        <f>IFERROR(__xludf.DUMMYFUNCTION("GOOGLETRANSLATE(B142,""id"",""en"")"),"['Telkomsel', 'Maling', 'Credit', 'User', 'RB', 'ilang', 'Ntah', 'Where', 'Tone', 'Ring', 'Active', 'Stress',' ']")</f>
        <v>['Telkomsel', 'Maling', 'Credit', 'User', 'RB', 'ilang', 'Ntah', 'Where', 'Tone', 'Ring', 'Active', 'Stress',' ']</v>
      </c>
      <c r="D142" s="3">
        <v>1.0</v>
      </c>
    </row>
    <row r="143" ht="15.75" customHeight="1">
      <c r="A143" s="1">
        <v>141.0</v>
      </c>
      <c r="B143" s="3" t="s">
        <v>144</v>
      </c>
      <c r="C143" s="3" t="str">
        <f>IFERROR(__xludf.DUMMYFUNCTION("GOOGLETRANSLATE(B143,""id"",""en"")"),"['Hello', 'Telkomsel', 'fill', 'package', 'GB', 'set', 'user', 'data', 'GB', 'warning', 'use', 'data', ' GB ',' leftover ',' GB ',' leftover ',' GB ',' Telkomsel ', ""]")</f>
        <v>['Hello', 'Telkomsel', 'fill', 'package', 'GB', 'set', 'user', 'data', 'GB', 'warning', 'use', 'data', ' GB ',' leftover ',' GB ',' leftover ',' GB ',' Telkomsel ', "]</v>
      </c>
      <c r="D143" s="3">
        <v>2.0</v>
      </c>
    </row>
    <row r="144" ht="15.75" customHeight="1">
      <c r="A144" s="1">
        <v>142.0</v>
      </c>
      <c r="B144" s="3" t="s">
        <v>145</v>
      </c>
      <c r="C144" s="3" t="str">
        <f>IFERROR(__xludf.DUMMYFUNCTION("GOOGLETRANSLATE(B144,""id"",""en"")"),"['klw', 'package', 'run out', 'auto', 'eat', 'pulse', 'it open', 'second', 'pulse', 'luded', 'disappointed', 'heavy', ' already ',' network ',' ugly ',' ']")</f>
        <v>['klw', 'package', 'run out', 'auto', 'eat', 'pulse', 'it open', 'second', 'pulse', 'luded', 'disappointed', 'heavy', ' already ',' network ',' ugly ',' ']</v>
      </c>
      <c r="D144" s="3">
        <v>1.0</v>
      </c>
    </row>
    <row r="145" ht="15.75" customHeight="1">
      <c r="A145" s="1">
        <v>143.0</v>
      </c>
      <c r="B145" s="3" t="s">
        <v>146</v>
      </c>
      <c r="C145" s="3" t="str">
        <f>IFERROR(__xludf.DUMMYFUNCTION("GOOGLETRANSLATE(B145,""id"",""en"")"),"['update', 'transaction', 'difficult', 'process',' Try ',' trs', 'tetep', 'process',' enter ',' disappointed ',' deliberate ',' star ',' Kebaca ',' Review ']")</f>
        <v>['update', 'transaction', 'difficult', 'process',' Try ',' trs', 'tetep', 'process',' enter ',' disappointed ',' deliberate ',' star ',' Kebaca ',' Review ']</v>
      </c>
      <c r="D145" s="3">
        <v>5.0</v>
      </c>
    </row>
    <row r="146" ht="15.75" customHeight="1">
      <c r="A146" s="1">
        <v>144.0</v>
      </c>
      <c r="B146" s="3" t="s">
        <v>147</v>
      </c>
      <c r="C146" s="3" t="str">
        <f>IFERROR(__xludf.DUMMYFUNCTION("GOOGLETRANSLATE(B146,""id"",""en"")"),"['Please', 'Sinyal', 'Fix', 'Sya', 'User', 'Telkomsel', 'Please', 'Fix', 'LGI', 'Play', 'Game', 'Online', ' In the future ',' ']")</f>
        <v>['Please', 'Sinyal', 'Fix', 'Sya', 'User', 'Telkomsel', 'Please', 'Fix', 'LGI', 'Play', 'Game', 'Online', ' In the future ',' ']</v>
      </c>
      <c r="D146" s="3">
        <v>2.0</v>
      </c>
    </row>
    <row r="147" ht="15.75" customHeight="1">
      <c r="A147" s="1">
        <v>145.0</v>
      </c>
      <c r="B147" s="3" t="s">
        <v>148</v>
      </c>
      <c r="C147" s="3" t="str">
        <f>IFERROR(__xludf.DUMMYFUNCTION("GOOGLETRANSLATE(B147,""id"",""en"")"),"['CAUTION', 'TELKOMSELL', 'Please', 'Package', 'Gamenya', 'Sell', 'Karna', 'Network', 'ugly', 'Buy', 'Package', 'Gamenya', ' The network ',' ugly ',' Diamonya ',' Please ',' sell ',' Customer ',' Disappointed ']")</f>
        <v>['CAUTION', 'TELKOMSELL', 'Please', 'Package', 'Gamenya', 'Sell', 'Karna', 'Network', 'ugly', 'Buy', 'Package', 'Gamenya', ' The network ',' ugly ',' Diamonya ',' Please ',' sell ',' Customer ',' Disappointed ']</v>
      </c>
      <c r="D147" s="3">
        <v>5.0</v>
      </c>
    </row>
    <row r="148" ht="15.75" customHeight="1">
      <c r="A148" s="1">
        <v>146.0</v>
      </c>
      <c r="B148" s="3" t="s">
        <v>149</v>
      </c>
      <c r="C148" s="3" t="str">
        <f>IFERROR(__xludf.DUMMYFUNCTION("GOOGLETRANSLATE(B148,""id"",""en"")"),"['forgotten', 'contents',' pulse ',' week ',' card ',' belongs', 'person', 'feeling', 'grace', 'carried', 'direct', ' Ownership ',' card ',' GraPARI ',' PEAH ',' EMANG ',' ']")</f>
        <v>['forgotten', 'contents',' pulse ',' week ',' card ',' belongs', 'person', 'feeling', 'grace', 'carried', 'direct', ' Ownership ',' card ',' GraPARI ',' PEAH ',' EMANG ',' ']</v>
      </c>
      <c r="D148" s="3">
        <v>1.0</v>
      </c>
    </row>
    <row r="149" ht="15.75" customHeight="1">
      <c r="A149" s="1">
        <v>147.0</v>
      </c>
      <c r="B149" s="3" t="s">
        <v>150</v>
      </c>
      <c r="C149" s="3" t="str">
        <f>IFERROR(__xludf.DUMMYFUNCTION("GOOGLETRANSLATE(B149,""id"",""en"")"),"['Please', 'fix', 'purchase', 'notification', 'system', 'busy']")</f>
        <v>['Please', 'fix', 'purchase', 'notification', 'system', 'busy']</v>
      </c>
      <c r="D149" s="3">
        <v>1.0</v>
      </c>
    </row>
    <row r="150" ht="15.75" customHeight="1">
      <c r="A150" s="1">
        <v>148.0</v>
      </c>
      <c r="B150" s="3" t="s">
        <v>151</v>
      </c>
      <c r="C150" s="3" t="str">
        <f>IFERROR(__xludf.DUMMYFUNCTION("GOOGLETRANSLATE(B150,""id"",""en"")"),"['Love', 'star', 'good', 'given', 'star', 'ntar', 'satisfied', 'hhhe']")</f>
        <v>['Love', 'star', 'good', 'given', 'star', 'ntar', 'satisfied', 'hhhe']</v>
      </c>
      <c r="D150" s="3">
        <v>4.0</v>
      </c>
    </row>
    <row r="151" ht="15.75" customHeight="1">
      <c r="A151" s="1">
        <v>149.0</v>
      </c>
      <c r="B151" s="3" t="s">
        <v>152</v>
      </c>
      <c r="C151" s="3" t="str">
        <f>IFERROR(__xludf.DUMMYFUNCTION("GOOGLETRANSLATE(B151,""id"",""en"")"),"['knp', 'pls',' truncated ',' to ',' package ',' Ayau ',' DFTR ',' APPN ',' card ',' he smelled ',' charred ',' Friends', 'loyal', 'Telkomsel', 'Sometimes',' trif ',' cheap ',' bro ',' expensive ',' apakh ',' policy ',' Telkomsel ']")</f>
        <v>['knp', 'pls',' truncated ',' to ',' package ',' Ayau ',' DFTR ',' APPN ',' card ',' he smelled ',' charred ',' Friends', 'loyal', 'Telkomsel', 'Sometimes',' trif ',' cheap ',' bro ',' expensive ',' apakh ',' policy ',' Telkomsel ']</v>
      </c>
      <c r="D151" s="3">
        <v>2.0</v>
      </c>
    </row>
    <row r="152" ht="15.75" customHeight="1">
      <c r="A152" s="1">
        <v>150.0</v>
      </c>
      <c r="B152" s="3" t="s">
        <v>153</v>
      </c>
      <c r="C152" s="3" t="str">
        <f>IFERROR(__xludf.DUMMYFUNCTION("GOOGLETRANSLATE(B152,""id"",""en"")"),"['buy', 'package', 'failed', 'information', 'balance', 'sufficient', 'strange', 'according to', 'costs',' issued ',' expensive ',' priority ',' System ',' equivalent ',' ']")</f>
        <v>['buy', 'package', 'failed', 'information', 'balance', 'sufficient', 'strange', 'according to', 'costs',' issued ',' expensive ',' priority ',' System ',' equivalent ',' ']</v>
      </c>
      <c r="D152" s="3">
        <v>1.0</v>
      </c>
    </row>
    <row r="153" ht="15.75" customHeight="1">
      <c r="A153" s="1">
        <v>151.0</v>
      </c>
      <c r="B153" s="3" t="s">
        <v>154</v>
      </c>
      <c r="C153" s="3" t="str">
        <f>IFERROR(__xludf.DUMMYFUNCTION("GOOGLETRANSLATE(B153,""id"",""en"")"),"['disappointed', 'package', 'internet', 'expensive', 'apk', 'package', 'omg', 'already', 'try', 'fix']")</f>
        <v>['disappointed', 'package', 'internet', 'expensive', 'apk', 'package', 'omg', 'already', 'try', 'fix']</v>
      </c>
      <c r="D153" s="3">
        <v>1.0</v>
      </c>
    </row>
    <row r="154" ht="15.75" customHeight="1">
      <c r="A154" s="1">
        <v>152.0</v>
      </c>
      <c r="B154" s="3" t="s">
        <v>155</v>
      </c>
      <c r="C154" s="3" t="str">
        <f>IFERROR(__xludf.DUMMYFUNCTION("GOOGLETRANSLATE(B154,""id"",""en"")"),"['quota', 'unilimited', 'multimedia', 'game', 'slow', 'asw', 'ajg', 'loading', 'terooooosss', 'ampe', 'mampus']")</f>
        <v>['quota', 'unilimited', 'multimedia', 'game', 'slow', 'asw', 'ajg', 'loading', 'terooooosss', 'ampe', 'mampus']</v>
      </c>
      <c r="D154" s="3">
        <v>1.0</v>
      </c>
    </row>
    <row r="155" ht="15.75" customHeight="1">
      <c r="A155" s="1">
        <v>153.0</v>
      </c>
      <c r="B155" s="3" t="s">
        <v>156</v>
      </c>
      <c r="C155" s="3" t="str">
        <f>IFERROR(__xludf.DUMMYFUNCTION("GOOGLETRANSLATE(B155,""id"",""en"")"),"['Package', 'times', 'purchase', 'detrimental', 'Wear', 'Wrong', 'Packed', 'Combine', 'Quota', 'Main', ""]")</f>
        <v>['Package', 'times', 'purchase', 'detrimental', 'Wear', 'Wrong', 'Packed', 'Combine', 'Quota', 'Main', "]</v>
      </c>
      <c r="D155" s="3">
        <v>1.0</v>
      </c>
    </row>
    <row r="156" ht="15.75" customHeight="1">
      <c r="A156" s="1">
        <v>154.0</v>
      </c>
      <c r="B156" s="3" t="s">
        <v>157</v>
      </c>
      <c r="C156" s="3" t="str">
        <f>IFERROR(__xludf.DUMMYFUNCTION("GOOGLETRANSLATE(B156,""id"",""en"")"),"['Just', 'suggestion', 'quota', 'unlimited', 'speed', 'sesuay', 'rates',' week ',' speed ',' kb ',' atw ',' thousand ',' Speed ​​',' KB ',' Rich ',' Provider ',' Sono ', ""]")</f>
        <v>['Just', 'suggestion', 'quota', 'unlimited', 'speed', 'sesuay', 'rates',' week ',' speed ',' kb ',' atw ',' thousand ',' Speed ​​',' KB ',' Rich ',' Provider ',' Sono ', "]</v>
      </c>
      <c r="D156" s="3">
        <v>5.0</v>
      </c>
    </row>
    <row r="157" ht="15.75" customHeight="1">
      <c r="A157" s="1">
        <v>155.0</v>
      </c>
      <c r="B157" s="3" t="s">
        <v>158</v>
      </c>
      <c r="C157" s="3" t="str">
        <f>IFERROR(__xludf.DUMMYFUNCTION("GOOGLETRANSLATE(B157,""id"",""en"")"),"['bad', 'application', 'ohh', 'yes',' point ',' Telkomsel ',' mending ',' remove ',' customer ',' tukerin ',' promo ',' expensive ',' The price ',' Mending ',' Gausah ',' Points', ""]")</f>
        <v>['bad', 'application', 'ohh', 'yes',' point ',' Telkomsel ',' mending ',' remove ',' customer ',' tukerin ',' promo ',' expensive ',' The price ',' Mending ',' Gausah ',' Points', "]</v>
      </c>
      <c r="D157" s="3">
        <v>1.0</v>
      </c>
    </row>
    <row r="158" ht="15.75" customHeight="1">
      <c r="A158" s="1">
        <v>156.0</v>
      </c>
      <c r="B158" s="3" t="s">
        <v>159</v>
      </c>
      <c r="C158" s="3" t="str">
        <f>IFERROR(__xludf.DUMMYFUNCTION("GOOGLETRANSLATE(B158,""id"",""en"")"),"['The meaning', 'Abis',' Update ',' Kaga ',' Login ',' Tar ',' Alesan ',' Hub ',' Call ',' Call ',' Telkomsel ',' ']")</f>
        <v>['The meaning', 'Abis',' Update ',' Kaga ',' Login ',' Tar ',' Alesan ',' Hub ',' Call ',' Call ',' Telkomsel ',' ']</v>
      </c>
      <c r="D158" s="3">
        <v>1.0</v>
      </c>
    </row>
    <row r="159" ht="15.75" customHeight="1">
      <c r="A159" s="1">
        <v>157.0</v>
      </c>
      <c r="B159" s="3" t="s">
        <v>160</v>
      </c>
      <c r="C159" s="3" t="str">
        <f>IFERROR(__xludf.DUMMYFUNCTION("GOOGLETRANSLATE(B159,""id"",""en"")"),"['Good', 'pakek', 'really', 'already', 'good', '']")</f>
        <v>['Good', 'pakek', 'really', 'already', 'good', '']</v>
      </c>
      <c r="D159" s="3">
        <v>5.0</v>
      </c>
    </row>
    <row r="160" ht="15.75" customHeight="1">
      <c r="A160" s="1">
        <v>158.0</v>
      </c>
      <c r="B160" s="3" t="s">
        <v>161</v>
      </c>
      <c r="C160" s="3" t="str">
        <f>IFERROR(__xludf.DUMMYFUNCTION("GOOGLETRANSLATE(B160,""id"",""en"")"),"['parahhhh', 'Telkomsel', 'signal', 'email', 'catt', 'application', 'Telkomsel', 'nybung', 'rg', 'ask', 'parahhhh', ""]")</f>
        <v>['parahhhh', 'Telkomsel', 'signal', 'email', 'catt', 'application', 'Telkomsel', 'nybung', 'rg', 'ask', 'parahhhh', "]</v>
      </c>
      <c r="D160" s="3">
        <v>1.0</v>
      </c>
    </row>
    <row r="161" ht="15.75" customHeight="1">
      <c r="A161" s="1">
        <v>159.0</v>
      </c>
      <c r="B161" s="3" t="s">
        <v>162</v>
      </c>
      <c r="C161" s="3" t="str">
        <f>IFERROR(__xludf.DUMMYFUNCTION("GOOGLETRANSLATE(B161,""id"",""en"")"),"['Please', 'Provider', 'Service', 'Telkomsel', 'Region', 'Country', 'Inner', 'Regency', 'Way', 'Right', 'Lampung', 'already', ' signal ',' update ',' hard ',' forgiveness']")</f>
        <v>['Please', 'Provider', 'Service', 'Telkomsel', 'Region', 'Country', 'Inner', 'Regency', 'Way', 'Right', 'Lampung', 'already', ' signal ',' update ',' hard ',' forgiveness']</v>
      </c>
      <c r="D161" s="3">
        <v>1.0</v>
      </c>
    </row>
    <row r="162" ht="15.75" customHeight="1">
      <c r="A162" s="1">
        <v>160.0</v>
      </c>
      <c r="B162" s="3" t="s">
        <v>163</v>
      </c>
      <c r="C162" s="3" t="str">
        <f>IFERROR(__xludf.DUMMYFUNCTION("GOOGLETRANSLATE(B162,""id"",""en"")"),"['Telkomsel', 'knapa', 'slow', 'just', 'doang', 'slow', 'a week', 'tetep', 'repair', 'quality', 'network', 'woi', ' Love ',' Bintang ',' Disappointed ']")</f>
        <v>['Telkomsel', 'knapa', 'slow', 'just', 'doang', 'slow', 'a week', 'tetep', 'repair', 'quality', 'network', 'woi', ' Love ',' Bintang ',' Disappointed ']</v>
      </c>
      <c r="D162" s="3">
        <v>2.0</v>
      </c>
    </row>
    <row r="163" ht="15.75" customHeight="1">
      <c r="A163" s="1">
        <v>161.0</v>
      </c>
      <c r="B163" s="3" t="s">
        <v>164</v>
      </c>
      <c r="C163" s="3" t="str">
        <f>IFERROR(__xludf.DUMMYFUNCTION("GOOGLETRANSLATE(B163,""id"",""en"")"),"['Sis', 'credit', 'ilang', 'pdhl', 'contents', 'pulse', 'please', 'help', 'kak', 'times', 'Please', 'help']")</f>
        <v>['Sis', 'credit', 'ilang', 'pdhl', 'contents', 'pulse', 'please', 'help', 'kak', 'times', 'Please', 'help']</v>
      </c>
      <c r="D163" s="3">
        <v>2.0</v>
      </c>
    </row>
    <row r="164" ht="15.75" customHeight="1">
      <c r="A164" s="1">
        <v>162.0</v>
      </c>
      <c r="B164" s="3" t="s">
        <v>165</v>
      </c>
      <c r="C164" s="3" t="str">
        <f>IFERROR(__xludf.DUMMYFUNCTION("GOOGLETRANSLATE(B164,""id"",""en"")"),"['Paketan', 'number', 'expensive', 'customer', 'no', 'Benefit', 'AKTIP', 'card', 'yrs',' package ',' expensive ',' rather than ',' Internet ',' Broadband ']")</f>
        <v>['Paketan', 'number', 'expensive', 'customer', 'no', 'Benefit', 'AKTIP', 'card', 'yrs',' package ',' expensive ',' rather than ',' Internet ',' Broadband ']</v>
      </c>
      <c r="D164" s="3">
        <v>2.0</v>
      </c>
    </row>
    <row r="165" ht="15.75" customHeight="1">
      <c r="A165" s="1">
        <v>163.0</v>
      </c>
      <c r="B165" s="3" t="s">
        <v>166</v>
      </c>
      <c r="C165" s="3" t="str">
        <f>IFERROR(__xludf.DUMMYFUNCTION("GOOGLETRANSLATE(B165,""id"",""en"")"),"['application', 'supports', 'device', 'Oppo', 'buy', 'package', 'internet', 'opened', 'App', 'knp', ""]")</f>
        <v>['application', 'supports', 'device', 'Oppo', 'buy', 'package', 'internet', 'opened', 'App', 'knp', "]</v>
      </c>
      <c r="D165" s="3">
        <v>4.0</v>
      </c>
    </row>
    <row r="166" ht="15.75" customHeight="1">
      <c r="A166" s="1">
        <v>164.0</v>
      </c>
      <c r="B166" s="3" t="s">
        <v>167</v>
      </c>
      <c r="C166" s="3" t="str">
        <f>IFERROR(__xludf.DUMMYFUNCTION("GOOGLETRANSLATE(B166,""id"",""en"")"),"['faithful', 'expensive', 'price', 'package', 'moved', 'operator', '']")</f>
        <v>['faithful', 'expensive', 'price', 'package', 'moved', 'operator', '']</v>
      </c>
      <c r="D166" s="3">
        <v>2.0</v>
      </c>
    </row>
    <row r="167" ht="15.75" customHeight="1">
      <c r="A167" s="1">
        <v>165.0</v>
      </c>
      <c r="B167" s="3" t="s">
        <v>168</v>
      </c>
      <c r="C167" s="3" t="str">
        <f>IFERROR(__xludf.DUMMYFUNCTION("GOOGLETRANSLATE(B167,""id"",""en"")"),"['Alhamdulillah', 'The network', 'variant', 'package', 'compete', 'provider', 'Tetep', 'Select', 'Telkomsel', ""]")</f>
        <v>['Alhamdulillah', 'The network', 'variant', 'package', 'compete', 'provider', 'Tetep', 'Select', 'Telkomsel', "]</v>
      </c>
      <c r="D167" s="3">
        <v>5.0</v>
      </c>
    </row>
    <row r="168" ht="15.75" customHeight="1">
      <c r="A168" s="1">
        <v>166.0</v>
      </c>
      <c r="B168" s="3" t="s">
        <v>169</v>
      </c>
      <c r="C168" s="3" t="str">
        <f>IFERROR(__xludf.DUMMYFUNCTION("GOOGLETRANSLATE(B168,""id"",""en"")"),"['please', 'open', 'the application', 'data', 'right', 'money', 'buy', 'package', 'expensive']")</f>
        <v>['please', 'open', 'the application', 'data', 'right', 'money', 'buy', 'package', 'expensive']</v>
      </c>
      <c r="D168" s="3">
        <v>4.0</v>
      </c>
    </row>
    <row r="169" ht="15.75" customHeight="1">
      <c r="A169" s="1">
        <v>167.0</v>
      </c>
      <c r="B169" s="3" t="s">
        <v>170</v>
      </c>
      <c r="C169" s="3" t="str">
        <f>IFERROR(__xludf.DUMMYFUNCTION("GOOGLETRANSLATE(B169,""id"",""en"")"),"['Walahhh', 'Login', 'Muterr', 'Muterr', 'Mulu', 'What', 'Application', 'Telkomsel', 'Love', 'Suggestion', ""]")</f>
        <v>['Walahhh', 'Login', 'Muterr', 'Muterr', 'Mulu', 'What', 'Application', 'Telkomsel', 'Love', 'Suggestion', "]</v>
      </c>
      <c r="D169" s="3">
        <v>1.0</v>
      </c>
    </row>
    <row r="170" ht="15.75" customHeight="1">
      <c r="A170" s="1">
        <v>168.0</v>
      </c>
      <c r="B170" s="3" t="s">
        <v>171</v>
      </c>
      <c r="C170" s="3" t="str">
        <f>IFERROR(__xludf.DUMMYFUNCTION("GOOGLETRANSLATE(B170,""id"",""en"")"),"['signal', 'stable', 'telephone', 'use', 'application', 'then', 'trusan', 'connect', 'streaming', 'slow', 'signal', 'stable', ' Sorry ',' Telkomsel ',' please ',' fix ']")</f>
        <v>['signal', 'stable', 'telephone', 'use', 'application', 'then', 'trusan', 'connect', 'streaming', 'slow', 'signal', 'stable', ' Sorry ',' Telkomsel ',' please ',' fix ']</v>
      </c>
      <c r="D170" s="3">
        <v>2.0</v>
      </c>
    </row>
    <row r="171" ht="15.75" customHeight="1">
      <c r="A171" s="1">
        <v>169.0</v>
      </c>
      <c r="B171" s="3" t="s">
        <v>172</v>
      </c>
      <c r="C171" s="3" t="str">
        <f>IFERROR(__xludf.DUMMYFUNCTION("GOOGLETRANSLATE(B171,""id"",""en"")"),"['correction', 'signal', 'Telkomsel', 'difficult', 'slow', 'aaaahhhhhhat', 'please', 'ente', 'authorized', 'telkom', 'please', 'repair', ' ']")</f>
        <v>['correction', 'signal', 'Telkomsel', 'difficult', 'slow', 'aaaahhhhhhat', 'please', 'ente', 'authorized', 'telkom', 'please', 'repair', ' ']</v>
      </c>
      <c r="D171" s="3">
        <v>5.0</v>
      </c>
    </row>
    <row r="172" ht="15.75" customHeight="1">
      <c r="A172" s="1">
        <v>170.0</v>
      </c>
      <c r="B172" s="3" t="s">
        <v>173</v>
      </c>
      <c r="C172" s="3" t="str">
        <f>IFERROR(__xludf.DUMMYFUNCTION("GOOGLETRANSLATE(B172,""id"",""en"")"),"['Credit', 'cut', 'borrow', 'package', 'Telkomsel', 'activation', 'card', 'why', 'admin', 'annoyed', 'pulse', 'cut', ' whatever']")</f>
        <v>['Credit', 'cut', 'borrow', 'package', 'Telkomsel', 'activation', 'card', 'why', 'admin', 'annoyed', 'pulse', 'cut', ' whatever']</v>
      </c>
      <c r="D172" s="3">
        <v>2.0</v>
      </c>
    </row>
    <row r="173" ht="15.75" customHeight="1">
      <c r="A173" s="1">
        <v>171.0</v>
      </c>
      <c r="B173" s="3" t="s">
        <v>174</v>
      </c>
      <c r="C173" s="3" t="str">
        <f>IFERROR(__xludf.DUMMYFUNCTION("GOOGLETRANSLATE(B173,""id"",""en"")"),"['buy', 'pulse', 'APK', 'pulses',' already ',' enter ',' right ',' buy ',' package ',' Disney ',' pulse ',' lost ',' thousand ',' please ',' Telkomsel ',' please ',' return ',' pulses', '']")</f>
        <v>['buy', 'pulse', 'APK', 'pulses',' already ',' enter ',' right ',' buy ',' package ',' Disney ',' pulse ',' lost ',' thousand ',' please ',' Telkomsel ',' please ',' return ',' pulses', '']</v>
      </c>
      <c r="D173" s="3">
        <v>2.0</v>
      </c>
    </row>
    <row r="174" ht="15.75" customHeight="1">
      <c r="A174" s="1">
        <v>172.0</v>
      </c>
      <c r="B174" s="3" t="s">
        <v>175</v>
      </c>
      <c r="C174" s="3" t="str">
        <f>IFERROR(__xludf.DUMMYFUNCTION("GOOGLETRANSLATE(B174,""id"",""en"")"),"['promo', 'fake', 'right', 'opened', 'promo', 'available', 'package', 'internet', 'expensive', 'promo', 'kombo', 'magic', ' Stayed ',' GB ',' complain ',' GraPARI ',' Help ',' Karna ',' number ',' number ',' Registered ',' office ',' already ',' replaced "&amp;"',' admin ' , 'Telkomsel', 'Please', 'Restore', 'Promo', 'Kombo', 'Sakti', 'GB', 'Thank you']")</f>
        <v>['promo', 'fake', 'right', 'opened', 'promo', 'available', 'package', 'internet', 'expensive', 'promo', 'kombo', 'magic', ' Stayed ',' GB ',' complain ',' GraPARI ',' Help ',' Karna ',' number ',' number ',' Registered ',' office ',' already ',' replaced ',' admin ' , 'Telkomsel', 'Please', 'Restore', 'Promo', 'Kombo', 'Sakti', 'GB', 'Thank you']</v>
      </c>
      <c r="D174" s="3">
        <v>3.0</v>
      </c>
    </row>
    <row r="175" ht="15.75" customHeight="1">
      <c r="A175" s="1">
        <v>173.0</v>
      </c>
      <c r="B175" s="3" t="s">
        <v>176</v>
      </c>
      <c r="C175" s="3" t="str">
        <f>IFERROR(__xludf.DUMMYFUNCTION("GOOGLETRANSLATE(B175,""id"",""en"")"),"['', 'supports',' network ',' address', 'signal', 'speed', 'network', 'good', 'bad', 'distance', 'BTS', 'distance', 'km ',' Pekon ',' Source ',' Bandung ',' Subdistrict ',' Pagelaran ',' North ',' Regency ',' Pringsewu ',' Province ',' Lampung ',' Telkoms"&amp;"el ',' fix ', 'Network', 'Gadang', 'Gadang', 'Signal', 'Leet', '']")</f>
        <v>['', 'supports',' network ',' address', 'signal', 'speed', 'network', 'good', 'bad', 'distance', 'BTS', 'distance', 'km ',' Pekon ',' Source ',' Bandung ',' Subdistrict ',' Pagelaran ',' North ',' Regency ',' Pringsewu ',' Province ',' Lampung ',' Telkomsel ',' fix ', 'Network', 'Gadang', 'Gadang', 'Signal', 'Leet', '']</v>
      </c>
      <c r="D175" s="3">
        <v>1.0</v>
      </c>
    </row>
    <row r="176" ht="15.75" customHeight="1">
      <c r="A176" s="1">
        <v>174.0</v>
      </c>
      <c r="B176" s="3" t="s">
        <v>177</v>
      </c>
      <c r="C176" s="3" t="str">
        <f>IFERROR(__xludf.DUMMYFUNCTION("GOOGLETRANSLATE(B176,""id"",""en"")"),"['package', 'doang', 'cheap', 'stabilan', 'signal', 'kaga', 'need', 'stabilan', 'speed', 'idiot', 'you', 'devil', ' Mamak ',' You ',' Dajjal ',' application ',' ugly ',' really ',' oath ',' application ',' ugly ',' really ', ""]")</f>
        <v>['package', 'doang', 'cheap', 'stabilan', 'signal', 'kaga', 'need', 'stabilan', 'speed', 'idiot', 'you', 'devil', ' Mamak ',' You ',' Dajjal ',' application ',' ugly ',' really ',' oath ',' application ',' ugly ',' really ', "]</v>
      </c>
      <c r="D176" s="3">
        <v>1.0</v>
      </c>
    </row>
    <row r="177" ht="15.75" customHeight="1">
      <c r="A177" s="1">
        <v>175.0</v>
      </c>
      <c r="B177" s="3" t="s">
        <v>178</v>
      </c>
      <c r="C177" s="3" t="str">
        <f>IFERROR(__xludf.DUMMYFUNCTION("GOOGLETRANSLATE(B177,""id"",""en"")"),"['application', 'appears',' notification ',' promo ',' promo ',' package ',' internet ',' cheap ',' right ',' open ',' promo ',' available ',' How ',' means', 'package', 'Available', 'price', 'right', 'buy', 'Hadehhhhhhhh', ""]")</f>
        <v>['application', 'appears',' notification ',' promo ',' promo ',' package ',' internet ',' cheap ',' right ',' open ',' promo ',' available ',' How ',' means', 'package', 'Available', 'price', 'right', 'buy', 'Hadehhhhhhhh', "]</v>
      </c>
      <c r="D177" s="3">
        <v>1.0</v>
      </c>
    </row>
    <row r="178" ht="15.75" customHeight="1">
      <c r="A178" s="1">
        <v>176.0</v>
      </c>
      <c r="B178" s="3" t="s">
        <v>179</v>
      </c>
      <c r="C178" s="3" t="str">
        <f>IFERROR(__xludf.DUMMYFUNCTION("GOOGLETRANSLATE(B178,""id"",""en"")"),"['buy', 'package', 'active', 'cut', 'already', 'that's', 'network', 'pending', 'mulu']")</f>
        <v>['buy', 'package', 'active', 'cut', 'already', 'that's', 'network', 'pending', 'mulu']</v>
      </c>
      <c r="D178" s="3">
        <v>1.0</v>
      </c>
    </row>
    <row r="179" ht="15.75" customHeight="1">
      <c r="A179" s="1">
        <v>177.0</v>
      </c>
      <c r="B179" s="3" t="s">
        <v>180</v>
      </c>
      <c r="C179" s="3" t="str">
        <f>IFERROR(__xludf.DUMMYFUNCTION("GOOGLETRANSLATE(B179,""id"",""en"")"),"['Install', 'enter', 'account', 'completed', 'told', 'verification', 'via', 'SMS', 'sent', 'SMS', 'Males',' auto ',' Uninstall ',' ']")</f>
        <v>['Install', 'enter', 'account', 'completed', 'told', 'verification', 'via', 'SMS', 'sent', 'SMS', 'Males',' auto ',' Uninstall ',' ']</v>
      </c>
      <c r="D179" s="3">
        <v>3.0</v>
      </c>
    </row>
    <row r="180" ht="15.75" customHeight="1">
      <c r="A180" s="1">
        <v>178.0</v>
      </c>
      <c r="B180" s="3" t="s">
        <v>181</v>
      </c>
      <c r="C180" s="3" t="str">
        <f>IFERROR(__xludf.DUMMYFUNCTION("GOOGLETRANSLATE(B180,""id"",""en"")"),"['application', 'good', 'help', 'makes it easy', 'customers', 'Telkomsel', 'thank', 'love']")</f>
        <v>['application', 'good', 'help', 'makes it easy', 'customers', 'Telkomsel', 'thank', 'love']</v>
      </c>
      <c r="D180" s="3">
        <v>5.0</v>
      </c>
    </row>
    <row r="181" ht="15.75" customHeight="1">
      <c r="A181" s="1">
        <v>179.0</v>
      </c>
      <c r="B181" s="3" t="s">
        <v>182</v>
      </c>
      <c r="C181" s="3" t="str">
        <f>IFERROR(__xludf.DUMMYFUNCTION("GOOGLETRANSLATE(B181,""id"",""en"")"),"['application', 'slow', 'displays',' menu ',' detail ',' description ',' disorder ',' system ',' please ',' fix ',' optimize ',' application ',' Drain ',' Data ',' Internet ',' Open ',' Application ',' Connection ',' Forced ',' Reach ',' Speed ​​',' KB ',"&amp;"' Application ',' Lamban ',' Responding ' , 'Loading', 'price', 'quota', 'expensive', 'quality', 'cheap', '']")</f>
        <v>['application', 'slow', 'displays',' menu ',' detail ',' description ',' disorder ',' system ',' please ',' fix ',' optimize ',' application ',' Drain ',' Data ',' Internet ',' Open ',' Application ',' Connection ',' Forced ',' Reach ',' Speed ​​',' KB ',' Application ',' Lamban ',' Responding ' , 'Loading', 'price', 'quota', 'expensive', 'quality', 'cheap', '']</v>
      </c>
      <c r="D181" s="3">
        <v>2.0</v>
      </c>
    </row>
    <row r="182" ht="15.75" customHeight="1">
      <c r="A182" s="1">
        <v>180.0</v>
      </c>
      <c r="B182" s="3" t="s">
        <v>183</v>
      </c>
      <c r="C182" s="3" t="str">
        <f>IFERROR(__xludf.DUMMYFUNCTION("GOOGLETRANSLATE(B182,""id"",""en"")"),"['chaotic', 'here', 'signal', 'severe', 'plus',' package ',' abis', 'cleared', 'pulse', 'regular', 'as bad as',' sympathy ',' skrng ',' next ',' package ',' provider ',' times', '']")</f>
        <v>['chaotic', 'here', 'signal', 'severe', 'plus',' package ',' abis', 'cleared', 'pulse', 'regular', 'as bad as',' sympathy ',' skrng ',' next ',' package ',' provider ',' times', '']</v>
      </c>
      <c r="D182" s="3">
        <v>1.0</v>
      </c>
    </row>
    <row r="183" ht="15.75" customHeight="1">
      <c r="A183" s="1">
        <v>181.0</v>
      </c>
      <c r="B183" s="3" t="s">
        <v>184</v>
      </c>
      <c r="C183" s="3" t="str">
        <f>IFERROR(__xludf.DUMMYFUNCTION("GOOGLETRANSLATE(B183,""id"",""en"")"),"['Telkomsel', 'application', 'Telkomsel', 'difficult', 'open', 'need', 'signal', 'as strong']")</f>
        <v>['Telkomsel', 'application', 'Telkomsel', 'difficult', 'open', 'need', 'signal', 'as strong']</v>
      </c>
      <c r="D183" s="3">
        <v>1.0</v>
      </c>
    </row>
    <row r="184" ht="15.75" customHeight="1">
      <c r="A184" s="1">
        <v>182.0</v>
      </c>
      <c r="B184" s="3" t="s">
        <v>185</v>
      </c>
      <c r="C184" s="3" t="str">
        <f>IFERROR(__xludf.DUMMYFUNCTION("GOOGLETRANSLATE(B184,""id"",""en"")"),"['application', 'good', 'package', 'cheap', 'user', 'use', 'learn', 'online']")</f>
        <v>['application', 'good', 'package', 'cheap', 'user', 'use', 'learn', 'online']</v>
      </c>
      <c r="D184" s="3">
        <v>3.0</v>
      </c>
    </row>
    <row r="185" ht="15.75" customHeight="1">
      <c r="A185" s="1">
        <v>183.0</v>
      </c>
      <c r="B185" s="3" t="s">
        <v>186</v>
      </c>
      <c r="C185" s="3" t="str">
        <f>IFERROR(__xludf.DUMMYFUNCTION("GOOGLETRANSLATE(B185,""id"",""en"")"),"['Open', 'APK', 'Mytsel', 'Download', 'Data', 'Game', 'BKN', 'Just', 'KB', 'Sampe', 'MB', 'Open', ' Buy ',' Data ',' GB ',' Open ',' APK ',' Out ',' Package ',' Data ',' Maen ',' APK ', ""]")</f>
        <v>['Open', 'APK', 'Mytsel', 'Download', 'Data', 'Game', 'BKN', 'Just', 'KB', 'Sampe', 'MB', 'Open', ' Buy ',' Data ',' GB ',' Open ',' APK ',' Out ',' Package ',' Data ',' Maen ',' APK ', "]</v>
      </c>
      <c r="D185" s="3">
        <v>3.0</v>
      </c>
    </row>
    <row r="186" ht="15.75" customHeight="1">
      <c r="A186" s="1">
        <v>184.0</v>
      </c>
      <c r="B186" s="3" t="s">
        <v>187</v>
      </c>
      <c r="C186" s="3" t="str">
        <f>IFERROR(__xludf.DUMMYFUNCTION("GOOGLETRANSLATE(B186,""id"",""en"")"),"['Hello', 'min', 'please', 'help', 'package', 'multimedia', 'open', 'zoom', 'tolon', 'help', 'min', '']")</f>
        <v>['Hello', 'min', 'please', 'help', 'package', 'multimedia', 'open', 'zoom', 'tolon', 'help', 'min', '']</v>
      </c>
      <c r="D186" s="3">
        <v>2.0</v>
      </c>
    </row>
    <row r="187" ht="15.75" customHeight="1">
      <c r="A187" s="1">
        <v>185.0</v>
      </c>
      <c r="B187" s="3" t="s">
        <v>188</v>
      </c>
      <c r="C187" s="3" t="str">
        <f>IFERROR(__xludf.DUMMYFUNCTION("GOOGLETRANSLATE(B187,""id"",""en"")"),"['Telkomsel', 'pulses', 'leftover', 'quota', 'come on', 'pulse', 'school', 'online', 'napa', 'sumps', 'cry', 'really' pulses', 'missing', 'basically', 'replace']")</f>
        <v>['Telkomsel', 'pulses', 'leftover', 'quota', 'come on', 'pulse', 'school', 'online', 'napa', 'sumps', 'cry', 'really' pulses', 'missing', 'basically', 'replace']</v>
      </c>
      <c r="D187" s="3">
        <v>1.0</v>
      </c>
    </row>
    <row r="188" ht="15.75" customHeight="1">
      <c r="A188" s="1">
        <v>186.0</v>
      </c>
      <c r="B188" s="3" t="s">
        <v>189</v>
      </c>
      <c r="C188" s="3" t="str">
        <f>IFERROR(__xludf.DUMMYFUNCTION("GOOGLETRANSLATE(B188,""id"",""en"")"),"['woi', 'paketan', 'cave', 'already', 'waiting', 'beraman', 'divline', 'how', 'slow', 'response', 'his bot', 'please', ' fast ',' little ',' ngirma ',' task ', ""]")</f>
        <v>['woi', 'paketan', 'cave', 'already', 'waiting', 'beraman', 'divline', 'how', 'slow', 'response', 'his bot', 'please', ' fast ',' little ',' ngirma ',' task ', "]</v>
      </c>
      <c r="D188" s="3">
        <v>1.0</v>
      </c>
    </row>
    <row r="189" ht="15.75" customHeight="1">
      <c r="A189" s="1">
        <v>187.0</v>
      </c>
      <c r="B189" s="3" t="s">
        <v>190</v>
      </c>
      <c r="C189" s="3" t="str">
        <f>IFERROR(__xludf.DUMMYFUNCTION("GOOGLETRANSLATE(B189,""id"",""en"")"),"['Sorry', 'Telkomsel', 'Bintang', 'Signal', 'Jln', 'Abdurrahman', 'Saleh', 'City', 'Jambi', 'Bad', 'Very', 'Internet', ' Center ',' City ',' Jambi ',' Thank you ']")</f>
        <v>['Sorry', 'Telkomsel', 'Bintang', 'Signal', 'Jln', 'Abdurrahman', 'Saleh', 'City', 'Jambi', 'Bad', 'Very', 'Internet', ' Center ',' City ',' Jambi ',' Thank you ']</v>
      </c>
      <c r="D189" s="3">
        <v>1.0</v>
      </c>
    </row>
    <row r="190" ht="15.75" customHeight="1">
      <c r="A190" s="1">
        <v>188.0</v>
      </c>
      <c r="B190" s="3" t="s">
        <v>191</v>
      </c>
      <c r="C190" s="3" t="str">
        <f>IFERROR(__xludf.DUMMYFUNCTION("GOOGLETRANSLATE(B190,""id"",""en"")"),"['Network', 'Telkomsel', 'Good', 'Examination', 'Network', 'Telkomsel', '']")</f>
        <v>['Network', 'Telkomsel', 'Good', 'Examination', 'Network', 'Telkomsel', '']</v>
      </c>
      <c r="D190" s="3">
        <v>2.0</v>
      </c>
    </row>
    <row r="191" ht="15.75" customHeight="1">
      <c r="A191" s="1">
        <v>189.0</v>
      </c>
      <c r="B191" s="3" t="s">
        <v>192</v>
      </c>
      <c r="C191" s="3" t="str">
        <f>IFERROR(__xludf.DUMMYFUNCTION("GOOGLETRANSLATE(B191,""id"",""en"")"),"['slow', 'price', 'exorbitant', 'comfort', 'consumer', 'package', 'multimedia', 'nge', 'zoom', 'tetep', 'jammed', 'jammed', ' buy ',' package ',' main ',' mulitmedian ',' leftover ',' mubazir ',' ajg ']")</f>
        <v>['slow', 'price', 'exorbitant', 'comfort', 'consumer', 'package', 'multimedia', 'nge', 'zoom', 'tetep', 'jammed', 'jammed', ' buy ',' package ',' main ',' mulitmedian ',' leftover ',' mubazir ',' ajg ']</v>
      </c>
      <c r="D191" s="3">
        <v>1.0</v>
      </c>
    </row>
    <row r="192" ht="15.75" customHeight="1">
      <c r="A192" s="1">
        <v>190.0</v>
      </c>
      <c r="B192" s="3" t="s">
        <v>193</v>
      </c>
      <c r="C192" s="3" t="str">
        <f>IFERROR(__xludf.DUMMYFUNCTION("GOOGLETRANSLATE(B192,""id"",""en"")"),"['', 'network', 'level', 'package', 'expensive', 'service', 'rich', 'garbage', ""]")</f>
        <v>['', 'network', 'level', 'package', 'expensive', 'service', 'rich', 'garbage', "]</v>
      </c>
      <c r="D192" s="3">
        <v>1.0</v>
      </c>
    </row>
    <row r="193" ht="15.75" customHeight="1">
      <c r="A193" s="1">
        <v>191.0</v>
      </c>
      <c r="B193" s="3" t="s">
        <v>194</v>
      </c>
      <c r="C193" s="3" t="str">
        <f>IFERROR(__xludf.DUMMYFUNCTION("GOOGLETRANSLATE(B193,""id"",""en"")"),"['Fix', 'The network', 'Customer', 'comfortable', 'disorder', 'price', 'package', 'expensive', 'service', 'optimal']")</f>
        <v>['Fix', 'The network', 'Customer', 'comfortable', 'disorder', 'price', 'package', 'expensive', 'service', 'optimal']</v>
      </c>
      <c r="D193" s="3">
        <v>1.0</v>
      </c>
    </row>
    <row r="194" ht="15.75" customHeight="1">
      <c r="A194" s="1">
        <v>192.0</v>
      </c>
      <c r="B194" s="3" t="s">
        <v>195</v>
      </c>
      <c r="C194" s="3" t="str">
        <f>IFERROR(__xludf.DUMMYFUNCTION("GOOGLETRANSLATE(B194,""id"",""en"")"),"['Display', 'Paketan', 'Different', 'Display', 'Paketan', 'Price', 'Not bad', 'TPI', 'LBH', 'Cheap', 'Please', 'Check', ' Telkomsel ',' LBH ',' ']")</f>
        <v>['Display', 'Paketan', 'Different', 'Display', 'Paketan', 'Price', 'Not bad', 'TPI', 'LBH', 'Cheap', 'Please', 'Check', ' Telkomsel ',' LBH ',' ']</v>
      </c>
      <c r="D194" s="3">
        <v>3.0</v>
      </c>
    </row>
    <row r="195" ht="15.75" customHeight="1">
      <c r="A195" s="1">
        <v>193.0</v>
      </c>
      <c r="B195" s="3" t="s">
        <v>196</v>
      </c>
      <c r="C195" s="3" t="str">
        <f>IFERROR(__xludf.DUMMYFUNCTION("GOOGLETRANSLATE(B195,""id"",""en"")"),"['open', 'use', 'number', 'Telkomsel', 'koq', 'trobel', 'number', 'contents',' pulse ',' nerar ',' number ',' use ',' Nomers', 'Msh', 'Please', 'Repaired', 'System', '']")</f>
        <v>['open', 'use', 'number', 'Telkomsel', 'koq', 'trobel', 'number', 'contents',' pulse ',' nerar ',' number ',' use ',' Nomers', 'Msh', 'Please', 'Repaired', 'System', '']</v>
      </c>
      <c r="D195" s="3">
        <v>3.0</v>
      </c>
    </row>
    <row r="196" ht="15.75" customHeight="1">
      <c r="A196" s="1">
        <v>194.0</v>
      </c>
      <c r="B196" s="3" t="s">
        <v>197</v>
      </c>
      <c r="C196" s="3" t="str">
        <f>IFERROR(__xludf.DUMMYFUNCTION("GOOGLETRANSLATE(B196,""id"",""en"")"),"['Good', 'service', 'open', 'application', 'open', 'open', 'expensive', 'doang', 'service', 'reduced', 'severe']")</f>
        <v>['Good', 'service', 'open', 'application', 'open', 'open', 'expensive', 'doang', 'service', 'reduced', 'severe']</v>
      </c>
      <c r="D196" s="3">
        <v>1.0</v>
      </c>
    </row>
    <row r="197" ht="15.75" customHeight="1">
      <c r="A197" s="1">
        <v>195.0</v>
      </c>
      <c r="B197" s="3" t="s">
        <v>198</v>
      </c>
      <c r="C197" s="3" t="str">
        <f>IFERROR(__xludf.DUMMYFUNCTION("GOOGLETRANSLATE(B197,""id"",""en"")"),"['Network', 'Telkomsel', 'Severe', 'Sya', 'stop', 'subscribe', '']")</f>
        <v>['Network', 'Telkomsel', 'Severe', 'Sya', 'stop', 'subscribe', '']</v>
      </c>
      <c r="D197" s="3">
        <v>1.0</v>
      </c>
    </row>
    <row r="198" ht="15.75" customHeight="1">
      <c r="A198" s="1">
        <v>196.0</v>
      </c>
      <c r="B198" s="3" t="s">
        <v>199</v>
      </c>
      <c r="C198" s="3" t="str">
        <f>IFERROR(__xludf.DUMMYFUNCTION("GOOGLETRANSLATE(B198,""id"",""en"")"),"['', 'Telkomsel', 'APK', 'easy', 'convenience', 'customer', 'transaction', 'purchase', 'package', 'contents',' pulses', 'etc.', 'steady ',' Telkomsel ',' Jaya ', ""]")</f>
        <v>['', 'Telkomsel', 'APK', 'easy', 'convenience', 'customer', 'transaction', 'purchase', 'package', 'contents',' pulses', 'etc.', 'steady ',' Telkomsel ',' Jaya ', "]</v>
      </c>
      <c r="D198" s="3">
        <v>5.0</v>
      </c>
    </row>
    <row r="199" ht="15.75" customHeight="1">
      <c r="A199" s="1">
        <v>197.0</v>
      </c>
      <c r="B199" s="3" t="s">
        <v>200</v>
      </c>
      <c r="C199" s="3" t="str">
        <f>IFERROR(__xludf.DUMMYFUNCTION("GOOGLETRANSLATE(B199,""id"",""en"")"),"['Kian', 'Beroca', 'Policy', 'Telkomasel', 'DLU', 'Register', 'Price', 'Such', 'Changed', 'Lagi', 'Price', 'Try', ' policy ',' customers', 'loyal', 'Myy', 'Telkomsel', 'need', 'a day', 'please', 'help', 'customers',' Telkomsel ',' policy ',' like ' , '']")</f>
        <v>['Kian', 'Beroca', 'Policy', 'Telkomasel', 'DLU', 'Register', 'Price', 'Such', 'Changed', 'Lagi', 'Price', 'Try', ' policy ',' customers', 'loyal', 'Myy', 'Telkomsel', 'need', 'a day', 'please', 'help', 'customers',' Telkomsel ',' policy ',' like ' , '']</v>
      </c>
      <c r="D199" s="3">
        <v>5.0</v>
      </c>
    </row>
    <row r="200" ht="15.75" customHeight="1">
      <c r="A200" s="1">
        <v>198.0</v>
      </c>
      <c r="B200" s="3" t="s">
        <v>201</v>
      </c>
      <c r="C200" s="3" t="str">
        <f>IFERROR(__xludf.DUMMYFUNCTION("GOOGLETRANSLATE(B200,""id"",""en"")"),"['Hopefully', 'promo', 'Telkomsel', 'customers', 'Telkomsel', 'already', 'times', ""]")</f>
        <v>['Hopefully', 'promo', 'Telkomsel', 'customers', 'Telkomsel', 'already', 'times', "]</v>
      </c>
      <c r="D200" s="3">
        <v>5.0</v>
      </c>
    </row>
    <row r="201" ht="15.75" customHeight="1">
      <c r="A201" s="1">
        <v>199.0</v>
      </c>
      <c r="B201" s="3" t="s">
        <v>202</v>
      </c>
      <c r="C201" s="3" t="str">
        <f>IFERROR(__xludf.DUMMYFUNCTION("GOOGLETRANSLATE(B201,""id"",""en"")"),"['pulse', 'reduced', 'star', 'finish']")</f>
        <v>['pulse', 'reduced', 'star', 'finish']</v>
      </c>
      <c r="D201" s="3">
        <v>1.0</v>
      </c>
    </row>
    <row r="202" ht="15.75" customHeight="1">
      <c r="A202" s="1">
        <v>200.0</v>
      </c>
      <c r="B202" s="3" t="s">
        <v>203</v>
      </c>
      <c r="C202" s="3" t="str">
        <f>IFERROR(__xludf.DUMMYFUNCTION("GOOGLETRANSLATE(B202,""id"",""en"")"),"['buy', 'package', 'tens',' times', 'appears',' order ',' Confirmed ',' package ',' activated ',' org ',' stuck ',' turned on ',' Data ',' Credit ',' Direct ',' Out ',' Diedottt ',' Dirty ',' Trick ',' From ',' Telkomsel ',' Jago ',' Advertise ',' Perform"&amp;"ance ',' zero ' , '']")</f>
        <v>['buy', 'package', 'tens',' times', 'appears',' order ',' Confirmed ',' package ',' activated ',' org ',' stuck ',' turned on ',' Data ',' Credit ',' Direct ',' Out ',' Diedottt ',' Dirty ',' Trick ',' From ',' Telkomsel ',' Jago ',' Advertise ',' Performance ',' zero ' , '']</v>
      </c>
      <c r="D202" s="3">
        <v>1.0</v>
      </c>
    </row>
    <row r="203" ht="15.75" customHeight="1">
      <c r="A203" s="1">
        <v>201.0</v>
      </c>
      <c r="B203" s="3" t="s">
        <v>204</v>
      </c>
      <c r="C203" s="3" t="str">
        <f>IFERROR(__xludf.DUMMYFUNCTION("GOOGLETRANSLATE(B203,""id"",""en"")"),"['Good', 'help', 'purchase', 'package', 'data', 'cheap', 'buy', 'package', 'data']")</f>
        <v>['Good', 'help', 'purchase', 'package', 'data', 'cheap', 'buy', 'package', 'data']</v>
      </c>
      <c r="D203" s="3">
        <v>5.0</v>
      </c>
    </row>
    <row r="204" ht="15.75" customHeight="1">
      <c r="A204" s="1">
        <v>202.0</v>
      </c>
      <c r="B204" s="3" t="s">
        <v>205</v>
      </c>
      <c r="C204" s="3" t="str">
        <f>IFERROR(__xludf.DUMMYFUNCTION("GOOGLETRANSLATE(B204,""id"",""en"")"),"['package', 'expensive', 'expensive', 'network', 'severe', 'really', 'rich', 'life', 'forest', 'difficult', 'network', 'stable', ' Lost ',' axis', ""]")</f>
        <v>['package', 'expensive', 'expensive', 'network', 'severe', 'really', 'rich', 'life', 'forest', 'difficult', 'network', 'stable', ' Lost ',' axis', "]</v>
      </c>
      <c r="D204" s="3">
        <v>1.0</v>
      </c>
    </row>
    <row r="205" ht="15.75" customHeight="1">
      <c r="A205" s="1">
        <v>203.0</v>
      </c>
      <c r="B205" s="3" t="s">
        <v>206</v>
      </c>
      <c r="C205" s="3" t="str">
        <f>IFERROR(__xludf.DUMMYFUNCTION("GOOGLETRANSLATE(B205,""id"",""en"")"),"['Please', 'Keep', 'Quality', 'Signal', 'Signal', 'Telkomsel', 'Bad', 'Really', 'Shy', 'Neighbor', 'Next "",' Lost ',' Beginners', 'Beginners',' Location ',' Region ',' Seputaran ',' Platform ',' Ulin ',' North ',' Banjarbaru ', ""]")</f>
        <v>['Please', 'Keep', 'Quality', 'Signal', 'Signal', 'Telkomsel', 'Bad', 'Really', 'Shy', 'Neighbor', 'Next ",' Lost ',' Beginners', 'Beginners',' Location ',' Region ',' Seputaran ',' Platform ',' Ulin ',' North ',' Banjarbaru ', "]</v>
      </c>
      <c r="D205" s="3">
        <v>3.0</v>
      </c>
    </row>
    <row r="206" ht="15.75" customHeight="1">
      <c r="A206" s="1">
        <v>204.0</v>
      </c>
      <c r="B206" s="3" t="s">
        <v>207</v>
      </c>
      <c r="C206" s="3" t="str">
        <f>IFERROR(__xludf.DUMMYFUNCTION("GOOGLETRANSLATE(B206,""id"",""en"")"),"['apk', 'ugly', 'buy', 'package', 'combo', 'magic', 'run out', 'yesterday', 'leftover', 'masi', 'GB', 'run out', ' use ',' apk ',' ugly ',' udh ',' spend ',' money ',' rich ',' gini ',' ngerugiin ',' uninstall ']")</f>
        <v>['apk', 'ugly', 'buy', 'package', 'combo', 'magic', 'run out', 'yesterday', 'leftover', 'masi', 'GB', 'run out', ' use ',' apk ',' ugly ',' udh ',' spend ',' money ',' rich ',' gini ',' ngerugiin ',' uninstall ']</v>
      </c>
      <c r="D206" s="3">
        <v>1.0</v>
      </c>
    </row>
    <row r="207" ht="15.75" customHeight="1">
      <c r="A207" s="1">
        <v>205.0</v>
      </c>
      <c r="B207" s="3" t="s">
        <v>208</v>
      </c>
      <c r="C207" s="3" t="str">
        <f>IFERROR(__xludf.DUMMYFUNCTION("GOOGLETRANSLATE(B207,""id"",""en"")"),"['Telkomsel', 'network', 'down', 'pulse', 'sucked', 'usage', 'data', 'usage', 'data', 'kouta', 'kuta', 'debt', ' Etc. ',' Telkomsel ',' sucked ',' Kouta ',' usage ',' data ',' trick ',' bug ',' Telkomsel ',' Please ',' Heavy ',' Thank you ',' the story ' "&amp;", 'data', 'condition', 'on', 'Sya', 'buy', 'credit', 'check', 'pulse', 'sumps',' Gara ',' because ',' usage ',' Data ',' strange ',' Kannnn ',' ']")</f>
        <v>['Telkomsel', 'network', 'down', 'pulse', 'sucked', 'usage', 'data', 'usage', 'data', 'kouta', 'kuta', 'debt', ' Etc. ',' Telkomsel ',' sucked ',' Kouta ',' usage ',' data ',' trick ',' bug ',' Telkomsel ',' Please ',' Heavy ',' Thank you ',' the story ' , 'data', 'condition', 'on', 'Sya', 'buy', 'credit', 'check', 'pulse', 'sumps',' Gara ',' because ',' usage ',' Data ',' strange ',' Kannnn ',' ']</v>
      </c>
      <c r="D207" s="3">
        <v>1.0</v>
      </c>
    </row>
    <row r="208" ht="15.75" customHeight="1">
      <c r="A208" s="1">
        <v>206.0</v>
      </c>
      <c r="B208" s="3" t="s">
        <v>209</v>
      </c>
      <c r="C208" s="3" t="str">
        <f>IFERROR(__xludf.DUMMYFUNCTION("GOOGLETRANSLATE(B208,""id"",""en"")"),"['Upgrade', 'card', 'ilang', 'notification', 'via', 'sms',' swap ',' point ',' pdhal ',' exchange ',' check ',' MyTelkomsel ',' Points', 'Abis',' aka ',' empty ',' Qok ',' please ',' was repaired ',' hijacked ',' ']")</f>
        <v>['Upgrade', 'card', 'ilang', 'notification', 'via', 'sms',' swap ',' point ',' pdhal ',' exchange ',' check ',' MyTelkomsel ',' Points', 'Abis',' aka ',' empty ',' Qok ',' please ',' was repaired ',' hijacked ',' ']</v>
      </c>
      <c r="D208" s="3">
        <v>2.0</v>
      </c>
    </row>
    <row r="209" ht="15.75" customHeight="1">
      <c r="A209" s="1">
        <v>207.0</v>
      </c>
      <c r="B209" s="3" t="s">
        <v>210</v>
      </c>
      <c r="C209" s="3" t="str">
        <f>IFERROR(__xludf.DUMMYFUNCTION("GOOGLETRANSLATE(B209,""id"",""en"")"),"['Come here', 'The network', 'Severe', 'yak', 'follow', 'influence', 'pandemic', ""]")</f>
        <v>['Come here', 'The network', 'Severe', 'yak', 'follow', 'influence', 'pandemic', "]</v>
      </c>
      <c r="D209" s="3">
        <v>1.0</v>
      </c>
    </row>
    <row r="210" ht="15.75" customHeight="1">
      <c r="A210" s="1">
        <v>208.0</v>
      </c>
      <c r="B210" s="3" t="s">
        <v>211</v>
      </c>
      <c r="C210" s="3" t="str">
        <f>IFERROR(__xludf.DUMMYFUNCTION("GOOGLETRANSLATE(B210,""id"",""en"")"),"['', 'signal', 'Mantul', 'Ok', 'mantabsss',' josss', 'ganjossss',' get ',' offer ',' package ',' promo ',' for you ',' click ',' promo ',' not ',' found ',' strange ',' appears', 'direct', 'click', 'direct', 'not', 'found', 'get', 'program', 'Lottery', 'H"&amp;"epi', 'Hepi', 'PDHAL', 'UDH', 'BRPA', 'BYK', 'Points',' UDH ',' Tuker ',' Curcol ',' Easy ',' Entering ',' fans', 'state', 'guitarist', 'slank', 'skrg', 'commissioner', 'change', 'fair', 'wise', 'dlm', 'determine', 'chosen', 'Winner', 'Lottery', 'Success'"&amp;"]")</f>
        <v>['', 'signal', 'Mantul', 'Ok', 'mantabsss',' josss', 'ganjossss',' get ',' offer ',' package ',' promo ',' for you ',' click ',' promo ',' not ',' found ',' strange ',' appears', 'direct', 'click', 'direct', 'not', 'found', 'get', 'program', 'Lottery', 'Hepi', 'Hepi', 'PDHAL', 'UDH', 'BRPA', 'BYK', 'Points',' UDH ',' Tuker ',' Curcol ',' Easy ',' Entering ',' fans', 'state', 'guitarist', 'slank', 'skrg', 'commissioner', 'change', 'fair', 'wise', 'dlm', 'determine', 'chosen', 'Winner', 'Lottery', 'Success']</v>
      </c>
      <c r="D210" s="3">
        <v>5.0</v>
      </c>
    </row>
    <row r="211" ht="15.75" customHeight="1">
      <c r="A211" s="1">
        <v>209.0</v>
      </c>
      <c r="B211" s="3" t="s">
        <v>212</v>
      </c>
      <c r="C211" s="3" t="str">
        <f>IFERROR(__xludf.DUMMYFUNCTION("GOOGLETRANSLATE(B211,""id"",""en"")"),"['LGI', 'Telkosel', 'signal', 'Ngejin', 'Kek', 'Nyasel', 'cave', 'unlimited', 'intention', 'cave', 'mah', 'cave', ' buy ',' quota ',' sueda ',' smooth ',' ehhh ',' mingu ',' mingu ',' annoyed ',' regret ',' cave ',' severe ',' please ',' bnerin ' , 'LGI',"&amp;" 'Imprembge', 'skrng', 'Most', 'Kcewa', 'Heavy', 'Original', 'Want', 'Nagis',' Cave ',' Maen ',' pub ',' card']")</f>
        <v>['LGI', 'Telkosel', 'signal', 'Ngejin', 'Kek', 'Nyasel', 'cave', 'unlimited', 'intention', 'cave', 'mah', 'cave', ' buy ',' quota ',' sueda ',' smooth ',' ehhh ',' mingu ',' mingu ',' annoyed ',' regret ',' cave ',' severe ',' please ',' bnerin ' , 'LGI', 'Imprembge', 'skrng', 'Most', 'Kcewa', 'Heavy', 'Original', 'Want', 'Nagis',' Cave ',' Maen ',' pub ',' card']</v>
      </c>
      <c r="D211" s="3">
        <v>1.0</v>
      </c>
    </row>
    <row r="212" ht="15.75" customHeight="1">
      <c r="A212" s="1">
        <v>210.0</v>
      </c>
      <c r="B212" s="3" t="s">
        <v>213</v>
      </c>
      <c r="C212" s="3" t="str">
        <f>IFERROR(__xludf.DUMMYFUNCTION("GOOGLETRANSLATE(B212,""id"",""en"")"),"['already', 'contents', 'credit', 'buy', 'data', 'pulse', 'sufficient', 'disappointed', '']")</f>
        <v>['already', 'contents', 'credit', 'buy', 'data', 'pulse', 'sufficient', 'disappointed', '']</v>
      </c>
      <c r="D212" s="3">
        <v>1.0</v>
      </c>
    </row>
    <row r="213" ht="15.75" customHeight="1">
      <c r="A213" s="1">
        <v>211.0</v>
      </c>
      <c r="B213" s="3" t="s">
        <v>214</v>
      </c>
      <c r="C213" s="3" t="str">
        <f>IFERROR(__xludf.DUMMYFUNCTION("GOOGLETRANSLATE(B213,""id"",""en"")"),"['Comot', 'pulse', 'already', 'list', 'package', 'data', 'telephone', 'frustration', 'bangat', ""]")</f>
        <v>['Comot', 'pulse', 'already', 'list', 'package', 'data', 'telephone', 'frustration', 'bangat', "]</v>
      </c>
      <c r="D213" s="3">
        <v>1.0</v>
      </c>
    </row>
    <row r="214" ht="15.75" customHeight="1">
      <c r="A214" s="1">
        <v>212.0</v>
      </c>
      <c r="B214" s="3" t="s">
        <v>215</v>
      </c>
      <c r="C214" s="3" t="str">
        <f>IFERROR(__xludf.DUMMYFUNCTION("GOOGLETRANSLATE(B214,""id"",""en"")"),"['Telkomsel', 'Please', 'Mints', 'Please', 'Price', 'Paketannya', 'Deaded', 'Pandemic', 'Income', 'Thank you', ""]")</f>
        <v>['Telkomsel', 'Please', 'Mints', 'Please', 'Price', 'Paketannya', 'Deaded', 'Pandemic', 'Income', 'Thank you', "]</v>
      </c>
      <c r="D214" s="3">
        <v>4.0</v>
      </c>
    </row>
    <row r="215" ht="15.75" customHeight="1">
      <c r="A215" s="1">
        <v>213.0</v>
      </c>
      <c r="B215" s="3" t="s">
        <v>216</v>
      </c>
      <c r="C215" s="3" t="str">
        <f>IFERROR(__xludf.DUMMYFUNCTION("GOOGLETRANSLATE(B215,""id"",""en"")"),"['Buy', 'Package', 'Promo', 'Success',' Quota ',' Enter ',' Enter ',' How ',' Intention ',' Nge ',' Promo ',' Ngpain ',' Kasi ']")</f>
        <v>['Buy', 'Package', 'Promo', 'Success',' Quota ',' Enter ',' Enter ',' How ',' Intention ',' Nge ',' Promo ',' Ngpain ',' Kasi ']</v>
      </c>
      <c r="D215" s="3">
        <v>1.0</v>
      </c>
    </row>
    <row r="216" ht="15.75" customHeight="1">
      <c r="A216" s="1">
        <v>214.0</v>
      </c>
      <c r="B216" s="3" t="s">
        <v>217</v>
      </c>
      <c r="C216" s="3" t="str">
        <f>IFERROR(__xludf.DUMMYFUNCTION("GOOGLETRANSLATE(B216,""id"",""en"")"),"['Telkomsel', 'pulse', 'cave', 'taken', 'cave', 'no', 'ngeta', 'what' do ',' pulse ',' cave ',' reduced ',' purchase ',' Exchange ',' Telkomsel ',' Mending ',' cave ',' card ']")</f>
        <v>['Telkomsel', 'pulse', 'cave', 'taken', 'cave', 'no', 'ngeta', 'what' do ',' pulse ',' cave ',' reduced ',' purchase ',' Exchange ',' Telkomsel ',' Mending ',' cave ',' card ']</v>
      </c>
      <c r="D216" s="3">
        <v>1.0</v>
      </c>
    </row>
    <row r="217" ht="15.75" customHeight="1">
      <c r="A217" s="1">
        <v>215.0</v>
      </c>
      <c r="B217" s="3" t="s">
        <v>218</v>
      </c>
      <c r="C217" s="3" t="str">
        <f>IFERROR(__xludf.DUMMYFUNCTION("GOOGLETRANSLATE(B217,""id"",""en"")"),"['love', 'solution', 'difficult', 'contents', 'quota', 'internet', 'pulse', 'cheap', 'expensive', 'all']")</f>
        <v>['love', 'solution', 'difficult', 'contents', 'quota', 'internet', 'pulse', 'cheap', 'expensive', 'all']</v>
      </c>
      <c r="D217" s="3">
        <v>1.0</v>
      </c>
    </row>
    <row r="218" ht="15.75" customHeight="1">
      <c r="A218" s="1">
        <v>216.0</v>
      </c>
      <c r="B218" s="3" t="s">
        <v>219</v>
      </c>
      <c r="C218" s="3" t="str">
        <f>IFERROR(__xludf.DUMMYFUNCTION("GOOGLETRANSLATE(B218,""id"",""en"")"),"['No "",' brain ',' morning ',' already ',' Season ',' already ',' contents ',' pulse ',' right ',' typing ',' package ',' pulse ',' Credit ',' RB ',' Please ',' Telkomsel ',' arrogant ',' collapsed ',' provider ',' cheap ',' quality ',' already ',' expen"&amp;"sive ',' service ',' bad ' , 'disappointed']")</f>
        <v>['No ",' brain ',' morning ',' already ',' Season ',' already ',' contents ',' pulse ',' right ',' typing ',' package ',' pulse ',' Credit ',' RB ',' Please ',' Telkomsel ',' arrogant ',' collapsed ',' provider ',' cheap ',' quality ',' already ',' expensive ',' service ',' bad ' , 'disappointed']</v>
      </c>
      <c r="D218" s="3">
        <v>1.0</v>
      </c>
    </row>
    <row r="219" ht="15.75" customHeight="1">
      <c r="A219" s="1">
        <v>217.0</v>
      </c>
      <c r="B219" s="3" t="s">
        <v>220</v>
      </c>
      <c r="C219" s="3" t="str">
        <f>IFERROR(__xludf.DUMMYFUNCTION("GOOGLETRANSLATE(B219,""id"",""en"")"),"['steady', 'quality', 'use', 'card', 'Hello', 'helped', 'enjoy', 'really']")</f>
        <v>['steady', 'quality', 'use', 'card', 'Hello', 'helped', 'enjoy', 'really']</v>
      </c>
      <c r="D219" s="3">
        <v>5.0</v>
      </c>
    </row>
    <row r="220" ht="15.75" customHeight="1">
      <c r="A220" s="1">
        <v>218.0</v>
      </c>
      <c r="B220" s="3" t="s">
        <v>221</v>
      </c>
      <c r="C220" s="3" t="str">
        <f>IFERROR(__xludf.DUMMYFUNCTION("GOOGLETRANSLATE(B220,""id"",""en"")"),"['', 'area', 'Jatipak', 'village', 'teak', 'duwur', 'kec', 'kesamben', 'signal', 'sometimes', 'stop', 'good']")</f>
        <v>['', 'area', 'Jatipak', 'village', 'teak', 'duwur', 'kec', 'kesamben', 'signal', 'sometimes', 'stop', 'good']</v>
      </c>
      <c r="D220" s="3">
        <v>2.0</v>
      </c>
    </row>
    <row r="221" ht="15.75" customHeight="1">
      <c r="A221" s="1">
        <v>219.0</v>
      </c>
      <c r="B221" s="3" t="s">
        <v>222</v>
      </c>
      <c r="C221" s="3" t="str">
        <f>IFERROR(__xludf.DUMMYFUNCTION("GOOGLETRANSLATE(B221,""id"",""en"")"),"['Login', 'see', 'balance', 'use', 'pulse', 'free', '']")</f>
        <v>['Login', 'see', 'balance', 'use', 'pulse', 'free', '']</v>
      </c>
      <c r="D221" s="3">
        <v>3.0</v>
      </c>
    </row>
    <row r="222" ht="15.75" customHeight="1">
      <c r="A222" s="1">
        <v>220.0</v>
      </c>
      <c r="B222" s="3" t="s">
        <v>223</v>
      </c>
      <c r="C222" s="3" t="str">
        <f>IFERROR(__xludf.DUMMYFUNCTION("GOOGLETRANSLATE(B222,""id"",""en"")"),"['thank', 'love', 'developer', 'Telkomsel', 'Hopefully', 'success',' forward ',' tired ',' gliding ',' content ',' useful ',' nation ',' country', '']")</f>
        <v>['thank', 'love', 'developer', 'Telkomsel', 'Hopefully', 'success',' forward ',' tired ',' gliding ',' content ',' useful ',' nation ',' country', '']</v>
      </c>
      <c r="D222" s="3">
        <v>5.0</v>
      </c>
    </row>
    <row r="223" ht="15.75" customHeight="1">
      <c r="A223" s="1">
        <v>221.0</v>
      </c>
      <c r="B223" s="3" t="s">
        <v>224</v>
      </c>
      <c r="C223" s="3" t="str">
        <f>IFERROR(__xludf.DUMMYFUNCTION("GOOGLETRANSLATE(B223,""id"",""en"")"),"['Provider', 'greedy', 'package', 'quota', 'Most', 'separated', 'already', 'MUCH', 'quota', 'main', 'package', 'emergency', ' Pay ',' rich ',' provider ',' next door ',' free ',' limited ',' ']")</f>
        <v>['Provider', 'greedy', 'package', 'quota', 'Most', 'separated', 'already', 'MUCH', 'quota', 'main', 'package', 'emergency', ' Pay ',' rich ',' provider ',' next door ',' free ',' limited ',' ']</v>
      </c>
      <c r="D223" s="3">
        <v>1.0</v>
      </c>
    </row>
    <row r="224" ht="15.75" customHeight="1">
      <c r="A224" s="1">
        <v>222.0</v>
      </c>
      <c r="B224" s="3" t="s">
        <v>225</v>
      </c>
      <c r="C224" s="3" t="str">
        <f>IFERROR(__xludf.DUMMYFUNCTION("GOOGLETRANSLATE(B224,""id"",""en"")"),"['Provider', 'Disruption', 'Quota', 'Features', 'Telkomsel', 'APK', 'Open', 'Switch', 'Provider']")</f>
        <v>['Provider', 'Disruption', 'Quota', 'Features', 'Telkomsel', 'APK', 'Open', 'Switch', 'Provider']</v>
      </c>
      <c r="D224" s="3">
        <v>2.0</v>
      </c>
    </row>
    <row r="225" ht="15.75" customHeight="1">
      <c r="A225" s="1">
        <v>223.0</v>
      </c>
      <c r="B225" s="3" t="s">
        <v>226</v>
      </c>
      <c r="C225" s="3" t="str">
        <f>IFERROR(__xludf.DUMMYFUNCTION("GOOGLETRANSLATE(B225,""id"",""en"")"),"['Telkomsel', 'customers',' loyal ',' Telkomsel ',' comfortable ',' Telkomsel ',' quota ',' unlimited ',' limit ',' sewing ',' profit ',' please ',' Update ',' limits', 'promo', 'apply', 'times',' usage ',' removed ',' removed ',' replaced ',' price ',' e"&amp;"xpensive ',' pity ',' need ' , 'promo', 'tlg', 'really', 'content', 'pulse', 'point', 'telkomsel', 'increase', 'thx']")</f>
        <v>['Telkomsel', 'customers',' loyal ',' Telkomsel ',' comfortable ',' Telkomsel ',' quota ',' unlimited ',' limit ',' sewing ',' profit ',' please ',' Update ',' limits', 'promo', 'apply', 'times',' usage ',' removed ',' removed ',' replaced ',' price ',' expensive ',' pity ',' need ' , 'promo', 'tlg', 'really', 'content', 'pulse', 'point', 'telkomsel', 'increase', 'thx']</v>
      </c>
      <c r="D225" s="3">
        <v>2.0</v>
      </c>
    </row>
    <row r="226" ht="15.75" customHeight="1">
      <c r="A226" s="1">
        <v>224.0</v>
      </c>
      <c r="B226" s="3" t="s">
        <v>227</v>
      </c>
      <c r="C226" s="3" t="str">
        <f>IFERROR(__xludf.DUMMYFUNCTION("GOOGLETRANSLATE(B226,""id"",""en"")"),"['activation', 'package', 'internet', 'night', 'leftover', 'credit', 'customer', 'remaining', 'please', 'sample', 'contents',' pulses', ' price ',' package ',' night ',' leftover ',' pulse ',' leftover ',' company ', ""]")</f>
        <v>['activation', 'package', 'internet', 'night', 'leftover', 'credit', 'customer', 'remaining', 'please', 'sample', 'contents',' pulses', ' price ',' package ',' night ',' leftover ',' pulse ',' leftover ',' company ', "]</v>
      </c>
      <c r="D226" s="3">
        <v>1.0</v>
      </c>
    </row>
    <row r="227" ht="15.75" customHeight="1">
      <c r="A227" s="1">
        <v>225.0</v>
      </c>
      <c r="B227" s="3" t="s">
        <v>228</v>
      </c>
      <c r="C227" s="3" t="str">
        <f>IFERROR(__xludf.DUMMYFUNCTION("GOOGLETRANSLATE(B227,""id"",""en"")"),"['smakin', 'smakin', 'dongkol', 'congratulations',' internet ',' active ',' minutes', 'kmudian', 'right', 'data', 'activated', 'pulses',' Direct ',' ilaaaaaang ',' ketuuu ',' gwa ']")</f>
        <v>['smakin', 'smakin', 'dongkol', 'congratulations',' internet ',' active ',' minutes', 'kmudian', 'right', 'data', 'activated', 'pulses',' Direct ',' ilaaaaaang ',' ketuuu ',' gwa ']</v>
      </c>
      <c r="D227" s="3">
        <v>1.0</v>
      </c>
    </row>
    <row r="228" ht="15.75" customHeight="1">
      <c r="A228" s="1">
        <v>226.0</v>
      </c>
      <c r="B228" s="3" t="s">
        <v>229</v>
      </c>
      <c r="C228" s="3" t="str">
        <f>IFERROR(__xludf.DUMMYFUNCTION("GOOGLETRANSLATE(B228,""id"",""en"")"),"['Complaint', 'Details',' Program ',' Diputer ',' IN ',' Adjie ',' Illfill ',' Proof ',' Chat ',' Hope ',' Team ',' Service ',' pushed ',' tip ',' spear ',' patient ',' solution ',' bkn ',' mlh ',' line ',' looked ',' information ',' widespread ',' cross'"&amp;", 'cross' , 'check', 'concerned', 'LGS', 'Telkomsel', 'HOAK', 'HOW', 'TYPA', 'MLH', 'Diputer', 'JWB', 'Mksh']")</f>
        <v>['Complaint', 'Details',' Program ',' Diputer ',' IN ',' Adjie ',' Illfill ',' Proof ',' Chat ',' Hope ',' Team ',' Service ',' pushed ',' tip ',' spear ',' patient ',' solution ',' bkn ',' mlh ',' line ',' looked ',' information ',' widespread ',' cross', 'cross' , 'check', 'concerned', 'LGS', 'Telkomsel', 'HOAK', 'HOW', 'TYPA', 'MLH', 'Diputer', 'JWB', 'Mksh']</v>
      </c>
      <c r="D228" s="3">
        <v>1.0</v>
      </c>
    </row>
    <row r="229" ht="15.75" customHeight="1">
      <c r="A229" s="1">
        <v>227.0</v>
      </c>
      <c r="B229" s="3" t="s">
        <v>230</v>
      </c>
      <c r="C229" s="3" t="str">
        <f>IFERROR(__xludf.DUMMYFUNCTION("GOOGLETRANSLATE(B229,""id"",""en"")"),"['Dear', 'Telkomsel', 'pay', 'package', 'emergency', 'package', 'emergency', 'meet', 'criteria', 'disappointed', 'please', 'fix', ' Credit ',' vain ',' vain ',' pay ',' package ',' emergency ',' ']")</f>
        <v>['Dear', 'Telkomsel', 'pay', 'package', 'emergency', 'package', 'emergency', 'meet', 'criteria', 'disappointed', 'please', 'fix', ' Credit ',' vain ',' vain ',' pay ',' package ',' emergency ',' ']</v>
      </c>
      <c r="D229" s="3">
        <v>1.0</v>
      </c>
    </row>
    <row r="230" ht="15.75" customHeight="1">
      <c r="A230" s="1">
        <v>228.0</v>
      </c>
      <c r="B230" s="3" t="s">
        <v>231</v>
      </c>
      <c r="C230" s="3" t="str">
        <f>IFERROR(__xludf.DUMMYFUNCTION("GOOGLETRANSLATE(B230,""id"",""en"")"),"['Mahaallll', 'package', 'package', 'quota', 'expensive', 'address', 'moved', 'provider', 'cheap', '']")</f>
        <v>['Mahaallll', 'package', 'package', 'quota', 'expensive', 'address', 'moved', 'provider', 'cheap', '']</v>
      </c>
      <c r="D230" s="3">
        <v>1.0</v>
      </c>
    </row>
    <row r="231" ht="15.75" customHeight="1">
      <c r="A231" s="1">
        <v>229.0</v>
      </c>
      <c r="B231" s="3" t="s">
        <v>232</v>
      </c>
      <c r="C231" s="3" t="str">
        <f>IFERROR(__xludf.DUMMYFUNCTION("GOOGLETRANSLATE(B231,""id"",""en"")"),"['Application', 'strange', 'pulses', 'buy', 'quota', 'ttp', 'gabisa', 'buy', ""]")</f>
        <v>['Application', 'strange', 'pulses', 'buy', 'quota', 'ttp', 'gabisa', 'buy', "]</v>
      </c>
      <c r="D231" s="3">
        <v>1.0</v>
      </c>
    </row>
    <row r="232" ht="15.75" customHeight="1">
      <c r="A232" s="1">
        <v>230.0</v>
      </c>
      <c r="B232" s="3" t="s">
        <v>233</v>
      </c>
      <c r="C232" s="3" t="str">
        <f>IFERROR(__xludf.DUMMYFUNCTION("GOOGLETRANSLATE(B232,""id"",""en"")"),"['SMS', 'Code', 'Voucher', 'UDH', 'Clarity', 'Intention', 'Mending', 'Apus', 'Package', 'Games', 'Max', ""]")</f>
        <v>['SMS', 'Code', 'Voucher', 'UDH', 'Clarity', 'Intention', 'Mending', 'Apus', 'Package', 'Games', 'Max', "]</v>
      </c>
      <c r="D232" s="3">
        <v>1.0</v>
      </c>
    </row>
    <row r="233" ht="15.75" customHeight="1">
      <c r="A233" s="1">
        <v>231.0</v>
      </c>
      <c r="B233" s="3" t="s">
        <v>234</v>
      </c>
      <c r="C233" s="3" t="str">
        <f>IFERROR(__xludf.DUMMYFUNCTION("GOOGLETRANSLATE(B233,""id"",""en"")"),"['update', 'ngk', 'buy', 'package', 'balance', 'link', 'complicated', 'then', 'sinya', 'severe', 'slow', 'territory', ' West Sumatra ',' GMNA ',' Telkomsel ']")</f>
        <v>['update', 'ngk', 'buy', 'package', 'balance', 'link', 'complicated', 'then', 'sinya', 'severe', 'slow', 'territory', ' West Sumatra ',' GMNA ',' Telkomsel ']</v>
      </c>
      <c r="D233" s="3">
        <v>1.0</v>
      </c>
    </row>
    <row r="234" ht="15.75" customHeight="1">
      <c r="A234" s="1">
        <v>232.0</v>
      </c>
      <c r="B234" s="3" t="s">
        <v>235</v>
      </c>
      <c r="C234" s="3" t="str">
        <f>IFERROR(__xludf.DUMMYFUNCTION("GOOGLETRANSLATE(B234,""id"",""en"")"),"['', 'use', 'Telkom', 'bro', 'experience', 'Makai', 'Telkom', 'good', 'price', 'package', 'internet', 'fair', 'normal ',' signal ',' fast ',' price ',' quota ',' expensive ',' signal ',' pulp ',' telkom ',' care ',' satisfaction ',' customer ',' play ', '"&amp;"Mobile', 'Legends', 'Signal', 'Good', 'Use', 'Telkomsel', 'Reconnect', 'Lost', 'Signal', 'Please', 'Repaired']")</f>
        <v>['', 'use', 'Telkom', 'bro', 'experience', 'Makai', 'Telkom', 'good', 'price', 'package', 'internet', 'fair', 'normal ',' signal ',' fast ',' price ',' quota ',' expensive ',' signal ',' pulp ',' telkom ',' care ',' satisfaction ',' customer ',' play ', 'Mobile', 'Legends', 'Signal', 'Good', 'Use', 'Telkomsel', 'Reconnect', 'Lost', 'Signal', 'Please', 'Repaired']</v>
      </c>
      <c r="D234" s="3">
        <v>1.0</v>
      </c>
    </row>
    <row r="235" ht="15.75" customHeight="1">
      <c r="A235" s="1">
        <v>233.0</v>
      </c>
      <c r="B235" s="3" t="s">
        <v>236</v>
      </c>
      <c r="C235" s="3" t="str">
        <f>IFERROR(__xludf.DUMMYFUNCTION("GOOGLETRANSLATE(B235,""id"",""en"")"),"['difficult', 'open', 'the application', 'slow', 'really', 'quota', 'main', 'GB', 'make', 'hello']")</f>
        <v>['difficult', 'open', 'the application', 'slow', 'really', 'quota', 'main', 'GB', 'make', 'hello']</v>
      </c>
      <c r="D235" s="3">
        <v>1.0</v>
      </c>
    </row>
    <row r="236" ht="15.75" customHeight="1">
      <c r="A236" s="1">
        <v>234.0</v>
      </c>
      <c r="B236" s="3" t="s">
        <v>237</v>
      </c>
      <c r="C236" s="3" t="str">
        <f>IFERROR(__xludf.DUMMYFUNCTION("GOOGLETRANSLATE(B236,""id"",""en"")"),"['Telkomsel', 'network', 'broad', 'signal', 'strong', 'Telkomsel']")</f>
        <v>['Telkomsel', 'network', 'broad', 'signal', 'strong', 'Telkomsel']</v>
      </c>
      <c r="D236" s="3">
        <v>5.0</v>
      </c>
    </row>
    <row r="237" ht="15.75" customHeight="1">
      <c r="A237" s="1">
        <v>235.0</v>
      </c>
      <c r="B237" s="3" t="s">
        <v>238</v>
      </c>
      <c r="C237" s="3" t="str">
        <f>IFERROR(__xludf.DUMMYFUNCTION("GOOGLETRANSLATE(B237,""id"",""en"")"),"['times',' report ',' action ',' barengan ',' Wunut ',' kec ',' tulung ',' kab ',' klaten ',' Java ',' Indonesia ',' signal ',' ugly ',' tower ',' comment ',' Telkomsel ',' workers', 'employees',' auto ',' click ',' comment ',' action ', ""]")</f>
        <v>['times',' report ',' action ',' barengan ',' Wunut ',' kec ',' tulung ',' kab ',' klaten ',' Java ',' Indonesia ',' signal ',' ugly ',' tower ',' comment ',' Telkomsel ',' workers', 'employees',' auto ',' click ',' comment ',' action ', "]</v>
      </c>
      <c r="D237" s="3">
        <v>1.0</v>
      </c>
    </row>
    <row r="238" ht="15.75" customHeight="1">
      <c r="A238" s="1">
        <v>236.0</v>
      </c>
      <c r="B238" s="3" t="s">
        <v>239</v>
      </c>
      <c r="C238" s="3" t="str">
        <f>IFERROR(__xludf.DUMMYFUNCTION("GOOGLETRANSLATE(B238,""id"",""en"")"),"['Good', 'Please', 'Increase', 'Service', 'Region', 'Indonesia', 'East']")</f>
        <v>['Good', 'Please', 'Increase', 'Service', 'Region', 'Indonesia', 'East']</v>
      </c>
      <c r="D238" s="3">
        <v>4.0</v>
      </c>
    </row>
    <row r="239" ht="15.75" customHeight="1">
      <c r="A239" s="1">
        <v>237.0</v>
      </c>
      <c r="B239" s="3" t="s">
        <v>240</v>
      </c>
      <c r="C239" s="3" t="str">
        <f>IFERROR(__xludf.DUMMYFUNCTION("GOOGLETRANSLATE(B239,""id"",""en"")"),"['cave', 'suggestion', 'buy', 'package', 'Telkomsel', 'mending', 'cave', 'cheated', 'buy', 'telkomsel', 'package', 'goib', ' emang ',' internet ',' quota ',' function ',' check ',' registered ',' credit ',' take ',' cave ',' suggest ',' buy ',' Telkomsel "&amp;"', ""]")</f>
        <v>['cave', 'suggestion', 'buy', 'package', 'Telkomsel', 'mending', 'cave', 'cheated', 'buy', 'telkomsel', 'package', 'goib', ' emang ',' internet ',' quota ',' function ',' check ',' registered ',' credit ',' take ',' cave ',' suggest ',' buy ',' Telkomsel ', "]</v>
      </c>
      <c r="D239" s="3">
        <v>1.0</v>
      </c>
    </row>
    <row r="240" ht="15.75" customHeight="1">
      <c r="A240" s="1">
        <v>238.0</v>
      </c>
      <c r="B240" s="3" t="s">
        <v>241</v>
      </c>
      <c r="C240" s="3" t="str">
        <f>IFERROR(__xludf.DUMMYFUNCTION("GOOGLETRANSLATE(B240,""id"",""en"")"),"['Telkomsel', 'mania', 'use', 'number', 'continued', 'card', 'Hello', 'wife', 'miss',' card ',' sympathy ',' reward ',' ']")</f>
        <v>['Telkomsel', 'mania', 'use', 'number', 'continued', 'card', 'Hello', 'wife', 'miss',' card ',' sympathy ',' reward ',' ']</v>
      </c>
      <c r="D240" s="3">
        <v>5.0</v>
      </c>
    </row>
    <row r="241" ht="15.75" customHeight="1">
      <c r="A241" s="1">
        <v>239.0</v>
      </c>
      <c r="B241" s="3" t="s">
        <v>242</v>
      </c>
      <c r="C241" s="3" t="str">
        <f>IFERROR(__xludf.DUMMYFUNCTION("GOOGLETRANSLATE(B241,""id"",""en"")"),"['hoax', 'already', 'download', 'get', 'credit', 'rb', 'get', 'result', ""]")</f>
        <v>['hoax', 'already', 'download', 'get', 'credit', 'rb', 'get', 'result', "]</v>
      </c>
      <c r="D241" s="3">
        <v>2.0</v>
      </c>
    </row>
    <row r="242" ht="15.75" customHeight="1">
      <c r="A242" s="1">
        <v>240.0</v>
      </c>
      <c r="B242" s="3" t="s">
        <v>243</v>
      </c>
      <c r="C242" s="3" t="str">
        <f>IFERROR(__xludf.DUMMYFUNCTION("GOOGLETRANSLATE(B242,""id"",""en"")"),"['Lock', 'Lock', 'Locking', 'Pulses',' It is feared ',' Achieved ',' Quota ',' Out ',' Credit ',' Value ',' Application ',' Lock ',' Kah ',' Thank you ',' Please ',' His Response ', ""]")</f>
        <v>['Lock', 'Lock', 'Locking', 'Pulses',' It is feared ',' Achieved ',' Quota ',' Out ',' Credit ',' Value ',' Application ',' Lock ',' Kah ',' Thank you ',' Please ',' His Response ', "]</v>
      </c>
      <c r="D242" s="3">
        <v>3.0</v>
      </c>
    </row>
    <row r="243" ht="15.75" customHeight="1">
      <c r="A243" s="1">
        <v>241.0</v>
      </c>
      <c r="B243" s="3" t="s">
        <v>244</v>
      </c>
      <c r="C243" s="3" t="str">
        <f>IFERROR(__xludf.DUMMYFUNCTION("GOOGLETRANSLATE(B243,""id"",""en"")"),"['service', 'quality', 'signal', 'village', 'fix', 'die', 'electricity', 'sinnyal', 'dead', 'lost', 'electricity', 'flame', ' Mending ',' signal ',' Direct ',' Wait ',' Loading ',' Minutes', 'Sousal', 'Already', 'Can', 'Sinyal', 'Electricity', 'Dead', 'Lo"&amp;"st' , 'Sousal', 'job', 'Wait', 'Wait', 'signal']")</f>
        <v>['service', 'quality', 'signal', 'village', 'fix', 'die', 'electricity', 'sinnyal', 'dead', 'lost', 'electricity', 'flame', ' Mending ',' signal ',' Direct ',' Wait ',' Loading ',' Minutes', 'Sousal', 'Already', 'Can', 'Sinyal', 'Electricity', 'Dead', 'Lost' , 'Sousal', 'job', 'Wait', 'Wait', 'signal']</v>
      </c>
      <c r="D243" s="3">
        <v>5.0</v>
      </c>
    </row>
    <row r="244" ht="15.75" customHeight="1">
      <c r="A244" s="1">
        <v>242.0</v>
      </c>
      <c r="B244" s="3" t="s">
        <v>245</v>
      </c>
      <c r="C244" s="3" t="str">
        <f>IFERROR(__xludf.DUMMYFUNCTION("GOOGLETRANSLATE(B244,""id"",""en"")"),"['min', 'abis',' package ',' pulse ',' take ',' mulu ',' ngak ',' features', 'abis',' package ',' pulse ',' ngak ',' Take ',' times', 'France', 'Buy', 'Package', 'Buy', 'Credit', 'Loss',' Min ',' Untung ',' Telkomsel ',' Apalgi ',' Network ' , 'Like', 'la"&amp;"g', 'lag', 'ngak']")</f>
        <v>['min', 'abis',' package ',' pulse ',' take ',' mulu ',' ngak ',' features', 'abis',' package ',' pulse ',' ngak ',' Take ',' times', 'France', 'Buy', 'Package', 'Buy', 'Credit', 'Loss',' Min ',' Untung ',' Telkomsel ',' Apalgi ',' Network ' , 'Like', 'lag', 'lag', 'ngak']</v>
      </c>
      <c r="D244" s="3">
        <v>1.0</v>
      </c>
    </row>
    <row r="245" ht="15.75" customHeight="1">
      <c r="A245" s="1">
        <v>243.0</v>
      </c>
      <c r="B245" s="3" t="s">
        <v>246</v>
      </c>
      <c r="C245" s="3" t="str">
        <f>IFERROR(__xludf.DUMMYFUNCTION("GOOGLETRANSLATE(B245,""id"",""en"")"),"['Update', 'Teros', 'Lemot', 'Bosqu', 'Disappointed', '']")</f>
        <v>['Update', 'Teros', 'Lemot', 'Bosqu', 'Disappointed', '']</v>
      </c>
      <c r="D245" s="3">
        <v>1.0</v>
      </c>
    </row>
    <row r="246" ht="15.75" customHeight="1">
      <c r="A246" s="1">
        <v>244.0</v>
      </c>
      <c r="B246" s="3" t="s">
        <v>247</v>
      </c>
      <c r="C246" s="3" t="str">
        <f>IFERROR(__xludf.DUMMYFUNCTION("GOOGLETRANSLATE(B246,""id"",""en"")"),"['little', 'little', 'quota', 'run out', 'pulse', 'directly', 'ilang', 'run out', 'contents',' pulse ',' then ',' quota ',' run out ',' right ',' want ',' package ',' pulse ',' hit ',' mentally ',' dahlah ',' replace ',' card ']")</f>
        <v>['little', 'little', 'quota', 'run out', 'pulse', 'directly', 'ilang', 'run out', 'contents',' pulse ',' then ',' quota ',' run out ',' right ',' want ',' package ',' pulse ',' hit ',' mentally ',' dahlah ',' replace ',' card ']</v>
      </c>
      <c r="D246" s="3">
        <v>1.0</v>
      </c>
    </row>
    <row r="247" ht="15.75" customHeight="1">
      <c r="A247" s="1">
        <v>245.0</v>
      </c>
      <c r="B247" s="3" t="s">
        <v>248</v>
      </c>
      <c r="C247" s="3" t="str">
        <f>IFERROR(__xludf.DUMMYFUNCTION("GOOGLETRANSLATE(B247,""id"",""en"")"),"['Please', 'connection', 'internet', 'speed', 'cook', 'data', 'internet', 'expensive', 'slow', 'signal', 'full', 'connection', ' Loty ']")</f>
        <v>['Please', 'connection', 'internet', 'speed', 'cook', 'data', 'internet', 'expensive', 'slow', 'signal', 'full', 'connection', ' Loty ']</v>
      </c>
      <c r="D247" s="3">
        <v>1.0</v>
      </c>
    </row>
    <row r="248" ht="15.75" customHeight="1">
      <c r="A248" s="1">
        <v>246.0</v>
      </c>
      <c r="B248" s="3" t="s">
        <v>249</v>
      </c>
      <c r="C248" s="3" t="str">
        <f>IFERROR(__xludf.DUMMYFUNCTION("GOOGLETRANSLATE(B248,""id"",""en"")"),"['Increase', 'quality', 'network', 'price', 'Nggk', 'according to', 'quality', 'disappointed', 'already', 'price', 'package', 'expensive', ' network ',' good ',' lbih ',' good ',' card ']")</f>
        <v>['Increase', 'quality', 'network', 'price', 'Nggk', 'according to', 'quality', 'disappointed', 'already', 'price', 'package', 'expensive', ' network ',' good ',' lbih ',' good ',' card ']</v>
      </c>
      <c r="D248" s="3">
        <v>1.0</v>
      </c>
    </row>
    <row r="249" ht="15.75" customHeight="1">
      <c r="A249" s="1">
        <v>247.0</v>
      </c>
      <c r="B249" s="3" t="s">
        <v>250</v>
      </c>
      <c r="C249" s="3" t="str">
        <f>IFERROR(__xludf.DUMMYFUNCTION("GOOGLETRANSLATE(B249,""id"",""en"")"),"['Internet', 'card', 'Hello', 'down', 'pdhl', 'every time', 'online', 'hours',' priority ',' customer ',' hello ',' ']")</f>
        <v>['Internet', 'card', 'Hello', 'down', 'pdhl', 'every time', 'online', 'hours',' priority ',' customer ',' hello ',' ']</v>
      </c>
      <c r="D249" s="3">
        <v>3.0</v>
      </c>
    </row>
    <row r="250" ht="15.75" customHeight="1">
      <c r="A250" s="1">
        <v>248.0</v>
      </c>
      <c r="B250" s="3" t="s">
        <v>251</v>
      </c>
      <c r="C250" s="3" t="str">
        <f>IFERROR(__xludf.DUMMYFUNCTION("GOOGLETRANSLATE(B250,""id"",""en"")"),"['Slow', 'Disiang', 'Sometimes',' Signal ',' Lost ',' Order ',' Too ',' Due ',' Signal ',' Sometimes', 'Sometimes',' Nggk ',' Season ',' Ama ',' Tong ',' Udh ',' BBRAPA ',' Telkomsel ',' slow ',' Season ',' Tong ',' Ama ', ""]")</f>
        <v>['Slow', 'Disiang', 'Sometimes',' Signal ',' Lost ',' Order ',' Too ',' Due ',' Signal ',' Sometimes', 'Sometimes',' Nggk ',' Season ',' Ama ',' Tong ',' Udh ',' BBRAPA ',' Telkomsel ',' slow ',' Season ',' Tong ',' Ama ', "]</v>
      </c>
      <c r="D250" s="3">
        <v>1.0</v>
      </c>
    </row>
    <row r="251" ht="15.75" customHeight="1">
      <c r="A251" s="1">
        <v>249.0</v>
      </c>
      <c r="B251" s="3" t="s">
        <v>252</v>
      </c>
      <c r="C251" s="3" t="str">
        <f>IFERROR(__xludf.DUMMYFUNCTION("GOOGLETRANSLATE(B251,""id"",""en"")"),"['difficult', 'transaction', 'code', 'OTP', 'enter', 'many', 'price', 'package', 'expensive', 'recommendit', 'blas',' latest ',' UPLICATION ',' STOP ',' Transaction ',' Belipaket ',' ']")</f>
        <v>['difficult', 'transaction', 'code', 'OTP', 'enter', 'many', 'price', 'package', 'expensive', 'recommendit', 'blas',' latest ',' UPLICATION ',' STOP ',' Transaction ',' Belipaket ',' ']</v>
      </c>
      <c r="D251" s="3">
        <v>1.0</v>
      </c>
    </row>
    <row r="252" ht="15.75" customHeight="1">
      <c r="A252" s="1">
        <v>250.0</v>
      </c>
      <c r="B252" s="3" t="s">
        <v>253</v>
      </c>
      <c r="C252" s="3" t="str">
        <f>IFERROR(__xludf.DUMMYFUNCTION("GOOGLETRANSLATE(B252,""id"",""en"")"),"['Kanepa', 'Telkomsel', 'slow', 'package', 'TPI', 'slow', 'right', 'Rain', ""]")</f>
        <v>['Kanepa', 'Telkomsel', 'slow', 'package', 'TPI', 'slow', 'right', 'Rain', "]</v>
      </c>
      <c r="D252" s="3">
        <v>4.0</v>
      </c>
    </row>
    <row r="253" ht="15.75" customHeight="1">
      <c r="A253" s="1">
        <v>251.0</v>
      </c>
      <c r="B253" s="3" t="s">
        <v>254</v>
      </c>
      <c r="C253" s="3" t="str">
        <f>IFERROR(__xludf.DUMMYFUNCTION("GOOGLETRANSLATE(B253,""id"",""en"")"),"['Sorry', 'how', 'Siknyal', 'Telkomsel', 'then', 'Siknyal', 'Telkomsel', 'Extensive', 'Good', 'Suggestions',' Kasi ',' Good ',' Connection ',' Siknyal ',' Thank you ', ""]")</f>
        <v>['Sorry', 'how', 'Siknyal', 'Telkomsel', 'then', 'Siknyal', 'Telkomsel', 'Extensive', 'Good', 'Suggestions',' Kasi ',' Good ',' Connection ',' Siknyal ',' Thank you ', "]</v>
      </c>
      <c r="D253" s="3">
        <v>1.0</v>
      </c>
    </row>
    <row r="254" ht="15.75" customHeight="1">
      <c r="A254" s="1">
        <v>252.0</v>
      </c>
      <c r="B254" s="3" t="s">
        <v>255</v>
      </c>
      <c r="C254" s="3" t="str">
        <f>IFERROR(__xludf.DUMMYFUNCTION("GOOGLETRANSLATE(B254,""id"",""en"")"),"['Hoy', 'System', 'Disright', 'Contents',' Credit ',' Maketin ',' Cut ',' Package ',' Expensive ',' Collaps', 'Already', 'Matiin', ' the data ',' pulses', 'Sumpot', 'Huuu']")</f>
        <v>['Hoy', 'System', 'Disright', 'Contents',' Credit ',' Maketin ',' Cut ',' Package ',' Expensive ',' Collaps', 'Already', 'Matiin', ' the data ',' pulses', 'Sumpot', 'Huuu']</v>
      </c>
      <c r="D254" s="3">
        <v>1.0</v>
      </c>
    </row>
    <row r="255" ht="15.75" customHeight="1">
      <c r="A255" s="1">
        <v>253.0</v>
      </c>
      <c r="B255" s="3" t="s">
        <v>256</v>
      </c>
      <c r="C255" s="3" t="str">
        <f>IFERROR(__xludf.DUMMYFUNCTION("GOOGLETRANSLATE(B255,""id"",""en"")"),"['Changed', 'Change', 'Sis',' Sinyal ',' Sometimes', 'Sometimes',' Sometimes', 'Like', 'Season', 'Already', 'Buy', 'Expensive', ' his signal ',' down ',' kagak ',' beg ',' repaired ',' kak ']")</f>
        <v>['Changed', 'Change', 'Sis',' Sinyal ',' Sometimes', 'Sometimes',' Sometimes', 'Like', 'Season', 'Already', 'Buy', 'Expensive', ' his signal ',' down ',' kagak ',' beg ',' repaired ',' kak ']</v>
      </c>
      <c r="D255" s="3">
        <v>1.0</v>
      </c>
    </row>
    <row r="256" ht="15.75" customHeight="1">
      <c r="A256" s="1">
        <v>254.0</v>
      </c>
      <c r="B256" s="3" t="s">
        <v>257</v>
      </c>
      <c r="C256" s="3" t="str">
        <f>IFERROR(__xludf.DUMMYFUNCTION("GOOGLETRANSLATE(B256,""id"",""en"")"),"['', 'village', 'Biting', 'Badegan', 'Ponorogo', 'Javanese', 'East', 'tour', 'named', 'Bukit', 'Suharto', 'visitors',' ppkm ',' signal ',' Telkomsel ',' darling ',' ']")</f>
        <v>['', 'village', 'Biting', 'Badegan', 'Ponorogo', 'Javanese', 'East', 'tour', 'named', 'Bukit', 'Suharto', 'visitors',' ppkm ',' signal ',' Telkomsel ',' darling ',' ']</v>
      </c>
      <c r="D256" s="3">
        <v>5.0</v>
      </c>
    </row>
    <row r="257" ht="15.75" customHeight="1">
      <c r="A257" s="1">
        <v>255.0</v>
      </c>
      <c r="B257" s="3" t="s">
        <v>258</v>
      </c>
      <c r="C257" s="3" t="str">
        <f>IFERROR(__xludf.DUMMYFUNCTION("GOOGLETRANSLATE(B257,""id"",""en"")"),"['quota', 'family', 'appears',' check ',' appears', 'quota', 'use', 'family', 'use', 'Telkomsel', 'wife', 'quota', ' Families', 'deleted', '']")</f>
        <v>['quota', 'family', 'appears',' check ',' appears', 'quota', 'use', 'family', 'use', 'Telkomsel', 'wife', 'quota', ' Families', 'deleted', '']</v>
      </c>
      <c r="D257" s="3">
        <v>3.0</v>
      </c>
    </row>
    <row r="258" ht="15.75" customHeight="1">
      <c r="A258" s="1">
        <v>256.0</v>
      </c>
      <c r="B258" s="3" t="s">
        <v>259</v>
      </c>
      <c r="C258" s="3" t="str">
        <f>IFERROR(__xludf.DUMMYFUNCTION("GOOGLETRANSLATE(B258,""id"",""en"")"),"['Price', 'Package', 'Please', 'Conducts',' Pandemic ',' Mending ',' Cave ',' Move ',' Provider ',' Siknal ',' Garbage ',' Error ',' Mulu ',' Goat ',' Application ',' Open ']")</f>
        <v>['Price', 'Package', 'Please', 'Conducts',' Pandemic ',' Mending ',' Cave ',' Move ',' Provider ',' Siknal ',' Garbage ',' Error ',' Mulu ',' Goat ',' Application ',' Open ']</v>
      </c>
      <c r="D258" s="3">
        <v>1.0</v>
      </c>
    </row>
    <row r="259" ht="15.75" customHeight="1">
      <c r="A259" s="1">
        <v>257.0</v>
      </c>
      <c r="B259" s="3" t="s">
        <v>260</v>
      </c>
      <c r="C259" s="3" t="str">
        <f>IFERROR(__xludf.DUMMYFUNCTION("GOOGLETRANSLATE(B259,""id"",""en"")"),"['It's easier for', 'customers', 'packages', 'offered', 'interesting', 'cheap', 'really']")</f>
        <v>['It's easier for', 'customers', 'packages', 'offered', 'interesting', 'cheap', 'really']</v>
      </c>
      <c r="D259" s="3">
        <v>5.0</v>
      </c>
    </row>
    <row r="260" ht="15.75" customHeight="1">
      <c r="A260" s="1">
        <v>258.0</v>
      </c>
      <c r="B260" s="3" t="s">
        <v>261</v>
      </c>
      <c r="C260" s="3" t="str">
        <f>IFERROR(__xludf.DUMMYFUNCTION("GOOGLETRANSLATE(B260,""id"",""en"")"),"['buy', 'package', 'cheerful', 'menu', 'dial', 'application', 'Telkomsel', 'told', 'waiting', 'clock', 'tomorrow', 'try', ' Hmm ',' Wait ',' promo ',' missing ',' gmn ', ""]")</f>
        <v>['buy', 'package', 'cheerful', 'menu', 'dial', 'application', 'Telkomsel', 'told', 'waiting', 'clock', 'tomorrow', 'try', ' Hmm ',' Wait ',' promo ',' missing ',' gmn ', "]</v>
      </c>
      <c r="D260" s="3">
        <v>3.0</v>
      </c>
    </row>
    <row r="261" ht="15.75" customHeight="1">
      <c r="A261" s="1">
        <v>259.0</v>
      </c>
      <c r="B261" s="3" t="s">
        <v>262</v>
      </c>
      <c r="C261" s="3" t="str">
        <f>IFERROR(__xludf.DUMMYFUNCTION("GOOGLETRANSLATE(B261,""id"",""en"")"),"['Please', 'improvement', 'aeries',' good ',' network ',' bad ',' last night ',' list ',' package ',' data ',' bru ',' dipake ',' Maen ',' Gems', 'Chat', 'WhatsApp', 'slow', 'Maen', 'picture', 'watch', 'just', 'tired', 'crew', 'please', 'repair' , 'Gan', "&amp;"'crew', 'update', 'bad', ""]")</f>
        <v>['Please', 'improvement', 'aeries',' good ',' network ',' bad ',' last night ',' list ',' package ',' data ',' bru ',' dipake ',' Maen ',' Gems', 'Chat', 'WhatsApp', 'slow', 'Maen', 'picture', 'watch', 'just', 'tired', 'crew', 'please', 'repair' , 'Gan', 'crew', 'update', 'bad', "]</v>
      </c>
      <c r="D261" s="3">
        <v>1.0</v>
      </c>
    </row>
    <row r="262" ht="15.75" customHeight="1">
      <c r="A262" s="1">
        <v>260.0</v>
      </c>
      <c r="B262" s="3" t="s">
        <v>263</v>
      </c>
      <c r="C262" s="3" t="str">
        <f>IFERROR(__xludf.DUMMYFUNCTION("GOOGLETRANSLATE(B262,""id"",""en"")"),"['Troubled', 'Application', 'Play', 'Store', 'Edit', 'Comments', 'Blank', 'Reply', 'Review']")</f>
        <v>['Troubled', 'Application', 'Play', 'Store', 'Edit', 'Comments', 'Blank', 'Reply', 'Review']</v>
      </c>
      <c r="D262" s="3">
        <v>3.0</v>
      </c>
    </row>
    <row r="263" ht="15.75" customHeight="1">
      <c r="A263" s="1">
        <v>261.0</v>
      </c>
      <c r="B263" s="3" t="s">
        <v>264</v>
      </c>
      <c r="C263" s="3" t="str">
        <f>IFERROR(__xludf.DUMMYFUNCTION("GOOGLETRANSLATE(B263,""id"",""en"")"),"['right', 'That's',' really ',' lost ',' network ',' just ',' Mending ',' quota ',' buy ',' price ',' affordable ',' expensive ',' Really ',' Hook ',' Gini ']")</f>
        <v>['right', 'That's',' really ',' lost ',' network ',' just ',' Mending ',' quota ',' buy ',' price ',' affordable ',' expensive ',' Really ',' Hook ',' Gini ']</v>
      </c>
      <c r="D263" s="3">
        <v>1.0</v>
      </c>
    </row>
    <row r="264" ht="15.75" customHeight="1">
      <c r="A264" s="1">
        <v>262.0</v>
      </c>
      <c r="B264" s="3" t="s">
        <v>265</v>
      </c>
      <c r="C264" s="3" t="str">
        <f>IFERROR(__xludf.DUMMYFUNCTION("GOOGLETRANSLATE(B264,""id"",""en"")"),"['network', 'internet', 'Telkomsel', 'rich', 'pig', 'moved', 'good']")</f>
        <v>['network', 'internet', 'Telkomsel', 'rich', 'pig', 'moved', 'good']</v>
      </c>
      <c r="D264" s="3">
        <v>1.0</v>
      </c>
    </row>
    <row r="265" ht="15.75" customHeight="1">
      <c r="A265" s="1">
        <v>263.0</v>
      </c>
      <c r="B265" s="3" t="s">
        <v>266</v>
      </c>
      <c r="C265" s="3" t="str">
        <f>IFERROR(__xludf.DUMMYFUNCTION("GOOGLETRANSLATE(B265,""id"",""en"")"),"['Telkomsel', 'corruption', 'ape', 'how', 'gini', 'buy', 'package', 'GB', 'RB', 'MNT', 'SMS', 'Tlkomsel', ' Sya ',' buy ',' contents', 'plsa', 'rb', 'buy', 'leftover', 'plsa', 'left', 'rb', 'pke', 'telpn', 'tlkmsel' , 'TPI', 'Sumpot', 'pliers',' MNT ',' T"&amp;"elepn ',' Njirr ',' Tlong ',' YSEL ',' Fix ',' Bug ',' Update ',' APK ',' Change ',' Mending ',' repay ',' Genesis', 'Customer', 'Satisfied']")</f>
        <v>['Telkomsel', 'corruption', 'ape', 'how', 'gini', 'buy', 'package', 'GB', 'RB', 'MNT', 'SMS', 'Tlkomsel', ' Sya ',' buy ',' contents', 'plsa', 'rb', 'buy', 'leftover', 'plsa', 'left', 'rb', 'pke', 'telpn', 'tlkmsel' , 'TPI', 'Sumpot', 'pliers',' MNT ',' Telepn ',' Njirr ',' Tlong ',' YSEL ',' Fix ',' Bug ',' Update ',' APK ',' Change ',' Mending ',' repay ',' Genesis', 'Customer', 'Satisfied']</v>
      </c>
      <c r="D265" s="3">
        <v>1.0</v>
      </c>
    </row>
    <row r="266" ht="15.75" customHeight="1">
      <c r="A266" s="1">
        <v>264.0</v>
      </c>
      <c r="B266" s="3" t="s">
        <v>267</v>
      </c>
      <c r="C266" s="3" t="str">
        <f>IFERROR(__xludf.DUMMYFUNCTION("GOOGLETRANSLATE(B266,""id"",""en"")"),"['Win', 'many years', 'Wear', 'Telkomsel', 'hope', 'Win', 'Telkom', ""]")</f>
        <v>['Win', 'many years', 'Wear', 'Telkomsel', 'hope', 'Win', 'Telkom', "]</v>
      </c>
      <c r="D266" s="3">
        <v>4.0</v>
      </c>
    </row>
    <row r="267" ht="15.75" customHeight="1">
      <c r="A267" s="1">
        <v>265.0</v>
      </c>
      <c r="B267" s="3" t="s">
        <v>268</v>
      </c>
      <c r="C267" s="3" t="str">
        <f>IFERROR(__xludf.DUMMYFUNCTION("GOOGLETRANSLATE(B267,""id"",""en"")"),"['Thank you', 'Telkomsel', 'Network', 'You', 'Region', 'Expand', 'Network', 'Region', 'Yes',' Thanks', 'Network', 'Retirement', ' change', '']")</f>
        <v>['Thank you', 'Telkomsel', 'Network', 'You', 'Region', 'Expand', 'Network', 'Region', 'Yes',' Thanks', 'Network', 'Retirement', ' change', '']</v>
      </c>
      <c r="D267" s="3">
        <v>1.0</v>
      </c>
    </row>
    <row r="268" ht="15.75" customHeight="1">
      <c r="A268" s="1">
        <v>266.0</v>
      </c>
      <c r="B268" s="3" t="s">
        <v>269</v>
      </c>
      <c r="C268" s="3" t="str">
        <f>IFERROR(__xludf.DUMMYFUNCTION("GOOGLETRANSLATE(B268,""id"",""en"")"),"['login', 'credit', 'free', 'use', 'active', 'a day', 'call', 'package', 'internet', 'quota', 'lipservice', 'Telkomsel', ' ']")</f>
        <v>['login', 'credit', 'free', 'use', 'active', 'a day', 'call', 'package', 'internet', 'quota', 'lipservice', 'Telkomsel', ' ']</v>
      </c>
      <c r="D268" s="3">
        <v>4.0</v>
      </c>
    </row>
    <row r="269" ht="15.75" customHeight="1">
      <c r="A269" s="1">
        <v>267.0</v>
      </c>
      <c r="B269" s="3" t="s">
        <v>270</v>
      </c>
      <c r="C269" s="3" t="str">
        <f>IFERROR(__xludf.DUMMYFUNCTION("GOOGLETRANSLATE(B269,""id"",""en"")"),"['Wonder', 'times',' enter ',' SMS ',' loan ',' online ',' name ',' sms', 'enter', 'Please', 'Telkomsel', 'enhanced', ' Quality ',' Security ',' Data ',' Customer ',' Network ',' Telkomsel ',' The ',' Best ']")</f>
        <v>['Wonder', 'times',' enter ',' SMS ',' loan ',' online ',' name ',' sms', 'enter', 'Please', 'Telkomsel', 'enhanced', ' Quality ',' Security ',' Data ',' Customer ',' Network ',' Telkomsel ',' The ',' Best ']</v>
      </c>
      <c r="D269" s="3">
        <v>5.0</v>
      </c>
    </row>
    <row r="270" ht="15.75" customHeight="1">
      <c r="A270" s="1">
        <v>268.0</v>
      </c>
      <c r="B270" s="3" t="s">
        <v>271</v>
      </c>
      <c r="C270" s="3" t="str">
        <f>IFERROR(__xludf.DUMMYFUNCTION("GOOGLETRANSLATE(B270,""id"",""en"")"),"['aspect', 'network', 'kenceng', 'bet', 'business', 'price', 'package', 'friendly']")</f>
        <v>['aspect', 'network', 'kenceng', 'bet', 'business', 'price', 'package', 'friendly']</v>
      </c>
      <c r="D270" s="3">
        <v>5.0</v>
      </c>
    </row>
    <row r="271" ht="15.75" customHeight="1">
      <c r="A271" s="1">
        <v>269.0</v>
      </c>
      <c r="B271" s="3" t="s">
        <v>272</v>
      </c>
      <c r="C271" s="3" t="str">
        <f>IFERROR(__xludf.DUMMYFUNCTION("GOOGLETRANSLATE(B271,""id"",""en"")"),"['admin', 'buy', 'package', 'gamesmax', 'list', 'game', 'mlbb', 'line', 'let', 'get', 'rich', 'right', ' Play ',' Lets', 'Get', 'Rich', 'Enter', 'MLBB', 'Reconect', 'Please', 'Fix', 'Kasian', 'Buyer', 'buy', 'quota' , 'GameSmax', 'used', 'Main', 'Mending'"&amp;", 'List', 'Game', 'Nggk', 'Main', 'Tipu', 'Buyer', ""]")</f>
        <v>['admin', 'buy', 'package', 'gamesmax', 'list', 'game', 'mlbb', 'line', 'let', 'get', 'rich', 'right', ' Play ',' Lets', 'Get', 'Rich', 'Enter', 'MLBB', 'Reconect', 'Please', 'Fix', 'Kasian', 'Buyer', 'buy', 'quota' , 'GameSmax', 'used', 'Main', 'Mending', 'List', 'Game', 'Nggk', 'Main', 'Tipu', 'Buyer', "]</v>
      </c>
      <c r="D271" s="3">
        <v>1.0</v>
      </c>
    </row>
    <row r="272" ht="15.75" customHeight="1">
      <c r="A272" s="1">
        <v>270.0</v>
      </c>
      <c r="B272" s="3" t="s">
        <v>273</v>
      </c>
      <c r="C272" s="3" t="str">
        <f>IFERROR(__xludf.DUMMYFUNCTION("GOOGLETRANSLATE(B272,""id"",""en"")"),"['Telkomsel', 'Cut', 'pulses',' ngeta ',' in ',' ringtone ',' ringtone ',' call ',' free ',' then ',' package ',' Data ',' right ',' check ',' pulse ',' cut ',' Telkomsel ',' notification ',' skli ',' complain ',' where ', ""]")</f>
        <v>['Telkomsel', 'Cut', 'pulses',' ngeta ',' in ',' ringtone ',' ringtone ',' call ',' free ',' then ',' package ',' Data ',' right ',' check ',' pulse ',' cut ',' Telkomsel ',' notification ',' skli ',' complain ',' where ', "]</v>
      </c>
      <c r="D272" s="3">
        <v>1.0</v>
      </c>
    </row>
    <row r="273" ht="15.75" customHeight="1">
      <c r="A273" s="1">
        <v>271.0</v>
      </c>
      <c r="B273" s="3" t="s">
        <v>274</v>
      </c>
      <c r="C273" s="3" t="str">
        <f>IFERROR(__xludf.DUMMYFUNCTION("GOOGLETRANSLATE(B273,""id"",""en"")"),"['Increase', 'signal', 'signal', 'slow', 'really', 'Nganjuk', 'Surabaya', 'Tuban', ""]")</f>
        <v>['Increase', 'signal', 'signal', 'slow', 'really', 'Nganjuk', 'Surabaya', 'Tuban', "]</v>
      </c>
      <c r="D273" s="3">
        <v>5.0</v>
      </c>
    </row>
    <row r="274" ht="15.75" customHeight="1">
      <c r="A274" s="1">
        <v>272.0</v>
      </c>
      <c r="B274" s="3" t="s">
        <v>275</v>
      </c>
      <c r="C274" s="3" t="str">
        <f>IFERROR(__xludf.DUMMYFUNCTION("GOOGLETRANSLATE(B274,""id"",""en"")"),"['Exchange', 'Points',' Package ',' Internet ',' Credit ',' Loss', 'Collect', 'Points',' Exchange ',' Expect ',' System ',' Exchange ',' Points', 'Packages',' Internet ',' GB ',' Credit ',' Points', 'Exchange', 'Agree', 'Like']")</f>
        <v>['Exchange', 'Points',' Package ',' Internet ',' Credit ',' Loss', 'Collect', 'Points',' Exchange ',' Expect ',' System ',' Exchange ',' Points', 'Packages',' Internet ',' GB ',' Credit ',' Points', 'Exchange', 'Agree', 'Like']</v>
      </c>
      <c r="D274" s="3">
        <v>5.0</v>
      </c>
    </row>
    <row r="275" ht="15.75" customHeight="1">
      <c r="A275" s="1">
        <v>273.0</v>
      </c>
      <c r="B275" s="3" t="s">
        <v>276</v>
      </c>
      <c r="C275" s="3" t="str">
        <f>IFERROR(__xludf.DUMMYFUNCTION("GOOGLETRANSLATE(B275,""id"",""en"")"),"['Hopefully', 'Lottery', 'Sepecial', 'Motor', 'Honda', 'Beat', 'Times',' Join ',' Telkomsel ',' Hopefully ',' Telkomsel ',' Society ',' Nusantara ',' ']")</f>
        <v>['Hopefully', 'Lottery', 'Sepecial', 'Motor', 'Honda', 'Beat', 'Times',' Join ',' Telkomsel ',' Hopefully ',' Telkomsel ',' Society ',' Nusantara ',' ']</v>
      </c>
      <c r="D275" s="3">
        <v>5.0</v>
      </c>
    </row>
    <row r="276" ht="15.75" customHeight="1">
      <c r="A276" s="1">
        <v>274.0</v>
      </c>
      <c r="B276" s="3" t="s">
        <v>277</v>
      </c>
      <c r="C276" s="3" t="str">
        <f>IFERROR(__xludf.DUMMYFUNCTION("GOOGLETRANSLATE(B276,""id"",""en"")"),"['Benccii', 'ama', 'Telkomsel', 'pulse', 'pending', 'mesk', 'pulse', 'permission', 'napa', 'keselel', 'me', 'elaahh', ' package ',' expensive ',' really ',' package ',' study ',' open ',' google ',' classroom ',' result ',' cana ',' already ',' bhayy ',' "&amp;"telkomsel ' , 'moved', 'axis',' cheap ',' quality ',' already ',' wee ',' make ',' Telkomsel ',' Telkomsel ',' loss', 'mahalin', 'ama', ' ']")</f>
        <v>['Benccii', 'ama', 'Telkomsel', 'pulse', 'pending', 'mesk', 'pulse', 'permission', 'napa', 'keselel', 'me', 'elaahh', ' package ',' expensive ',' really ',' package ',' study ',' open ',' google ',' classroom ',' result ',' cana ',' already ',' bhayy ',' telkomsel ' , 'moved', 'axis',' cheap ',' quality ',' already ',' wee ',' make ',' Telkomsel ',' Telkomsel ',' loss', 'mahalin', 'ama', ' ']</v>
      </c>
      <c r="D276" s="3">
        <v>1.0</v>
      </c>
    </row>
    <row r="277" ht="15.75" customHeight="1">
      <c r="A277" s="1">
        <v>275.0</v>
      </c>
      <c r="B277" s="3" t="s">
        <v>278</v>
      </c>
      <c r="C277" s="3" t="str">
        <f>IFERROR(__xludf.DUMMYFUNCTION("GOOGLETRANSLATE(B277,""id"",""en"")"),"['Telkomsel', 'Please', 'Exchange', 'Points',' Package ',' Internet ',' Teaming ',' Credit ',' Loss', 'Collect', 'Points',' Redeem ',' package ',' internet ',' pulse ',' GB ',' Points', 'delicious',' Telkomsel ',' exchange ',' Points', 'package', 'free', "&amp;"""]")</f>
        <v>['Telkomsel', 'Please', 'Exchange', 'Points',' Package ',' Internet ',' Teaming ',' Credit ',' Loss', 'Collect', 'Points',' Redeem ',' package ',' internet ',' pulse ',' GB ',' Points', 'delicious',' Telkomsel ',' exchange ',' Points', 'package', 'free', "]</v>
      </c>
      <c r="D277" s="3">
        <v>2.0</v>
      </c>
    </row>
    <row r="278" ht="15.75" customHeight="1">
      <c r="A278" s="1">
        <v>276.0</v>
      </c>
      <c r="B278" s="3" t="s">
        <v>279</v>
      </c>
      <c r="C278" s="3" t="str">
        <f>IFERROR(__xludf.DUMMYFUNCTION("GOOGLETRANSLATE(B278,""id"",""en"")"),"['Knp', 'Package', 'Unlimited', 'wasteful', 'Bangtt', 'Min', 'No "",' Buy ',' Yesterday ',' Ehh ',' Abis ',' Ampunn ',' GIMNA ',' Please ',' Card ',' Telkom ',' Version ',' ']")</f>
        <v>['Knp', 'Package', 'Unlimited', 'wasteful', 'Bangtt', 'Min', 'No ",' Buy ',' Yesterday ',' Ehh ',' Abis ',' Ampunn ',' GIMNA ',' Please ',' Card ',' Telkom ',' Version ',' ']</v>
      </c>
      <c r="D278" s="3">
        <v>1.0</v>
      </c>
    </row>
    <row r="279" ht="15.75" customHeight="1">
      <c r="A279" s="1">
        <v>277.0</v>
      </c>
      <c r="B279" s="3" t="s">
        <v>280</v>
      </c>
      <c r="C279" s="3" t="str">
        <f>IFERROR(__xludf.DUMMYFUNCTION("GOOGLETRANSLATE(B279,""id"",""en"")"),"['Network', 'ugly', 'told', 'fix', 'guess', 'no "",' fix ',' reasons ',' complement ',' no ',' change ',' Yuman ',' Muter ',' price ',' expensive ',' quality ',' network ',' bad ',' kah ',' Telkomsel ']")</f>
        <v>['Network', 'ugly', 'told', 'fix', 'guess', 'no ",' fix ',' reasons ',' complement ',' no ',' change ',' Yuman ',' Muter ',' price ',' expensive ',' quality ',' network ',' bad ',' kah ',' Telkomsel ']</v>
      </c>
      <c r="D279" s="3">
        <v>1.0</v>
      </c>
    </row>
    <row r="280" ht="15.75" customHeight="1">
      <c r="A280" s="1">
        <v>278.0</v>
      </c>
      <c r="B280" s="3" t="s">
        <v>281</v>
      </c>
      <c r="C280" s="3" t="str">
        <f>IFERROR(__xludf.DUMMYFUNCTION("GOOGLETRANSLATE(B280,""id"",""en"")"),"['Please', 'Repaired', 'Network', 'Region', 'Exact', 'Kerinci', 'Province', 'Jambi', 'People', 'Switch', 'Card', 'Network', ' Stable ',' Sometimes', 'missing', 'sometimes',' sometimes', 'emergency', 'already', 'buy', 'package', 'expensive', 'constrained',"&amp;" 'network', ""]")</f>
        <v>['Please', 'Repaired', 'Network', 'Region', 'Exact', 'Kerinci', 'Province', 'Jambi', 'People', 'Switch', 'Card', 'Network', ' Stable ',' Sometimes', 'missing', 'sometimes',' sometimes', 'emergency', 'already', 'buy', 'package', 'expensive', 'constrained', 'network', "]</v>
      </c>
      <c r="D280" s="3">
        <v>1.0</v>
      </c>
    </row>
    <row r="281" ht="15.75" customHeight="1">
      <c r="A281" s="1">
        <v>279.0</v>
      </c>
      <c r="B281" s="3" t="s">
        <v>282</v>
      </c>
      <c r="C281" s="3" t="str">
        <f>IFERROR(__xludf.DUMMYFUNCTION("GOOGLETRANSLATE(B281,""id"",""en"")"),"['Telkomsel', 'detrimental', 'data', 'run out', 'lgsg', 'nyedot', 'pulse', 'provider', 'notification', 'abis',' connect ',' contents', ' reset ',' bye ',' backward ',' provider ',' quality ',' abis', 'change', 'provider', '']")</f>
        <v>['Telkomsel', 'detrimental', 'data', 'run out', 'lgsg', 'nyedot', 'pulse', 'provider', 'notification', 'abis',' connect ',' contents', ' reset ',' bye ',' backward ',' provider ',' quality ',' abis', 'change', 'provider', '']</v>
      </c>
      <c r="D281" s="3">
        <v>2.0</v>
      </c>
    </row>
    <row r="282" ht="15.75" customHeight="1">
      <c r="A282" s="1">
        <v>280.0</v>
      </c>
      <c r="B282" s="3" t="s">
        <v>283</v>
      </c>
      <c r="C282" s="3" t="str">
        <f>IFERROR(__xludf.DUMMYFUNCTION("GOOGLETRANSLATE(B282,""id"",""en"")"),"['Severe', 'leftover', 'pulse', 'cave', 'taken', 'package', 'data', 'phone', 'active', 'no', 'make', 'pulses',' Strange ',' Pikan ',' Telkomsel ',' really ',' take ',' pulse ',' cave ',' confirm ',' wonder ']")</f>
        <v>['Severe', 'leftover', 'pulse', 'cave', 'taken', 'package', 'data', 'phone', 'active', 'no', 'make', 'pulses',' Strange ',' Pikan ',' Telkomsel ',' really ',' take ',' pulse ',' cave ',' confirm ',' wonder ']</v>
      </c>
      <c r="D282" s="3">
        <v>1.0</v>
      </c>
    </row>
    <row r="283" ht="15.75" customHeight="1">
      <c r="A283" s="1">
        <v>281.0</v>
      </c>
      <c r="B283" s="3" t="s">
        <v>284</v>
      </c>
      <c r="C283" s="3" t="str">
        <f>IFERROR(__xludf.DUMMYFUNCTION("GOOGLETRANSLATE(B283,""id"",""en"")"),"['Good', 'get', 'credit', 'rb', 'run out', 'download', 'application']")</f>
        <v>['Good', 'get', 'credit', 'rb', 'run out', 'download', 'application']</v>
      </c>
      <c r="D283" s="3">
        <v>5.0</v>
      </c>
    </row>
    <row r="284" ht="15.75" customHeight="1">
      <c r="A284" s="1">
        <v>282.0</v>
      </c>
      <c r="B284" s="3" t="s">
        <v>285</v>
      </c>
      <c r="C284" s="3" t="str">
        <f>IFERROR(__xludf.DUMMYFUNCTION("GOOGLETRANSLATE(B284,""id"",""en"")"),"['Permasalaca', 'usage', 'data', 'application', 'open', 'application', 'Telkomsel', 'data', 'direct', 'take-up', ""]")</f>
        <v>['Permasalaca', 'usage', 'data', 'application', 'open', 'application', 'Telkomsel', 'data', 'direct', 'take-up', "]</v>
      </c>
      <c r="D284" s="3">
        <v>5.0</v>
      </c>
    </row>
    <row r="285" ht="15.75" customHeight="1">
      <c r="A285" s="1">
        <v>283.0</v>
      </c>
      <c r="B285" s="3" t="s">
        <v>286</v>
      </c>
      <c r="C285" s="3" t="str">
        <f>IFERROR(__xludf.DUMMYFUNCTION("GOOGLETRANSLATE(B285,""id"",""en"")"),"['original', 'upgrade', 'ugly', 'easy', 'then', 'signal', 'ilang', 'enter', 'the application', 'please', 'fix', 'system', ' bother']")</f>
        <v>['original', 'upgrade', 'ugly', 'easy', 'then', 'signal', 'ilang', 'enter', 'the application', 'please', 'fix', 'system', ' bother']</v>
      </c>
      <c r="D285" s="3">
        <v>1.0</v>
      </c>
    </row>
    <row r="286" ht="15.75" customHeight="1">
      <c r="A286" s="1">
        <v>284.0</v>
      </c>
      <c r="B286" s="3" t="s">
        <v>287</v>
      </c>
      <c r="C286" s="3" t="str">
        <f>IFERROR(__xludf.DUMMYFUNCTION("GOOGLETRANSLATE(B286,""id"",""en"")"),"['Change', 'Speed', 'The Network', 'Delicious', '']")</f>
        <v>['Change', 'Speed', 'The Network', 'Delicious', '']</v>
      </c>
      <c r="D286" s="3">
        <v>5.0</v>
      </c>
    </row>
    <row r="287" ht="15.75" customHeight="1">
      <c r="A287" s="1">
        <v>285.0</v>
      </c>
      <c r="B287" s="3" t="s">
        <v>288</v>
      </c>
      <c r="C287" s="3" t="str">
        <f>IFERROR(__xludf.DUMMYFUNCTION("GOOGLETRANSLATE(B287,""id"",""en"")"),"['described', 'experience', 'user', 'card', 'Hello', 'unlimited', 'network', 'bad', 'prortion', 'unlimited', 'handy', 'package', ' Internet ',' expensive ']")</f>
        <v>['described', 'experience', 'user', 'card', 'Hello', 'unlimited', 'network', 'bad', 'prortion', 'unlimited', 'handy', 'package', ' Internet ',' expensive ']</v>
      </c>
      <c r="D287" s="3">
        <v>1.0</v>
      </c>
    </row>
    <row r="288" ht="15.75" customHeight="1">
      <c r="A288" s="1">
        <v>286.0</v>
      </c>
      <c r="B288" s="3" t="s">
        <v>289</v>
      </c>
      <c r="C288" s="3" t="str">
        <f>IFERROR(__xludf.DUMMYFUNCTION("GOOGLETRANSLATE(B288,""id"",""en"")"),"['network', 'rotting', 'clarity', 'network', 'disappointing', '']")</f>
        <v>['network', 'rotting', 'clarity', 'network', 'disappointing', '']</v>
      </c>
      <c r="D288" s="3">
        <v>1.0</v>
      </c>
    </row>
    <row r="289" ht="15.75" customHeight="1">
      <c r="A289" s="1">
        <v>287.0</v>
      </c>
      <c r="B289" s="3" t="s">
        <v>290</v>
      </c>
      <c r="C289" s="3" t="str">
        <f>IFERROR(__xludf.DUMMYFUNCTION("GOOGLETRANSLATE(B289,""id"",""en"")"),"['unlimited', 'unlimited', 'nongol', 'provider', 'contents',' pulse ',' buy ',' package ',' expensive ',' nyolong ',' pulse ',' dipake ',' Cut ',' Disight ',' Customer ',' Signal ',' Like ',' ilang ',' City ',' Lho ',' Promo ',' LIFE ',' LIFE ',' SMS ',' "&amp;"APP ' , 'Different', 'etc', 'advantages', 'signal', 'good', 'maintained', 'end']")</f>
        <v>['unlimited', 'unlimited', 'nongol', 'provider', 'contents',' pulse ',' buy ',' package ',' expensive ',' nyolong ',' pulse ',' dipake ',' Cut ',' Disight ',' Customer ',' Signal ',' Like ',' ilang ',' City ',' Lho ',' Promo ',' LIFE ',' LIFE ',' SMS ',' APP ' , 'Different', 'etc', 'advantages', 'signal', 'good', 'maintained', 'end']</v>
      </c>
      <c r="D289" s="3">
        <v>1.0</v>
      </c>
    </row>
    <row r="290" ht="15.75" customHeight="1">
      <c r="A290" s="1">
        <v>288.0</v>
      </c>
      <c r="B290" s="3" t="s">
        <v>291</v>
      </c>
      <c r="C290" s="3" t="str">
        <f>IFERROR(__xludf.DUMMYFUNCTION("GOOGLETRANSLATE(B290,""id"",""en"")"),"['Forgive AffairsBintangangatangnya', 'the matter of mentalidayaunch', 'daritadimencintauntukbisajajetaukasajuga', 'akandkasohsolusinyasupayasabisalogin']")</f>
        <v>['Forgive AffairsBintangangatangnya', 'the matter of mentalidayaunch', 'daritadimencintauntukbisajajetaukasajuga', 'akandkasohsolusinyasupayasabisalogin']</v>
      </c>
      <c r="D290" s="3">
        <v>1.0</v>
      </c>
    </row>
    <row r="291" ht="15.75" customHeight="1">
      <c r="A291" s="1">
        <v>289.0</v>
      </c>
      <c r="B291" s="3" t="s">
        <v>292</v>
      </c>
      <c r="C291" s="3" t="str">
        <f>IFERROR(__xludf.DUMMYFUNCTION("GOOGLETRANSLATE(B291,""id"",""en"")"),"['oath', 'UDH', 'package', 'promo', 'yaudh', 'ilangin', 'thereaa', 'turn', 'buy', 'kaga', 'pulse', 'ilang', ' ']")</f>
        <v>['oath', 'UDH', 'package', 'promo', 'yaudh', 'ilangin', 'thereaa', 'turn', 'buy', 'kaga', 'pulse', 'ilang', ' ']</v>
      </c>
      <c r="D291" s="3">
        <v>1.0</v>
      </c>
    </row>
    <row r="292" ht="15.75" customHeight="1">
      <c r="A292" s="1">
        <v>290.0</v>
      </c>
      <c r="B292" s="3" t="s">
        <v>293</v>
      </c>
      <c r="C292" s="3" t="str">
        <f>IFERROR(__xludf.DUMMYFUNCTION("GOOGLETRANSLATE(B292,""id"",""en"")"),"['method', 'payment', 'pulse', 'delicious', 'use', 'shopeepay', 'pls', 'direct', 'diverted']")</f>
        <v>['method', 'payment', 'pulse', 'delicious', 'use', 'shopeepay', 'pls', 'direct', 'diverted']</v>
      </c>
      <c r="D292" s="3">
        <v>4.0</v>
      </c>
    </row>
    <row r="293" ht="15.75" customHeight="1">
      <c r="A293" s="1">
        <v>291.0</v>
      </c>
      <c r="B293" s="3" t="s">
        <v>294</v>
      </c>
      <c r="C293" s="3" t="str">
        <f>IFERROR(__xludf.DUMMYFUNCTION("GOOGLETRANSLATE(B293,""id"",""en"")"),"['network', 'difficult', 'really', 'Gnya', 'person', 'ajah', 'signal', 'everytap', 'entip', 'already', 'kya', 'ajh', ' MHN ',' Region ',' Bagusin ',' Life ',' Region ',' Kota ',' Middle ',' Change ',' Provider ',' Deh ',' Already ',' Measons', 'Use' , 'Pr"&amp;"ovider', '']")</f>
        <v>['network', 'difficult', 'really', 'Gnya', 'person', 'ajah', 'signal', 'everytap', 'entip', 'already', 'kya', 'ajh', ' MHN ',' Region ',' Bagusin ',' Life ',' Region ',' Kota ',' Middle ',' Change ',' Provider ',' Deh ',' Already ',' Measons', 'Use' , 'Provider', '']</v>
      </c>
      <c r="D293" s="3">
        <v>1.0</v>
      </c>
    </row>
    <row r="294" ht="15.75" customHeight="1">
      <c r="A294" s="1">
        <v>292.0</v>
      </c>
      <c r="B294" s="3" t="s">
        <v>295</v>
      </c>
      <c r="C294" s="3" t="str">
        <f>IFERROR(__xludf.DUMMYFUNCTION("GOOGLETRANSLATE(B294,""id"",""en"")"),"['Please', 'Sorry', 'Review', 'Pleases',' TPI ',' Reality ',' Until ',' Thn ',' Card ',' Telkomsel ',' Good ',' Sousal ',' complicated ',' TPI ',' signal ',' severe ',' really ',' sometimes', 'open', 'lazada', 'youtube', 'difficult', 'forgiveness',' pke '"&amp;",' game ' , 'Online', 'mengelek', 'Mulu', 'loss', 'please', 'smooth', 'fix', '']")</f>
        <v>['Please', 'Sorry', 'Review', 'Pleases',' TPI ',' Reality ',' Until ',' Thn ',' Card ',' Telkomsel ',' Good ',' Sousal ',' complicated ',' TPI ',' signal ',' severe ',' really ',' sometimes', 'open', 'lazada', 'youtube', 'difficult', 'forgiveness',' pke ',' game ' , 'Online', 'mengelek', 'Mulu', 'loss', 'please', 'smooth', 'fix', '']</v>
      </c>
      <c r="D294" s="3">
        <v>2.0</v>
      </c>
    </row>
    <row r="295" ht="15.75" customHeight="1">
      <c r="A295" s="1">
        <v>293.0</v>
      </c>
      <c r="B295" s="3" t="s">
        <v>296</v>
      </c>
      <c r="C295" s="3" t="str">
        <f>IFERROR(__xludf.DUMMYFUNCTION("GOOGLETRANSLATE(B295,""id"",""en"")"),"['Customer', 'Telkomsel', 'disappointed', 'policy', 'increase', 'price', 'package', 'combo', 'Sakti', 'expensive', 'forced', 'use', ' brand ',' next door ']")</f>
        <v>['Customer', 'Telkomsel', 'disappointed', 'policy', 'increase', 'price', 'package', 'combo', 'Sakti', 'expensive', 'forced', 'use', ' brand ',' next door ']</v>
      </c>
      <c r="D295" s="3">
        <v>1.0</v>
      </c>
    </row>
    <row r="296" ht="15.75" customHeight="1">
      <c r="A296" s="1">
        <v>294.0</v>
      </c>
      <c r="B296" s="3" t="s">
        <v>297</v>
      </c>
      <c r="C296" s="3" t="str">
        <f>IFERROR(__xludf.DUMMYFUNCTION("GOOGLETRANSLATE(B296,""id"",""en"")"),"['smooth', 'Jaya', 'easy', 'steady', 'gaspooool', 'promo', 'package', '']")</f>
        <v>['smooth', 'Jaya', 'easy', 'steady', 'gaspooool', 'promo', 'package', '']</v>
      </c>
      <c r="D296" s="3">
        <v>5.0</v>
      </c>
    </row>
    <row r="297" ht="15.75" customHeight="1">
      <c r="A297" s="1">
        <v>295.0</v>
      </c>
      <c r="B297" s="3" t="s">
        <v>298</v>
      </c>
      <c r="C297" s="3" t="str">
        <f>IFERROR(__xludf.DUMMYFUNCTION("GOOGLETRANSLATE(B297,""id"",""en"")"),"['happy', 'convenience', 'promo', 'best', 'Telkomsel', 'Telkomsel', 'easy', 'purchase', 'quota', 'info', 'thank', ' Telkomsel ',' Hopefully ',' Jaya ',' ']")</f>
        <v>['happy', 'convenience', 'promo', 'best', 'Telkomsel', 'Telkomsel', 'easy', 'purchase', 'quota', 'info', 'thank', ' Telkomsel ',' Hopefully ',' Jaya ',' ']</v>
      </c>
      <c r="D297" s="3">
        <v>5.0</v>
      </c>
    </row>
    <row r="298" ht="15.75" customHeight="1">
      <c r="A298" s="1">
        <v>296.0</v>
      </c>
      <c r="B298" s="3" t="s">
        <v>299</v>
      </c>
      <c r="C298" s="3" t="str">
        <f>IFERROR(__xludf.DUMMYFUNCTION("GOOGLETRANSLATE(B298,""id"",""en"")"),"['Life', 'simple', 'happy', 'abundant', 'fire', 'hell', 'trimakasih', 'NKRI', '']")</f>
        <v>['Life', 'simple', 'happy', 'abundant', 'fire', 'hell', 'trimakasih', 'NKRI', '']</v>
      </c>
      <c r="D298" s="3">
        <v>1.0</v>
      </c>
    </row>
    <row r="299" ht="15.75" customHeight="1">
      <c r="A299" s="1">
        <v>297.0</v>
      </c>
      <c r="B299" s="3" t="s">
        <v>300</v>
      </c>
      <c r="C299" s="3" t="str">
        <f>IFERROR(__xludf.DUMMYFUNCTION("GOOGLETRANSLATE(B299,""id"",""en"")"),"['The application', 'good', 'help', 'easy', 'understood', 'language', 'easy', 'understood', 'installed', 'this', '']")</f>
        <v>['The application', 'good', 'help', 'easy', 'understood', 'language', 'easy', 'understood', 'installed', 'this', '']</v>
      </c>
      <c r="D299" s="3">
        <v>5.0</v>
      </c>
    </row>
    <row r="300" ht="15.75" customHeight="1">
      <c r="A300" s="1">
        <v>298.0</v>
      </c>
      <c r="B300" s="3" t="s">
        <v>301</v>
      </c>
      <c r="C300" s="3" t="str">
        <f>IFERROR(__xludf.DUMMYFUNCTION("GOOGLETRANSLATE(B300,""id"",""en"")"),"['Good', 'really', 'apk', 'no', 'expensive', 'buy', 'quota', 'see', 'really', 'deh', 'blg', 'kagak', ' Good ',' Wrong ',' My APK ',' Karna ',' APK ',' Bigss', 'Very', 'People', 'Ngirit', ""]")</f>
        <v>['Good', 'really', 'apk', 'no', 'expensive', 'buy', 'quota', 'see', 'really', 'deh', 'blg', 'kagak', ' Good ',' Wrong ',' My APK ',' Karna ',' APK ',' Bigss', 'Very', 'People', 'Ngirit', "]</v>
      </c>
      <c r="D300" s="3">
        <v>5.0</v>
      </c>
    </row>
    <row r="301" ht="15.75" customHeight="1">
      <c r="A301" s="1">
        <v>299.0</v>
      </c>
      <c r="B301" s="3" t="s">
        <v>302</v>
      </c>
      <c r="C301" s="3" t="str">
        <f>IFERROR(__xludf.DUMMYFUNCTION("GOOGLETRANSLATE(B301,""id"",""en"")"),"['Telkomsel', 'strange', 'promo', 'appears', 'click', 'writing', 'promo', 'what', '']")</f>
        <v>['Telkomsel', 'strange', 'promo', 'appears', 'click', 'writing', 'promo', 'what', '']</v>
      </c>
      <c r="D301" s="3">
        <v>5.0</v>
      </c>
    </row>
    <row r="302" ht="15.75" customHeight="1">
      <c r="A302" s="1">
        <v>300.0</v>
      </c>
      <c r="B302" s="3" t="s">
        <v>303</v>
      </c>
      <c r="C302" s="3" t="str">
        <f>IFERROR(__xludf.DUMMYFUNCTION("GOOGLETRANSLATE(B302,""id"",""en"")"),"['pulse', 'run out', 'package', 'internet', 'already', 'run out', 'try', 'suck', 'pulse', 'run out', 'quota', 'pules',' decreases', 'used']")</f>
        <v>['pulse', 'run out', 'package', 'internet', 'already', 'run out', 'try', 'suck', 'pulse', 'run out', 'quota', 'pules',' decreases', 'used']</v>
      </c>
      <c r="D302" s="3">
        <v>1.0</v>
      </c>
    </row>
    <row r="303" ht="15.75" customHeight="1">
      <c r="A303" s="1">
        <v>301.0</v>
      </c>
      <c r="B303" s="3" t="s">
        <v>304</v>
      </c>
      <c r="C303" s="3" t="str">
        <f>IFERROR(__xludf.DUMMYFUNCTION("GOOGLETRANSLATE(B303,""id"",""en"")"),"['Alhamdulillah', 'on the beach', 'Tanjung', 'Priok', 'Signal', 'Telkomsel', 'Hopefully', 'Maintained', 'Success',' Telkomsel ',' Area ',' Coast ',' Jakarta ',' thank ',' love ']")</f>
        <v>['Alhamdulillah', 'on the beach', 'Tanjung', 'Priok', 'Signal', 'Telkomsel', 'Hopefully', 'Maintained', 'Success',' Telkomsel ',' Area ',' Coast ',' Jakarta ',' thank ',' love ']</v>
      </c>
      <c r="D303" s="3">
        <v>5.0</v>
      </c>
    </row>
    <row r="304" ht="15.75" customHeight="1">
      <c r="A304" s="1">
        <v>302.0</v>
      </c>
      <c r="B304" s="3" t="s">
        <v>305</v>
      </c>
      <c r="C304" s="3" t="str">
        <f>IFERROR(__xludf.DUMMYFUNCTION("GOOGLETRANSLATE(B304,""id"",""en"")"),"['convenience', 'service', 'users', 'Telkomsel', 'signs', 'so', 'upgrade', 'card', 'bonus', 'quota', 'promote', ""]")</f>
        <v>['convenience', 'service', 'users', 'Telkomsel', 'signs', 'so', 'upgrade', 'card', 'bonus', 'quota', 'promote', "]</v>
      </c>
      <c r="D304" s="3">
        <v>5.0</v>
      </c>
    </row>
    <row r="305" ht="15.75" customHeight="1">
      <c r="A305" s="1">
        <v>303.0</v>
      </c>
      <c r="B305" s="3" t="s">
        <v>306</v>
      </c>
      <c r="C305" s="3" t="str">
        <f>IFERROR(__xludf.DUMMYFUNCTION("GOOGLETRANSLATE(B305,""id"",""en"")"),"['Good', 'level', 'speed', 'open', 'application', 'promo', 'offered', 'suits', 'need', 'cheap', 'poll']")</f>
        <v>['Good', 'level', 'speed', 'open', 'application', 'promo', 'offered', 'suits', 'need', 'cheap', 'poll']</v>
      </c>
      <c r="D305" s="3">
        <v>5.0</v>
      </c>
    </row>
    <row r="306" ht="15.75" customHeight="1">
      <c r="A306" s="1">
        <v>304.0</v>
      </c>
      <c r="B306" s="3" t="s">
        <v>307</v>
      </c>
      <c r="C306" s="3" t="str">
        <f>IFERROR(__xludf.DUMMYFUNCTION("GOOGLETRANSLATE(B306,""id"",""en"")"),"['Alhamdulillah', 'Provider', 'Telkomsel', 'Help', 'Learning', 'Online', 'Pandemic', 'Thank you', 'Telkomsel', 'Mantap', ""]")</f>
        <v>['Alhamdulillah', 'Provider', 'Telkomsel', 'Help', 'Learning', 'Online', 'Pandemic', 'Thank you', 'Telkomsel', 'Mantap', "]</v>
      </c>
      <c r="D306" s="3">
        <v>5.0</v>
      </c>
    </row>
    <row r="307" ht="15.75" customHeight="1">
      <c r="A307" s="1">
        <v>305.0</v>
      </c>
      <c r="B307" s="3" t="s">
        <v>308</v>
      </c>
      <c r="C307" s="3" t="str">
        <f>IFERROR(__xludf.DUMMYFUNCTION("GOOGLETRANSLATE(B307,""id"",""en"")"),"['Duh', 'signal', 'Telkomsel', 'stable', 'already', 'locked', 'LTE', 'change', 'telponan', 'ama', 'smsan', 'package', ' Internet ',' Mubazir ',' Kekeke ',' Chat ',' WhatsApp ',' Lemot ',' improve ',' GMN ',' repaired ',' make ',' card ',' Telkomsel ',' Pl"&amp;"ease ' , 'as soon as possible', 'repaired', 'change', 'card', 'card', 'next door', '']")</f>
        <v>['Duh', 'signal', 'Telkomsel', 'stable', 'already', 'locked', 'LTE', 'change', 'telponan', 'ama', 'smsan', 'package', ' Internet ',' Mubazir ',' Kekeke ',' Chat ',' WhatsApp ',' Lemot ',' improve ',' GMN ',' repaired ',' make ',' card ',' Telkomsel ',' Please ' , 'as soon as possible', 'repaired', 'change', 'card', 'card', 'next door', '']</v>
      </c>
      <c r="D307" s="3">
        <v>1.0</v>
      </c>
    </row>
    <row r="308" ht="15.75" customHeight="1">
      <c r="A308" s="1">
        <v>306.0</v>
      </c>
      <c r="B308" s="3" t="s">
        <v>309</v>
      </c>
      <c r="C308" s="3" t="str">
        <f>IFERROR(__xludf.DUMMYFUNCTION("GOOGLETRANSLATE(B308,""id"",""en"")"),"['Open', 'MyTelkomsel', 'ping', 'open', 'road', 'signal', '']")</f>
        <v>['Open', 'MyTelkomsel', 'ping', 'open', 'road', 'signal', '']</v>
      </c>
      <c r="D308" s="3">
        <v>2.0</v>
      </c>
    </row>
    <row r="309" ht="15.75" customHeight="1">
      <c r="A309" s="1">
        <v>307.0</v>
      </c>
      <c r="B309" s="3" t="s">
        <v>310</v>
      </c>
      <c r="C309" s="3" t="str">
        <f>IFERROR(__xludf.DUMMYFUNCTION("GOOGLETRANSLATE(B309,""id"",""en"")"),"['Network', 'ngellag', 'forgiveness', 'change', 'slow']")</f>
        <v>['Network', 'ngellag', 'forgiveness', 'change', 'slow']</v>
      </c>
      <c r="D309" s="3">
        <v>1.0</v>
      </c>
    </row>
    <row r="310" ht="15.75" customHeight="1">
      <c r="A310" s="1">
        <v>308.0</v>
      </c>
      <c r="B310" s="3" t="s">
        <v>311</v>
      </c>
      <c r="C310" s="3" t="str">
        <f>IFERROR(__xludf.DUMMYFUNCTION("GOOGLETRANSLATE(B310,""id"",""en"")"),"['Service', 'bad', 'disappointing', 'buy', 'package', 'game', 'silver', 'concurrent', 'voucher', 'sent', 'complaint', 'Veronika', ' Accept ',' Sent ',' Package ',' Game ',' Silver ',' Voucher ',' Telcomsel ',' Waiter ',' Worst ',' ']")</f>
        <v>['Service', 'bad', 'disappointing', 'buy', 'package', 'game', 'silver', 'concurrent', 'voucher', 'sent', 'complaint', 'Veronika', ' Accept ',' Sent ',' Package ',' Game ',' Silver ',' Voucher ',' Telcomsel ',' Waiter ',' Worst ',' ']</v>
      </c>
      <c r="D310" s="3">
        <v>1.0</v>
      </c>
    </row>
    <row r="311" ht="15.75" customHeight="1">
      <c r="A311" s="1">
        <v>309.0</v>
      </c>
      <c r="B311" s="3" t="s">
        <v>312</v>
      </c>
      <c r="C311" s="3" t="str">
        <f>IFERROR(__xludf.DUMMYFUNCTION("GOOGLETRANSLATE(B311,""id"",""en"")"),"['It seems', 'stop', 'use', 'Telkomsel', 'quota', 'wasteful', 'disorder']")</f>
        <v>['It seems', 'stop', 'use', 'Telkomsel', 'quota', 'wasteful', 'disorder']</v>
      </c>
      <c r="D311" s="3">
        <v>1.0</v>
      </c>
    </row>
    <row r="312" ht="15.75" customHeight="1">
      <c r="A312" s="1">
        <v>310.0</v>
      </c>
      <c r="B312" s="3" t="s">
        <v>313</v>
      </c>
      <c r="C312" s="3" t="str">
        <f>IFERROR(__xludf.DUMMYFUNCTION("GOOGLETRANSLATE(B312,""id"",""en"")"),"['service', 'repairs',' signal ',' bad ',' visits', 'resolved', 'price', 'package', 'expensive', 'accompanied', 'service', 'repair', ' Satisfying ',' Really ',' Disappointing ',' ']")</f>
        <v>['service', 'repairs',' signal ',' bad ',' visits', 'resolved', 'price', 'package', 'expensive', 'accompanied', 'service', 'repair', ' Satisfying ',' Really ',' Disappointing ',' ']</v>
      </c>
      <c r="D312" s="3">
        <v>1.0</v>
      </c>
    </row>
    <row r="313" ht="15.75" customHeight="1">
      <c r="A313" s="1">
        <v>311.0</v>
      </c>
      <c r="B313" s="3" t="s">
        <v>314</v>
      </c>
      <c r="C313" s="3" t="str">
        <f>IFERROR(__xludf.DUMMYFUNCTION("GOOGLETRANSLATE(B313,""id"",""en"")"),"['Dowload', 'dowload', 'list', 'difficult', 'ngak', 'kayak', 'skrg', 'trhubung', 'network', 'telkomsel', 'blah', 'blah', ' blah ',' ngak ',' application ']")</f>
        <v>['Dowload', 'dowload', 'list', 'difficult', 'ngak', 'kayak', 'skrg', 'trhubung', 'network', 'telkomsel', 'blah', 'blah', ' blah ',' ngak ',' application ']</v>
      </c>
      <c r="D313" s="3">
        <v>1.0</v>
      </c>
    </row>
    <row r="314" ht="15.75" customHeight="1">
      <c r="A314" s="1">
        <v>312.0</v>
      </c>
      <c r="B314" s="3" t="s">
        <v>315</v>
      </c>
      <c r="C314" s="3" t="str">
        <f>IFERROR(__xludf.DUMMYFUNCTION("GOOGLETRANSLATE(B314,""id"",""en"")"),"['Hopefully', 'Telkomsel', 'BLM', 'DPT', 'Souvenir', 'hehehe']")</f>
        <v>['Hopefully', 'Telkomsel', 'BLM', 'DPT', 'Souvenir', 'hehehe']</v>
      </c>
      <c r="D314" s="3">
        <v>5.0</v>
      </c>
    </row>
    <row r="315" ht="15.75" customHeight="1">
      <c r="A315" s="1">
        <v>313.0</v>
      </c>
      <c r="B315" s="3" t="s">
        <v>316</v>
      </c>
      <c r="C315" s="3" t="str">
        <f>IFERROR(__xludf.DUMMYFUNCTION("GOOGLETRANSLATE(B315,""id"",""en"")"),"['thank', 'love', 'devotion', 'Indonesia', 'Telkomsel', 'build', 'Indonesia']")</f>
        <v>['thank', 'love', 'devotion', 'Indonesia', 'Telkomsel', 'build', 'Indonesia']</v>
      </c>
      <c r="D315" s="3">
        <v>5.0</v>
      </c>
    </row>
    <row r="316" ht="15.75" customHeight="1">
      <c r="A316" s="1">
        <v>314.0</v>
      </c>
      <c r="B316" s="3" t="s">
        <v>317</v>
      </c>
      <c r="C316" s="3" t="str">
        <f>IFERROR(__xludf.DUMMYFUNCTION("GOOGLETRANSLATE(B316,""id"",""en"")"),"['Telkomsel', 'service', 'slow', 'buy', 'package', 'enter', 'package', 'pulse', 'sucked', 'disappointed', 'service', 'Telkomsel', ' slow ',' suggestion ',' told ',' contact ',' veroniconton ',' right ',' contact ',' hope ',' suggestion ',' respond ',' swe"&amp;"ar ',' Telkomsel ',' bankrupt ' , 'Rate', 'cheating', 'star', 'Satutapirateness', '']")</f>
        <v>['Telkomsel', 'service', 'slow', 'buy', 'package', 'enter', 'package', 'pulse', 'sucked', 'disappointed', 'service', 'Telkomsel', ' slow ',' suggestion ',' told ',' contact ',' veroniconton ',' right ',' contact ',' hope ',' suggestion ',' respond ',' swear ',' Telkomsel ',' bankrupt ' , 'Rate', 'cheating', 'star', 'Satutapirateness', '']</v>
      </c>
      <c r="D316" s="3">
        <v>1.0</v>
      </c>
    </row>
    <row r="317" ht="15.75" customHeight="1">
      <c r="A317" s="1">
        <v>315.0</v>
      </c>
      <c r="B317" s="3" t="s">
        <v>318</v>
      </c>
      <c r="C317" s="3" t="str">
        <f>IFERROR(__xludf.DUMMYFUNCTION("GOOGLETRANSLATE(B317,""id"",""en"")"),"['poor', 'Telkomsel', 'Belom', 'can', 'gift', 'dri', 'Telkomsel', 'pdahal', 'sllu', 'loyal', 'card', 'dri', ' Thun ',' until ',' sekrang ',' msh ',' make ',' card ',' can ',' gift ',' pdhl ',' top ',' pulse ',' sllu ',' thousand ' ]")</f>
        <v>['poor', 'Telkomsel', 'Belom', 'can', 'gift', 'dri', 'Telkomsel', 'pdahal', 'sllu', 'loyal', 'card', 'dri', ' Thun ',' until ',' sekrang ',' msh ',' make ',' card ',' can ',' gift ',' pdhl ',' top ',' pulse ',' sllu ',' thousand ' ]</v>
      </c>
      <c r="D317" s="3">
        <v>2.0</v>
      </c>
    </row>
    <row r="318" ht="15.75" customHeight="1">
      <c r="A318" s="1">
        <v>316.0</v>
      </c>
      <c r="B318" s="3" t="s">
        <v>319</v>
      </c>
      <c r="C318" s="3" t="str">
        <f>IFERROR(__xludf.DUMMYFUNCTION("GOOGLETRANSLATE(B318,""id"",""en"")"),"['application', 'serve', 'sales',' package ',' telephone ',' daily ',' weekly ',' monthly ',' area ',' Papua ',' West ',' sell ',' ']")</f>
        <v>['application', 'serve', 'sales',' package ',' telephone ',' daily ',' weekly ',' monthly ',' area ',' Papua ',' West ',' sell ',' ']</v>
      </c>
      <c r="D318" s="3">
        <v>1.0</v>
      </c>
    </row>
    <row r="319" ht="15.75" customHeight="1">
      <c r="A319" s="1">
        <v>317.0</v>
      </c>
      <c r="B319" s="3" t="s">
        <v>320</v>
      </c>
      <c r="C319" s="3" t="str">
        <f>IFERROR(__xludf.DUMMYFUNCTION("GOOGLETRANSLATE(B319,""id"",""en"")"),"['KNPA', 'kog', 'pulseku', 'chick', 'SIM', 'Indosat', 'internet', 'truncated', 'credit', 'Telkomsel', 'SIM', ""]")</f>
        <v>['KNPA', 'kog', 'pulseku', 'chick', 'SIM', 'Indosat', 'internet', 'truncated', 'credit', 'Telkomsel', 'SIM', "]</v>
      </c>
      <c r="D319" s="3">
        <v>1.0</v>
      </c>
    </row>
    <row r="320" ht="15.75" customHeight="1">
      <c r="A320" s="1">
        <v>318.0</v>
      </c>
      <c r="B320" s="3" t="s">
        <v>321</v>
      </c>
      <c r="C320" s="3" t="str">
        <f>IFERROR(__xludf.DUMMYFUNCTION("GOOGLETRANSLATE(B320,""id"",""en"")"),"['morning', 'min', 'unlimited', 'max', 'sprti', 'skrng', 'fup', 'rich', 'unlimited', 'pandemic', 'quota', 'unlimited', ' FUP ',' Help ',' Price ',' Cheap ',' Internet ',' Unlimited ',' FUP ',' Please ',' Return ',' Paketan ',' Unlimited ',' Max ',' forced"&amp;" ' , 'mah', '']")</f>
        <v>['morning', 'min', 'unlimited', 'max', 'sprti', 'skrng', 'fup', 'rich', 'unlimited', 'pandemic', 'quota', 'unlimited', ' FUP ',' Help ',' Price ',' Cheap ',' Internet ',' Unlimited ',' FUP ',' Please ',' Return ',' Paketan ',' Unlimited ',' Max ',' forced ' , 'mah', '']</v>
      </c>
      <c r="D320" s="3">
        <v>1.0</v>
      </c>
    </row>
    <row r="321" ht="15.75" customHeight="1">
      <c r="A321" s="1">
        <v>319.0</v>
      </c>
      <c r="B321" s="3" t="s">
        <v>322</v>
      </c>
      <c r="C321" s="3" t="str">
        <f>IFERROR(__xludf.DUMMYFUNCTION("GOOGLETRANSLATE(B321,""id"",""en"")"),"['krmarin', 'fill in', 'pulse', 'failed', 'application', 'slow', 'severe', 'no', 'open', 'Telkomsel', 'severe', 'no', ' Kayak ', ""]")</f>
        <v>['krmarin', 'fill in', 'pulse', 'failed', 'application', 'slow', 'severe', 'no', 'open', 'Telkomsel', 'severe', 'no', ' Kayak ', "]</v>
      </c>
      <c r="D321" s="3">
        <v>1.0</v>
      </c>
    </row>
    <row r="322" ht="15.75" customHeight="1">
      <c r="A322" s="1">
        <v>320.0</v>
      </c>
      <c r="B322" s="3" t="s">
        <v>323</v>
      </c>
      <c r="C322" s="3" t="str">
        <f>IFERROR(__xludf.DUMMYFUNCTION("GOOGLETRANSLATE(B322,""id"",""en"")"),"['', 'Telkomsel', 'Help', 'Business', 'Drafer', ""]")</f>
        <v>['', 'Telkomsel', 'Help', 'Business', 'Drafer', "]</v>
      </c>
      <c r="D322" s="3">
        <v>5.0</v>
      </c>
    </row>
    <row r="323" ht="15.75" customHeight="1">
      <c r="A323" s="1">
        <v>321.0</v>
      </c>
      <c r="B323" s="3" t="s">
        <v>324</v>
      </c>
      <c r="C323" s="3" t="str">
        <f>IFERROR(__xludf.DUMMYFUNCTION("GOOGLETRANSLATE(B323,""id"",""en"")"),"['signal', 'Telkomsel', 'comparable', 'price', 'maen', 'game', 'lag', 'lag', 'price', 'expensive']")</f>
        <v>['signal', 'Telkomsel', 'comparable', 'price', 'maen', 'game', 'lag', 'lag', 'price', 'expensive']</v>
      </c>
      <c r="D323" s="3">
        <v>1.0</v>
      </c>
    </row>
    <row r="324" ht="15.75" customHeight="1">
      <c r="A324" s="1">
        <v>322.0</v>
      </c>
      <c r="B324" s="3" t="s">
        <v>325</v>
      </c>
      <c r="C324" s="3" t="str">
        <f>IFERROR(__xludf.DUMMYFUNCTION("GOOGLETRANSLATE(B324,""id"",""en"")"),"['', 'delicious',' use ',' Telkomsel ',' MOSAPAN ',' unlimited ',' use ',' active ',' package ',' run out ',' aspue ',' unlimited ',' accordingly ',' Date ',' clock ',' brapa ',' fill ',' ']")</f>
        <v>['', 'delicious',' use ',' Telkomsel ',' MOSAPAN ',' unlimited ',' use ',' active ',' package ',' run out ',' aspue ',' unlimited ',' accordingly ',' Date ',' clock ',' brapa ',' fill ',' ']</v>
      </c>
      <c r="D324" s="3">
        <v>1.0</v>
      </c>
    </row>
    <row r="325" ht="15.75" customHeight="1">
      <c r="A325" s="1">
        <v>323.0</v>
      </c>
      <c r="B325" s="3" t="s">
        <v>326</v>
      </c>
      <c r="C325" s="3" t="str">
        <f>IFERROR(__xludf.DUMMYFUNCTION("GOOGLETRANSLATE(B325,""id"",""en"")"),"['why', 'nuker', 'point', 'strong', 'busy', 'busy', 'tuker', 'quota', 'love', 'tuker', 'quota', 'rich', ' Deliberately ',' Nipu ',' Uda ',' Tuker ',' Kasi ',' star ']")</f>
        <v>['why', 'nuker', 'point', 'strong', 'busy', 'busy', 'tuker', 'quota', 'love', 'tuker', 'quota', 'rich', ' Deliberately ',' Nipu ',' Uda ',' Tuker ',' Kasi ',' star ']</v>
      </c>
      <c r="D325" s="3">
        <v>1.0</v>
      </c>
    </row>
    <row r="326" ht="15.75" customHeight="1">
      <c r="A326" s="1">
        <v>324.0</v>
      </c>
      <c r="B326" s="3" t="s">
        <v>327</v>
      </c>
      <c r="C326" s="3" t="str">
        <f>IFERROR(__xludf.DUMMYFUNCTION("GOOGLETRANSLATE(B326,""id"",""en"")"),"['Telkomsel', 'signal', 'difficult', 'really', 'signal', 'hilnag', 'internet', 'filled', 'package', 'data', '']")</f>
        <v>['Telkomsel', 'signal', 'difficult', 'really', 'signal', 'hilnag', 'internet', 'filled', 'package', 'data', '']</v>
      </c>
      <c r="D326" s="3">
        <v>1.0</v>
      </c>
    </row>
    <row r="327" ht="15.75" customHeight="1">
      <c r="A327" s="1">
        <v>325.0</v>
      </c>
      <c r="B327" s="3" t="s">
        <v>328</v>
      </c>
      <c r="C327" s="3" t="str">
        <f>IFERROR(__xludf.DUMMYFUNCTION("GOOGLETRANSLATE(B327,""id"",""en"")"),"['ApplicationCerent', 'Subscribe', 'Channel', 'Satria', 'Gaming', 'Please', 'Subscribe', 'Like', 'Komen', 'And', 'Share', 'Karna', ' Subscribe ',' Free ',' ']")</f>
        <v>['ApplicationCerent', 'Subscribe', 'Channel', 'Satria', 'Gaming', 'Please', 'Subscribe', 'Like', 'Komen', 'And', 'Share', 'Karna', ' Subscribe ',' Free ',' ']</v>
      </c>
      <c r="D327" s="3">
        <v>3.0</v>
      </c>
    </row>
    <row r="328" ht="15.75" customHeight="1">
      <c r="A328" s="1">
        <v>326.0</v>
      </c>
      <c r="B328" s="3" t="s">
        <v>329</v>
      </c>
      <c r="C328" s="3" t="str">
        <f>IFERROR(__xludf.DUMMYFUNCTION("GOOGLETRANSLATE(B328,""id"",""en"")"),"['Package', 'Combo', 'Unlimited', 'Forced', 'Buy', 'Package', 'Karna', 'Package', 'Purchased', 'As if', 'told', 'Move', ' Operators', 'please', 'understanded', '']")</f>
        <v>['Package', 'Combo', 'Unlimited', 'Forced', 'Buy', 'Package', 'Karna', 'Package', 'Purchased', 'As if', 'told', 'Move', ' Operators', 'please', 'understanded', '']</v>
      </c>
      <c r="D328" s="3">
        <v>1.0</v>
      </c>
    </row>
    <row r="329" ht="15.75" customHeight="1">
      <c r="A329" s="1">
        <v>327.0</v>
      </c>
      <c r="B329" s="3" t="s">
        <v>330</v>
      </c>
      <c r="C329" s="3" t="str">
        <f>IFERROR(__xludf.DUMMYFUNCTION("GOOGLETRANSLATE(B329,""id"",""en"")"),"['haha', 'buy', 'package', 'already', 'Try', 'dummers',' tensing ',' times', 'yesterday', 'buy', 'package', 'already', ' Try ',' MyTelkomsel ',' Cana ',' Telkomsel ',' Please ',' repaired ',' ']")</f>
        <v>['haha', 'buy', 'package', 'already', 'Try', 'dummers',' tensing ',' times', 'yesterday', 'buy', 'package', 'already', ' Try ',' MyTelkomsel ',' Cana ',' Telkomsel ',' Please ',' repaired ',' ']</v>
      </c>
      <c r="D329" s="3">
        <v>1.0</v>
      </c>
    </row>
    <row r="330" ht="15.75" customHeight="1">
      <c r="A330" s="1">
        <v>328.0</v>
      </c>
      <c r="B330" s="3" t="s">
        <v>331</v>
      </c>
      <c r="C330" s="3" t="str">
        <f>IFERROR(__xludf.DUMMYFUNCTION("GOOGLETRANSLATE(B330,""id"",""en"")"),"['Delete', 'Try', 'Install', 'App', 'Skarang', 'Heavy', 'Opened', 'Seperti', 'After', 'Update', 'Fix', 'Boss',' such as', 'Change', 'Network', 'Survive', 'Karna', 'Love', 'Products',' Indonesia ',' Telkomsel ',' Comfortable ',' Forced ',' Change ', ""]")</f>
        <v>['Delete', 'Try', 'Install', 'App', 'Skarang', 'Heavy', 'Opened', 'Seperti', 'After', 'Update', 'Fix', 'Boss',' such as', 'Change', 'Network', 'Survive', 'Karna', 'Love', 'Products',' Indonesia ',' Telkomsel ',' Comfortable ',' Forced ',' Change ', "]</v>
      </c>
      <c r="D330" s="3">
        <v>2.0</v>
      </c>
    </row>
    <row r="331" ht="15.75" customHeight="1">
      <c r="A331" s="1">
        <v>329.0</v>
      </c>
      <c r="B331" s="3" t="s">
        <v>332</v>
      </c>
      <c r="C331" s="3" t="str">
        <f>IFERROR(__xludf.DUMMYFUNCTION("GOOGLETRANSLATE(B331,""id"",""en"")"),"['buy', 'pulse', 'thousand', 'login', 'Telkomsel', 'list', 'ehhhh', 'pulses',' ties', 'thousand', 'karna', 'access',' Telkomsel ',' Login ',' Telkomsel ',' ngak ',' expensive ',' list ',' package ',' internet ',' already ',' chick ',' thousand ', ""]")</f>
        <v>['buy', 'pulse', 'thousand', 'login', 'Telkomsel', 'list', 'ehhhh', 'pulses',' ties', 'thousand', 'karna', 'access',' Telkomsel ',' Login ',' Telkomsel ',' ngak ',' expensive ',' list ',' package ',' internet ',' already ',' chick ',' thousand ', "]</v>
      </c>
      <c r="D331" s="3">
        <v>1.0</v>
      </c>
    </row>
    <row r="332" ht="15.75" customHeight="1">
      <c r="A332" s="1">
        <v>330.0</v>
      </c>
      <c r="B332" s="3" t="s">
        <v>333</v>
      </c>
      <c r="C332" s="3" t="str">
        <f>IFERROR(__xludf.DUMMYFUNCTION("GOOGLETRANSLATE(B332,""id"",""en"")"),"['users',' Telkomsel ',' Satisfied ',' Quality ',' Telkomsel ',' Plus', 'Quota', 'Special', 'Personal', 'Satisfied', 'Thanking', 'Love', ' Services', 'Telkomsel', '']")</f>
        <v>['users',' Telkomsel ',' Satisfied ',' Quality ',' Telkomsel ',' Plus', 'Quota', 'Special', 'Personal', 'Satisfied', 'Thanking', 'Love', ' Services', 'Telkomsel', '']</v>
      </c>
      <c r="D332" s="3">
        <v>5.0</v>
      </c>
    </row>
    <row r="333" ht="15.75" customHeight="1">
      <c r="A333" s="1">
        <v>331.0</v>
      </c>
      <c r="B333" s="3" t="s">
        <v>334</v>
      </c>
      <c r="C333" s="3" t="str">
        <f>IFERROR(__xludf.DUMMYFUNCTION("GOOGLETRANSLATE(B333,""id"",""en"")"),"['buy', 'package', 'internet', 'cheerful', 'entry', 'enter', 'package', 'padall', 'already', 'box', 'purchase', 'enter', ' entry ',' package ',' buy ',' taro ',' list ',' package ']")</f>
        <v>['buy', 'package', 'internet', 'cheerful', 'entry', 'enter', 'package', 'padall', 'already', 'box', 'purchase', 'enter', ' entry ',' package ',' buy ',' taro ',' list ',' package ']</v>
      </c>
      <c r="D333" s="3">
        <v>1.0</v>
      </c>
    </row>
    <row r="334" ht="15.75" customHeight="1">
      <c r="A334" s="1">
        <v>332.0</v>
      </c>
      <c r="B334" s="3" t="s">
        <v>335</v>
      </c>
      <c r="C334" s="3" t="str">
        <f>IFERROR(__xludf.DUMMYFUNCTION("GOOGLETRANSLATE(B334,""id"",""en"")"),"['', 'enter', 'Telkomsel', 'SMS', 'MagicLink', 'click', 'link', 'error', 'expiration', 'complicated', 'exceed', 'mobile', 'banking ',' Login ',' Thank you ', ""]")</f>
        <v>['', 'enter', 'Telkomsel', 'SMS', 'MagicLink', 'click', 'link', 'error', 'expiration', 'complicated', 'exceed', 'mobile', 'banking ',' Login ',' Thank you ', "]</v>
      </c>
      <c r="D334" s="3">
        <v>5.0</v>
      </c>
    </row>
    <row r="335" ht="15.75" customHeight="1">
      <c r="A335" s="1">
        <v>333.0</v>
      </c>
      <c r="B335" s="3" t="s">
        <v>336</v>
      </c>
      <c r="C335" s="3" t="str">
        <f>IFERROR(__xludf.DUMMYFUNCTION("GOOGLETRANSLATE(B335,""id"",""en"")"),"['service', 'Veronica', 'slow', 'package', 'expensive', 'features', 'prepaid', 'down', 'limit', 'multiple', '']")</f>
        <v>['service', 'Veronica', 'slow', 'package', 'expensive', 'features', 'prepaid', 'down', 'limit', 'multiple', '']</v>
      </c>
      <c r="D335" s="3">
        <v>2.0</v>
      </c>
    </row>
    <row r="336" ht="15.75" customHeight="1">
      <c r="A336" s="1">
        <v>334.0</v>
      </c>
      <c r="B336" s="3" t="s">
        <v>337</v>
      </c>
      <c r="C336" s="3" t="str">
        <f>IFERROR(__xludf.DUMMYFUNCTION("GOOGLETRANSLATE(B336,""id"",""en"")"),"['A ',' okay ',' signal ',' good ',' price ',' package ',' data ',' above ',' ']")</f>
        <v>['A ',' okay ',' signal ',' good ',' price ',' package ',' data ',' above ',' ']</v>
      </c>
      <c r="D336" s="3">
        <v>5.0</v>
      </c>
    </row>
    <row r="337" ht="15.75" customHeight="1">
      <c r="A337" s="1">
        <v>335.0</v>
      </c>
      <c r="B337" s="3" t="s">
        <v>338</v>
      </c>
      <c r="C337" s="3" t="str">
        <f>IFERROR(__xludf.DUMMYFUNCTION("GOOGLETRANSLATE(B337,""id"",""en"")"),"['signal', 'good', 'sound', 'help', 'quality', 'service', 'guaranteed', 'maximum', 'basics', 'special', ""]")</f>
        <v>['signal', 'good', 'sound', 'help', 'quality', 'service', 'guaranteed', 'maximum', 'basics', 'special', "]</v>
      </c>
      <c r="D337" s="3">
        <v>5.0</v>
      </c>
    </row>
    <row r="338" ht="15.75" customHeight="1">
      <c r="A338" s="1">
        <v>336.0</v>
      </c>
      <c r="B338" s="3" t="s">
        <v>339</v>
      </c>
      <c r="C338" s="3" t="str">
        <f>IFERROR(__xludf.DUMMYFUNCTION("GOOGLETRANSLATE(B338,""id"",""en"")"),"['Assalamualaikum', 'Telkomsel', 'user', 'internet', 'Telkomsel', 'Okay', 'at the beginning', 'use', 'safe', 'smooth', 'ngak', 'lag', ' Little ',' Mid ',' Telkomsel ',' Ngelag ',' Severe ',' Really ',' Disappointed ',' Heavy ',' Years', 'Severe', 'Lag', '"&amp;"Bad', 'Maksusus' , 'Please', 'Telkom', 'Fix', 'Constraints', 'Painful', 'Please', 'Listen', 'Complaints', 'User', 'Betah', 'Telkom']")</f>
        <v>['Assalamualaikum', 'Telkomsel', 'user', 'internet', 'Telkomsel', 'Okay', 'at the beginning', 'use', 'safe', 'smooth', 'ngak', 'lag', ' Little ',' Mid ',' Telkomsel ',' Ngelag ',' Severe ',' Really ',' Disappointed ',' Heavy ',' Years', 'Severe', 'Lag', 'Bad', 'Maksusus' , 'Please', 'Telkom', 'Fix', 'Constraints', 'Painful', 'Please', 'Listen', 'Complaints', 'User', 'Betah', 'Telkom']</v>
      </c>
      <c r="D338" s="3">
        <v>1.0</v>
      </c>
    </row>
    <row r="339" ht="15.75" customHeight="1">
      <c r="A339" s="1">
        <v>337.0</v>
      </c>
      <c r="B339" s="3" t="s">
        <v>340</v>
      </c>
      <c r="C339" s="3" t="str">
        <f>IFERROR(__xludf.DUMMYFUNCTION("GOOGLETRANSLATE(B339,""id"",""en"")"),"['Hello', 'name', 'Satrio', 'Dwi', 'Guntoro', 'pulses', 'missing', 'thousand', 'have', 'package', 'internet']")</f>
        <v>['Hello', 'name', 'Satrio', 'Dwi', 'Guntoro', 'pulses', 'missing', 'thousand', 'have', 'package', 'internet']</v>
      </c>
      <c r="D339" s="3">
        <v>1.0</v>
      </c>
    </row>
    <row r="340" ht="15.75" customHeight="1">
      <c r="A340" s="1">
        <v>338.0</v>
      </c>
      <c r="B340" s="3" t="s">
        <v>341</v>
      </c>
      <c r="C340" s="3" t="str">
        <f>IFERROR(__xludf.DUMMYFUNCTION("GOOGLETRANSLATE(B340,""id"",""en"")"),"['steady', 'expression', 'satisfaction', 'satisfied', 'feel', 'drink', 'water', 'healthy', 'run out', 'exercise', 'body', 'hope', ' Jaya ',' Success', 'Telkomsel', 'Violations',' Satisfied ',' Karna ',' Satisfaction ',' Exceeds', 'Salam', 'Customer', '']")</f>
        <v>['steady', 'expression', 'satisfaction', 'satisfied', 'feel', 'drink', 'water', 'healthy', 'run out', 'exercise', 'body', 'hope', ' Jaya ',' Success', 'Telkomsel', 'Violations',' Satisfied ',' Karna ',' Satisfaction ',' Exceeds', 'Salam', 'Customer', '']</v>
      </c>
      <c r="D340" s="3">
        <v>5.0</v>
      </c>
    </row>
    <row r="341" ht="15.75" customHeight="1">
      <c r="A341" s="1">
        <v>339.0</v>
      </c>
      <c r="B341" s="3" t="s">
        <v>342</v>
      </c>
      <c r="C341" s="3" t="str">
        <f>IFERROR(__xludf.DUMMYFUNCTION("GOOGLETRANSLATE(B341,""id"",""en"")"),"['Hi', 'Admin', 'MyTelkomsel', 'Criticism', 'Open', 'APK', 'MyTelkomsel', 'Loading', 'Place', 'Signal', 'Bar', 'Stable', ' his signal ',' right ',' open ',' APK ',' MyTelkomsel ',' speed ',' KB ',' and above ',' turn ',' open ',' APK ',' speed ',' kb ' , "&amp;"'and above', 'poor', 'disappointing', 'please', 'enhanced', 'quality', 'signal', 'thank', 'love', ""]")</f>
        <v>['Hi', 'Admin', 'MyTelkomsel', 'Criticism', 'Open', 'APK', 'MyTelkomsel', 'Loading', 'Place', 'Signal', 'Bar', 'Stable', ' his signal ',' right ',' open ',' APK ',' MyTelkomsel ',' speed ',' KB ',' and above ',' turn ',' open ',' APK ',' speed ',' kb ' , 'and above', 'poor', 'disappointing', 'please', 'enhanced', 'quality', 'signal', 'thank', 'love', "]</v>
      </c>
      <c r="D341" s="3">
        <v>1.0</v>
      </c>
    </row>
    <row r="342" ht="15.75" customHeight="1">
      <c r="A342" s="1">
        <v>340.0</v>
      </c>
      <c r="B342" s="3" t="s">
        <v>343</v>
      </c>
      <c r="C342" s="3" t="str">
        <f>IFERROR(__xludf.DUMMYFUNCTION("GOOGLETRANSLATE(B342,""id"",""en"")"),"['Come', 'ugly', 'UDH', 'subscription', 'Tsel', 'Dri', 'era', 'smpe', 'graduated', 'high school', 'gini', 'his name', ' unlimited ',' boundary ',' panel ',' his writing ',' GB ',' turn ',' right ',' bought ',' Taunya ',' GB ',' Disappointed ',' Jdi ',' Cu"&amp;"stomer ' , '']")</f>
        <v>['Come', 'ugly', 'UDH', 'subscription', 'Tsel', 'Dri', 'era', 'smpe', 'graduated', 'high school', 'gini', 'his name', ' unlimited ',' boundary ',' panel ',' his writing ',' GB ',' turn ',' right ',' bought ',' Taunya ',' GB ',' Disappointed ',' Jdi ',' Customer ' , '']</v>
      </c>
      <c r="D342" s="3">
        <v>1.0</v>
      </c>
    </row>
    <row r="343" ht="15.75" customHeight="1">
      <c r="A343" s="1">
        <v>341.0</v>
      </c>
      <c r="B343" s="3" t="s">
        <v>344</v>
      </c>
      <c r="C343" s="3" t="str">
        <f>IFERROR(__xludf.DUMMYFUNCTION("GOOGLETRANSLATE(B343,""id"",""en"")"),"['Package', 'combo', 'rb', 'GB', 'quota', 'main', 'run out', 'leftover', 'GB', 'rich', 'really', 'access',' Limited ',' price ',' expensive ',' plus', 'network', 'like', 'in the area', '']")</f>
        <v>['Package', 'combo', 'rb', 'GB', 'quota', 'main', 'run out', 'leftover', 'GB', 'rich', 'really', 'access',' Limited ',' price ',' expensive ',' plus', 'network', 'like', 'in the area', '']</v>
      </c>
      <c r="D343" s="3">
        <v>1.0</v>
      </c>
    </row>
    <row r="344" ht="15.75" customHeight="1">
      <c r="A344" s="1">
        <v>342.0</v>
      </c>
      <c r="B344" s="3" t="s">
        <v>345</v>
      </c>
      <c r="C344" s="3" t="str">
        <f>IFERROR(__xludf.DUMMYFUNCTION("GOOGLETRANSLATE(B344,""id"",""en"")"),"['', 'Ngadi', 'buy', 'vocher', 'quota', 'already', 'put in', 'Also', 'system', 'busy', 'mean', 'try', 'please ',' Benerinn ']")</f>
        <v>['', 'Ngadi', 'buy', 'vocher', 'quota', 'already', 'put in', 'Also', 'system', 'busy', 'mean', 'try', 'please ',' Benerinn ']</v>
      </c>
      <c r="D344" s="3">
        <v>1.0</v>
      </c>
    </row>
    <row r="345" ht="15.75" customHeight="1">
      <c r="A345" s="1">
        <v>343.0</v>
      </c>
      <c r="B345" s="3" t="s">
        <v>346</v>
      </c>
      <c r="C345" s="3" t="str">
        <f>IFERROR(__xludf.DUMMYFUNCTION("GOOGLETRANSLATE(B345,""id"",""en"")"),"['internet', 'stable', 'forced', 'make', 'provider', 'village', 'cave', 'provider', 'already', 'cave', 'moved', '']")</f>
        <v>['internet', 'stable', 'forced', 'make', 'provider', 'village', 'cave', 'provider', 'already', 'cave', 'moved', '']</v>
      </c>
      <c r="D345" s="3">
        <v>1.0</v>
      </c>
    </row>
    <row r="346" ht="15.75" customHeight="1">
      <c r="A346" s="1">
        <v>344.0</v>
      </c>
      <c r="B346" s="3" t="s">
        <v>347</v>
      </c>
      <c r="C346" s="3" t="str">
        <f>IFERROR(__xludf.DUMMYFUNCTION("GOOGLETRANSLATE(B346,""id"",""en"")"),"['Alhamdulillah', 'sucked', 'pulse', 'hope', 'Telkomsek', 'Sediain', 'features',' unlimited ',' living ',' village ',' quota ',' expensive ',' really ',' hope ',' Telkomsel ',' Sediain ',' unlimited ',' subscription ']")</f>
        <v>['Alhamdulillah', 'sucked', 'pulse', 'hope', 'Telkomsek', 'Sediain', 'features',' unlimited ',' living ',' village ',' quota ',' expensive ',' really ',' hope ',' Telkomsel ',' Sediain ',' unlimited ',' subscription ']</v>
      </c>
      <c r="D346" s="3">
        <v>5.0</v>
      </c>
    </row>
    <row r="347" ht="15.75" customHeight="1">
      <c r="A347" s="1">
        <v>345.0</v>
      </c>
      <c r="B347" s="3" t="s">
        <v>348</v>
      </c>
      <c r="C347" s="3" t="str">
        <f>IFERROR(__xludf.DUMMYFUNCTION("GOOGLETRANSLATE(B347,""id"",""en"")"),"['package', 'promo', 'signal', 'ugly', 'package', 'internet', 'run out', 'ngak', 'cut', 'pulse', 'main', 'please', ' Fix ',' should ',' point ',' exchange ',' city ',' Telkomsel ',' ugly ',' lemotttttttt ',' jelekkk ',' sexuali ',' point ',' open ',' goog"&amp;"le ' , 'slow', 'forgiveness',' open ',' slow ',' forgiveness', 'package', 'promo', 'signal', 'rotten', 'signal', 'telkomsel', 'rot', ' ']")</f>
        <v>['package', 'promo', 'signal', 'ugly', 'package', 'internet', 'run out', 'ngak', 'cut', 'pulse', 'main', 'please', ' Fix ',' should ',' point ',' exchange ',' city ',' Telkomsel ',' ugly ',' lemotttttttt ',' jelekkk ',' sexuali ',' point ',' open ',' google ' , 'slow', 'forgiveness',' open ',' slow ',' forgiveness', 'package', 'promo', 'signal', 'rotten', 'signal', 'telkomsel', 'rot', ' ']</v>
      </c>
      <c r="D347" s="3">
        <v>1.0</v>
      </c>
    </row>
    <row r="348" ht="15.75" customHeight="1">
      <c r="A348" s="1">
        <v>346.0</v>
      </c>
      <c r="B348" s="3" t="s">
        <v>349</v>
      </c>
      <c r="C348" s="3" t="str">
        <f>IFERROR(__xludf.DUMMYFUNCTION("GOOGLETRANSLATE(B348,""id"",""en"")"),"['buy', 'package', 'call', 'all', 'operator', 'call', 'pulse', 'run out', 'suck', 'telkomsel', 'healthy', 'kapok', ' times', 'use', 'Telkomsel', '']")</f>
        <v>['buy', 'package', 'call', 'all', 'operator', 'call', 'pulse', 'run out', 'suck', 'telkomsel', 'healthy', 'kapok', ' times', 'use', 'Telkomsel', '']</v>
      </c>
      <c r="D348" s="3">
        <v>1.0</v>
      </c>
    </row>
    <row r="349" ht="15.75" customHeight="1">
      <c r="A349" s="1">
        <v>347.0</v>
      </c>
      <c r="B349" s="3" t="s">
        <v>350</v>
      </c>
      <c r="C349" s="3" t="str">
        <f>IFERROR(__xludf.DUMMYFUNCTION("GOOGLETRANSLATE(B349,""id"",""en"")"),"['expensive', 'mantab', 'package', 'for', 'RB', 'nyampe', 'weeks',' use ',' neighbor ',' package ',' rb ',' a month ',' the rest of ',' price ',' greedy ',' really ',' hrg ',' cheap ',' promo ',' trap ',' doang ']")</f>
        <v>['expensive', 'mantab', 'package', 'for', 'RB', 'nyampe', 'weeks',' use ',' neighbor ',' package ',' rb ',' a month ',' the rest of ',' price ',' greedy ',' really ',' hrg ',' cheap ',' promo ',' trap ',' doang ']</v>
      </c>
      <c r="D349" s="3">
        <v>1.0</v>
      </c>
    </row>
    <row r="350" ht="15.75" customHeight="1">
      <c r="A350" s="1">
        <v>348.0</v>
      </c>
      <c r="B350" s="3" t="s">
        <v>351</v>
      </c>
      <c r="C350" s="3" t="str">
        <f>IFERROR(__xludf.DUMMYFUNCTION("GOOGLETRANSLATE(B350,""id"",""en"")"),"['Telkomsel', 'ngeennntoddddd', 'priority', 'quota', 'learned', 'first', 'right', 'buy', 'quota', 'learn', 'ehh', 'right', ' Nge ',' Zoom ',' Google ',' Meet ',' Strangely ',' Nge ',' Hospot ',' Use ',' How ',' Loss', 'Buy', 'Quota', 'Learning' , 'oath', "&amp;"'Where', 'quota', 'Ministry of Education and Culture', 'Season', 'Original']")</f>
        <v>['Telkomsel', 'ngeennntoddddd', 'priority', 'quota', 'learned', 'first', 'right', 'buy', 'quota', 'learn', 'ehh', 'right', ' Nge ',' Zoom ',' Google ',' Meet ',' Strangely ',' Nge ',' Hospot ',' Use ',' How ',' Loss', 'Buy', 'Quota', 'Learning' , 'oath', 'Where', 'quota', 'Ministry of Education and Culture', 'Season', 'Original']</v>
      </c>
      <c r="D350" s="3">
        <v>1.0</v>
      </c>
    </row>
    <row r="351" ht="15.75" customHeight="1">
      <c r="A351" s="1">
        <v>349.0</v>
      </c>
      <c r="B351" s="3" t="s">
        <v>352</v>
      </c>
      <c r="C351" s="3" t="str">
        <f>IFERROR(__xludf.DUMMYFUNCTION("GOOGLETRANSLATE(B351,""id"",""en"")"),"['Delete', 'Difference', 'Loop', 'Sympathy', 'Prepaid', 'Postpaid', 'Package', 'Ama', 'Bini', 'Different', 'Loop', 'Paketan', ' Cheap ',' expensive ',' BESATA ']")</f>
        <v>['Delete', 'Difference', 'Loop', 'Sympathy', 'Prepaid', 'Postpaid', 'Package', 'Ama', 'Bini', 'Different', 'Loop', 'Paketan', ' Cheap ',' expensive ',' BESATA ']</v>
      </c>
      <c r="D351" s="3">
        <v>1.0</v>
      </c>
    </row>
    <row r="352" ht="15.75" customHeight="1">
      <c r="A352" s="1">
        <v>350.0</v>
      </c>
      <c r="B352" s="3" t="s">
        <v>353</v>
      </c>
      <c r="C352" s="3" t="str">
        <f>IFERROR(__xludf.DUMMYFUNCTION("GOOGLETRANSLATE(B352,""id"",""en"")"),"['Paying', 'package', 'emergency', 'hope', 'contents', 'reset', 'pulse', 'payment', 'automatic', 'cut', 'pulse', 'according to' bills', 'ignore', 'paid out', 'look for', 'money', 'halal', 'Telkomsel', ""]")</f>
        <v>['Paying', 'package', 'emergency', 'hope', 'contents', 'reset', 'pulse', 'payment', 'automatic', 'cut', 'pulse', 'according to' bills', 'ignore', 'paid out', 'look for', 'money', 'halal', 'Telkomsel', "]</v>
      </c>
      <c r="D352" s="3">
        <v>1.0</v>
      </c>
    </row>
    <row r="353" ht="15.75" customHeight="1">
      <c r="A353" s="1">
        <v>351.0</v>
      </c>
      <c r="B353" s="3" t="s">
        <v>354</v>
      </c>
      <c r="C353" s="3" t="str">
        <f>IFERROR(__xludf.DUMMYFUNCTION("GOOGLETRANSLATE(B353,""id"",""en"")"),"['system', 'promo', 'quota', 'internet', 'promo', 'use', 'provider', 'distinguished', 'on the side', 'cheap', 'on the side', ' Purchases', 'quota', '']")</f>
        <v>['system', 'promo', 'quota', 'internet', 'promo', 'use', 'provider', 'distinguished', 'on the side', 'cheap', 'on the side', ' Purchases', 'quota', '']</v>
      </c>
      <c r="D353" s="3">
        <v>1.0</v>
      </c>
    </row>
    <row r="354" ht="15.75" customHeight="1">
      <c r="A354" s="1">
        <v>352.0</v>
      </c>
      <c r="B354" s="3" t="s">
        <v>355</v>
      </c>
      <c r="C354" s="3" t="str">
        <f>IFERROR(__xludf.DUMMYFUNCTION("GOOGLETRANSLATE(B354,""id"",""en"")"),"['Thank you', 'creating', 'Telkomsel', 'Satisfied', 'Application', 'MyTelkomsel', 'Quota', 'Cheap', 'Cheap', 'Install', 'Get', 'Quota', ' GB ',' Thanks', 'Mimin', ""]")</f>
        <v>['Thank you', 'creating', 'Telkomsel', 'Satisfied', 'Application', 'MyTelkomsel', 'Quota', 'Cheap', 'Cheap', 'Install', 'Get', 'Quota', ' GB ',' Thanks', 'Mimin', "]</v>
      </c>
      <c r="D354" s="3">
        <v>5.0</v>
      </c>
    </row>
    <row r="355" ht="15.75" customHeight="1">
      <c r="A355" s="1">
        <v>353.0</v>
      </c>
      <c r="B355" s="3" t="s">
        <v>356</v>
      </c>
      <c r="C355" s="3" t="str">
        <f>IFERROR(__xludf.DUMMYFUNCTION("GOOGLETRANSLATE(B355,""id"",""en"")"),"['Min', 'Package', 'Combo', 'Sakti', 'Unlimited', 'Plusin', 'Care', 'Protect', 'Quota', 'Main', 'Abis',' Unlimited ',' confused ',' quota ',' main ',' abis', 'leftover', 'unlimited', 'absent', 'job', 'care', 'protect', 'min', 'please', 'cooperation' , 'Mi"&amp;"n', 'Thank you', ""]")</f>
        <v>['Min', 'Package', 'Combo', 'Sakti', 'Unlimited', 'Plusin', 'Care', 'Protect', 'Quota', 'Main', 'Abis',' Unlimited ',' confused ',' quota ',' main ',' abis', 'leftover', 'unlimited', 'absent', 'job', 'care', 'protect', 'min', 'please', 'cooperation' , 'Min', 'Thank you', "]</v>
      </c>
      <c r="D355" s="3">
        <v>5.0</v>
      </c>
    </row>
    <row r="356" ht="15.75" customHeight="1">
      <c r="A356" s="1">
        <v>354.0</v>
      </c>
      <c r="B356" s="3" t="s">
        <v>357</v>
      </c>
      <c r="C356" s="3" t="str">
        <f>IFERROR(__xludf.DUMMYFUNCTION("GOOGLETRANSLATE(B356,""id"",""en"")"),"['buy', 'package', 'internet', 'pulse', 'sufficient', 'payment', 'failed', 'email', 'developer', 'telkomsel', 'address',' registered ',' available', '']")</f>
        <v>['buy', 'package', 'internet', 'pulse', 'sufficient', 'payment', 'failed', 'email', 'developer', 'telkomsel', 'address',' registered ',' available', '']</v>
      </c>
      <c r="D356" s="3">
        <v>1.0</v>
      </c>
    </row>
    <row r="357" ht="15.75" customHeight="1">
      <c r="A357" s="1">
        <v>355.0</v>
      </c>
      <c r="B357" s="3" t="s">
        <v>358</v>
      </c>
      <c r="C357" s="3" t="str">
        <f>IFERROR(__xludf.DUMMYFUNCTION("GOOGLETRANSLATE(B357,""id"",""en"")"),"['feeling', 'application', 'heavy', 'game', 'online', 'confused', 'feeling', 'play', 'game', 'fps',' game ',' heavy ',' Relaxing ',' Comfortable ',' right ',' Bukak ',' APK ',' lag ',' HP ',' Damaged ',' APK ',' enter ',' sense ', ""]")</f>
        <v>['feeling', 'application', 'heavy', 'game', 'online', 'confused', 'feeling', 'play', 'game', 'fps',' game ',' heavy ',' Relaxing ',' Comfortable ',' right ',' Bukak ',' APK ',' lag ',' HP ',' Damaged ',' APK ',' enter ',' sense ', "]</v>
      </c>
      <c r="D357" s="3">
        <v>1.0</v>
      </c>
    </row>
    <row r="358" ht="15.75" customHeight="1">
      <c r="A358" s="1">
        <v>356.0</v>
      </c>
      <c r="B358" s="3" t="s">
        <v>359</v>
      </c>
      <c r="C358" s="3" t="str">
        <f>IFERROR(__xludf.DUMMYFUNCTION("GOOGLETRANSLATE(B358,""id"",""en"")"),"['Credit', 'like', 'Failure', 'How', 'Out', 'Cook', 'Go Home', 'Content', 'Credit', 'Turnover', 'Credit', 'Telkomsel', ' at least ',' jngn ',' that's', 'package']")</f>
        <v>['Credit', 'like', 'Failure', 'How', 'Out', 'Cook', 'Go Home', 'Content', 'Credit', 'Turnover', 'Credit', 'Telkomsel', ' at least ',' jngn ',' that's', 'package']</v>
      </c>
      <c r="D358" s="3">
        <v>1.0</v>
      </c>
    </row>
    <row r="359" ht="15.75" customHeight="1">
      <c r="A359" s="1">
        <v>357.0</v>
      </c>
      <c r="B359" s="3" t="s">
        <v>360</v>
      </c>
      <c r="C359" s="3" t="str">
        <f>IFERROR(__xludf.DUMMYFUNCTION("GOOGLETRANSLATE(B359,""id"",""en"")"),"['card', 'scorched', 'as a result', 'application', 'wrong', 'Show', 'info', 'info', 'grace', 'appear', 'application', 'active', ' card ',' entry ',' grace ',' scorched ',' fix ',' bug ',' fatal ',' ']")</f>
        <v>['card', 'scorched', 'as a result', 'application', 'wrong', 'Show', 'info', 'info', 'grace', 'appear', 'application', 'active', ' card ',' entry ',' grace ',' scorched ',' fix ',' bug ',' fatal ',' ']</v>
      </c>
      <c r="D359" s="3">
        <v>1.0</v>
      </c>
    </row>
    <row r="360" ht="15.75" customHeight="1">
      <c r="A360" s="1">
        <v>358.0</v>
      </c>
      <c r="B360" s="3" t="s">
        <v>361</v>
      </c>
      <c r="C360" s="3" t="str">
        <f>IFERROR(__xludf.DUMMYFUNCTION("GOOGLETRANSLATE(B360,""id"",""en"")"),"['send', 'credit', 'use', 'nominal', 'Custom', 'choose', 'nominal', 'comfortable', 'service', ""]")</f>
        <v>['send', 'credit', 'use', 'nominal', 'Custom', 'choose', 'nominal', 'comfortable', 'service', "]</v>
      </c>
      <c r="D360" s="3">
        <v>1.0</v>
      </c>
    </row>
    <row r="361" ht="15.75" customHeight="1">
      <c r="A361" s="1">
        <v>359.0</v>
      </c>
      <c r="B361" s="3" t="s">
        <v>362</v>
      </c>
      <c r="C361" s="3" t="str">
        <f>IFERROR(__xludf.DUMMYFUNCTION("GOOGLETRANSLATE(B361,""id"",""en"")"),"['card', 'Doang', 'expensive', 'network', 'slow', 'package', 'doang', 'expensive', 'network', 'slow', '']")</f>
        <v>['card', 'Doang', 'expensive', 'network', 'slow', 'package', 'doang', 'expensive', 'network', 'slow', '']</v>
      </c>
      <c r="D361" s="3">
        <v>1.0</v>
      </c>
    </row>
    <row r="362" ht="15.75" customHeight="1">
      <c r="A362" s="1">
        <v>360.0</v>
      </c>
      <c r="B362" s="3" t="s">
        <v>363</v>
      </c>
      <c r="C362" s="3" t="str">
        <f>IFERROR(__xludf.DUMMYFUNCTION("GOOGLETRANSLATE(B362,""id"",""en"")"),"['Star', 'Disappointed', 'Provider', 'Yesterday', 'Choice', 'Package', 'Combo', 'Sakti', 'GB', 'GB', 'ilang', 'Network', ' ugly ',' package ',' expensive ',' wasteful ',' fast ',' abis', 'please', 'Telkomsel', 'satisfaction', 'consumer', 'run', 'provider'"&amp;", ""]")</f>
        <v>['Star', 'Disappointed', 'Provider', 'Yesterday', 'Choice', 'Package', 'Combo', 'Sakti', 'GB', 'GB', 'ilang', 'Network', ' ugly ',' package ',' expensive ',' wasteful ',' fast ',' abis', 'please', 'Telkomsel', 'satisfaction', 'consumer', 'run', 'provider', "]</v>
      </c>
      <c r="D362" s="3">
        <v>3.0</v>
      </c>
    </row>
    <row r="363" ht="15.75" customHeight="1">
      <c r="A363" s="1">
        <v>361.0</v>
      </c>
      <c r="B363" s="3" t="s">
        <v>364</v>
      </c>
      <c r="C363" s="3" t="str">
        <f>IFERROR(__xludf.DUMMYFUNCTION("GOOGLETRANSLATE(B363,""id"",""en"")"),"['application', 'good', 'TPI', 'card', 'stingy', 'kouta', 'emergency', 'pdhl', 'already', 'punasin', 'debt', 'play', ' games', 'like', 'slow', 'network', 'except', 'watch', 'smooth', 'thx', 'application', 'developing', 'stingy', '']")</f>
        <v>['application', 'good', 'TPI', 'card', 'stingy', 'kouta', 'emergency', 'pdhl', 'already', 'punasin', 'debt', 'play', ' games', 'like', 'slow', 'network', 'except', 'watch', 'smooth', 'thx', 'application', 'developing', 'stingy', '']</v>
      </c>
      <c r="D363" s="3">
        <v>5.0</v>
      </c>
    </row>
    <row r="364" ht="15.75" customHeight="1">
      <c r="A364" s="1">
        <v>362.0</v>
      </c>
      <c r="B364" s="3" t="s">
        <v>365</v>
      </c>
      <c r="C364" s="3" t="str">
        <f>IFERROR(__xludf.DUMMYFUNCTION("GOOGLETRANSLATE(B364,""id"",""en"")"),"['sad', 'signal', 'price', 'above', 'provider', 'package', 'monthly', 'varied', 'package', 'weekly', 'fast', 'start', ' Doang ',' afterwards', 'slow down', 'speed', 'area', 'covered', 'quota', 'half', 'kepake', 'fate', 'hopefully', 'in the future', 'Indon"&amp;"esia' , '']")</f>
        <v>['sad', 'signal', 'price', 'above', 'provider', 'package', 'monthly', 'varied', 'package', 'weekly', 'fast', 'start', ' Doang ',' afterwards', 'slow down', 'speed', 'area', 'covered', 'quota', 'half', 'kepake', 'fate', 'hopefully', 'in the future', 'Indonesia' , '']</v>
      </c>
      <c r="D364" s="3">
        <v>1.0</v>
      </c>
    </row>
    <row r="365" ht="15.75" customHeight="1">
      <c r="A365" s="1">
        <v>363.0</v>
      </c>
      <c r="B365" s="3" t="s">
        <v>366</v>
      </c>
      <c r="C365" s="3" t="str">
        <f>IFERROR(__xludf.DUMMYFUNCTION("GOOGLETRANSLATE(B365,""id"",""en"")"),"['regret', 'already', 'buy', 'package', 'game', 'yes',' emang ',' open ',' game ',' right ',' enter ',' room ',' Enter ',' Ingame ',' purpose ',' Package ',' Game ',' Open ',' Screen ',' Game ',' Doang ',' Lawak ',' Kali ',' I see ',' Reverse ' , 'money',"&amp;" '']")</f>
        <v>['regret', 'already', 'buy', 'package', 'game', 'yes',' emang ',' open ',' game ',' right ',' enter ',' room ',' Enter ',' Ingame ',' purpose ',' Package ',' Game ',' Open ',' Screen ',' Game ',' Doang ',' Lawak ',' Kali ',' I see ',' Reverse ' , 'money', '']</v>
      </c>
      <c r="D365" s="3">
        <v>1.0</v>
      </c>
    </row>
    <row r="366" ht="15.75" customHeight="1">
      <c r="A366" s="1">
        <v>364.0</v>
      </c>
      <c r="B366" s="3" t="s">
        <v>367</v>
      </c>
      <c r="C366" s="3" t="str">
        <f>IFERROR(__xludf.DUMMYFUNCTION("GOOGLETRANSLATE(B366,""id"",""en"")"),"['', 'Telkomsel', 'kouta', 'cheap', 'cheap', 'Telkomsel', 'hold', 'lottery', 'week', 'application', 'Telkomsel', 'website', 'Telkomsel ',' Come on ',' follow ',' his draw ',' Hopefully ',' Wrong ',' People ',' Win ',' Lottery ',' Samsung ',' Aminnn ', ""]")</f>
        <v>['', 'Telkomsel', 'kouta', 'cheap', 'cheap', 'Telkomsel', 'hold', 'lottery', 'week', 'application', 'Telkomsel', 'website', 'Telkomsel ',' Come on ',' follow ',' his draw ',' Hopefully ',' Wrong ',' People ',' Win ',' Lottery ',' Samsung ',' Aminnn ', "]</v>
      </c>
      <c r="D366" s="3">
        <v>5.0</v>
      </c>
    </row>
    <row r="367" ht="15.75" customHeight="1">
      <c r="A367" s="1">
        <v>365.0</v>
      </c>
      <c r="B367" s="3" t="s">
        <v>368</v>
      </c>
      <c r="C367" s="3" t="str">
        <f>IFERROR(__xludf.DUMMYFUNCTION("GOOGLETRANSLATE(B367,""id"",""en"")"),"['Please', 'explanation', 'morning', 'contents',' pulse ',' buy ',' package ',' GB ',' price ',' printed ',' right ',' already ',' Transactions', 'leftover', 'pulses',' ']")</f>
        <v>['Please', 'explanation', 'morning', 'contents',' pulse ',' buy ',' package ',' GB ',' price ',' printed ',' right ',' already ',' Transactions', 'leftover', 'pulses',' ']</v>
      </c>
      <c r="D367" s="3">
        <v>3.0</v>
      </c>
    </row>
    <row r="368" ht="15.75" customHeight="1">
      <c r="A368" s="1">
        <v>366.0</v>
      </c>
      <c r="B368" s="3" t="s">
        <v>369</v>
      </c>
      <c r="C368" s="3" t="str">
        <f>IFERROR(__xludf.DUMMYFUNCTION("GOOGLETRANSLATE(B368,""id"",""en"")"),"['', 'Telkomsel', 'disappointed', 'subscribe', 'card', 'Hallo', 'stop', 'subscribe', 'grapari', 'use', 'take', 'subscription', 'cheapest ',' Unfortunately ',' quata ',' functioning ',' call ',' essence ',' facility ']")</f>
        <v>['', 'Telkomsel', 'disappointed', 'subscribe', 'card', 'Hallo', 'stop', 'subscribe', 'grapari', 'use', 'take', 'subscription', 'cheapest ',' Unfortunately ',' quata ',' functioning ',' call ',' essence ',' facility ']</v>
      </c>
      <c r="D368" s="3">
        <v>1.0</v>
      </c>
    </row>
    <row r="369" ht="15.75" customHeight="1">
      <c r="A369" s="1">
        <v>367.0</v>
      </c>
      <c r="B369" s="3" t="s">
        <v>370</v>
      </c>
      <c r="C369" s="3" t="str">
        <f>IFERROR(__xludf.DUMMYFUNCTION("GOOGLETRANSLATE(B369,""id"",""en"")"),"['Please', 'price', 'standard', 'quota', 'shocked', 'quota', 'buy', 'pulse', 'hope', 'service', 'application', ' Please, 'repaired', 'Service', 'Daily', 'Cehckin', 'Sometimes', 'Claims', 'Quota', 'Enter', 'Thank', 'Love']")</f>
        <v>['Please', 'price', 'standard', 'quota', 'shocked', 'quota', 'buy', 'pulse', 'hope', 'service', 'application', ' Please, 'repaired', 'Service', 'Daily', 'Cehckin', 'Sometimes', 'Claims', 'Quota', 'Enter', 'Thank', 'Love']</v>
      </c>
      <c r="D369" s="3">
        <v>4.0</v>
      </c>
    </row>
    <row r="370" ht="15.75" customHeight="1">
      <c r="A370" s="1">
        <v>368.0</v>
      </c>
      <c r="B370" s="3" t="s">
        <v>371</v>
      </c>
      <c r="C370" s="3" t="str">
        <f>IFERROR(__xludf.DUMMYFUNCTION("GOOGLETRANSLATE(B370,""id"",""en"")"),"['love', 'star', 'signal', 'smooth', 'region', 'banten', 'signal', 'internet', 'region', 'banten', 'rich', 'slow', ' Please, 'Telkomsel', 'Fix', 'Service', '']")</f>
        <v>['love', 'star', 'signal', 'smooth', 'region', 'banten', 'signal', 'internet', 'region', 'banten', 'rich', 'slow', ' Please, 'Telkomsel', 'Fix', 'Service', '']</v>
      </c>
      <c r="D370" s="3">
        <v>5.0</v>
      </c>
    </row>
    <row r="371" ht="15.75" customHeight="1">
      <c r="A371" s="1">
        <v>369.0</v>
      </c>
      <c r="B371" s="3" t="s">
        <v>372</v>
      </c>
      <c r="C371" s="3" t="str">
        <f>IFERROR(__xludf.DUMMYFUNCTION("GOOGLETRANSLATE(B371,""id"",""en"")"),"['Since', 'Musicians',' Band ',' Minister ',' Commissioner ',' Telkom ',' Telkomsel ',' Quality ',' Browser ',' Slow ',' Error ',' System ',' Telkomsel ',' Change ',' name ',' Telkomslank ',' ']")</f>
        <v>['Since', 'Musicians',' Band ',' Minister ',' Commissioner ',' Telkom ',' Telkomsel ',' Quality ',' Browser ',' Slow ',' Error ',' System ',' Telkomsel ',' Change ',' name ',' Telkomslank ',' ']</v>
      </c>
      <c r="D371" s="3">
        <v>1.0</v>
      </c>
    </row>
    <row r="372" ht="15.75" customHeight="1">
      <c r="A372" s="1">
        <v>370.0</v>
      </c>
      <c r="B372" s="3" t="s">
        <v>373</v>
      </c>
      <c r="C372" s="3" t="str">
        <f>IFERROR(__xludf.DUMMYFUNCTION("GOOGLETRANSLATE(B372,""id"",""en"")"),"['how', 'user', 'times',' disappointed ',' quota ',' main ',' Take ',' pulse ',' open ',' application ',' get ',' sms', ' Wear ',' pulse ',' access', 'internet', 'quota', 'quota', 'main', 'turn', 'try', 'kepake', 'quota', 'pulse', 'already' , 'Cut "",' me"&amp;"an ',' how ',' Gajelas', 'really', 'Please', 'response', '']")</f>
        <v>['how', 'user', 'times',' disappointed ',' quota ',' main ',' Take ',' pulse ',' open ',' application ',' get ',' sms', ' Wear ',' pulse ',' access', 'internet', 'quota', 'quota', 'main', 'turn', 'try', 'kepake', 'quota', 'pulse', 'already' , 'Cut ",' mean ',' how ',' Gajelas', 'really', 'Please', 'response', '']</v>
      </c>
      <c r="D372" s="3">
        <v>2.0</v>
      </c>
    </row>
    <row r="373" ht="15.75" customHeight="1">
      <c r="A373" s="1">
        <v>371.0</v>
      </c>
      <c r="B373" s="3" t="s">
        <v>374</v>
      </c>
      <c r="C373" s="3" t="str">
        <f>IFERROR(__xludf.DUMMYFUNCTION("GOOGLETRANSLATE(B373,""id"",""en"")"),"['Telkomsel', 'petit', 'age', 'card', 'package', 'package', 'internet', 'call', 'expensive', 'age', 'card', 'promo', ' reality ',' reversed ',' card ',' package ',' expensive ',' card ',' promo ',' interesting ',' beg ',' listen ',' person ',' poor ', ""]")</f>
        <v>['Telkomsel', 'petit', 'age', 'card', 'package', 'package', 'internet', 'call', 'expensive', 'age', 'card', 'promo', ' reality ',' reversed ',' card ',' package ',' expensive ',' card ',' promo ',' interesting ',' beg ',' listen ',' person ',' poor ', "]</v>
      </c>
      <c r="D373" s="3">
        <v>1.0</v>
      </c>
    </row>
    <row r="374" ht="15.75" customHeight="1">
      <c r="A374" s="1">
        <v>372.0</v>
      </c>
      <c r="B374" s="3" t="s">
        <v>375</v>
      </c>
      <c r="C374" s="3" t="str">
        <f>IFERROR(__xludf.DUMMYFUNCTION("GOOGLETRANSLATE(B374,""id"",""en"")"),"['Application', 'dilapidated', 'difficult', 'Login', 'Link', 'SMS', 'Login', 'second', 'clicked', 'Network', 'Telkomsel', 'Login', ' wifi ',' house ',' no ']")</f>
        <v>['Application', 'dilapidated', 'difficult', 'Login', 'Link', 'SMS', 'Login', 'second', 'clicked', 'Network', 'Telkomsel', 'Login', ' wifi ',' house ',' no ']</v>
      </c>
      <c r="D374" s="3">
        <v>1.0</v>
      </c>
    </row>
    <row r="375" ht="15.75" customHeight="1">
      <c r="A375" s="1">
        <v>373.0</v>
      </c>
      <c r="B375" s="3" t="s">
        <v>376</v>
      </c>
      <c r="C375" s="3" t="str">
        <f>IFERROR(__xludf.DUMMYFUNCTION("GOOGLETRANSLATE(B375,""id"",""en"")"),"['Dear', 'Telkomsel', 'Signal', 'Telkomsel', 'Dead', 'Dead', 'Paketan', 'Live', 'Bondowoso', 'Java', 'East', 'Please', ' Fix ',' The network ',' Satisfied ']")</f>
        <v>['Dear', 'Telkomsel', 'Signal', 'Telkomsel', 'Dead', 'Dead', 'Paketan', 'Live', 'Bondowoso', 'Java', 'East', 'Please', ' Fix ',' The network ',' Satisfied ']</v>
      </c>
      <c r="D375" s="3">
        <v>2.0</v>
      </c>
    </row>
    <row r="376" ht="15.75" customHeight="1">
      <c r="A376" s="1">
        <v>374.0</v>
      </c>
      <c r="B376" s="3" t="s">
        <v>377</v>
      </c>
      <c r="C376" s="3" t="str">
        <f>IFERROR(__xludf.DUMMYFUNCTION("GOOGLETRANSLATE(B376,""id"",""en"")"),"['Telkomsel', 'card', 'pay', 'package', 'expensive', 'expensive', 'signal', 'lost', 'missing', 'please', 'fix', 'stay', ' Cirebon ',' Bener ',' Disappointed ',' Rich ',' Gini ',' Sampe ',' Move ',' Pay ',' Expensive ',' Signal ',' Lost ',' ugly ',' fast '"&amp;" , 'repair', '']")</f>
        <v>['Telkomsel', 'card', 'pay', 'package', 'expensive', 'expensive', 'signal', 'lost', 'missing', 'please', 'fix', 'stay', ' Cirebon ',' Bener ',' Disappointed ',' Rich ',' Gini ',' Sampe ',' Move ',' Pay ',' Expensive ',' Signal ',' Lost ',' ugly ',' fast ' , 'repair', '']</v>
      </c>
      <c r="D376" s="3">
        <v>1.0</v>
      </c>
    </row>
    <row r="377" ht="15.75" customHeight="1">
      <c r="A377" s="1">
        <v>375.0</v>
      </c>
      <c r="B377" s="3" t="s">
        <v>378</v>
      </c>
      <c r="C377" s="3" t="str">
        <f>IFERROR(__xludf.DUMMYFUNCTION("GOOGLETRANSLATE(B377,""id"",""en"")"),"['Please', 'Package', 'Data', 'Champion', 'People', 'Sya', 'Package', 'Data', 'GB', 'Cake', 'Rb', 'Promo', ' is lost', '']")</f>
        <v>['Please', 'Package', 'Data', 'Champion', 'People', 'Sya', 'Package', 'Data', 'GB', 'Cake', 'Rb', 'Promo', ' is lost', '']</v>
      </c>
      <c r="D377" s="3">
        <v>2.0</v>
      </c>
    </row>
    <row r="378" ht="15.75" customHeight="1">
      <c r="A378" s="1">
        <v>376.0</v>
      </c>
      <c r="B378" s="3" t="s">
        <v>379</v>
      </c>
      <c r="C378" s="3" t="str">
        <f>IFERROR(__xludf.DUMMYFUNCTION("GOOGLETRANSLATE(B378,""id"",""en"")"),"['Telkomsel', 'Package', 'Out', 'Notification', 'SMS', 'Enter', 'Notification', 'Credit', 'Eat', 'Time', 'Telkomsel', 'times',' Kek ',' That's']")</f>
        <v>['Telkomsel', 'Package', 'Out', 'Notification', 'SMS', 'Enter', 'Notification', 'Credit', 'Eat', 'Time', 'Telkomsel', 'times',' Kek ',' That's']</v>
      </c>
      <c r="D378" s="3">
        <v>1.0</v>
      </c>
    </row>
    <row r="379" ht="15.75" customHeight="1">
      <c r="A379" s="1">
        <v>377.0</v>
      </c>
      <c r="B379" s="3" t="s">
        <v>380</v>
      </c>
      <c r="C379" s="3" t="str">
        <f>IFERROR(__xludf.DUMMYFUNCTION("GOOGLETRANSLATE(B379,""id"",""en"")"),"['Improvement', 'Network', 'LTE', 'Region', 'Kec', 'Maligano', 'Kelurahan', 'Langkoroni', 'Village', 'Lebo', 'Sultra', 'Good', ' Stars', 'love', 'pull', 'star', 'Thanks']")</f>
        <v>['Improvement', 'Network', 'LTE', 'Region', 'Kec', 'Maligano', 'Kelurahan', 'Langkoroni', 'Village', 'Lebo', 'Sultra', 'Good', ' Stars', 'love', 'pull', 'star', 'Thanks']</v>
      </c>
      <c r="D379" s="3">
        <v>4.0</v>
      </c>
    </row>
    <row r="380" ht="15.75" customHeight="1">
      <c r="A380" s="1">
        <v>378.0</v>
      </c>
      <c r="B380" s="3" t="s">
        <v>381</v>
      </c>
      <c r="C380" s="3" t="str">
        <f>IFERROR(__xludf.DUMMYFUNCTION("GOOGLETRANSLATE(B380,""id"",""en"")"),"['Signal', 'Telkomsel', 'Bad', 'Application', 'Telkomsel', 'Since', 'Update', 'Bad', 'Log', 'Application', 'Tlng', 'Signal', ' Telkomsel ',' Increase ',' Disappointing ',' Customer ',' ']")</f>
        <v>['Signal', 'Telkomsel', 'Bad', 'Application', 'Telkomsel', 'Since', 'Update', 'Bad', 'Log', 'Application', 'Tlng', 'Signal', ' Telkomsel ',' Increase ',' Disappointing ',' Customer ',' ']</v>
      </c>
      <c r="D380" s="3">
        <v>1.0</v>
      </c>
    </row>
    <row r="381" ht="15.75" customHeight="1">
      <c r="A381" s="1">
        <v>379.0</v>
      </c>
      <c r="B381" s="3" t="s">
        <v>382</v>
      </c>
      <c r="C381" s="3" t="str">
        <f>IFERROR(__xludf.DUMMYFUNCTION("GOOGLETRANSLATE(B381,""id"",""en"")"),"['Forced', 'Love', 'Bintang', 'Paketan', 'Expensive', 'Gembel', 'Telkomsel', 'Fee', 'Paketan', 'Come Come', 'Bad', 'Good', ' mnding ',' moved ',' card ',' next door ',' slow ',' pneting ',' package ',' cheap ']")</f>
        <v>['Forced', 'Love', 'Bintang', 'Paketan', 'Expensive', 'Gembel', 'Telkomsel', 'Fee', 'Paketan', 'Come Come', 'Bad', 'Good', ' mnding ',' moved ',' card ',' next door ',' slow ',' pneting ',' package ',' cheap ']</v>
      </c>
      <c r="D381" s="3">
        <v>1.0</v>
      </c>
    </row>
    <row r="382" ht="15.75" customHeight="1">
      <c r="A382" s="1">
        <v>380.0</v>
      </c>
      <c r="B382" s="3" t="s">
        <v>383</v>
      </c>
      <c r="C382" s="3" t="str">
        <f>IFERROR(__xludf.DUMMYFUNCTION("GOOGLETRANSLATE(B382,""id"",""en"")"),"['price', 'package', 'please', 'conducted', 'network', 'signal', 'please', 'yaa', 'cell', 'skrg', 'left', 'only', ' Change ',' Card ',' Sampe ',' Kuganti ',' Signal ',' Price ',' Next to ',' LBH ',' Teasing ',' Expensive ', ""]")</f>
        <v>['price', 'package', 'please', 'conducted', 'network', 'signal', 'please', 'yaa', 'cell', 'skrg', 'left', 'only', ' Change ',' Card ',' Sampe ',' Kuganti ',' Signal ',' Price ',' Next to ',' LBH ',' Teasing ',' Expensive ', "]</v>
      </c>
      <c r="D382" s="3">
        <v>2.0</v>
      </c>
    </row>
    <row r="383" ht="15.75" customHeight="1">
      <c r="A383" s="1">
        <v>381.0</v>
      </c>
      <c r="B383" s="3" t="s">
        <v>384</v>
      </c>
      <c r="C383" s="3" t="str">
        <f>IFERROR(__xludf.DUMMYFUNCTION("GOOGLETRANSLATE(B383,""id"",""en"")"),"['Application', 'Package', 'Total', 'Package', 'Get', 'Internet', 'Multimedia', 'Multimedia', 'Kekeke', 'internet', ""]")</f>
        <v>['Application', 'Package', 'Total', 'Package', 'Get', 'Internet', 'Multimedia', 'Multimedia', 'Kekeke', 'internet', "]</v>
      </c>
      <c r="D383" s="3">
        <v>3.0</v>
      </c>
    </row>
    <row r="384" ht="15.75" customHeight="1">
      <c r="A384" s="1">
        <v>382.0</v>
      </c>
      <c r="B384" s="3" t="s">
        <v>385</v>
      </c>
      <c r="C384" s="3" t="str">
        <f>IFERROR(__xludf.DUMMYFUNCTION("GOOGLETRANSLATE(B384,""id"",""en"")"),"['updated', 'umpsecuch', 'times',' meet ',' need ',' buy ',' package ',' data ',' fair ',' expensive ',' student ',' dependent ',' internet ',' package ',' data ',' package ',' data ',' buy ',' network ',' ugly ',' impact ',' lecture ',' shipping ',' task"&amp;" ',' disturbed ' , '']")</f>
        <v>['updated', 'umpsecuch', 'times',' meet ',' need ',' buy ',' package ',' data ',' fair ',' expensive ',' student ',' dependent ',' internet ',' package ',' data ',' package ',' data ',' buy ',' network ',' ugly ',' impact ',' lecture ',' shipping ',' task ',' disturbed ' , '']</v>
      </c>
      <c r="D384" s="3">
        <v>2.0</v>
      </c>
    </row>
    <row r="385" ht="15.75" customHeight="1">
      <c r="A385" s="1">
        <v>383.0</v>
      </c>
      <c r="B385" s="3" t="s">
        <v>386</v>
      </c>
      <c r="C385" s="3" t="str">
        <f>IFERROR(__xludf.DUMMYFUNCTION("GOOGLETRANSLATE(B385,""id"",""en"")"),"['A ',' Minimal ',' Kasi ',' Package ',' Credit ',' Free ',' That's ',' Adin ',' Event ',' Price ',' Package ',' Lowered ',' package ',' night ',' doang ',' cheap ',' kasian ',' buy ',' quota ',' gtu ',' kpn ',' indo ',' hit ',' tried ',' tired ' , 'TPI',"&amp;" 'slow', 'gkpp', 'wifi', '']")</f>
        <v>['A ',' Minimal ',' Kasi ',' Package ',' Credit ',' Free ',' That's ',' Adin ',' Event ',' Price ',' Package ',' Lowered ',' package ',' night ',' doang ',' cheap ',' kasian ',' buy ',' quota ',' gtu ',' kpn ',' indo ',' hit ',' tried ',' tired ' , 'TPI', 'slow', 'gkpp', 'wifi', '']</v>
      </c>
      <c r="D385" s="3">
        <v>5.0</v>
      </c>
    </row>
    <row r="386" ht="15.75" customHeight="1">
      <c r="A386" s="1">
        <v>384.0</v>
      </c>
      <c r="B386" s="3" t="s">
        <v>387</v>
      </c>
      <c r="C386" s="3" t="str">
        <f>IFERROR(__xludf.DUMMYFUNCTION("GOOGLETRANSLATE(B386,""id"",""en"")"),"['Hello', 'Telkomsel', 'age', 'old', 'signal', 'loss',' lose ',' operator ',' sinya ',' hard ',' difficult ',' ']")</f>
        <v>['Hello', 'Telkomsel', 'age', 'old', 'signal', 'loss',' lose ',' operator ',' sinya ',' hard ',' difficult ',' ']</v>
      </c>
      <c r="D386" s="3">
        <v>1.0</v>
      </c>
    </row>
    <row r="387" ht="15.75" customHeight="1">
      <c r="A387" s="1">
        <v>385.0</v>
      </c>
      <c r="B387" s="3" t="s">
        <v>388</v>
      </c>
      <c r="C387" s="3" t="str">
        <f>IFERROR(__xludf.DUMMYFUNCTION("GOOGLETRANSLATE(B387,""id"",""en"")"),"['Features',' Provider ',' Class', 'Kayak', 'Telkomsel', 'Lost', 'Axis',' Application ',' Axisnet ',' Lock ',' Pulse ',' Sumpot ',' Data ',' quota ',' Duuh ',' Telkomsel ',' Features', 'Kyak', 'That's',' ']")</f>
        <v>['Features',' Provider ',' Class', 'Kayak', 'Telkomsel', 'Lost', 'Axis',' Application ',' Axisnet ',' Lock ',' Pulse ',' Sumpot ',' Data ',' quota ',' Duuh ',' Telkomsel ',' Features', 'Kyak', 'That's',' ']</v>
      </c>
      <c r="D387" s="3">
        <v>1.0</v>
      </c>
    </row>
    <row r="388" ht="15.75" customHeight="1">
      <c r="A388" s="1">
        <v>386.0</v>
      </c>
      <c r="B388" s="3" t="s">
        <v>389</v>
      </c>
      <c r="C388" s="3" t="str">
        <f>IFERROR(__xludf.DUMMYFUNCTION("GOOGLETRANSLATE(B388,""id"",""en"")"),"['Telkomsel', 'Dear', 'ugly', 'Please', 'Enhanced', 'Network', 'Internet', 'Error', 'Severe', 'Afternoon', 'Clock', 'Afternoon', ' HARD ',' Very ',' Please ',' Acquired ',' Continue ',' Constraints', 'Customer', 'Moving', 'Heart', 'Thank you']")</f>
        <v>['Telkomsel', 'Dear', 'ugly', 'Please', 'Enhanced', 'Network', 'Internet', 'Error', 'Severe', 'Afternoon', 'Clock', 'Afternoon', ' HARD ',' Very ',' Please ',' Acquired ',' Continue ',' Constraints', 'Customer', 'Moving', 'Heart', 'Thank you']</v>
      </c>
      <c r="D388" s="3">
        <v>2.0</v>
      </c>
    </row>
    <row r="389" ht="15.75" customHeight="1">
      <c r="A389" s="1">
        <v>387.0</v>
      </c>
      <c r="B389" s="3" t="s">
        <v>390</v>
      </c>
      <c r="C389" s="3" t="str">
        <f>IFERROR(__xludf.DUMMYFUNCTION("GOOGLETRANSLATE(B389,""id"",""en"")"),"['Please', 'repaired', 'Network', 'Region', 'Tangerang', 'Banten', 'District', 'Sepatan', 'East', 'Village', 'Gempol', 'Sari', ' Satisfied ',' network ',' at the time ',' play ',' game ',' signal ',' leg ',' annoying ',' Please ',' repaired ',' convenienc"&amp;"e ']")</f>
        <v>['Please', 'repaired', 'Network', 'Region', 'Tangerang', 'Banten', 'District', 'Sepatan', 'East', 'Village', 'Gempol', 'Sari', ' Satisfied ',' network ',' at the time ',' play ',' game ',' signal ',' leg ',' annoying ',' Please ',' repaired ',' convenience ']</v>
      </c>
      <c r="D389" s="3">
        <v>1.0</v>
      </c>
    </row>
    <row r="390" ht="15.75" customHeight="1">
      <c r="A390" s="1">
        <v>388.0</v>
      </c>
      <c r="B390" s="3" t="s">
        <v>391</v>
      </c>
      <c r="C390" s="3" t="str">
        <f>IFERROR(__xludf.DUMMYFUNCTION("GOOGLETRANSLATE(B390,""id"",""en"")"),"['Telkomsel', 'signal', 'browsing', 'loading', 'bored', 'wait', 'improve', 'quality', 'quality']")</f>
        <v>['Telkomsel', 'signal', 'browsing', 'loading', 'bored', 'wait', 'improve', 'quality', 'quality']</v>
      </c>
      <c r="D390" s="3">
        <v>3.0</v>
      </c>
    </row>
    <row r="391" ht="15.75" customHeight="1">
      <c r="A391" s="1">
        <v>389.0</v>
      </c>
      <c r="B391" s="3" t="s">
        <v>392</v>
      </c>
      <c r="C391" s="3" t="str">
        <f>IFERROR(__xludf.DUMMYFUNCTION("GOOGLETRANSLATE(B391,""id"",""en"")"),"['', 'open', 'the application', 'mas',' uinstal ',' intolition ',' reset ',' open ',' out ',' opened ',' uninstall ',' install ',' ugly ',' Gini ',' application ',' MyTelkomsel ',' ']")</f>
        <v>['', 'open', 'the application', 'mas',' uinstal ',' intolition ',' reset ',' open ',' out ',' opened ',' uninstall ',' install ',' ugly ',' Gini ',' application ',' MyTelkomsel ',' ']</v>
      </c>
      <c r="D391" s="3">
        <v>1.0</v>
      </c>
    </row>
    <row r="392" ht="15.75" customHeight="1">
      <c r="A392" s="1">
        <v>390.0</v>
      </c>
      <c r="B392" s="3" t="s">
        <v>393</v>
      </c>
      <c r="C392" s="3" t="str">
        <f>IFERROR(__xludf.DUMMYFUNCTION("GOOGLETRANSLATE(B392,""id"",""en"")"),"['Telkomsel', 'BNR', 'bother', 'disappointed', 'NMR', 'Scorched', 'LBH', 'Aktvasi', 'Migration', 'Post', 'Pay', ' The service is', 'Provider', 'Blue', 'BNR', 'NEED', 'NMR', 'TRSBT', 'Untk', 'Verification', 'Gmail', 'in', 'email', 'trsbt' , 'file', 'need',"&amp;" 'NMR', 'TRSBT', 'Needs it', 'hope', 'KDPN', 'Telkomsel', 'Change', 'Policy', 'Harm', 'Customer', ' wrong ',' example ',' case ',' sprt ',' ']")</f>
        <v>['Telkomsel', 'BNR', 'bother', 'disappointed', 'NMR', 'Scorched', 'LBH', 'Aktvasi', 'Migration', 'Post', 'Pay', ' The service is', 'Provider', 'Blue', 'BNR', 'NEED', 'NMR', 'TRSBT', 'Untk', 'Verification', 'Gmail', 'in', 'email', 'trsbt' , 'file', 'need', 'NMR', 'TRSBT', 'Needs it', 'hope', 'KDPN', 'Telkomsel', 'Change', 'Policy', 'Harm', 'Customer', ' wrong ',' example ',' case ',' sprt ',' ']</v>
      </c>
      <c r="D392" s="3">
        <v>1.0</v>
      </c>
    </row>
    <row r="393" ht="15.75" customHeight="1">
      <c r="A393" s="1">
        <v>391.0</v>
      </c>
      <c r="B393" s="3" t="s">
        <v>394</v>
      </c>
      <c r="C393" s="3" t="str">
        <f>IFERROR(__xludf.DUMMYFUNCTION("GOOGLETRANSLATE(B393,""id"",""en"")"),"['slow', 'skrg', 'telkomsel', 'knp', 'network', 'slow', 'kouta', 'please', 'donk', 'stay', 'housing', 'network', ' kagak ',' entered ',' selfish ',' city ',' Telkomsel ',' good ']")</f>
        <v>['slow', 'skrg', 'telkomsel', 'knp', 'network', 'slow', 'kouta', 'please', 'donk', 'stay', 'housing', 'network', ' kagak ',' entered ',' selfish ',' city ',' Telkomsel ',' good ']</v>
      </c>
      <c r="D393" s="3">
        <v>1.0</v>
      </c>
    </row>
    <row r="394" ht="15.75" customHeight="1">
      <c r="A394" s="1">
        <v>392.0</v>
      </c>
      <c r="B394" s="3" t="s">
        <v>395</v>
      </c>
      <c r="C394" s="3" t="str">
        <f>IFERROR(__xludf.DUMMYFUNCTION("GOOGLETRANSLATE(B394,""id"",""en"")"),"['GMN', 'Telkomsel', 'PKE', 'Data', 'Tsel', 'connection', 'internet', 'skrng', 'ugly', 'contents',' pulses', 'top', ' msh ',' leftover ',' bbrp ',' thousand ',' sometimes', 'dftr', 'package', 'daily', 'msh', 'left', 'get', 'message', 'thank' , 'love', 're"&amp;"store', 'repayment', 'package', 'emergency', 'pdl', 'list', 'pke', 'package', 'emergency', 'anything', 'bln', ' PKE ',' operator ',' nominal ',' pulse ',' operator ',' class', 'national', 'system', 'sprti', 'thank you']")</f>
        <v>['GMN', 'Telkomsel', 'PKE', 'Data', 'Tsel', 'connection', 'internet', 'skrng', 'ugly', 'contents',' pulses', 'top', ' msh ',' leftover ',' bbrp ',' thousand ',' sometimes', 'dftr', 'package', 'daily', 'msh', 'left', 'get', 'message', 'thank' , 'love', 'restore', 'repayment', 'package', 'emergency', 'pdl', 'list', 'pke', 'package', 'emergency', 'anything', 'bln', ' PKE ',' operator ',' nominal ',' pulse ',' operator ',' class', 'national', 'system', 'sprti', 'thank you']</v>
      </c>
      <c r="D394" s="3">
        <v>1.0</v>
      </c>
    </row>
    <row r="395" ht="15.75" customHeight="1">
      <c r="A395" s="1">
        <v>393.0</v>
      </c>
      <c r="B395" s="3" t="s">
        <v>396</v>
      </c>
      <c r="C395" s="3" t="str">
        <f>IFERROR(__xludf.DUMMYFUNCTION("GOOGLETRANSLATE(B395,""id"",""en"")"),"['list', 'game', 'registered', 'quota', 'games',' game ',' rare ',' maini ',' loss', 'quota', 'if', 'mending', ' Switch ',' quota ',' thing ',' cassette ',' music ',' music ',' geme ',' like ', ""]")</f>
        <v>['list', 'game', 'registered', 'quota', 'games',' game ',' rare ',' maini ',' loss', 'quota', 'if', 'mending', ' Switch ',' quota ',' thing ',' cassette ',' music ',' music ',' geme ',' like ', "]</v>
      </c>
      <c r="D395" s="3">
        <v>1.0</v>
      </c>
    </row>
    <row r="396" ht="15.75" customHeight="1">
      <c r="A396" s="1">
        <v>394.0</v>
      </c>
      <c r="B396" s="3" t="s">
        <v>397</v>
      </c>
      <c r="C396" s="3" t="str">
        <f>IFERROR(__xludf.DUMMYFUNCTION("GOOGLETRANSLATE(B396,""id"",""en"")"),"['Network', 'BURIK', 'Play', 'Game', 'Online', 'Capital', 'Price', 'Paketan', 'Not bad', 'expensive', 'user', 'sympathy', ' Mending ',' think ',' Telkomsel ',' ']")</f>
        <v>['Network', 'BURIK', 'Play', 'Game', 'Online', 'Capital', 'Price', 'Paketan', 'Not bad', 'expensive', 'user', 'sympathy', ' Mending ',' think ',' Telkomsel ',' ']</v>
      </c>
      <c r="D396" s="3">
        <v>1.0</v>
      </c>
    </row>
    <row r="397" ht="15.75" customHeight="1">
      <c r="A397" s="1">
        <v>395.0</v>
      </c>
      <c r="B397" s="3" t="s">
        <v>398</v>
      </c>
      <c r="C397" s="3" t="str">
        <f>IFERROR(__xludf.DUMMYFUNCTION("GOOGLETRANSLATE(B397,""id"",""en"")"),"['', 'disappointed', 'pulses',' run out ',' sumps', 'exchange', 'package', 'play', 'game', 'signal', 'stable', 'price', 'please ',' balance ',' quality ',' Denpasar ',' signal ',' inland ',' rest ',' ']")</f>
        <v>['', 'disappointed', 'pulses',' run out ',' sumps', 'exchange', 'package', 'play', 'game', 'signal', 'stable', 'price', 'please ',' balance ',' quality ',' Denpasar ',' signal ',' inland ',' rest ',' ']</v>
      </c>
      <c r="D397" s="3">
        <v>1.0</v>
      </c>
    </row>
    <row r="398" ht="15.75" customHeight="1">
      <c r="A398" s="1">
        <v>396.0</v>
      </c>
      <c r="B398" s="3" t="s">
        <v>399</v>
      </c>
      <c r="C398" s="3" t="str">
        <f>IFERROR(__xludf.DUMMYFUNCTION("GOOGLETRANSLATE(B398,""id"",""en"")"),"['Kenpa', 'Telkomsel', 'in the future', 'Bad', 'Point', 'Point', 'Yesterday', 'Bener', 'Difficult', 'exchanged', 'products',' Good ',' ']")</f>
        <v>['Kenpa', 'Telkomsel', 'in the future', 'Bad', 'Point', 'Point', 'Yesterday', 'Bener', 'Difficult', 'exchanged', 'products',' Good ',' ']</v>
      </c>
      <c r="D398" s="3">
        <v>1.0</v>
      </c>
    </row>
    <row r="399" ht="15.75" customHeight="1">
      <c r="A399" s="1">
        <v>397.0</v>
      </c>
      <c r="B399" s="3" t="s">
        <v>400</v>
      </c>
      <c r="C399" s="3" t="str">
        <f>IFERROR(__xludf.DUMMYFUNCTION("GOOGLETRANSLATE(B399,""id"",""en"")"),"['Hello', 'Sis',' Signal ',' ugly ',' yaa ',' location ',' jakarta ',' west ',' everything ',' google ',' meet ',' direct ',' lossss', 'signal', 'ilang', 'turn it off', 'turn', 'child', 'difficult', 'learn', 'deliberate', 'buy', 'card', 'signal', 'good' ,"&amp;" 'Sebagus', 'stressed', 'use', 'package', 'card', 'sympathy', 'fix', 'donk']")</f>
        <v>['Hello', 'Sis',' Signal ',' ugly ',' yaa ',' location ',' jakarta ',' west ',' everything ',' google ',' meet ',' direct ',' lossss', 'signal', 'ilang', 'turn it off', 'turn', 'child', 'difficult', 'learn', 'deliberate', 'buy', 'card', 'signal', 'good' , 'Sebagus', 'stressed', 'use', 'package', 'card', 'sympathy', 'fix', 'donk']</v>
      </c>
      <c r="D399" s="3">
        <v>3.0</v>
      </c>
    </row>
    <row r="400" ht="15.75" customHeight="1">
      <c r="A400" s="1">
        <v>398.0</v>
      </c>
      <c r="B400" s="3" t="s">
        <v>401</v>
      </c>
      <c r="C400" s="3" t="str">
        <f>IFERROR(__xludf.DUMMYFUNCTION("GOOGLETRANSLATE(B400,""id"",""en"")"),"['Love', 'Love', 'Bintang', 'Package', 'Combo', 'Sakti', 'Internet', 'Multimedia', 'Wrong', 'Multimedia', 'Used', 'Thank you', ' ']")</f>
        <v>['Love', 'Love', 'Bintang', 'Package', 'Combo', 'Sakti', 'Internet', 'Multimedia', 'Wrong', 'Multimedia', 'Used', 'Thank you', ' ']</v>
      </c>
      <c r="D400" s="3">
        <v>2.0</v>
      </c>
    </row>
    <row r="401" ht="15.75" customHeight="1">
      <c r="A401" s="1">
        <v>399.0</v>
      </c>
      <c r="B401" s="3" t="s">
        <v>402</v>
      </c>
      <c r="C401" s="3" t="str">
        <f>IFERROR(__xludf.DUMMYFUNCTION("GOOGLETRANSLATE(B401,""id"",""en"")"),"['ugly', 'signal', 'difficult', 'called', 'area', 'Tanjung', 'Morawa', 'village', 'Medan', 'Sinembah', 'Kec', 'Tanjung', ' Morawa ',' Kab ',' Deli ',' Serdang ',' number ',' buy ',' Package ',' telephone ']")</f>
        <v>['ugly', 'signal', 'difficult', 'called', 'area', 'Tanjung', 'Morawa', 'village', 'Medan', 'Sinembah', 'Kec', 'Tanjung', ' Morawa ',' Kab ',' Deli ',' Serdang ',' number ',' buy ',' Package ',' telephone ']</v>
      </c>
      <c r="D401" s="3">
        <v>1.0</v>
      </c>
    </row>
    <row r="402" ht="15.75" customHeight="1">
      <c r="A402" s="1">
        <v>400.0</v>
      </c>
      <c r="B402" s="3" t="s">
        <v>403</v>
      </c>
      <c r="C402" s="3" t="str">
        <f>IFERROR(__xludf.DUMMYFUNCTION("GOOGLETRANSLATE(B402,""id"",""en"")"),"['', 'borrow', 'package', 'emergency', 'notification', 'Telkomsel', 'restore', 'pulse', 'package', 'emergency', 'borrow', 'package', 'emergency ',' Take ',' bonus', 'results',' check ',' tip ',' tip ',' package ',' emergency ',' mending ',' USA ',' guy ',"&amp;"' bonus', 'Pieces', 'Price', 'What's', '']")</f>
        <v>['', 'borrow', 'package', 'emergency', 'notification', 'Telkomsel', 'restore', 'pulse', 'package', 'emergency', 'borrow', 'package', 'emergency ',' Take ',' bonus', 'results',' check ',' tip ',' tip ',' package ',' emergency ',' mending ',' USA ',' guy ',' bonus', 'Pieces', 'Price', 'What's', '']</v>
      </c>
      <c r="D402" s="3">
        <v>2.0</v>
      </c>
    </row>
    <row r="403" ht="15.75" customHeight="1">
      <c r="A403" s="1">
        <v>401.0</v>
      </c>
      <c r="B403" s="3" t="s">
        <v>404</v>
      </c>
      <c r="C403" s="3" t="str">
        <f>IFERROR(__xludf.DUMMYFUNCTION("GOOGLETRANSLATE(B403,""id"",""en"")"),"['Bad', 'Telkomsel', 'area', 'home', 'Labuhanbatu', 'North', 'Telkomsel', 'week', 'Nge', 'lag', 'rain', 'a little', ' ngellag ',' dead ',' lights', 'ngelag', 'noon', 'noon', 'hole', 'ngelag', 'please', 'fix', 'expensive', 'package', 'pity' , 'Lecture', 'r"&amp;"ight', 'lecturer', 'ngellag', 'night', 'hanging', 'task', 'ngelaq', 'task', 'times',' piled ',' disappointed ',' Heavy ',' Telkomsel ']")</f>
        <v>['Bad', 'Telkomsel', 'area', 'home', 'Labuhanbatu', 'North', 'Telkomsel', 'week', 'Nge', 'lag', 'rain', 'a little', ' ngellag ',' dead ',' lights', 'ngelag', 'noon', 'noon', 'hole', 'ngelag', 'please', 'fix', 'expensive', 'package', 'pity' , 'Lecture', 'right', 'lecturer', 'ngellag', 'night', 'hanging', 'task', 'ngelaq', 'task', 'times',' piled ',' disappointed ',' Heavy ',' Telkomsel ']</v>
      </c>
      <c r="D403" s="3">
        <v>1.0</v>
      </c>
    </row>
    <row r="404" ht="15.75" customHeight="1">
      <c r="A404" s="1">
        <v>402.0</v>
      </c>
      <c r="B404" s="3" t="s">
        <v>405</v>
      </c>
      <c r="C404" s="3" t="str">
        <f>IFERROR(__xludf.DUMMYFUNCTION("GOOGLETRANSLATE(B404,""id"",""en"")"),"['buy', 'minutes',' network ',' directly ',' down ',' drastic ',' turn on ',' mode ',' plane ',' turn it off ',' pum ',' minute ',' network ',' ugly ',' tingal ',' city ',' good ',' active ',' difficult ',' network ',' ugly ',' rich ',' gini ',' please ',"&amp;"' price ' , 'Doang', 'ride', 'quality', 'network', 'level', '']")</f>
        <v>['buy', 'minutes',' network ',' directly ',' down ',' drastic ',' turn on ',' mode ',' plane ',' turn it off ',' pum ',' minute ',' network ',' ugly ',' tingal ',' city ',' good ',' active ',' difficult ',' network ',' ugly ',' rich ',' gini ',' please ',' price ' , 'Doang', 'ride', 'quality', 'network', 'level', '']</v>
      </c>
      <c r="D404" s="3">
        <v>1.0</v>
      </c>
    </row>
    <row r="405" ht="15.75" customHeight="1">
      <c r="A405" s="1">
        <v>403.0</v>
      </c>
      <c r="B405" s="3" t="s">
        <v>406</v>
      </c>
      <c r="C405" s="3" t="str">
        <f>IFERROR(__xludf.DUMMYFUNCTION("GOOGLETRANSLATE(B405,""id"",""en"")"),"['Telkomsel', 'troubling', 'network', 'lost', 'gamer', 'disappointed', 'please', 'repaired', 'yaa', ""]")</f>
        <v>['Telkomsel', 'troubling', 'network', 'lost', 'gamer', 'disappointed', 'please', 'repaired', 'yaa', "]</v>
      </c>
      <c r="D405" s="3">
        <v>1.0</v>
      </c>
    </row>
    <row r="406" ht="15.75" customHeight="1">
      <c r="A406" s="1">
        <v>404.0</v>
      </c>
      <c r="B406" s="3" t="s">
        <v>407</v>
      </c>
      <c r="C406" s="3" t="str">
        <f>IFERROR(__xludf.DUMMYFUNCTION("GOOGLETRANSLATE(B406,""id"",""en"")"),"['like', 'package', 'unlimitedmax', 'package', 'unlimitedmax', 'package', 'make', 'fup', 'sya', 'satisfied', 'dng', 'package', ' The data ',' Please ',' Quota ',' Unlimitedmax ',' FUP ',' Disappointed ',' Telkomsel ', ""]")</f>
        <v>['like', 'package', 'unlimitedmax', 'package', 'unlimitedmax', 'package', 'make', 'fup', 'sya', 'satisfied', 'dng', 'package', ' The data ',' Please ',' Quota ',' Unlimitedmax ',' FUP ',' Disappointed ',' Telkomsel ', "]</v>
      </c>
      <c r="D406" s="3">
        <v>1.0</v>
      </c>
    </row>
    <row r="407" ht="15.75" customHeight="1">
      <c r="A407" s="1">
        <v>405.0</v>
      </c>
      <c r="B407" s="3" t="s">
        <v>408</v>
      </c>
      <c r="C407" s="3" t="str">
        <f>IFERROR(__xludf.DUMMYFUNCTION("GOOGLETRANSLATE(B407,""id"",""en"")"),"['knp', 'purchase', 'package', 'data', 'suda', 'reset', 'times',' please ',' help ',' transaction ',' smooth ',' fast ',' Please ',' Notice ',' Telkomsel ',' Thank you ', ""]")</f>
        <v>['knp', 'purchase', 'package', 'data', 'suda', 'reset', 'times',' please ',' help ',' transaction ',' smooth ',' fast ',' Please ',' Notice ',' Telkomsel ',' Thank you ', "]</v>
      </c>
      <c r="D407" s="3">
        <v>2.0</v>
      </c>
    </row>
    <row r="408" ht="15.75" customHeight="1">
      <c r="A408" s="1">
        <v>406.0</v>
      </c>
      <c r="B408" s="3" t="s">
        <v>409</v>
      </c>
      <c r="C408" s="3" t="str">
        <f>IFERROR(__xludf.DUMMYFUNCTION("GOOGLETRANSLATE(B408,""id"",""en"")"),"['users',' Telkomsel ',' disappointed ',' voucher ',' buy ',' sent ',' file ',' complaint ',' applied ',' action ',' explanation ',' useful ',' disappointing', '']")</f>
        <v>['users',' Telkomsel ',' disappointed ',' voucher ',' buy ',' sent ',' file ',' complaint ',' applied ',' action ',' explanation ',' useful ',' disappointing', '']</v>
      </c>
      <c r="D408" s="3">
        <v>1.0</v>
      </c>
    </row>
    <row r="409" ht="15.75" customHeight="1">
      <c r="A409" s="1">
        <v>407.0</v>
      </c>
      <c r="B409" s="3" t="s">
        <v>410</v>
      </c>
      <c r="C409" s="3" t="str">
        <f>IFERROR(__xludf.DUMMYFUNCTION("GOOGLETRANSLATE(B409,""id"",""en"")"),"['Sad', 'Network', 'Island', 'Obi', 'Halmahera', 'MOVER', 'Good', 'Package', 'Data', 'Out', 'Sia', ' As a result of ',' network ',' internet ',' difficult ',' severe ',' nelfon ',' dead ',' good ',' oprator ',' ']")</f>
        <v>['Sad', 'Network', 'Island', 'Obi', 'Halmahera', 'MOVER', 'Good', 'Package', 'Data', 'Out', 'Sia', ' As a result of ',' network ',' internet ',' difficult ',' severe ',' nelfon ',' dead ',' good ',' oprator ',' ']</v>
      </c>
      <c r="D409" s="3">
        <v>1.0</v>
      </c>
    </row>
    <row r="410" ht="15.75" customHeight="1">
      <c r="A410" s="1">
        <v>408.0</v>
      </c>
      <c r="B410" s="3" t="s">
        <v>411</v>
      </c>
      <c r="C410" s="3" t="str">
        <f>IFERROR(__xludf.DUMMYFUNCTION("GOOGLETRANSLATE(B410,""id"",""en"")"),"['Please', 'fixed', 'network', 'network', 'setabilia', 'please', 'development', 'network', 'Indonesia', 'evenly', 'Sabang', 'merauke', ' Thanks', 'Bakti']")</f>
        <v>['Please', 'fixed', 'network', 'network', 'setabilia', 'please', 'development', 'network', 'Indonesia', 'evenly', 'Sabang', 'merauke', ' Thanks', 'Bakti']</v>
      </c>
      <c r="D410" s="3">
        <v>3.0</v>
      </c>
    </row>
    <row r="411" ht="15.75" customHeight="1">
      <c r="A411" s="1">
        <v>409.0</v>
      </c>
      <c r="B411" s="3" t="s">
        <v>412</v>
      </c>
      <c r="C411" s="3" t="str">
        <f>IFERROR(__xludf.DUMMYFUNCTION("GOOGLETRANSLATE(B411,""id"",""en"")"),"['Gunakam', 'Telkomsel', 'ugly', 'really', 'yahh', 'system', 'network', 'error', 'kah', 'gini', 'the network', 'lazy', ' Make ',' Telkomsel ',' Ahh ', ""]")</f>
        <v>['Gunakam', 'Telkomsel', 'ugly', 'really', 'yahh', 'system', 'network', 'error', 'kah', 'gini', 'the network', 'lazy', ' Make ',' Telkomsel ',' Ahh ', "]</v>
      </c>
      <c r="D411" s="3">
        <v>1.0</v>
      </c>
    </row>
    <row r="412" ht="15.75" customHeight="1">
      <c r="A412" s="1">
        <v>410.0</v>
      </c>
      <c r="B412" s="3" t="s">
        <v>413</v>
      </c>
      <c r="C412" s="3" t="str">
        <f>IFERROR(__xludf.DUMMYFUNCTION("GOOGLETRANSLATE(B412,""id"",""en"")"),"['price', 'package', 'expensive', 'min', 'take', 'example', 'dlu', 'buy', 'package', 'price', 'increase', 'skrng', ' Soaring ',' Price ',' JDI ',' Kah ',' Price ',' Normal ', ""]")</f>
        <v>['price', 'package', 'expensive', 'min', 'take', 'example', 'dlu', 'buy', 'package', 'price', 'increase', 'skrng', ' Soaring ',' Price ',' JDI ',' Kah ',' Price ',' Normal ', "]</v>
      </c>
      <c r="D412" s="3">
        <v>2.0</v>
      </c>
    </row>
    <row r="413" ht="15.75" customHeight="1">
      <c r="A413" s="1">
        <v>411.0</v>
      </c>
      <c r="B413" s="3" t="s">
        <v>414</v>
      </c>
      <c r="C413" s="3" t="str">
        <f>IFERROR(__xludf.DUMMYFUNCTION("GOOGLETRANSLATE(B413,""id"",""en"")"),"['ugly', 'package', 'expensive', 'emang', 'rich', 'people', 'life', 'world', 'want', 'rich', 'lek', 'rich', ' The world ',' hereafter ',' Lek ', ""]")</f>
        <v>['ugly', 'package', 'expensive', 'emang', 'rich', 'people', 'life', 'world', 'want', 'rich', 'lek', 'rich', ' The world ',' hereafter ',' Lek ', "]</v>
      </c>
      <c r="D413" s="3">
        <v>1.0</v>
      </c>
    </row>
    <row r="414" ht="15.75" customHeight="1">
      <c r="A414" s="1">
        <v>412.0</v>
      </c>
      <c r="B414" s="3" t="s">
        <v>415</v>
      </c>
      <c r="C414" s="3" t="str">
        <f>IFERROR(__xludf.DUMMYFUNCTION("GOOGLETRANSLATE(B414,""id"",""en"")"),"['', 'entry', 'the application', 'Wait', 'reading', 'try', 'network', 'smooth', 'quota', 'really']")</f>
        <v>['', 'entry', 'the application', 'Wait', 'reading', 'try', 'network', 'smooth', 'quota', 'really']</v>
      </c>
      <c r="D414" s="3">
        <v>1.0</v>
      </c>
    </row>
    <row r="415" ht="15.75" customHeight="1">
      <c r="A415" s="1">
        <v>413.0</v>
      </c>
      <c r="B415" s="3" t="s">
        <v>416</v>
      </c>
      <c r="C415" s="3" t="str">
        <f>IFERROR(__xludf.DUMMYFUNCTION("GOOGLETRANSLATE(B415,""id"",""en"")"),"['Prevasih', 'Link', 'Enter', 'APK', 'Telkomsel', 'Easy', 'Pengapa', 'Ribet', 'Application', 'Many', 'Try', 'Tetep', ' Failed ',' Asuuu ']")</f>
        <v>['Prevasih', 'Link', 'Enter', 'APK', 'Telkomsel', 'Easy', 'Pengapa', 'Ribet', 'Application', 'Many', 'Try', 'Tetep', ' Failed ',' Asuuu ']</v>
      </c>
      <c r="D415" s="3">
        <v>2.0</v>
      </c>
    </row>
    <row r="416" ht="15.75" customHeight="1">
      <c r="A416" s="1">
        <v>414.0</v>
      </c>
      <c r="B416" s="3" t="s">
        <v>417</v>
      </c>
      <c r="C416" s="3" t="str">
        <f>IFERROR(__xludf.DUMMYFUNCTION("GOOGLETRANSLATE(B416,""id"",""en"")"),"['Fill', 'Vhocer', 'sent', 'write', 'sorry', 'system', 'busy', 'udh', 'sent', 'vhocer', 'buy', ""]")</f>
        <v>['Fill', 'Vhocer', 'sent', 'write', 'sorry', 'system', 'busy', 'udh', 'sent', 'vhocer', 'buy', "]</v>
      </c>
      <c r="D416" s="3">
        <v>5.0</v>
      </c>
    </row>
    <row r="417" ht="15.75" customHeight="1">
      <c r="A417" s="1">
        <v>415.0</v>
      </c>
      <c r="B417" s="3" t="s">
        <v>418</v>
      </c>
      <c r="C417" s="3" t="str">
        <f>IFERROR(__xludf.DUMMYFUNCTION("GOOGLETRANSLATE(B417,""id"",""en"")"),"['a week', 'comment', 'signal', 'area', 'good', 'lights',' dead ',' signal ',' no ',' follow ',' dead ',' afternoon ',' night ',' signal ',' ngelag ',' thank you ',' Telkomsel ',' direct ',' respond ',' ']")</f>
        <v>['a week', 'comment', 'signal', 'area', 'good', 'lights',' dead ',' signal ',' no ',' follow ',' dead ',' afternoon ',' night ',' signal ',' ngelag ',' thank you ',' Telkomsel ',' direct ',' respond ',' ']</v>
      </c>
      <c r="D417" s="3">
        <v>5.0</v>
      </c>
    </row>
    <row r="418" ht="15.75" customHeight="1">
      <c r="A418" s="1">
        <v>416.0</v>
      </c>
      <c r="B418" s="3" t="s">
        <v>419</v>
      </c>
      <c r="C418" s="3" t="str">
        <f>IFERROR(__xludf.DUMMYFUNCTION("GOOGLETRANSLATE(B418,""id"",""en"")"),"['buy', 'package', 'pulse', 'take', 'leftover', 'pulse', 'rbb', 'pulse', 'rbb', 'take', 'lie', 'pea', ' ']")</f>
        <v>['buy', 'package', 'pulse', 'take', 'leftover', 'pulse', 'rbb', 'pulse', 'rbb', 'take', 'lie', 'pea', ' ']</v>
      </c>
      <c r="D418" s="3">
        <v>2.0</v>
      </c>
    </row>
    <row r="419" ht="15.75" customHeight="1">
      <c r="A419" s="1">
        <v>417.0</v>
      </c>
      <c r="B419" s="3" t="s">
        <v>420</v>
      </c>
      <c r="C419" s="3" t="str">
        <f>IFERROR(__xludf.DUMMYFUNCTION("GOOGLETRANSLATE(B419,""id"",""en"")"),"['Telkomsel', 'Data', 'Kayak', 'Out', 'Data', 'Cook', 'GB', 'Cuman', 'Hold', 'Bln', 'Conscry', 'Come', ' Switch ',' Network ']")</f>
        <v>['Telkomsel', 'Data', 'Kayak', 'Out', 'Data', 'Cook', 'GB', 'Cuman', 'Hold', 'Bln', 'Conscry', 'Come', ' Switch ',' Network ']</v>
      </c>
      <c r="D419" s="3">
        <v>1.0</v>
      </c>
    </row>
    <row r="420" ht="15.75" customHeight="1">
      <c r="A420" s="1">
        <v>418.0</v>
      </c>
      <c r="B420" s="3" t="s">
        <v>421</v>
      </c>
      <c r="C420" s="3" t="str">
        <f>IFERROR(__xludf.DUMMYFUNCTION("GOOGLETRANSLATE(B420,""id"",""en"")"),"['Severe', 'network', 'Telkomsel', 'slow', 'really', 'oath', 'buy', 'package', 'expensive', 'tip', 'slow', 'gini', ' Please ',' Fix ',' Disappointed ',' slow ',' ']")</f>
        <v>['Severe', 'network', 'Telkomsel', 'slow', 'really', 'oath', 'buy', 'package', 'expensive', 'tip', 'slow', 'gini', ' Please ',' Fix ',' Disappointed ',' slow ',' ']</v>
      </c>
      <c r="D420" s="3">
        <v>2.0</v>
      </c>
    </row>
    <row r="421" ht="15.75" customHeight="1">
      <c r="A421" s="1">
        <v>419.0</v>
      </c>
      <c r="B421" s="3" t="s">
        <v>422</v>
      </c>
      <c r="C421" s="3" t="str">
        <f>IFERROR(__xludf.DUMMYFUNCTION("GOOGLETRANSLATE(B421,""id"",""en"")"),"['The application', 'good', 'disappointed', 'Telkomsel', 'table', 'customer', 'loyal', 'cook', 'package', 'offer', 'expensive', 'sngat', ' burdens', 'consumers',' pandemic ',' disappointed ']")</f>
        <v>['The application', 'good', 'disappointed', 'Telkomsel', 'table', 'customer', 'loyal', 'cook', 'package', 'offer', 'expensive', 'sngat', ' burdens', 'consumers',' pandemic ',' disappointed ']</v>
      </c>
      <c r="D421" s="3">
        <v>1.0</v>
      </c>
    </row>
    <row r="422" ht="15.75" customHeight="1">
      <c r="A422" s="1">
        <v>420.0</v>
      </c>
      <c r="B422" s="3" t="s">
        <v>423</v>
      </c>
      <c r="C422" s="3" t="str">
        <f>IFERROR(__xludf.DUMMYFUNCTION("GOOGLETRANSLATE(B422,""id"",""en"")"),"['buy', 'package', 'gamesmax', 'silver', 'take', 'vocher', 'mlbb', 'code', 'vocher', 'sent', 'pdhal', 'package', ' Data ',' Active ',' Try ',' Try ',' Claims', 'BSA', 'Accessible', 'Sorry', 'Network', 'Busy', 'Try', 'Please', 'Repaired' , 'Access', 'MOREn"&amp;"ya', 'Thank you', ""]")</f>
        <v>['buy', 'package', 'gamesmax', 'silver', 'take', 'vocher', 'mlbb', 'code', 'vocher', 'sent', 'pdhal', 'package', ' Data ',' Active ',' Try ',' Try ',' Claims', 'BSA', 'Accessible', 'Sorry', 'Network', 'Busy', 'Try', 'Please', 'Repaired' , 'Access', 'MOREnya', 'Thank you', "]</v>
      </c>
      <c r="D422" s="3">
        <v>1.0</v>
      </c>
    </row>
    <row r="423" ht="15.75" customHeight="1">
      <c r="A423" s="1">
        <v>421.0</v>
      </c>
      <c r="B423" s="3" t="s">
        <v>424</v>
      </c>
      <c r="C423" s="3" t="str">
        <f>IFERROR(__xludf.DUMMYFUNCTION("GOOGLETRANSLATE(B423,""id"",""en"")"),"['Network', 'Telkomsel', 'sueekk', 'Bener', 'already', 'use', 'device', 'additional', 'UDH', 'disorder', 'browsing', 'difficult', ' Fill ',' Registration ',' Dapodik ',' Suekk ',' Severe ',' really ',' ']")</f>
        <v>['Network', 'Telkomsel', 'sueekk', 'Bener', 'already', 'use', 'device', 'additional', 'UDH', 'disorder', 'browsing', 'difficult', ' Fill ',' Registration ',' Dapodik ',' Suekk ',' Severe ',' really ',' ']</v>
      </c>
      <c r="D423" s="3">
        <v>1.0</v>
      </c>
    </row>
    <row r="424" ht="15.75" customHeight="1">
      <c r="A424" s="1">
        <v>422.0</v>
      </c>
      <c r="B424" s="3" t="s">
        <v>425</v>
      </c>
      <c r="C424" s="3" t="str">
        <f>IFERROR(__xludf.DUMMYFUNCTION("GOOGLETRANSLATE(B424,""id"",""en"")"),"['application', 'MyTelkomsel', 'update', 'damage', 'the application', 'error', 'slow', 'gmn', 'response', 'dri', 'Telkomsel', 'according to' Update ',' application ',' circles', 'community', 'Indonesia']")</f>
        <v>['application', 'MyTelkomsel', 'update', 'damage', 'the application', 'error', 'slow', 'gmn', 'response', 'dri', 'Telkomsel', 'according to' Update ',' application ',' circles', 'community', 'Indonesia']</v>
      </c>
      <c r="D424" s="3">
        <v>2.0</v>
      </c>
    </row>
    <row r="425" ht="15.75" customHeight="1">
      <c r="A425" s="1">
        <v>423.0</v>
      </c>
      <c r="B425" s="3" t="s">
        <v>426</v>
      </c>
      <c r="C425" s="3" t="str">
        <f>IFERROR(__xludf.DUMMYFUNCTION("GOOGLETRANSLATE(B425,""id"",""en"")"),"['Telkomsel', 'Bener', 'Network', 'Internet', 'Telkomsel', 'Nyoba', 'Severe', 'Network', 'Conecsi', 'BS', 'Telkomsel', 'skrg', ' Telkomsel ',' Operator ',' Complain ',' Love ',' Suggestions', 'Turn Off', 'Data', 'Results',' Quota ',' Expensive ',' Network"&amp;" ',' Sgt ',' Leet ' , 'really', 'SGT', 'Different', 'SM', 'Network', '']")</f>
        <v>['Telkomsel', 'Bener', 'Network', 'Internet', 'Telkomsel', 'Nyoba', 'Severe', 'Network', 'Conecsi', 'BS', 'Telkomsel', 'skrg', ' Telkomsel ',' Operator ',' Complain ',' Love ',' Suggestions', 'Turn Off', 'Data', 'Results',' Quota ',' Expensive ',' Network ',' Sgt ',' Leet ' , 'really', 'SGT', 'Different', 'SM', 'Network', '']</v>
      </c>
      <c r="D425" s="3">
        <v>1.0</v>
      </c>
    </row>
    <row r="426" ht="15.75" customHeight="1">
      <c r="A426" s="1">
        <v>424.0</v>
      </c>
      <c r="B426" s="3" t="s">
        <v>427</v>
      </c>
      <c r="C426" s="3" t="str">
        <f>IFERROR(__xludf.DUMMYFUNCTION("GOOGLETRANSLATE(B426,""id"",""en"")"),"['network', 'chaotic', 'default', 'rough', 'play', 'game', 'abis',' quota ',' replace ',' card ',' disappointed ',' severe ',' Network ',' threat ',' ']")</f>
        <v>['network', 'chaotic', 'default', 'rough', 'play', 'game', 'abis',' quota ',' replace ',' card ',' disappointed ',' severe ',' Network ',' threat ',' ']</v>
      </c>
      <c r="D426" s="3">
        <v>1.0</v>
      </c>
    </row>
    <row r="427" ht="15.75" customHeight="1">
      <c r="A427" s="1">
        <v>425.0</v>
      </c>
      <c r="B427" s="3" t="s">
        <v>428</v>
      </c>
      <c r="C427" s="3" t="str">
        <f>IFERROR(__xludf.DUMMYFUNCTION("GOOGLETRANSLATE(B427,""id"",""en"")"),"['lag', 'trusss', 'ngelag', ""]")</f>
        <v>['lag', 'trusss', 'ngelag', "]</v>
      </c>
      <c r="D427" s="3">
        <v>2.0</v>
      </c>
    </row>
    <row r="428" ht="15.75" customHeight="1">
      <c r="A428" s="1">
        <v>426.0</v>
      </c>
      <c r="B428" s="3" t="s">
        <v>429</v>
      </c>
      <c r="C428" s="3" t="str">
        <f>IFERROR(__xludf.DUMMYFUNCTION("GOOGLETRANSLATE(B428,""id"",""en"")"),"['', 'RAM', 'buy', 'package', 'hundreds',' thousand ',' home ',' city ',' yes', 'signal', 'state', 'competition', 'race ',' love ',' service ',' good ',' customer ',' Telkomsel ',' love ',' signal ',' pulp ',' mean ', ""]")</f>
        <v>['', 'RAM', 'buy', 'package', 'hundreds',' thousand ',' home ',' city ',' yes', 'signal', 'state', 'competition', 'race ',' love ',' service ',' good ',' customer ',' Telkomsel ',' love ',' signal ',' pulp ',' mean ', "]</v>
      </c>
      <c r="D428" s="3">
        <v>1.0</v>
      </c>
    </row>
    <row r="429" ht="15.75" customHeight="1">
      <c r="A429" s="1">
        <v>427.0</v>
      </c>
      <c r="B429" s="3" t="s">
        <v>430</v>
      </c>
      <c r="C429" s="3" t="str">
        <f>IFERROR(__xludf.DUMMYFUNCTION("GOOGLETRANSLATE(B429,""id"",""en"")"),"['Telkomsel', 'users', 'blur', 'price', 'package', 'quota', 'decline', 'rich', 'ulooo', ""]")</f>
        <v>['Telkomsel', 'users', 'blur', 'price', 'package', 'quota', 'decline', 'rich', 'ulooo', "]</v>
      </c>
      <c r="D429" s="3">
        <v>1.0</v>
      </c>
    </row>
    <row r="430" ht="15.75" customHeight="1">
      <c r="A430" s="1">
        <v>428.0</v>
      </c>
      <c r="B430" s="3" t="s">
        <v>431</v>
      </c>
      <c r="C430" s="3" t="str">
        <f>IFERROR(__xludf.DUMMYFUNCTION("GOOGLETRANSLATE(B430,""id"",""en"")"),"['Signal', 'Telkomsel', 'Sometimes',' Sometimes', 'Current', 'Quality', 'Please', 'Please', 'Take', 'Sousal', 'Telkomsel', 'Please', ' Telkomsel ',' buy ',' package ',' please ',' subtract ',' package ',' for example ',' buy ',' package ',' reduced ',' pl"&amp;"ease ',' Telkomsel ',' repaired ' , 'Restore', 'Money', 'Say', 'Thank "",' Love ',""]")</f>
        <v>['Signal', 'Telkomsel', 'Sometimes',' Sometimes', 'Current', 'Quality', 'Please', 'Please', 'Take', 'Sousal', 'Telkomsel', 'Please', ' Telkomsel ',' buy ',' package ',' please ',' subtract ',' package ',' for example ',' buy ',' package ',' reduced ',' please ',' Telkomsel ',' repaired ' , 'Restore', 'Money', 'Say', 'Thank ",' Love ',"]</v>
      </c>
      <c r="D430" s="3">
        <v>2.0</v>
      </c>
    </row>
    <row r="431" ht="15.75" customHeight="1">
      <c r="A431" s="1">
        <v>429.0</v>
      </c>
      <c r="B431" s="3" t="s">
        <v>432</v>
      </c>
      <c r="C431" s="3" t="str">
        <f>IFERROR(__xludf.DUMMYFUNCTION("GOOGLETRANSLATE(B431,""id"",""en"")"),"['update', 'side', 'function', 'lag', 'smooth', 'payment', 'appear', 'appear', 'choice', 'merchant', ""]")</f>
        <v>['update', 'side', 'function', 'lag', 'smooth', 'payment', 'appear', 'appear', 'choice', 'merchant', "]</v>
      </c>
      <c r="D431" s="3">
        <v>3.0</v>
      </c>
    </row>
    <row r="432" ht="15.75" customHeight="1">
      <c r="A432" s="1">
        <v>430.0</v>
      </c>
      <c r="B432" s="3" t="s">
        <v>433</v>
      </c>
      <c r="C432" s="3" t="str">
        <f>IFERROR(__xludf.DUMMYFUNCTION("GOOGLETRANSLATE(B432,""id"",""en"")"),"['application', 'teach', 'buy', 'package', 'tick', 'tok', 'direct', 'disabled', 'pulse', 'returned', 'buy', 'pulse', ' money ',' struggle ',' ppkm ',' runs', 'accountability', 'response', 'via', 'IMIL', 'official']")</f>
        <v>['application', 'teach', 'buy', 'package', 'tick', 'tok', 'direct', 'disabled', 'pulse', 'returned', 'buy', 'pulse', ' money ',' struggle ',' ppkm ',' runs', 'accountability', 'response', 'via', 'IMIL', 'official']</v>
      </c>
      <c r="D432" s="3">
        <v>1.0</v>
      </c>
    </row>
    <row r="433" ht="15.75" customHeight="1">
      <c r="A433" s="1">
        <v>431.0</v>
      </c>
      <c r="B433" s="3" t="s">
        <v>434</v>
      </c>
      <c r="C433" s="3" t="str">
        <f>IFERROR(__xludf.DUMMYFUNCTION("GOOGLETRANSLATE(B433,""id"",""en"")"),"['Update', 'buy', 'package', 'tired', 'dead', 'intentionally', 'love', 'star', 'repaired', 'minimal', 'can', 'returned', ' before ',' update ',' buy ',' package ',' call ',' difficult ',' kayak ',' choice ',' sell ',' package ',' internet ',' term ',' gho"&amp;"st ' , 'Blawu', 'hope', 'package', 'telephone', 'per month', 'preferably', '']")</f>
        <v>['Update', 'buy', 'package', 'tired', 'dead', 'intentionally', 'love', 'star', 'repaired', 'minimal', 'can', 'returned', ' before ',' update ',' buy ',' package ',' call ',' difficult ',' kayak ',' choice ',' sell ',' package ',' internet ',' term ',' ghost ' , 'Blawu', 'hope', 'package', 'telephone', 'per month', 'preferably', '']</v>
      </c>
      <c r="D433" s="3">
        <v>1.0</v>
      </c>
    </row>
    <row r="434" ht="15.75" customHeight="1">
      <c r="A434" s="1">
        <v>432.0</v>
      </c>
      <c r="B434" s="3" t="s">
        <v>435</v>
      </c>
      <c r="C434" s="3" t="str">
        <f>IFERROR(__xludf.DUMMYFUNCTION("GOOGLETRANSLATE(B434,""id"",""en"")"),"['Disappointed', 'quota', 'watch', 'local', 'use', 'search', 'quota', 'toy', 'consumer', '']")</f>
        <v>['Disappointed', 'quota', 'watch', 'local', 'use', 'search', 'quota', 'toy', 'consumer', '']</v>
      </c>
      <c r="D434" s="3">
        <v>1.0</v>
      </c>
    </row>
    <row r="435" ht="15.75" customHeight="1">
      <c r="A435" s="1">
        <v>433.0</v>
      </c>
      <c r="B435" s="3" t="s">
        <v>436</v>
      </c>
      <c r="C435" s="3" t="str">
        <f>IFERROR(__xludf.DUMMYFUNCTION("GOOGLETRANSLATE(B435,""id"",""en"")"),"['min', 'please', 'addin', 'package', 'all', 'full', 'clock', 'donk', 'package', 'combo', 'division', 'night', ' Chating ',' Media ',' Etc. ',' Interesting ',' Interested ',' Buy ',' Package ',' Internet ',' Provider ',' Next to ',' All ',' Full ',' Clock"&amp;" ' , '']")</f>
        <v>['min', 'please', 'addin', 'package', 'all', 'full', 'clock', 'donk', 'package', 'combo', 'division', 'night', ' Chating ',' Media ',' Etc. ',' Interesting ',' Interested ',' Buy ',' Package ',' Internet ',' Provider ',' Next to ',' All ',' Full ',' Clock ' , '']</v>
      </c>
      <c r="D435" s="3">
        <v>4.0</v>
      </c>
    </row>
    <row r="436" ht="15.75" customHeight="1">
      <c r="A436" s="1">
        <v>434.0</v>
      </c>
      <c r="B436" s="3" t="s">
        <v>437</v>
      </c>
      <c r="C436" s="3" t="str">
        <f>IFERROR(__xludf.DUMMYFUNCTION("GOOGLETRANSLATE(B436,""id"",""en"")"),"['happy', 'Telkomsel', 'internet', 'fast', 'complaints',' card ',' price ',' quota ',' expensive ',' thousand ',' quota ',' GB ',' Friends', 'as expensive', 'difficult', 'learn', 'online', 'karen', 'quota', 'expensive', 'thank you']")</f>
        <v>['happy', 'Telkomsel', 'internet', 'fast', 'complaints',' card ',' price ',' quota ',' expensive ',' thousand ',' quota ',' GB ',' Friends', 'as expensive', 'difficult', 'learn', 'online', 'karen', 'quota', 'expensive', 'thank you']</v>
      </c>
      <c r="D436" s="3">
        <v>5.0</v>
      </c>
    </row>
    <row r="437" ht="15.75" customHeight="1">
      <c r="A437" s="1">
        <v>435.0</v>
      </c>
      <c r="B437" s="3" t="s">
        <v>438</v>
      </c>
      <c r="C437" s="3" t="str">
        <f>IFERROR(__xludf.DUMMYFUNCTION("GOOGLETRANSLATE(B437,""id"",""en"")"),"['Sisain', 'Credit', 'Telkampret', 'Paketan', 'Telkampret', 'Let It', 'Malain', 'Credit', ""]")</f>
        <v>['Sisain', 'Credit', 'Telkampret', 'Paketan', 'Telkampret', 'Let It', 'Malain', 'Credit', "]</v>
      </c>
      <c r="D437" s="3">
        <v>2.0</v>
      </c>
    </row>
    <row r="438" ht="15.75" customHeight="1">
      <c r="A438" s="1">
        <v>436.0</v>
      </c>
      <c r="B438" s="3" t="s">
        <v>439</v>
      </c>
      <c r="C438" s="3" t="str">
        <f>IFERROR(__xludf.DUMMYFUNCTION("GOOGLETRANSLATE(B438,""id"",""en"")"),"['Please', 'read', 'capital', 'type', 'copy', 'contents',' name ',' cube ',' signal ',' pulse ',' loo ',' blood ',' UDH ',' Many ',' reported ',' complaints ',' credit ',' truncated ',' Masi ',' The reason ',' because 'GPRS', 'please', 'Kasi', 'chance' , "&amp;"'deadly', 'data', 'cellular', 'buy', 'quota', 'lap', 'MB', 'access',' internet ',' non ',' package ',' please ',' removed ',' pulse ',' sacrificed ',' try ',' rich ',' next door ',' anti ',' pulse ',' truncated ', ""]")</f>
        <v>['Please', 'read', 'capital', 'type', 'copy', 'contents',' name ',' cube ',' signal ',' pulse ',' loo ',' blood ',' UDH ',' Many ',' reported ',' complaints ',' credit ',' truncated ',' Masi ',' The reason ',' because 'GPRS', 'please', 'Kasi', 'chance' , 'deadly', 'data', 'cellular', 'buy', 'quota', 'lap', 'MB', 'access',' internet ',' non ',' package ',' please ',' removed ',' pulse ',' sacrificed ',' try ',' rich ',' next door ',' anti ',' pulse ',' truncated ', "]</v>
      </c>
      <c r="D438" s="3">
        <v>1.0</v>
      </c>
    </row>
    <row r="439" ht="15.75" customHeight="1">
      <c r="A439" s="1">
        <v>437.0</v>
      </c>
      <c r="B439" s="3" t="s">
        <v>440</v>
      </c>
      <c r="C439" s="3" t="str">
        <f>IFERROR(__xludf.DUMMYFUNCTION("GOOGLETRANSLATE(B439,""id"",""en"")"),"['customer', 'service', 'Jawan', 'complaints',' user ',' buy ',' package ',' bought ',' right ',' repeated ',' reset ',' times', ' Buy ',' Disruption ',' System ',' Change ',' Change ',' Package ',' Disappointed ',' User ',' Application ',' Lemot ',' Alre"&amp;"ady ',' Update ']")</f>
        <v>['customer', 'service', 'Jawan', 'complaints',' user ',' buy ',' package ',' bought ',' right ',' repeated ',' reset ',' times', ' Buy ',' Disruption ',' System ',' Change ',' Change ',' Package ',' Disappointed ',' User ',' Application ',' Lemot ',' Already ',' Update ']</v>
      </c>
      <c r="D439" s="3">
        <v>1.0</v>
      </c>
    </row>
    <row r="440" ht="15.75" customHeight="1">
      <c r="A440" s="1">
        <v>438.0</v>
      </c>
      <c r="B440" s="3" t="s">
        <v>441</v>
      </c>
      <c r="C440" s="3" t="str">
        <f>IFERROR(__xludf.DUMMYFUNCTION("GOOGLETRANSLATE(B440,""id"",""en"")"),"['app', 'help', 'sometimes',' logout ',' gpp ',' login ',' nihh ',' send ',' pulse ',' already ',' according to ',' requirements', ' the terms', 'manual', 'call', 'deh', 'success',' dongg ',' please ',' enhanced ',' convenience ',' transfer ',' pulse ',' "&amp;"app ',' thank you ' , '']")</f>
        <v>['app', 'help', 'sometimes',' logout ',' gpp ',' login ',' nihh ',' send ',' pulse ',' already ',' according to ',' requirements', ' the terms', 'manual', 'call', 'deh', 'success',' dongg ',' please ',' enhanced ',' convenience ',' transfer ',' pulse ',' app ',' thank you ' , '']</v>
      </c>
      <c r="D440" s="3">
        <v>4.0</v>
      </c>
    </row>
    <row r="441" ht="15.75" customHeight="1">
      <c r="A441" s="1">
        <v>439.0</v>
      </c>
      <c r="B441" s="3" t="s">
        <v>442</v>
      </c>
      <c r="C441" s="3" t="str">
        <f>IFERROR(__xludf.DUMMYFUNCTION("GOOGLETRANSLATE(B441,""id"",""en"")"),"['Package', 'telephone', 'monthly', 'UDH', 'NGK', 'Minutes',' Admin ',' Read ',' Doang ',' Ngk ',' Polite ',' Best ',' Indonesia ',' plunged ',' many years', 'Gunain', 'Telkomsel', 'skrng', 'Switch', '']")</f>
        <v>['Package', 'telephone', 'monthly', 'UDH', 'NGK', 'Minutes',' Admin ',' Read ',' Doang ',' Ngk ',' Polite ',' Best ',' Indonesia ',' plunged ',' many years', 'Gunain', 'Telkomsel', 'skrng', 'Switch', '']</v>
      </c>
      <c r="D441" s="3">
        <v>1.0</v>
      </c>
    </row>
    <row r="442" ht="15.75" customHeight="1">
      <c r="A442" s="1">
        <v>440.0</v>
      </c>
      <c r="B442" s="3" t="s">
        <v>443</v>
      </c>
      <c r="C442" s="3" t="str">
        <f>IFERROR(__xludf.DUMMYFUNCTION("GOOGLETRANSLATE(B442,""id"",""en"")"),"['Network', 'not', 'stable', 'ngekame', 'nge', 'lag', 'dimode', 'airplane', 'off', 'network', 'restart']")</f>
        <v>['Network', 'not', 'stable', 'ngekame', 'nge', 'lag', 'dimode', 'airplane', 'off', 'network', 'restart']</v>
      </c>
      <c r="D442" s="3">
        <v>2.0</v>
      </c>
    </row>
    <row r="443" ht="15.75" customHeight="1">
      <c r="A443" s="1">
        <v>441.0</v>
      </c>
      <c r="B443" s="3" t="s">
        <v>444</v>
      </c>
      <c r="C443" s="3" t="str">
        <f>IFERROR(__xludf.DUMMYFUNCTION("GOOGLETRANSLATE(B443,""id"",""en"")"),"['regret', 'users',' sympathy ',' Telkomsel ',' network ',' internet ',' weak ',' location ',' bogor ',' kab ',' tajurhalang ',' already ',' Confirm ',' Gada ',' Change ',' Believe ',' Promo ',' Speed ​​',' Weak ',' Tri ',' Already ',' Use ',' Huddle ',' "&amp;"Paketan ',' Buy ' , '']")</f>
        <v>['regret', 'users',' sympathy ',' Telkomsel ',' network ',' internet ',' weak ',' location ',' bogor ',' kab ',' tajurhalang ',' already ',' Confirm ',' Gada ',' Change ',' Believe ',' Promo ',' Speed ​​',' Weak ',' Tri ',' Already ',' Use ',' Huddle ',' Paketan ',' Buy ' , '']</v>
      </c>
      <c r="D443" s="3">
        <v>1.0</v>
      </c>
    </row>
    <row r="444" ht="15.75" customHeight="1">
      <c r="A444" s="1">
        <v>442.0</v>
      </c>
      <c r="B444" s="3" t="s">
        <v>445</v>
      </c>
      <c r="C444" s="3" t="str">
        <f>IFERROR(__xludf.DUMMYFUNCTION("GOOGLETRANSLATE(B444,""id"",""en"")"),"['Telkomsel', 'delicious',' network ',' most ',' buffering ',' then ',' package ',' combo ',' saktinya ',' cool ',' stingy ',' speed ',' unlimited ',' quota ',' main ',' fast ',' really ',' endless', 'kayak', 'ngebug', 'usage', 'quota', 'main', 'a week', "&amp;"'already' , 'Out', 'GB', 'Please', 'Telkomsel', 'Fix', 'Network', 'Use', 'Quota', 'Transparent', 'Efficient', 'Spot', 'Maximum', ' The network is']")</f>
        <v>['Telkomsel', 'delicious',' network ',' most ',' buffering ',' then ',' package ',' combo ',' saktinya ',' cool ',' stingy ',' speed ',' unlimited ',' quota ',' main ',' fast ',' really ',' endless', 'kayak', 'ngebug', 'usage', 'quota', 'main', 'a week', 'already' , 'Out', 'GB', 'Please', 'Telkomsel', 'Fix', 'Network', 'Use', 'Quota', 'Transparent', 'Efficient', 'Spot', 'Maximum', ' The network is']</v>
      </c>
      <c r="D444" s="3">
        <v>1.0</v>
      </c>
    </row>
    <row r="445" ht="15.75" customHeight="1">
      <c r="A445" s="1">
        <v>443.0</v>
      </c>
      <c r="B445" s="3" t="s">
        <v>446</v>
      </c>
      <c r="C445" s="3" t="str">
        <f>IFERROR(__xludf.DUMMYFUNCTION("GOOGLETRANSLATE(B445,""id"",""en"")"),"['user', 'card', 'beaya', 'package', 'data', 'internet', 'expensive', 'see', 'experience', 'increase', 'price', 'economy', ' Slumping ',' operator ',' down ',' price ',' affordable ',' community ',' Telkomsel ',' price ',' package ',' price ',' rb ',' rb "&amp;"',' ']")</f>
        <v>['user', 'card', 'beaya', 'package', 'data', 'internet', 'expensive', 'see', 'experience', 'increase', 'price', 'economy', ' Slumping ',' operator ',' down ',' price ',' affordable ',' community ',' Telkomsel ',' price ',' package ',' price ',' rb ',' rb ',' ']</v>
      </c>
      <c r="D445" s="3">
        <v>1.0</v>
      </c>
    </row>
    <row r="446" ht="15.75" customHeight="1">
      <c r="A446" s="1">
        <v>444.0</v>
      </c>
      <c r="B446" s="3" t="s">
        <v>447</v>
      </c>
      <c r="C446" s="3" t="str">
        <f>IFERROR(__xludf.DUMMYFUNCTION("GOOGLETRANSLATE(B446,""id"",""en"")"),"['Disappointed', 'really', 'Telkomsel', 'The network', 'Uda', 'expect', 'network', 'disorder', 'policy', 'Telkomsel', 'fix it']")</f>
        <v>['Disappointed', 'really', 'Telkomsel', 'The network', 'Uda', 'expect', 'network', 'disorder', 'policy', 'Telkomsel', 'fix it']</v>
      </c>
      <c r="D446" s="3">
        <v>1.0</v>
      </c>
    </row>
    <row r="447" ht="15.75" customHeight="1">
      <c r="A447" s="1">
        <v>445.0</v>
      </c>
      <c r="B447" s="3" t="s">
        <v>448</v>
      </c>
      <c r="C447" s="3" t="str">
        <f>IFERROR(__xludf.DUMMYFUNCTION("GOOGLETRANSLATE(B447,""id"",""en"")"),"['Please', 'Add', 'Feature', 'Where', 'Package', 'Quota', 'Call', 'Etc.', 'Out', 'Pulses',' Sumpot ',' Credit ',' Sumpot ',' right ',' package ',' quota ',' run out ',' drawback ',' network ',' good ']")</f>
        <v>['Please', 'Add', 'Feature', 'Where', 'Package', 'Quota', 'Call', 'Etc.', 'Out', 'Pulses',' Sumpot ',' Credit ',' Sumpot ',' right ',' package ',' quota ',' run out ',' drawback ',' network ',' good ']</v>
      </c>
      <c r="D447" s="3">
        <v>2.0</v>
      </c>
    </row>
    <row r="448" ht="15.75" customHeight="1">
      <c r="A448" s="1">
        <v>446.0</v>
      </c>
      <c r="B448" s="3" t="s">
        <v>449</v>
      </c>
      <c r="C448" s="3" t="str">
        <f>IFERROR(__xludf.DUMMYFUNCTION("GOOGLETRANSLATE(B448,""id"",""en"")"),"['Lower', 'Price', 'Kuotaa', '']")</f>
        <v>['Lower', 'Price', 'Kuotaa', '']</v>
      </c>
      <c r="D448" s="3">
        <v>3.0</v>
      </c>
    </row>
    <row r="449" ht="15.75" customHeight="1">
      <c r="A449" s="1">
        <v>447.0</v>
      </c>
      <c r="B449" s="3" t="s">
        <v>450</v>
      </c>
      <c r="C449" s="3" t="str">
        <f>IFERROR(__xludf.DUMMYFUNCTION("GOOGLETRANSLATE(B449,""id"",""en"")"),"['Klau', 'Comments',' Customers', 'Satisfied', 'Service', 'Telkomsel', 'Promotions',' Excess', 'Fix', 'Quality', 'Service', 'Promote', ' Products', 'according to', 'Quality', 'Quality', 'Products',' Offered ',' Customers', 'Disappointed', 'Deceived', 'Pro"&amp;"motion', ""]")</f>
        <v>['Klau', 'Comments',' Customers', 'Satisfied', 'Service', 'Telkomsel', 'Promotions',' Excess', 'Fix', 'Quality', 'Service', 'Promote', ' Products', 'according to', 'Quality', 'Quality', 'Products',' Offered ',' Customers', 'Disappointed', 'Deceived', 'Promotion', "]</v>
      </c>
      <c r="D449" s="3">
        <v>1.0</v>
      </c>
    </row>
    <row r="450" ht="15.75" customHeight="1">
      <c r="A450" s="1">
        <v>448.0</v>
      </c>
      <c r="B450" s="3" t="s">
        <v>451</v>
      </c>
      <c r="C450" s="3" t="str">
        <f>IFERROR(__xludf.DUMMYFUNCTION("GOOGLETRANSLATE(B450,""id"",""en"")"),"['hope', 'Network', 'Note', 'Telkomsel', 'Disruption', 'Network', 'Lost', 'Region', 'Kal', 'Teng', 'Normal', 'Ride', ' The star ',' TKS ',' hope ',' Agas', 'fix', 'quality', 'signal', 'tks']")</f>
        <v>['hope', 'Network', 'Note', 'Telkomsel', 'Disruption', 'Network', 'Lost', 'Region', 'Kal', 'Teng', 'Normal', 'Ride', ' The star ',' TKS ',' hope ',' Agas', 'fix', 'quality', 'signal', 'tks']</v>
      </c>
      <c r="D450" s="3">
        <v>1.0</v>
      </c>
    </row>
    <row r="451" ht="15.75" customHeight="1">
      <c r="A451" s="1">
        <v>449.0</v>
      </c>
      <c r="B451" s="3" t="s">
        <v>452</v>
      </c>
      <c r="C451" s="3" t="str">
        <f>IFERROR(__xludf.DUMMYFUNCTION("GOOGLETRANSLATE(B451,""id"",""en"")"),"['already', 'understand', 'Tsel', 'buy', 'package', 'internet', 'price', 'package', 'combo', 'Sakti', 'direct', 'drastic', ' right ',' already ',' buy ',' package ',' internet ',' price ',' normal ',' what ',' The ',' hell ',' please ',' consistent ',' dl"&amp;"m , 'giving', 'tariff', 'price', 'consistent', 'down', 'price', 'price', 'ttp', 'difficult', 'signal', 'ugly']")</f>
        <v>['already', 'understand', 'Tsel', 'buy', 'package', 'internet', 'price', 'package', 'combo', 'Sakti', 'direct', 'drastic', ' right ',' already ',' buy ',' package ',' internet ',' price ',' normal ',' what ',' The ',' hell ',' please ',' consistent ',' dlm , 'giving', 'tariff', 'price', 'consistent', 'down', 'price', 'price', 'ttp', 'difficult', 'signal', 'ugly']</v>
      </c>
      <c r="D451" s="3">
        <v>1.0</v>
      </c>
    </row>
    <row r="452" ht="15.75" customHeight="1">
      <c r="A452" s="1">
        <v>450.0</v>
      </c>
      <c r="B452" s="3" t="s">
        <v>453</v>
      </c>
      <c r="C452" s="3" t="str">
        <f>IFERROR(__xludf.DUMMYFUNCTION("GOOGLETRANSLATE(B452,""id"",""en"")"),"['goood', 'dear', 'package', 'internet', 'buy', 'sometimes', 'sometimes', 'subscribe', 'package', 'wonder', '']")</f>
        <v>['goood', 'dear', 'package', 'internet', 'buy', 'sometimes', 'sometimes', 'subscribe', 'package', 'wonder', '']</v>
      </c>
      <c r="D452" s="3">
        <v>4.0</v>
      </c>
    </row>
    <row r="453" ht="15.75" customHeight="1">
      <c r="A453" s="1">
        <v>451.0</v>
      </c>
      <c r="B453" s="3" t="s">
        <v>454</v>
      </c>
      <c r="C453" s="3" t="str">
        <f>IFERROR(__xludf.DUMMYFUNCTION("GOOGLETRANSLATE(B453,""id"",""en"")"),"['price', 'quota', 'expensive', 'signal', 'stable', 'hadeuh', 'play', 'game', 'down', 'understand', 'signal', 'like', ' ',' Kaga ',' red ',' good ',' provider ',' other ',' expensive ',' doang ',' senggol ',' rain ',' a little ',' signal ',' ilang ' , '']")</f>
        <v>['price', 'quota', 'expensive', 'signal', 'stable', 'hadeuh', 'play', 'game', 'down', 'understand', 'signal', 'like', ' ',' Kaga ',' red ',' good ',' provider ',' other ',' expensive ',' doang ',' senggol ',' rain ',' a little ',' signal ',' ilang ' , '']</v>
      </c>
      <c r="D453" s="3">
        <v>1.0</v>
      </c>
    </row>
    <row r="454" ht="15.75" customHeight="1">
      <c r="A454" s="1">
        <v>452.0</v>
      </c>
      <c r="B454" s="3" t="s">
        <v>455</v>
      </c>
      <c r="C454" s="3" t="str">
        <f>IFERROR(__xludf.DUMMYFUNCTION("GOOGLETRANSLATE(B454,""id"",""en"")"),"['Change', 'card', 'network', 'strong', 'telkom', 'price', 'expensive', 'baget', 'internet', 'max', 'buy', 'kagak', ' Dizziness', 'Ama', 'Price', 'People', 'Ngak', 'Collapin', 'Min']")</f>
        <v>['Change', 'card', 'network', 'strong', 'telkom', 'price', 'expensive', 'baget', 'internet', 'max', 'buy', 'kagak', ' Dizziness', 'Ama', 'Price', 'People', 'Ngak', 'Collapin', 'Min']</v>
      </c>
      <c r="D454" s="3">
        <v>2.0</v>
      </c>
    </row>
    <row r="455" ht="15.75" customHeight="1">
      <c r="A455" s="1">
        <v>453.0</v>
      </c>
      <c r="B455" s="3" t="s">
        <v>456</v>
      </c>
      <c r="C455" s="3" t="str">
        <f>IFERROR(__xludf.DUMMYFUNCTION("GOOGLETRANSLATE(B455,""id"",""en"")"),"['Assalamualaikum', 'sorry', 'suggestion', 'suggestion', 'Telkomsel', 'sporty', 'policy', 'related', 'quota', 'where', 'sometimes',' normal ',' ',' quota ',' game ',' play ',' game ',' online ',' quota ',' respect ',' assalamualaikum ',' ']")</f>
        <v>['Assalamualaikum', 'sorry', 'suggestion', 'suggestion', 'Telkomsel', 'sporty', 'policy', 'related', 'quota', 'where', 'sometimes',' normal ',' ',' quota ',' game ',' play ',' game ',' online ',' quota ',' respect ',' assalamualaikum ',' ']</v>
      </c>
      <c r="D455" s="3">
        <v>3.0</v>
      </c>
    </row>
    <row r="456" ht="15.75" customHeight="1">
      <c r="A456" s="1">
        <v>454.0</v>
      </c>
      <c r="B456" s="3" t="s">
        <v>457</v>
      </c>
      <c r="C456" s="3" t="str">
        <f>IFERROR(__xludf.DUMMYFUNCTION("GOOGLETRANSLATE(B456,""id"",""en"")"),"['Sis',' Napa ',' Network ',' Internet ',' KB ',' Sometimes', 'Sampe', 'Hundreds',' Brief ',' Very ',' Buy ',' Package ',' Watch ',' YouTube ',' already ',' week ',' hold ',' already ',' hold ',' network ',' comment ',' sorry ',' really ',' star ',' darli"&amp;"ng ' , 'Telkomsel', 'GPP', 'Sya', 'Addin', '']")</f>
        <v>['Sis',' Napa ',' Network ',' Internet ',' KB ',' Sometimes', 'Sampe', 'Hundreds',' Brief ',' Very ',' Buy ',' Package ',' Watch ',' YouTube ',' already ',' week ',' hold ',' already ',' hold ',' network ',' comment ',' sorry ',' really ',' star ',' darling ' , 'Telkomsel', 'GPP', 'Sya', 'Addin', '']</v>
      </c>
      <c r="D456" s="3">
        <v>4.0</v>
      </c>
    </row>
    <row r="457" ht="15.75" customHeight="1">
      <c r="A457" s="1">
        <v>455.0</v>
      </c>
      <c r="B457" s="3" t="s">
        <v>458</v>
      </c>
      <c r="C457" s="3" t="str">
        <f>IFERROR(__xludf.DUMMYFUNCTION("GOOGLETRANSLATE(B457,""id"",""en"")"),"['Alhamdulillah', 'signal', 'BGS', 'home', 'Since', 'complement', 'Telkomsel', 'visit', 'home', 'direct', 'repair', 'signal', ' Tower ',' Telkomsel ',' easy ',' hopefully ',' good ',' continuous', '']")</f>
        <v>['Alhamdulillah', 'signal', 'BGS', 'home', 'Since', 'complement', 'Telkomsel', 'visit', 'home', 'direct', 'repair', 'signal', ' Tower ',' Telkomsel ',' easy ',' hopefully ',' good ',' continuous', '']</v>
      </c>
      <c r="D457" s="3">
        <v>5.0</v>
      </c>
    </row>
    <row r="458" ht="15.75" customHeight="1">
      <c r="A458" s="1">
        <v>456.0</v>
      </c>
      <c r="B458" s="3" t="s">
        <v>459</v>
      </c>
      <c r="C458" s="3" t="str">
        <f>IFERROR(__xludf.DUMMYFUNCTION("GOOGLETRANSLATE(B458,""id"",""en"")"),"['no', 'entry', 'sense', 'no', 'subscribe', 'anything', 'number', 'operator', 'Telkomsel', 'pulse', 'buy', 'used', ' run out ',' suck ',' operator ',' regret ',' already ',' buy ',' sim ',' card ',' ']")</f>
        <v>['no', 'entry', 'sense', 'no', 'subscribe', 'anything', 'number', 'operator', 'Telkomsel', 'pulse', 'buy', 'used', ' run out ',' suck ',' operator ',' regret ',' already ',' buy ',' sim ',' card ',' ']</v>
      </c>
      <c r="D458" s="3">
        <v>1.0</v>
      </c>
    </row>
    <row r="459" ht="15.75" customHeight="1">
      <c r="A459" s="1">
        <v>457.0</v>
      </c>
      <c r="B459" s="3" t="s">
        <v>460</v>
      </c>
      <c r="C459" s="3" t="str">
        <f>IFERROR(__xludf.DUMMYFUNCTION("GOOGLETRANSLATE(B459,""id"",""en"")"),"['Disappointed', 'Network', 'Bad', 'Open', 'Sosmed', 'YouTube', 'Video', 'Online', 'Play', 'Game', 'Most', 'BUTFERING', ' Ngellag ',' Quality ',' EGK ',' Satisfied ',' ']")</f>
        <v>['Disappointed', 'Network', 'Bad', 'Open', 'Sosmed', 'YouTube', 'Video', 'Online', 'Play', 'Game', 'Most', 'BUTFERING', ' Ngellag ',' Quality ',' EGK ',' Satisfied ',' ']</v>
      </c>
      <c r="D459" s="3">
        <v>1.0</v>
      </c>
    </row>
    <row r="460" ht="15.75" customHeight="1">
      <c r="A460" s="1">
        <v>458.0</v>
      </c>
      <c r="B460" s="3" t="s">
        <v>461</v>
      </c>
      <c r="C460" s="3" t="str">
        <f>IFERROR(__xludf.DUMMYFUNCTION("GOOGLETRANSLATE(B460,""id"",""en"")"),"['', 'Telkomsel', 'service', 'satisfying', 'as long as',' heart ',' honest ',' voice ',' water ',' southern ',' voice ',' youuuuuuuuuu ',' hehehe ',' Good ',' Luck ',' ']")</f>
        <v>['', 'Telkomsel', 'service', 'satisfying', 'as long as',' heart ',' honest ',' voice ',' water ',' southern ',' voice ',' youuuuuuuuuu ',' hehehe ',' Good ',' Luck ',' ']</v>
      </c>
      <c r="D460" s="3">
        <v>5.0</v>
      </c>
    </row>
    <row r="461" ht="15.75" customHeight="1">
      <c r="A461" s="1">
        <v>459.0</v>
      </c>
      <c r="B461" s="3" t="s">
        <v>462</v>
      </c>
      <c r="C461" s="3" t="str">
        <f>IFERROR(__xludf.DUMMYFUNCTION("GOOGLETRANSLATE(B461,""id"",""en"")"),"['Telkomsel', 'superior', 'in', 'network', 'Sunday', 'Severe', 'network', 'plus',' acceleration ',' classified ',' price ',' folding ',' Providers', 'Improvement', 'Price', 'Followed', 'Improvement', 'Quality', 'Products',' Dear ',' Telkomsel ',' DRP ',' "&amp;"Profit ',' Allocated ',' Trlalu ' , 'promotion', 'improvement', 'quality', 'product', 'thank', 'love']")</f>
        <v>['Telkomsel', 'superior', 'in', 'network', 'Sunday', 'Severe', 'network', 'plus',' acceleration ',' classified ',' price ',' folding ',' Providers', 'Improvement', 'Price', 'Followed', 'Improvement', 'Quality', 'Products',' Dear ',' Telkomsel ',' DRP ',' Profit ',' Allocated ',' Trlalu ' , 'promotion', 'improvement', 'quality', 'product', 'thank', 'love']</v>
      </c>
      <c r="D461" s="3">
        <v>1.0</v>
      </c>
    </row>
    <row r="462" ht="15.75" customHeight="1">
      <c r="A462" s="1">
        <v>460.0</v>
      </c>
      <c r="B462" s="3" t="s">
        <v>463</v>
      </c>
      <c r="C462" s="3" t="str">
        <f>IFERROR(__xludf.DUMMYFUNCTION("GOOGLETRANSLATE(B462,""id"",""en"")"),"['Display', 'easy', 'understood', 'UDH', 'update', 'choice', 'payment', 'choice', 'shopeepay', 'funds',' skrg ',' appears', ' UDH ',' Shopeepay ',' Knp ',' Min ', ""]")</f>
        <v>['Display', 'easy', 'understood', 'UDH', 'update', 'choice', 'payment', 'choice', 'shopeepay', 'funds',' skrg ',' appears', ' UDH ',' Shopeepay ',' Knp ',' Min ', "]</v>
      </c>
      <c r="D462" s="3">
        <v>4.0</v>
      </c>
    </row>
    <row r="463" ht="15.75" customHeight="1">
      <c r="A463" s="1">
        <v>461.0</v>
      </c>
      <c r="B463" s="3" t="s">
        <v>464</v>
      </c>
      <c r="C463" s="3" t="str">
        <f>IFERROR(__xludf.DUMMYFUNCTION("GOOGLETRANSLATE(B463,""id"",""en"")"),"['Good', 'Job', 'Application', 'Telkomsel', 'Signal', 'In', 'Home', 'Difficult', 'Price', 'Package', 'Cheap', 'Hangus',' The rest of ',' data ',' it ',' buy ',' pay ',' use ',' money ',' Taken ',' ']")</f>
        <v>['Good', 'Job', 'Application', 'Telkomsel', 'Signal', 'In', 'Home', 'Difficult', 'Price', 'Package', 'Cheap', 'Hangus',' The rest of ',' data ',' it ',' buy ',' pay ',' use ',' money ',' Taken ',' ']</v>
      </c>
      <c r="D463" s="3">
        <v>1.0</v>
      </c>
    </row>
    <row r="464" ht="15.75" customHeight="1">
      <c r="A464" s="1">
        <v>462.0</v>
      </c>
      <c r="B464" s="3" t="s">
        <v>465</v>
      </c>
      <c r="C464" s="3" t="str">
        <f>IFERROR(__xludf.DUMMYFUNCTION("GOOGLETRANSLATE(B464,""id"",""en"")"),"['Please', 'Kalok', 'Package', 'Data', 'Eliminated', 'Application', 'Code', 'Dial', 'Customer', 'Difficult', 'Choose', 'Pakek', ' package ',' Combo ',' Sakti ',' UDH ',' subscribe ',' then ',' right ',' buy ',' missing ',' Please ',' Think ',' Feelings', "&amp;"'Customer' , 'Eliminate', 'Package', 'Available']")</f>
        <v>['Please', 'Kalok', 'Package', 'Data', 'Eliminated', 'Application', 'Code', 'Dial', 'Customer', 'Difficult', 'Choose', 'Pakek', ' package ',' Combo ',' Sakti ',' UDH ',' subscribe ',' then ',' right ',' buy ',' missing ',' Please ',' Think ',' Feelings', 'Customer' , 'Eliminate', 'Package', 'Available']</v>
      </c>
      <c r="D464" s="3">
        <v>3.0</v>
      </c>
    </row>
    <row r="465" ht="15.75" customHeight="1">
      <c r="A465" s="1">
        <v>463.0</v>
      </c>
      <c r="B465" s="3" t="s">
        <v>466</v>
      </c>
      <c r="C465" s="3" t="str">
        <f>IFERROR(__xludf.DUMMYFUNCTION("GOOGLETRANSLATE(B465,""id"",""en"")"),"['Telkomsel', 'Different', 'decreases',' quality ',' signal ',' rain ',' lightning ',' signal ',' minus', 'user', 'loyal', 'Telkomsel', ' disappointed', '']")</f>
        <v>['Telkomsel', 'Different', 'decreases',' quality ',' signal ',' rain ',' lightning ',' signal ',' minus', 'user', 'loyal', 'Telkomsel', ' disappointed', '']</v>
      </c>
      <c r="D465" s="3">
        <v>1.0</v>
      </c>
    </row>
    <row r="466" ht="15.75" customHeight="1">
      <c r="A466" s="1">
        <v>464.0</v>
      </c>
      <c r="B466" s="3" t="s">
        <v>467</v>
      </c>
      <c r="C466" s="3" t="str">
        <f>IFERROR(__xludf.DUMMYFUNCTION("GOOGLETRANSLATE(B466,""id"",""en"")"),"['application', 'help', 'customer', 'price', 'package', 'internet', 'price', 'folding', 'package', 'internet', 'eliminated', 'replaced', ' price ',' expensive ',' choice ']")</f>
        <v>['application', 'help', 'customer', 'price', 'package', 'internet', 'price', 'folding', 'package', 'internet', 'eliminated', 'replaced', ' price ',' expensive ',' choice ']</v>
      </c>
      <c r="D466" s="3">
        <v>1.0</v>
      </c>
    </row>
    <row r="467" ht="15.75" customHeight="1">
      <c r="A467" s="1">
        <v>465.0</v>
      </c>
      <c r="B467" s="3" t="s">
        <v>468</v>
      </c>
      <c r="C467" s="3" t="str">
        <f>IFERROR(__xludf.DUMMYFUNCTION("GOOGLETRANSLATE(B467,""id"",""en"")"),"['Forced', 'Telkomsel', 'Karna', 'Dipungua', 'Sebel', 'Buy', 'Package', 'Internet', 'HRS', 'Divided', 'Quota', 'Local', ' What's', 'Quota', 'Local', 'She', 'Ask', 'Nanya', 'Veronica', 'Find', 'Already', 'Contact', 'Keles',' Min ']")</f>
        <v>['Forced', 'Telkomsel', 'Karna', 'Dipungua', 'Sebel', 'Buy', 'Package', 'Internet', 'HRS', 'Divided', 'Quota', 'Local', ' What's', 'Quota', 'Local', 'She', 'Ask', 'Nanya', 'Veronica', 'Find', 'Already', 'Contact', 'Keles',' Min ']</v>
      </c>
      <c r="D467" s="3">
        <v>2.0</v>
      </c>
    </row>
    <row r="468" ht="15.75" customHeight="1">
      <c r="A468" s="1">
        <v>466.0</v>
      </c>
      <c r="B468" s="3" t="s">
        <v>469</v>
      </c>
      <c r="C468" s="3" t="str">
        <f>IFERROR(__xludf.DUMMYFUNCTION("GOOGLETRANSLATE(B468,""id"",""en"")"),"['complaint', 'regarding', 'signal', 'printed', 'smooth', 'access',' internet ',' network ',' Available ',' Please ',' Help ',' fluency ',' Users', 'Telkomsel', 'SPT', 'Wear', 'Switch', 'Provider', 'Address',' Email ',' Telkomsel ',' Tertered ',' Found ',"&amp;"' Send ',' Complaint ' , 'address', 'TSB', 'replaced', 'infokan', 'complain', 'Veronika', 'typing', 'PXL', ""]")</f>
        <v>['complaint', 'regarding', 'signal', 'printed', 'smooth', 'access',' internet ',' network ',' Available ',' Please ',' Help ',' fluency ',' Users', 'Telkomsel', 'SPT', 'Wear', 'Switch', 'Provider', 'Address',' Email ',' Telkomsel ',' Tertered ',' Found ',' Send ',' Complaint ' , 'address', 'TSB', 'replaced', 'infokan', 'complain', 'Veronika', 'typing', 'PXL', "]</v>
      </c>
      <c r="D468" s="3">
        <v>2.0</v>
      </c>
    </row>
    <row r="469" ht="15.75" customHeight="1">
      <c r="A469" s="1">
        <v>467.0</v>
      </c>
      <c r="B469" s="3" t="s">
        <v>470</v>
      </c>
      <c r="C469" s="3" t="str">
        <f>IFERROR(__xludf.DUMMYFUNCTION("GOOGLETRANSLATE(B469,""id"",""en"")"),"['Disappointed', 'signal', 'bad', 'missing', 'intention', 'use', 'Telkomsel', 'smooth', 'all', 'results',' the opposite ',' Telkomsel ',' Wonder ',' consumer ',' blur ',' ']")</f>
        <v>['Disappointed', 'signal', 'bad', 'missing', 'intention', 'use', 'Telkomsel', 'smooth', 'all', 'results',' the opposite ',' Telkomsel ',' Wonder ',' consumer ',' blur ',' ']</v>
      </c>
      <c r="D469" s="3">
        <v>1.0</v>
      </c>
    </row>
    <row r="470" ht="15.75" customHeight="1">
      <c r="A470" s="1">
        <v>468.0</v>
      </c>
      <c r="B470" s="3" t="s">
        <v>471</v>
      </c>
      <c r="C470" s="3" t="str">
        <f>IFERROR(__xludf.DUMMYFUNCTION("GOOGLETRANSLATE(B470,""id"",""en"")"),"['suggestion', 'download', 'promo', 'GB', 'thousand', 'helped', 'student', 'direct', 'buy', 'learn', 'a day', 'buy', ' already ',' promo ',' package ',' GB ',' thousand ',' hold ',' addition ',' price ',' expensive ',' help ',' helped ', ""]")</f>
        <v>['suggestion', 'download', 'promo', 'GB', 'thousand', 'helped', 'student', 'direct', 'buy', 'learn', 'a day', 'buy', ' already ',' promo ',' package ',' GB ',' thousand ',' hold ',' addition ',' price ',' expensive ',' help ',' helped ', "]</v>
      </c>
      <c r="D470" s="3">
        <v>2.0</v>
      </c>
    </row>
    <row r="471" ht="15.75" customHeight="1">
      <c r="A471" s="1">
        <v>469.0</v>
      </c>
      <c r="B471" s="3" t="s">
        <v>472</v>
      </c>
      <c r="C471" s="3" t="str">
        <f>IFERROR(__xludf.DUMMYFUNCTION("GOOGLETRANSLATE(B471,""id"",""en"")"),"['Bad', 'The network', 'Telkomsel', 'Jrgan', 'internet', 'SLLU', 'LODDING', 'KLU', 'Open', 'site', 'web', 'operator', ' TLKMS ',' Please ',' Fix ',' Server ',' Klu ',' Compare ',' Operator ',' Tree ',' Good ',' Network ',' Tree ',' Setabil ',' Region ' , "&amp;"'city', '']")</f>
        <v>['Bad', 'The network', 'Telkomsel', 'Jrgan', 'internet', 'SLLU', 'LODDING', 'KLU', 'Open', 'site', 'web', 'operator', ' TLKMS ',' Please ',' Fix ',' Server ',' Klu ',' Compare ',' Operator ',' Tree ',' Good ',' Network ',' Tree ',' Setabil ',' Region ' , 'city', '']</v>
      </c>
      <c r="D471" s="3">
        <v>2.0</v>
      </c>
    </row>
    <row r="472" ht="15.75" customHeight="1">
      <c r="A472" s="1">
        <v>470.0</v>
      </c>
      <c r="B472" s="3" t="s">
        <v>473</v>
      </c>
      <c r="C472" s="3" t="str">
        <f>IFERROR(__xludf.DUMMYFUNCTION("GOOGLETRANSLATE(B472,""id"",""en"")"),"['Please', 'Fix', 'Signal', 'Bad', 'Network', 'UDH', 'CONTAIN', 'Procedure', 'Data', 'Manual', 'Lali', 'Aktipkan', ' Tetep ',' ajaa ',' slow ',' rich ',' network ',' inhibits', 'work']")</f>
        <v>['Please', 'Fix', 'Signal', 'Bad', 'Network', 'UDH', 'CONTAIN', 'Procedure', 'Data', 'Manual', 'Lali', 'Aktipkan', ' Tetep ',' ajaa ',' slow ',' rich ',' network ',' inhibits', 'work']</v>
      </c>
      <c r="D472" s="3">
        <v>1.0</v>
      </c>
    </row>
    <row r="473" ht="15.75" customHeight="1">
      <c r="A473" s="1">
        <v>471.0</v>
      </c>
      <c r="B473" s="3" t="s">
        <v>474</v>
      </c>
      <c r="C473" s="3" t="str">
        <f>IFERROR(__xludf.DUMMYFUNCTION("GOOGLETRANSLATE(B473,""id"",""en"")"),"['smooth', 'Jaya', 'suggestion', 'please', 'user', 'Telkomsel', 'already', 'really', 'love', 'gift', 'reduction', 'buy', ' Koutaa ',' here ',' expensive ']")</f>
        <v>['smooth', 'Jaya', 'suggestion', 'please', 'user', 'Telkomsel', 'already', 'really', 'love', 'gift', 'reduction', 'buy', ' Koutaa ',' here ',' expensive ']</v>
      </c>
      <c r="D473" s="3">
        <v>4.0</v>
      </c>
    </row>
    <row r="474" ht="15.75" customHeight="1">
      <c r="A474" s="1">
        <v>472.0</v>
      </c>
      <c r="B474" s="3" t="s">
        <v>475</v>
      </c>
      <c r="C474" s="3" t="str">
        <f>IFERROR(__xludf.DUMMYFUNCTION("GOOGLETRANSLATE(B474,""id"",""en"")"),"['Useful', 'really', 'buy', 'package', 'data', 'styled', 'point', 'information', 'sorry', 'system', 'busy', 'times',' Try ',' information ',' intention ',' promotion ',' grousy ',' promoted ']")</f>
        <v>['Useful', 'really', 'buy', 'package', 'data', 'styled', 'point', 'information', 'sorry', 'system', 'busy', 'times',' Try ',' information ',' intention ',' promotion ',' grousy ',' promoted ']</v>
      </c>
      <c r="D474" s="3">
        <v>1.0</v>
      </c>
    </row>
    <row r="475" ht="15.75" customHeight="1">
      <c r="A475" s="1">
        <v>473.0</v>
      </c>
      <c r="B475" s="3" t="s">
        <v>476</v>
      </c>
      <c r="C475" s="3" t="str">
        <f>IFERROR(__xludf.DUMMYFUNCTION("GOOGLETRANSLATE(B475,""id"",""en"")"),"['operator', 'kontollllllllllllllllllllllllllllllllllllllllll ""' pigiiiiiii ',' bangsatttttttttttttt ',' tissue ',' telkomsel ',' backkkkkkkkkk ',' operator ',' koyo ',' asuuuuuuuuuu ']")</f>
        <v>['operator', 'kontollllllllllllllllllllllllllllllllllllllllll "' pigiiiiiii ',' bangsatttttttttttttt ',' tissue ',' telkomsel ',' backkkkkkkkkk ',' operator ',' koyo ',' asuuuuuuuuuu ']</v>
      </c>
      <c r="D475" s="3">
        <v>1.0</v>
      </c>
    </row>
    <row r="476" ht="15.75" customHeight="1">
      <c r="A476" s="1">
        <v>474.0</v>
      </c>
      <c r="B476" s="3" t="s">
        <v>477</v>
      </c>
      <c r="C476" s="3" t="str">
        <f>IFERROR(__xludf.DUMMYFUNCTION("GOOGLETRANSLATE(B476,""id"",""en"")"),"['Really', 'heavy', 'gave', 'star', 'Telkomsel', 'Krna', 'network', 'Telkomsel', 'smakin', 'smakin', 'bad', 'network', ' Really ',' slow ',' blang ',' quota ',' basically ',' regret ',' card ',' Telkomsel ',' already ',' package ',' expensive ',' network "&amp;"',' satisfying ' , 'Bye', 'Telkomsel', 'moved', 'dlu', 'card', 'neighbor', 'lbih', 'cheap', 'stable', 'network', '']")</f>
        <v>['Really', 'heavy', 'gave', 'star', 'Telkomsel', 'Krna', 'network', 'Telkomsel', 'smakin', 'smakin', 'bad', 'network', ' Really ',' slow ',' blang ',' quota ',' basically ',' regret ',' card ',' Telkomsel ',' already ',' package ',' expensive ',' network ',' satisfying ' , 'Bye', 'Telkomsel', 'moved', 'dlu', 'card', 'neighbor', 'lbih', 'cheap', 'stable', 'network', '']</v>
      </c>
      <c r="D476" s="3">
        <v>1.0</v>
      </c>
    </row>
    <row r="477" ht="15.75" customHeight="1">
      <c r="A477" s="1">
        <v>475.0</v>
      </c>
      <c r="B477" s="3" t="s">
        <v>478</v>
      </c>
      <c r="C477" s="3" t="str">
        <f>IFERROR(__xludf.DUMMYFUNCTION("GOOGLETRANSLATE(B477,""id"",""en"")"),"['', 'pulse', 'reduced', 'pangilan', 'pakek', 'sms',' pakek ',' data ',' cellular ',' pakek ',' his history ',' pulse ',' corruption ',' Gitukah ',' contact ',' application ',' response ',' Lemooott ',' Bangett ',' Credit ',' Reduced ',' History ',' Reduc"&amp;"ed ',' Complain ',' Complain ', 'Have', 'Love', 'Data', 'Kasih', ""]")</f>
        <v>['', 'pulse', 'reduced', 'pangilan', 'pakek', 'sms',' pakek ',' data ',' cellular ',' pakek ',' his history ',' pulse ',' corruption ',' Gitukah ',' contact ',' application ',' response ',' Lemooott ',' Bangett ',' Credit ',' Reduced ',' History ',' Reduced ',' Complain ',' Complain ', 'Have', 'Love', 'Data', 'Kasih', "]</v>
      </c>
      <c r="D477" s="3">
        <v>1.0</v>
      </c>
    </row>
    <row r="478" ht="15.75" customHeight="1">
      <c r="A478" s="1">
        <v>476.0</v>
      </c>
      <c r="B478" s="3" t="s">
        <v>479</v>
      </c>
      <c r="C478" s="3" t="str">
        <f>IFERROR(__xludf.DUMMYFUNCTION("GOOGLETRANSLATE(B478,""id"",""en"")"),"['here', 'slow', 'network', 'please', 'repaired', 'area', 'remote', 'regret', 'Telkomsel', 'already', 'expensive', 'network', ' stable', '']")</f>
        <v>['here', 'slow', 'network', 'please', 'repaired', 'area', 'remote', 'regret', 'Telkomsel', 'already', 'expensive', 'network', ' stable', '']</v>
      </c>
      <c r="D478" s="3">
        <v>1.0</v>
      </c>
    </row>
    <row r="479" ht="15.75" customHeight="1">
      <c r="A479" s="1">
        <v>477.0</v>
      </c>
      <c r="B479" s="3" t="s">
        <v>480</v>
      </c>
      <c r="C479" s="3" t="str">
        <f>IFERROR(__xludf.DUMMYFUNCTION("GOOGLETRANSLATE(B479,""id"",""en"")"),"['', 'Telkomsel', 'good', 'diverse', 'choice', 'quota', 'pulse', 'reduced', 'then', 'hope', 'developer', 'telkomsel', 'add ',' Features', 'Lock', 'Button', 'Axis',' Dimanan ',' Features', 'Credit', 'Sucked', 'Safe', 'Features',' Other ',' Credit ', 'Sucke"&amp;"d', '']")</f>
        <v>['', 'Telkomsel', 'good', 'diverse', 'choice', 'quota', 'pulse', 'reduced', 'then', 'hope', 'developer', 'telkomsel', 'add ',' Features', 'Lock', 'Button', 'Axis',' Dimanan ',' Features', 'Credit', 'Sucked', 'Safe', 'Features',' Other ',' Credit ', 'Sucked', '']</v>
      </c>
      <c r="D479" s="3">
        <v>3.0</v>
      </c>
    </row>
    <row r="480" ht="15.75" customHeight="1">
      <c r="A480" s="1">
        <v>478.0</v>
      </c>
      <c r="B480" s="3" t="s">
        <v>481</v>
      </c>
      <c r="C480" s="3" t="str">
        <f>IFERROR(__xludf.DUMMYFUNCTION("GOOGLETRANSLATE(B480,""id"",""en"")"),"['contents',' pulse ',' kapok ',' times', 'top', 'entry', 'check', 'pulse', 'fail', 'can', 'notif', 'install', ' App ',' fit ',' install ',' ampuuuun ',' opened ',' wifi ',' number ',' udh ',' abis', 'grace', 'wrong', 'try', 'solution' , 'How', 'Min', 'Ma"&amp;"les', 'HRS', 'GraPARI', 'App', 'already', 'Cangging', 'Letoy']")</f>
        <v>['contents',' pulse ',' kapok ',' times', 'top', 'entry', 'check', 'pulse', 'fail', 'can', 'notif', 'install', ' App ',' fit ',' install ',' ampuuuun ',' opened ',' wifi ',' number ',' udh ',' abis', 'grace', 'wrong', 'try', 'solution' , 'How', 'Min', 'Males', 'HRS', 'GraPARI', 'App', 'already', 'Cangging', 'Letoy']</v>
      </c>
      <c r="D480" s="3">
        <v>1.0</v>
      </c>
    </row>
    <row r="481" ht="15.75" customHeight="1">
      <c r="A481" s="1">
        <v>479.0</v>
      </c>
      <c r="B481" s="3" t="s">
        <v>482</v>
      </c>
      <c r="C481" s="3" t="str">
        <f>IFERROR(__xludf.DUMMYFUNCTION("GOOGLETRANSLATE(B481,""id"",""en"")"),"['steady', 'lottery', 'exchange', 'points', 'make sure', 'appreciate', 'business', 'business', 'prjlnan', 'life', ""]")</f>
        <v>['steady', 'lottery', 'exchange', 'points', 'make sure', 'appreciate', 'business', 'business', 'prjlnan', 'life', "]</v>
      </c>
      <c r="D481" s="3">
        <v>5.0</v>
      </c>
    </row>
    <row r="482" ht="15.75" customHeight="1">
      <c r="A482" s="1">
        <v>480.0</v>
      </c>
      <c r="B482" s="3" t="s">
        <v>483</v>
      </c>
      <c r="C482" s="3" t="str">
        <f>IFERROR(__xludf.DUMMYFUNCTION("GOOGLETRANSLATE(B482,""id"",""en"")"),"['Thank you', 'fix', 'Error', 'suggestion', 'Please', 'Internet', 'Combo', 'Sakti', 'appears',' subscription ',' consumer ',' buy ',' Package ',' TSB ']")</f>
        <v>['Thank you', 'fix', 'Error', 'suggestion', 'Please', 'Internet', 'Combo', 'Sakti', 'appears',' subscription ',' consumer ',' buy ',' Package ',' TSB ']</v>
      </c>
      <c r="D482" s="3">
        <v>5.0</v>
      </c>
    </row>
    <row r="483" ht="15.75" customHeight="1">
      <c r="A483" s="1">
        <v>481.0</v>
      </c>
      <c r="B483" s="3" t="s">
        <v>484</v>
      </c>
      <c r="C483" s="3" t="str">
        <f>IFERROR(__xludf.DUMMYFUNCTION("GOOGLETRANSLATE(B483,""id"",""en"")"),"['What', 'Telkomsel', 'Deket', 'Tower', 'Signal', 'Difficult', 'Very', 'Description', 'Signal', 'Full', 'Turn', 'striming', ' ngegame ',' difficult ',' really ',' please ',' response ',' tide ',' tower ',' kek ',' resident ',' child ',' school ',' tribula"&amp;"tion ',' gegara ' , 'Signal', 'already', 'Bela', 'IN', 'buy', 'package', 'expensive', 'Gunain', 'Gunain', 'difficult']")</f>
        <v>['What', 'Telkomsel', 'Deket', 'Tower', 'Signal', 'Difficult', 'Very', 'Description', 'Signal', 'Full', 'Turn', 'striming', ' ngegame ',' difficult ',' really ',' please ',' response ',' tide ',' tower ',' kek ',' resident ',' child ',' school ',' tribulation ',' gegara ' , 'Signal', 'already', 'Bela', 'IN', 'buy', 'package', 'expensive', 'Gunain', 'Gunain', 'difficult']</v>
      </c>
      <c r="D483" s="3">
        <v>2.0</v>
      </c>
    </row>
    <row r="484" ht="15.75" customHeight="1">
      <c r="A484" s="1">
        <v>482.0</v>
      </c>
      <c r="B484" s="3" t="s">
        <v>485</v>
      </c>
      <c r="C484" s="3" t="str">
        <f>IFERROR(__xludf.DUMMYFUNCTION("GOOGLETRANSLATE(B484,""id"",""en"")"),"['Network', 'Region', 'Samarinda', 'Bukit', 'Pinang', 'Saka', 'Internet', 'Main', 'Game', 'Mobile', 'Legend', 'Please', ' The solution is 'read', 'comment']")</f>
        <v>['Network', 'Region', 'Samarinda', 'Bukit', 'Pinang', 'Saka', 'Internet', 'Main', 'Game', 'Mobile', 'Legend', 'Please', ' The solution is 'read', 'comment']</v>
      </c>
      <c r="D484" s="3">
        <v>3.0</v>
      </c>
    </row>
    <row r="485" ht="15.75" customHeight="1">
      <c r="A485" s="1">
        <v>483.0</v>
      </c>
      <c r="B485" s="3" t="s">
        <v>486</v>
      </c>
      <c r="C485" s="3" t="str">
        <f>IFERROR(__xludf.DUMMYFUNCTION("GOOGLETRANSLATE(B485,""id"",""en"")"),"['Sorry', 'Forced', 'Love', 'Star', 'Fill', 'Package', 'Combo', 'Sakti', 'Unlimited', 'Price', 'Payment', 'Link', ' Application ',' Link ',' Confirmed ',' Suskses', 'Application', 'Telkomsel', 'FAILURE', 'Confirm', 'Link', 'Error', 'Telkomsel', 'Telkomsel"&amp;"', 'Response' , 'Do', 'complaint', 'email', 'times', '']")</f>
        <v>['Sorry', 'Forced', 'Love', 'Star', 'Fill', 'Package', 'Combo', 'Sakti', 'Unlimited', 'Price', 'Payment', 'Link', ' Application ',' Link ',' Confirmed ',' Suskses', 'Application', 'Telkomsel', 'FAILURE', 'Confirm', 'Link', 'Error', 'Telkomsel', 'Telkomsel', 'Response' , 'Do', 'complaint', 'email', 'times', '']</v>
      </c>
      <c r="D485" s="3">
        <v>1.0</v>
      </c>
    </row>
    <row r="486" ht="15.75" customHeight="1">
      <c r="A486" s="1">
        <v>484.0</v>
      </c>
      <c r="B486" s="3" t="s">
        <v>487</v>
      </c>
      <c r="C486" s="3" t="str">
        <f>IFERROR(__xludf.DUMMYFUNCTION("GOOGLETRANSLATE(B486,""id"",""en"")"),"['good', 'right', 'subscribe', 'bln', 'package', 'difficult', 'search', 'star', 'easy', 'han', 'comen', 'listen', ' ']")</f>
        <v>['good', 'right', 'subscribe', 'bln', 'package', 'difficult', 'search', 'star', 'easy', 'han', 'comen', 'listen', ' ']</v>
      </c>
      <c r="D486" s="3">
        <v>5.0</v>
      </c>
    </row>
    <row r="487" ht="15.75" customHeight="1">
      <c r="A487" s="1">
        <v>485.0</v>
      </c>
      <c r="B487" s="3" t="s">
        <v>488</v>
      </c>
      <c r="C487" s="3" t="str">
        <f>IFERROR(__xludf.DUMMYFUNCTION("GOOGLETRANSLATE(B487,""id"",""en"")"),"['min', 'repay', 'network', 'special', 'area', 'countryside', 'min', 'priority', 'region', 'remote', 'min', 'students',' Rustic ',' difficult ',' access', 'internet', 'network', 'stable', 'area', 'remote', 'rural', 'transmitter', 'connection', 'fail', 'so"&amp;"' ]")</f>
        <v>['min', 'repay', 'network', 'special', 'area', 'countryside', 'min', 'priority', 'region', 'remote', 'min', 'students',' Rustic ',' difficult ',' access', 'internet', 'network', 'stable', 'area', 'remote', 'rural', 'transmitter', 'connection', 'fail', 'so' ]</v>
      </c>
      <c r="D487" s="3">
        <v>3.0</v>
      </c>
    </row>
    <row r="488" ht="15.75" customHeight="1">
      <c r="A488" s="1">
        <v>486.0</v>
      </c>
      <c r="B488" s="3" t="s">
        <v>489</v>
      </c>
      <c r="C488" s="3" t="str">
        <f>IFERROR(__xludf.DUMMYFUNCTION("GOOGLETRANSLATE(B488,""id"",""en"")"),"['Customize', 'people', 'eager', 'already', 'salary', 'dependents',' expensive ',' expensive ',' yes', 'quality', 'planting', 'kindness',' ']")</f>
        <v>['Customize', 'people', 'eager', 'already', 'salary', 'dependents',' expensive ',' expensive ',' yes', 'quality', 'planting', 'kindness',' ']</v>
      </c>
      <c r="D488" s="3">
        <v>4.0</v>
      </c>
    </row>
    <row r="489" ht="15.75" customHeight="1">
      <c r="A489" s="1">
        <v>487.0</v>
      </c>
      <c r="B489" s="3" t="s">
        <v>490</v>
      </c>
      <c r="C489" s="3" t="str">
        <f>IFERROR(__xludf.DUMMYFUNCTION("GOOGLETRANSLATE(B489,""id"",""en"")"),"['Telkomsel', 'severe', 'gini', 'package', 'expensive', 'network', 'stable', 'package', 'data', 'tens',' pulse ',' sucked ',' Until ',' Rupiah ',' His name ',' Disright ',' Consumers', ""]")</f>
        <v>['Telkomsel', 'severe', 'gini', 'package', 'expensive', 'network', 'stable', 'package', 'data', 'tens',' pulse ',' sucked ',' Until ',' Rupiah ',' His name ',' Disright ',' Consumers', "]</v>
      </c>
      <c r="D489" s="3">
        <v>3.0</v>
      </c>
    </row>
    <row r="490" ht="15.75" customHeight="1">
      <c r="A490" s="1">
        <v>488.0</v>
      </c>
      <c r="B490" s="3" t="s">
        <v>491</v>
      </c>
      <c r="C490" s="3" t="str">
        <f>IFERROR(__xludf.DUMMYFUNCTION("GOOGLETRANSLATE(B490,""id"",""en"")"),"['Sorry', 'Sis',' experience ',' complaints', 'CONTACT', 'BLA', 'BLA', 'BLA', 'PIG', 'I', 'Package', 'Kagak', ' Open ',' YouTube ',' Game ',' I've, 'already', 'satellite', 'Telkomsel', 'Angkasa', 'Gini', 'I', 'Delete', 'APK', 'Ama' , 'number', 'replace', "&amp;"'Samrfen', 'pretentious',' pretentious', 'aan', 'ad', 'mountain', 'remote', 'pig', 'good', 'distance', ' tower ',' house ',' meter ',' ajig ',' pig ',' me ',' woi ']")</f>
        <v>['Sorry', 'Sis',' experience ',' complaints', 'CONTACT', 'BLA', 'BLA', 'BLA', 'PIG', 'I', 'Package', 'Kagak', ' Open ',' YouTube ',' Game ',' I've, 'already', 'satellite', 'Telkomsel', 'Angkasa', 'Gini', 'I', 'Delete', 'APK', 'Ama' , 'number', 'replace', 'Samrfen', 'pretentious',' pretentious', 'aan', 'ad', 'mountain', 'remote', 'pig', 'good', 'distance', ' tower ',' house ',' meter ',' ajig ',' pig ',' me ',' woi ']</v>
      </c>
      <c r="D490" s="3">
        <v>1.0</v>
      </c>
    </row>
    <row r="491" ht="15.75" customHeight="1">
      <c r="A491" s="1">
        <v>489.0</v>
      </c>
      <c r="B491" s="3" t="s">
        <v>492</v>
      </c>
      <c r="C491" s="3" t="str">
        <f>IFERROR(__xludf.DUMMYFUNCTION("GOOGLETRANSLATE(B491,""id"",""en"")"),"['Package', 'expensive', 'see', 'Maen', 'Game', 'Leg', 'Liat', 'YouTube', 'Leg', 'LIAT', 'Video', 'Leg', ' Benerin ',' network ',' already ',' bnyak ',' buy ',' rich ',' gini ',' signal ',' please ',' deh ',' conducted ',' price ',' package ' , 'signal', "&amp;"'package', 'expensive', 'signal', 'good', 'already', 'package', 'expensive', 'signal', 'ugly', 'city', 'ugly', ' signal ',' please ',' conducted ',' gave ',' suggestion ']")</f>
        <v>['Package', 'expensive', 'see', 'Maen', 'Game', 'Leg', 'Liat', 'YouTube', 'Leg', 'LIAT', 'Video', 'Leg', ' Benerin ',' network ',' already ',' bnyak ',' buy ',' rich ',' gini ',' signal ',' please ',' deh ',' conducted ',' price ',' package ' , 'signal', 'package', 'expensive', 'signal', 'good', 'already', 'package', 'expensive', 'signal', 'ugly', 'city', 'ugly', ' signal ',' please ',' conducted ',' gave ',' suggestion ']</v>
      </c>
      <c r="D491" s="3">
        <v>1.0</v>
      </c>
    </row>
    <row r="492" ht="15.75" customHeight="1">
      <c r="A492" s="1">
        <v>490.0</v>
      </c>
      <c r="B492" s="3" t="s">
        <v>493</v>
      </c>
      <c r="C492" s="3" t="str">
        <f>IFERROR(__xludf.DUMMYFUNCTION("GOOGLETRANSLATE(B492,""id"",""en"")"),"['System', 'KLU', 'Pakaet', 'Data', 'Out', 'Extend', 'Lgsung', 'Play', 'Cut', 'Credit', 'Use', 'Network', ' The data ',' buy ',' package ',' data ',' trapping ',' package ',' data ',' bought ',' package ',' expensive ',' impressed ',' force ',' person ' ,"&amp;" 'buy', 'package', 'expensive', 'buy', 'change', 'fall', 'expensive', 'disappointed', 'Telkomsel', ""]")</f>
        <v>['System', 'KLU', 'Pakaet', 'Data', 'Out', 'Extend', 'Lgsung', 'Play', 'Cut', 'Credit', 'Use', 'Network', ' The data ',' buy ',' package ',' data ',' trapping ',' package ',' data ',' bought ',' package ',' expensive ',' impressed ',' force ',' person ' , 'buy', 'package', 'expensive', 'buy', 'change', 'fall', 'expensive', 'disappointed', 'Telkomsel', "]</v>
      </c>
      <c r="D492" s="3">
        <v>1.0</v>
      </c>
    </row>
    <row r="493" ht="15.75" customHeight="1">
      <c r="A493" s="1">
        <v>491.0</v>
      </c>
      <c r="B493" s="3" t="s">
        <v>494</v>
      </c>
      <c r="C493" s="3" t="str">
        <f>IFERROR(__xludf.DUMMYFUNCTION("GOOGLETRANSLATE(B493,""id"",""en"")"),"['Good', 'Hurry', '']")</f>
        <v>['Good', 'Hurry', '']</v>
      </c>
      <c r="D493" s="3">
        <v>5.0</v>
      </c>
    </row>
    <row r="494" ht="15.75" customHeight="1">
      <c r="A494" s="1">
        <v>492.0</v>
      </c>
      <c r="B494" s="3" t="s">
        <v>495</v>
      </c>
      <c r="C494" s="3" t="str">
        <f>IFERROR(__xludf.DUMMYFUNCTION("GOOGLETRANSLATE(B494,""id"",""en"")"),"['users',' Telkomsel ',' honest ',' Telkomsel ',' wrong ',' provider ',' quality ',' service ',' signal ',' bad ',' disappointed ',' heavy ',' Heart ',' Switch ',' Provider ',' Service ',' ']")</f>
        <v>['users',' Telkomsel ',' honest ',' Telkomsel ',' wrong ',' provider ',' quality ',' service ',' signal ',' bad ',' disappointed ',' heavy ',' Heart ',' Switch ',' Provider ',' Service ',' ']</v>
      </c>
      <c r="D494" s="3">
        <v>1.0</v>
      </c>
    </row>
    <row r="495" ht="15.75" customHeight="1">
      <c r="A495" s="1">
        <v>493.0</v>
      </c>
      <c r="B495" s="3" t="s">
        <v>496</v>
      </c>
      <c r="C495" s="3" t="str">
        <f>IFERROR(__xludf.DUMMYFUNCTION("GOOGLETRANSLATE(B495,""id"",""en"")"),"['have', 'pulse', 'rb', 'buy', 'package', 'price', 'rb', 'tap', 'reasons',' pulses', 'sufficient', 'Telkomsel', ' Providers', 'services',' owned ',' Country ',' please ',' pay attention ',' sucks', 'troubles']")</f>
        <v>['have', 'pulse', 'rb', 'buy', 'package', 'price', 'rb', 'tap', 'reasons',' pulses', 'sufficient', 'Telkomsel', ' Providers', 'services',' owned ',' Country ',' please ',' pay attention ',' sucks', 'troubles']</v>
      </c>
      <c r="D495" s="3">
        <v>1.0</v>
      </c>
    </row>
    <row r="496" ht="15.75" customHeight="1">
      <c r="A496" s="1">
        <v>494.0</v>
      </c>
      <c r="B496" s="3" t="s">
        <v>497</v>
      </c>
      <c r="C496" s="3" t="str">
        <f>IFERROR(__xludf.DUMMYFUNCTION("GOOGLETRANSLATE(B496,""id"",""en"")"),"['buy', 'package', 'recommendation', 'still', 'active', 'times',' times', 'active', 'package', 'buy', 'recommendation', 'service', ' bad', '']")</f>
        <v>['buy', 'package', 'recommendation', 'still', 'active', 'times',' times', 'active', 'package', 'buy', 'recommendation', 'service', ' bad', '']</v>
      </c>
      <c r="D496" s="3">
        <v>2.0</v>
      </c>
    </row>
    <row r="497" ht="15.75" customHeight="1">
      <c r="A497" s="1">
        <v>495.0</v>
      </c>
      <c r="B497" s="3" t="s">
        <v>498</v>
      </c>
      <c r="C497" s="3" t="str">
        <f>IFERROR(__xludf.DUMMYFUNCTION("GOOGLETRANSLATE(B497,""id"",""en"")"),"['Internet', 'Local', 'GB', 'BLM', 'Respond', 'Complaints',' TLPN ',' Call ',' Center ',' Chat ',' Veronika ',' Application ',' Please, 'Jngn', 'Customer', 'Loss', 'Great']")</f>
        <v>['Internet', 'Local', 'GB', 'BLM', 'Respond', 'Complaints',' TLPN ',' Call ',' Center ',' Chat ',' Veronika ',' Application ',' Please, 'Jngn', 'Customer', 'Loss', 'Great']</v>
      </c>
      <c r="D497" s="3">
        <v>1.0</v>
      </c>
    </row>
    <row r="498" ht="15.75" customHeight="1">
      <c r="A498" s="1">
        <v>496.0</v>
      </c>
      <c r="B498" s="3" t="s">
        <v>499</v>
      </c>
      <c r="C498" s="3" t="str">
        <f>IFERROR(__xludf.DUMMYFUNCTION("GOOGLETRANSLATE(B498,""id"",""en"")"),"['The application', 'crash', 'buy', 'package', 'Benerin', 'service', 'please', 'Increase', 'network', 'slow', 'slow', 'snail', ' road ',' here ',' good ',' complain ',' customer ',' complain ',' response ',' slow ',' star ',' collapsed ',' region ',' dist"&amp;"rict ',' Tangerang ' , 'Network', 'stable', 'down', 'sometimes', 'signal', 'tolooong', 'dooong']")</f>
        <v>['The application', 'crash', 'buy', 'package', 'Benerin', 'service', 'please', 'Increase', 'network', 'slow', 'slow', 'snail', ' road ',' here ',' good ',' complain ',' customer ',' complain ',' response ',' slow ',' star ',' collapsed ',' region ',' district ',' Tangerang ' , 'Network', 'stable', 'down', 'sometimes', 'signal', 'tolooong', 'dooong']</v>
      </c>
      <c r="D498" s="3">
        <v>2.0</v>
      </c>
    </row>
    <row r="499" ht="15.75" customHeight="1">
      <c r="A499" s="1">
        <v>497.0</v>
      </c>
      <c r="B499" s="3" t="s">
        <v>500</v>
      </c>
      <c r="C499" s="3" t="str">
        <f>IFERROR(__xludf.DUMMYFUNCTION("GOOGLETRANSLATE(B499,""id"",""en"")"),"['Please', 'explanation', 'Donk', 'contents',' package ',' quota ',' watch ',' locally ',' quota ',' used ',' mean ',' quota ',' Watch ',' Local ',' Application ',' Thank ',' Love ']")</f>
        <v>['Please', 'explanation', 'Donk', 'contents',' package ',' quota ',' watch ',' locally ',' quota ',' used ',' mean ',' quota ',' Watch ',' Local ',' Application ',' Thank ',' Love ']</v>
      </c>
      <c r="D499" s="3">
        <v>5.0</v>
      </c>
    </row>
    <row r="500" ht="15.75" customHeight="1">
      <c r="A500" s="1">
        <v>498.0</v>
      </c>
      <c r="B500" s="3" t="s">
        <v>501</v>
      </c>
      <c r="C500" s="3" t="str">
        <f>IFERROR(__xludf.DUMMYFUNCTION("GOOGLETRANSLATE(B500,""id"",""en"")"),"['NMR', 'sympathy', 'validated', 'run out', 'forced', 'replace', 'card', 'hello', 'pdhl', 'suitable', 'facility', 'card', ' sympathy ',' different ',' facility ',' package ',' card ',' Hello ',' requires', 'pay', 'bills',' leftover ',' package ',' used ',"&amp;"' scorched ' , 'usage', 'card', 'hello', 'expensive']")</f>
        <v>['NMR', 'sympathy', 'validated', 'run out', 'forced', 'replace', 'card', 'hello', 'pdhl', 'suitable', 'facility', 'card', ' sympathy ',' different ',' facility ',' package ',' card ',' Hello ',' requires', 'pay', 'bills',' leftover ',' package ',' used ',' scorched ' , 'usage', 'card', 'hello', 'expensive']</v>
      </c>
      <c r="D500" s="3">
        <v>1.0</v>
      </c>
    </row>
    <row r="501" ht="15.75" customHeight="1">
      <c r="A501" s="1">
        <v>499.0</v>
      </c>
      <c r="B501" s="3" t="s">
        <v>502</v>
      </c>
      <c r="C501" s="3" t="str">
        <f>IFERROR(__xludf.DUMMYFUNCTION("GOOGLETRANSLATE(B501,""id"",""en"")"),"['love', 'star', 'because', 'please', 'purchase', 'package', 'smooth', 'fast', 'rich', 'yesterday', ""]")</f>
        <v>['love', 'star', 'because', 'please', 'purchase', 'package', 'smooth', 'fast', 'rich', 'yesterday', "]</v>
      </c>
      <c r="D501" s="3">
        <v>5.0</v>
      </c>
    </row>
    <row r="502" ht="15.75" customHeight="1">
      <c r="A502" s="1">
        <v>500.0</v>
      </c>
      <c r="B502" s="3" t="s">
        <v>503</v>
      </c>
      <c r="C502" s="3" t="str">
        <f>IFERROR(__xludf.DUMMYFUNCTION("GOOGLETRANSLATE(B502,""id"",""en"")"),"['Removal', 'Invasion', 'quota', 'run out', 'His time', 'quota', 'bought', 'right', 'consumer', 'good', 'quota', 'Serimaksih', ' Telkomsel ',' ']")</f>
        <v>['Removal', 'Invasion', 'quota', 'run out', 'His time', 'quota', 'bought', 'right', 'consumer', 'good', 'quota', 'Serimaksih', ' Telkomsel ',' ']</v>
      </c>
      <c r="D502" s="3">
        <v>4.0</v>
      </c>
    </row>
    <row r="503" ht="15.75" customHeight="1">
      <c r="A503" s="1">
        <v>501.0</v>
      </c>
      <c r="B503" s="3" t="s">
        <v>504</v>
      </c>
      <c r="C503" s="3" t="str">
        <f>IFERROR(__xludf.DUMMYFUNCTION("GOOGLETRANSLATE(B503,""id"",""en"")"),"['Sbnera', 'APL', 'Mmang', 'Helping', 'Daily', 'Chakin', 'Gift', 'Vaucher', 'Promo', 'Enter', 'Word', 'slah', ' CNTOH ',' SJA ',' STAH ',' SUCCESS ',' Chakin ',' Daily ',' AKN ',' Gift ',' Quota ',' Internet ',' Dri ',' User ',' Points' , 'Remove', 'excee"&amp;"d', 'Dri', 'Points',' SNDRI ',' TRUS ',' Credit ',' HRS ',' KMI ',' Remove ',' price ',' high school ',' SPRTI ',' buy ',' quota ',' output ',' cba ',' think ',' what 'do', 'hrus', 'pkai', 'point', 'bnyak', 'can', '']")</f>
        <v>['Sbnera', 'APL', 'Mmang', 'Helping', 'Daily', 'Chakin', 'Gift', 'Vaucher', 'Promo', 'Enter', 'Word', 'slah', ' CNTOH ',' SJA ',' STAH ',' SUCCESS ',' Chakin ',' Daily ',' AKN ',' Gift ',' Quota ',' Internet ',' Dri ',' User ',' Points' , 'Remove', 'exceed', 'Dri', 'Points',' SNDRI ',' TRUS ',' Credit ',' HRS ',' KMI ',' Remove ',' price ',' high school ',' SPRTI ',' buy ',' quota ',' output ',' cba ',' think ',' what 'do', 'hrus', 'pkai', 'point', 'bnyak', 'can', '']</v>
      </c>
      <c r="D503" s="3">
        <v>3.0</v>
      </c>
    </row>
    <row r="504" ht="15.75" customHeight="1">
      <c r="A504" s="1">
        <v>502.0</v>
      </c>
      <c r="B504" s="3" t="s">
        <v>505</v>
      </c>
      <c r="C504" s="3" t="str">
        <f>IFERROR(__xludf.DUMMYFUNCTION("GOOGLETRANSLATE(B504,""id"",""en"")"),"['Lower', 'Bintang', 'disappointed', 'subscribe', 'combo', 'Sakti', 'RB', 'Morning', 'subscribe', 'package', 'missing', 'circulation', ' When ',' Conditions', 'BUMN', 'Helping', 'Society', 'Convenience', 'Telkomsel', 'Honest', 'Disappointed', 'Change', 'P"&amp;"rovider', ""]")</f>
        <v>['Lower', 'Bintang', 'disappointed', 'subscribe', 'combo', 'Sakti', 'RB', 'Morning', 'subscribe', 'package', 'missing', 'circulation', ' When ',' Conditions', 'BUMN', 'Helping', 'Society', 'Convenience', 'Telkomsel', 'Honest', 'Disappointed', 'Change', 'Provider', "]</v>
      </c>
      <c r="D504" s="3">
        <v>1.0</v>
      </c>
    </row>
    <row r="505" ht="15.75" customHeight="1">
      <c r="A505" s="1">
        <v>503.0</v>
      </c>
      <c r="B505" s="3" t="s">
        <v>506</v>
      </c>
      <c r="C505" s="3" t="str">
        <f>IFERROR(__xludf.DUMMYFUNCTION("GOOGLETRANSLATE(B505,""id"",""en"")"),"['Sorry', 'card', 'gabisa', 'quota', 'written', 'card', 'SIM', 'damaged', 'opened', 'card', 'strange']")</f>
        <v>['Sorry', 'card', 'gabisa', 'quota', 'written', 'card', 'SIM', 'damaged', 'opened', 'card', 'strange']</v>
      </c>
      <c r="D505" s="3">
        <v>4.0</v>
      </c>
    </row>
    <row r="506" ht="15.75" customHeight="1">
      <c r="A506" s="1">
        <v>504.0</v>
      </c>
      <c r="B506" s="3" t="s">
        <v>507</v>
      </c>
      <c r="C506" s="3" t="str">
        <f>IFERROR(__xludf.DUMMYFUNCTION("GOOGLETRANSLATE(B506,""id"",""en"")"),"['Signal', 'Telkomsel', 'Good', 'Unfortunately', 'Out', 'Quota', 'On', 'Cutting', 'Credit', 'Main', 'Terms',' Minutes', ' run out ',' pulse ',' RB ',' warning ',' quota ',' run out ',' hulled ',' for a while ',' pulse ',' apes', 'hopefully', 'Telkomsel', "&amp;"'change' , 'system', 'zolim', 'KPD', 'customer', '']")</f>
        <v>['Signal', 'Telkomsel', 'Good', 'Unfortunately', 'Out', 'Quota', 'On', 'Cutting', 'Credit', 'Main', 'Terms',' Minutes', ' run out ',' pulse ',' RB ',' warning ',' quota ',' run out ',' hulled ',' for a while ',' pulse ',' apes', 'hopefully', 'Telkomsel', 'change' , 'system', 'zolim', 'KPD', 'customer', '']</v>
      </c>
      <c r="D506" s="3">
        <v>5.0</v>
      </c>
    </row>
    <row r="507" ht="15.75" customHeight="1">
      <c r="A507" s="1">
        <v>505.0</v>
      </c>
      <c r="B507" s="3" t="s">
        <v>508</v>
      </c>
      <c r="C507" s="3" t="str">
        <f>IFERROR(__xludf.DUMMYFUNCTION("GOOGLETRANSLATE(B507,""id"",""en"")"),"['pulse', 'sucked', 'thousand', 'notice', 'buy', 'package', 'quota', 'buy', 'package', 'anything', 'because', 'pulses',' Top ',' Game ',' Sucked ',' Telkomsel ',' Strategy ',' Telkomsel ', ""]")</f>
        <v>['pulse', 'sucked', 'thousand', 'notice', 'buy', 'package', 'quota', 'buy', 'package', 'anything', 'because', 'pulses',' Top ',' Game ',' Sucked ',' Telkomsel ',' Strategy ',' Telkomsel ', "]</v>
      </c>
      <c r="D507" s="3">
        <v>1.0</v>
      </c>
    </row>
    <row r="508" ht="15.75" customHeight="1">
      <c r="A508" s="1">
        <v>506.0</v>
      </c>
      <c r="B508" s="3" t="s">
        <v>509</v>
      </c>
      <c r="C508" s="3" t="str">
        <f>IFERROR(__xludf.DUMMYFUNCTION("GOOGLETRANSLATE(B508,""id"",""en"")"),"['application', 'tooy', 'yes',' active ',' according to ',' clock ',' gileee ',' stingy ',' bngt ',' operator ',' signal ',' ugly ',' Mulu ',' Package ',' Mehong ',' according to ',' service ',' Mending ',' Move ',' Axiata ', ""]")</f>
        <v>['application', 'tooy', 'yes',' active ',' according to ',' clock ',' gileee ',' stingy ',' bngt ',' operator ',' signal ',' ugly ',' Mulu ',' Package ',' Mehong ',' according to ',' service ',' Mending ',' Move ',' Axiata ', "]</v>
      </c>
      <c r="D508" s="3">
        <v>1.0</v>
      </c>
    </row>
    <row r="509" ht="15.75" customHeight="1">
      <c r="A509" s="1">
        <v>507.0</v>
      </c>
      <c r="B509" s="3" t="s">
        <v>510</v>
      </c>
      <c r="C509" s="3" t="str">
        <f>IFERROR(__xludf.DUMMYFUNCTION("GOOGLETRANSLATE(B509,""id"",""en"")"),"['Ribet', 'Pay', 'App', 'Fund', 'NGK', 'Credit', 'Package', 'Differentiate', 'Remnant', 'PULSAN', 'WKWKWKWKW', 'Loss',' Telkomsel ',' Klu ',' user ',' stay ',' buy ',' card ',' choice ',' promo ',' wkakakkkk ']")</f>
        <v>['Ribet', 'Pay', 'App', 'Fund', 'NGK', 'Credit', 'Package', 'Differentiate', 'Remnant', 'PULSAN', 'WKWKWKWKW', 'Loss',' Telkomsel ',' Klu ',' user ',' stay ',' buy ',' card ',' choice ',' promo ',' wkakakkkk ']</v>
      </c>
      <c r="D509" s="3">
        <v>1.0</v>
      </c>
    </row>
    <row r="510" ht="15.75" customHeight="1">
      <c r="A510" s="1">
        <v>508.0</v>
      </c>
      <c r="B510" s="3" t="s">
        <v>511</v>
      </c>
      <c r="C510" s="3" t="str">
        <f>IFERROR(__xludf.DUMMYFUNCTION("GOOGLETRANSLATE(B510,""id"",""en"")"),"['Alhamdulillah', 'Good', 'Maintain', 'Increase', 'Quality', 'Network', 'Region', 'Country', 'Indonesia', 'Accept', 'Love', 'Telkomsel', ' ']")</f>
        <v>['Alhamdulillah', 'Good', 'Maintain', 'Increase', 'Quality', 'Network', 'Region', 'Country', 'Indonesia', 'Accept', 'Love', 'Telkomsel', ' ']</v>
      </c>
      <c r="D510" s="3">
        <v>5.0</v>
      </c>
    </row>
    <row r="511" ht="15.75" customHeight="1">
      <c r="A511" s="1">
        <v>509.0</v>
      </c>
      <c r="B511" s="3" t="s">
        <v>512</v>
      </c>
      <c r="C511" s="3" t="str">
        <f>IFERROR(__xludf.DUMMYFUNCTION("GOOGLETRANSLATE(B511,""id"",""en"")"),"['Telkomsel', 'sucking', 'Credit', 'Customer', 'Telkomsel', 'sucked', 'pulse', 'week', 'already', 'sucked', 'package', 'data', ' pls', 'sucked', 'BUMN', 'like', 'Gini', 'dilapidated', 'System']")</f>
        <v>['Telkomsel', 'sucking', 'Credit', 'Customer', 'Telkomsel', 'sucked', 'pulse', 'week', 'already', 'sucked', 'package', 'data', ' pls', 'sucked', 'BUMN', 'like', 'Gini', 'dilapidated', 'System']</v>
      </c>
      <c r="D511" s="3">
        <v>1.0</v>
      </c>
    </row>
    <row r="512" ht="15.75" customHeight="1">
      <c r="A512" s="1">
        <v>510.0</v>
      </c>
      <c r="B512" s="3" t="s">
        <v>513</v>
      </c>
      <c r="C512" s="3" t="str">
        <f>IFERROR(__xludf.DUMMYFUNCTION("GOOGLETRANSLATE(B512,""id"",""en"")"),"['Tissue', 'Telkomsel', 'mkn', 'threat', 'expensive', 'hrga', 'package', 'quality', 'cheap', 'tlg', 'dung', 'provider', ' Fix ',' The 'Network', 'Maen', 'Game', 'Network', 'Stable', 'Raying', 'Make', 'Telkomsel', ""]")</f>
        <v>['Tissue', 'Telkomsel', 'mkn', 'threat', 'expensive', 'hrga', 'package', 'quality', 'cheap', 'tlg', 'dung', 'provider', ' Fix ',' The 'Network', 'Maen', 'Game', 'Network', 'Stable', 'Raying', 'Make', 'Telkomsel', "]</v>
      </c>
      <c r="D512" s="3">
        <v>1.0</v>
      </c>
    </row>
    <row r="513" ht="15.75" customHeight="1">
      <c r="A513" s="1">
        <v>511.0</v>
      </c>
      <c r="B513" s="3" t="s">
        <v>514</v>
      </c>
      <c r="C513" s="3" t="str">
        <f>IFERROR(__xludf.DUMMYFUNCTION("GOOGLETRANSLATE(B513,""id"",""en"")"),"['Try', 'fad', 'buy', 'package', 'lap', 'yutube', 'mggu', 'stlah', 'success',' payment ',' jeng ',' jengg ',' BSA ',' Konek ',' BUFRING ',' SERASA ',' BUY ',' Package ',' Ghoib ',' Road ',' Delete ',' Delete ',' Register ',' Package ',' Gan ' , 'sis', 'th"&amp;"anks']")</f>
        <v>['Try', 'fad', 'buy', 'package', 'lap', 'yutube', 'mggu', 'stlah', 'success',' payment ',' jeng ',' jengg ',' BSA ',' Konek ',' BUFRING ',' SERASA ',' BUY ',' Package ',' Ghoib ',' Road ',' Delete ',' Delete ',' Register ',' Package ',' Gan ' , 'sis', 'thanks']</v>
      </c>
      <c r="D513" s="3">
        <v>1.0</v>
      </c>
    </row>
    <row r="514" ht="15.75" customHeight="1">
      <c r="A514" s="1">
        <v>512.0</v>
      </c>
      <c r="B514" s="3" t="s">
        <v>515</v>
      </c>
      <c r="C514" s="3" t="str">
        <f>IFERROR(__xludf.DUMMYFUNCTION("GOOGLETRANSLATE(B514,""id"",""en"")"),"['Application', 'crazy', 'already', 'open', 'kdang', 'bsa', 'trs',' creamin ',' sms', 'unfortunately', 'sent', 'sms',' Credit ',' Take ',' Maling ',' Different ',' Lost ',' Silver ']")</f>
        <v>['Application', 'crazy', 'already', 'open', 'kdang', 'bsa', 'trs',' creamin ',' sms', 'unfortunately', 'sent', 'sms',' Credit ',' Take ',' Maling ',' Different ',' Lost ',' Silver ']</v>
      </c>
      <c r="D514" s="3">
        <v>1.0</v>
      </c>
    </row>
    <row r="515" ht="15.75" customHeight="1">
      <c r="A515" s="1">
        <v>513.0</v>
      </c>
      <c r="B515" s="3" t="s">
        <v>516</v>
      </c>
      <c r="C515" s="3" t="str">
        <f>IFERROR(__xludf.DUMMYFUNCTION("GOOGLETRANSLATE(B515,""id"",""en"")"),"['Area', 'Banjarmasin', 'Signal', 'Sometimes',' Sometimes', 'Weak', 'Telkomsel', 'Quality', 'Good', 'Consumer', 'Hope', 'Fix', ' Quality ',' signal ',' ']")</f>
        <v>['Area', 'Banjarmasin', 'Signal', 'Sometimes',' Sometimes', 'Weak', 'Telkomsel', 'Quality', 'Good', 'Consumer', 'Hope', 'Fix', ' Quality ',' signal ',' ']</v>
      </c>
      <c r="D515" s="3">
        <v>5.0</v>
      </c>
    </row>
    <row r="516" ht="15.75" customHeight="1">
      <c r="A516" s="1">
        <v>514.0</v>
      </c>
      <c r="B516" s="3" t="s">
        <v>517</v>
      </c>
      <c r="C516" s="3" t="str">
        <f>IFERROR(__xludf.DUMMYFUNCTION("GOOGLETRANSLATE(B516,""id"",""en"")"),"['promo', 'internet', 'cheap', 'pandemic', 'populist', 'price', 'unemployed', 'workers',' skrg ',' Indonesia ',' workers', 'immigrants',' Country ',' Sipit ', ""]")</f>
        <v>['promo', 'internet', 'cheap', 'pandemic', 'populist', 'price', 'unemployed', 'workers',' skrg ',' Indonesia ',' workers', 'immigrants',' Country ',' Sipit ', "]</v>
      </c>
      <c r="D516" s="3">
        <v>5.0</v>
      </c>
    </row>
    <row r="517" ht="15.75" customHeight="1">
      <c r="A517" s="1">
        <v>515.0</v>
      </c>
      <c r="B517" s="3" t="s">
        <v>518</v>
      </c>
      <c r="C517" s="3" t="str">
        <f>IFERROR(__xludf.DUMMYFUNCTION("GOOGLETRANSLATE(B517,""id"",""en"")"),"['ask', 'Data', 'Marketing', 'Telkomsel', 'Data', 'PKE', 'Provider', 'Call', 'SMS', 'Abis',' Credit ',' Great ',' marketing ',' that's', 'feature', 'use', 'pulse', 'along with', '']")</f>
        <v>['ask', 'Data', 'Marketing', 'Telkomsel', 'Data', 'PKE', 'Provider', 'Call', 'SMS', 'Abis',' Credit ',' Great ',' marketing ',' that's', 'feature', 'use', 'pulse', 'along with', '']</v>
      </c>
      <c r="D517" s="3">
        <v>1.0</v>
      </c>
    </row>
    <row r="518" ht="15.75" customHeight="1">
      <c r="A518" s="1">
        <v>516.0</v>
      </c>
      <c r="B518" s="3" t="s">
        <v>519</v>
      </c>
      <c r="C518" s="3" t="str">
        <f>IFERROR(__xludf.DUMMYFUNCTION("GOOGLETRANSLATE(B518,""id"",""en"")"),"['Reality', 'Gaada', 'Progress',' Telkomsel ',' YouTube ',' Macem ',' Main ',' Game ',' Moba ',' Sinyal ',' Dropped ',' Dropped ',' oath ',' deh ',' times', 'really', 'disappointed', 'Telkomsel', 'cave', 'abisin', 'quota', 'abis',' replace ',' provider ',"&amp;"' eat ' , 'ATI', 'Mulu', 'Main', 'Game', 'Ngelag']")</f>
        <v>['Reality', 'Gaada', 'Progress',' Telkomsel ',' YouTube ',' Macem ',' Main ',' Game ',' Moba ',' Sinyal ',' Dropped ',' Dropped ',' oath ',' deh ',' times', 'really', 'disappointed', 'Telkomsel', 'cave', 'abisin', 'quota', 'abis',' replace ',' provider ',' eat ' , 'ATI', 'Mulu', 'Main', 'Game', 'Ngelag']</v>
      </c>
      <c r="D518" s="3">
        <v>1.0</v>
      </c>
    </row>
    <row r="519" ht="15.75" customHeight="1">
      <c r="A519" s="1">
        <v>517.0</v>
      </c>
      <c r="B519" s="3" t="s">
        <v>520</v>
      </c>
      <c r="C519" s="3" t="str">
        <f>IFERROR(__xludf.DUMMYFUNCTION("GOOGLETRANSLATE(B519,""id"",""en"")"),"['Telkomsel', 'fix', 'msalah', 'network', 'udh', 'expensive', 'quality', 'ugly', 'free', 'daddy', 'buy', 'expensive', ' Please note', '']")</f>
        <v>['Telkomsel', 'fix', 'msalah', 'network', 'udh', 'expensive', 'quality', 'ugly', 'free', 'daddy', 'buy', 'expensive', ' Please note', '']</v>
      </c>
      <c r="D519" s="3">
        <v>1.0</v>
      </c>
    </row>
    <row r="520" ht="15.75" customHeight="1">
      <c r="A520" s="1">
        <v>518.0</v>
      </c>
      <c r="B520" s="3" t="s">
        <v>521</v>
      </c>
      <c r="C520" s="3" t="str">
        <f>IFERROR(__xludf.DUMMYFUNCTION("GOOGLETRANSLATE(B520,""id"",""en"")"),"['thank', 'love', 'Telkomsel', 'hope', 'car', 'dream', 'think', 'buy', 'car', 'kek', 'mna', 'looked', ' money ',' heart ',' kepengen ',' times', 'car', 'hope', 'car']")</f>
        <v>['thank', 'love', 'Telkomsel', 'hope', 'car', 'dream', 'think', 'buy', 'car', 'kek', 'mna', 'looked', ' money ',' heart ',' kepengen ',' times', 'car', 'hope', 'car']</v>
      </c>
      <c r="D520" s="3">
        <v>1.0</v>
      </c>
    </row>
    <row r="521" ht="15.75" customHeight="1">
      <c r="A521" s="1">
        <v>519.0</v>
      </c>
      <c r="B521" s="3" t="s">
        <v>522</v>
      </c>
      <c r="C521" s="3" t="str">
        <f>IFERROR(__xludf.DUMMYFUNCTION("GOOGLETRANSLATE(B521,""id"",""en"")"),"['already', 'complain', 'no', 'repost', 'until', 'buy', 'card', 'Telkomsel', 'cumn', 'card', 'old', 'slow', ' ehh ',' update ',' sophisticated ',' fast ',' satisfying ',' customers', 'mah', 'controversy', 'mulu', 'surprised', 'deh', '']")</f>
        <v>['already', 'complain', 'no', 'repost', 'until', 'buy', 'card', 'Telkomsel', 'cumn', 'card', 'old', 'slow', ' ehh ',' update ',' sophisticated ',' fast ',' satisfying ',' customers', 'mah', 'controversy', 'mulu', 'surprised', 'deh', '']</v>
      </c>
      <c r="D521" s="3">
        <v>2.0</v>
      </c>
    </row>
    <row r="522" ht="15.75" customHeight="1">
      <c r="A522" s="1">
        <v>520.0</v>
      </c>
      <c r="B522" s="3" t="s">
        <v>523</v>
      </c>
      <c r="C522" s="3" t="str">
        <f>IFERROR(__xludf.DUMMYFUNCTION("GOOGLETRANSLATE(B522,""id"",""en"")"),"['Lemot', 'Telkomsel', 'Nelfon', 'Kayak', 'Telkomsel', '']")</f>
        <v>['Lemot', 'Telkomsel', 'Nelfon', 'Kayak', 'Telkomsel', '']</v>
      </c>
      <c r="D522" s="3">
        <v>1.0</v>
      </c>
    </row>
    <row r="523" ht="15.75" customHeight="1">
      <c r="A523" s="1">
        <v>521.0</v>
      </c>
      <c r="B523" s="3" t="s">
        <v>524</v>
      </c>
      <c r="C523" s="3" t="str">
        <f>IFERROR(__xludf.DUMMYFUNCTION("GOOGLETRANSLATE(B523,""id"",""en"")"),"['Package', 'unlimited', 'telkom', 'package', 'data', 'run out', 'derived', 'speed', 'kbps',' kbps', 'mentok', 'kbps',' Even then ',' minutes', 'Nipu', 'Teroossss', ""]")</f>
        <v>['Package', 'unlimited', 'telkom', 'package', 'data', 'run out', 'derived', 'speed', 'kbps',' kbps', 'mentok', 'kbps',' Even then ',' minutes', 'Nipu', 'Teroossss', "]</v>
      </c>
      <c r="D523" s="3">
        <v>1.0</v>
      </c>
    </row>
    <row r="524" ht="15.75" customHeight="1">
      <c r="A524" s="1">
        <v>522.0</v>
      </c>
      <c r="B524" s="3" t="s">
        <v>525</v>
      </c>
      <c r="C524" s="3" t="str">
        <f>IFERROR(__xludf.DUMMYFUNCTION("GOOGLETRANSLATE(B524,""id"",""en"")"),"['WOI', 'Package', 'Combo', 'Sakti', 'ilang', 'already', 'Telkomsel', 'times',' package ',' missing ',' combo ',' Sakti ',' GB ',' Combo ',' Sakti ',' GB ',' Lost ',' ']")</f>
        <v>['WOI', 'Package', 'Combo', 'Sakti', 'ilang', 'already', 'Telkomsel', 'times',' package ',' missing ',' combo ',' Sakti ',' GB ',' Combo ',' Sakti ',' GB ',' Lost ',' ']</v>
      </c>
      <c r="D524" s="3">
        <v>1.0</v>
      </c>
    </row>
    <row r="525" ht="15.75" customHeight="1">
      <c r="A525" s="1">
        <v>523.0</v>
      </c>
      <c r="B525" s="3" t="s">
        <v>526</v>
      </c>
      <c r="C525" s="3" t="str">
        <f>IFERROR(__xludf.DUMMYFUNCTION("GOOGLETRANSLATE(B525,""id"",""en"")"),"['operator', 'Telkomsel', 'Dear', 'here', 'network', 'Telkomsel', 'ugly', 'network', 'full', 'use', 'internet', 'loading', ' ']")</f>
        <v>['operator', 'Telkomsel', 'Dear', 'here', 'network', 'Telkomsel', 'ugly', 'network', 'full', 'use', 'internet', 'loading', ' ']</v>
      </c>
      <c r="D525" s="3">
        <v>1.0</v>
      </c>
    </row>
    <row r="526" ht="15.75" customHeight="1">
      <c r="A526" s="1">
        <v>524.0</v>
      </c>
      <c r="B526" s="3" t="s">
        <v>527</v>
      </c>
      <c r="C526" s="3" t="str">
        <f>IFERROR(__xludf.DUMMYFUNCTION("GOOGLETRANSLATE(B526,""id"",""en"")"),"['application', 'bad', 'see', 'quota', 'doank', 'price', 'expensive', 'ad', 'mulu', 'login', 'complicated', 'really', ' Auto ',' Logout ',' LoginLagi ',' Ribet ',' SMS ',' Etc. ',' SMS ',' get ',' Pay ',' Severe ', ""]")</f>
        <v>['application', 'bad', 'see', 'quota', 'doank', 'price', 'expensive', 'ad', 'mulu', 'login', 'complicated', 'really', ' Auto ',' Logout ',' LoginLagi ',' Ribet ',' SMS ',' Etc. ',' SMS ',' get ',' Pay ',' Severe ', "]</v>
      </c>
      <c r="D526" s="3">
        <v>1.0</v>
      </c>
    </row>
    <row r="527" ht="15.75" customHeight="1">
      <c r="A527" s="1">
        <v>525.0</v>
      </c>
      <c r="B527" s="3" t="s">
        <v>528</v>
      </c>
      <c r="C527" s="3" t="str">
        <f>IFERROR(__xludf.DUMMYFUNCTION("GOOGLETRANSLATE(B527,""id"",""en"")"),"['Faithful', 'Wear', 'Card', 'Telkomsel', 'BLM', 'Win', 'Lottery', 'Points',' Bismillah ',' Hopefully ',' Opportunity ',' Kaliini ',' Rezqi ',' Lottery ',' Points', 'Priode', '']")</f>
        <v>['Faithful', 'Wear', 'Card', 'Telkomsel', 'BLM', 'Win', 'Lottery', 'Points',' Bismillah ',' Hopefully ',' Opportunity ',' Kaliini ',' Rezqi ',' Lottery ',' Points', 'Priode', '']</v>
      </c>
      <c r="D527" s="3">
        <v>5.0</v>
      </c>
    </row>
    <row r="528" ht="15.75" customHeight="1">
      <c r="A528" s="1">
        <v>526.0</v>
      </c>
      <c r="B528" s="3" t="s">
        <v>529</v>
      </c>
      <c r="C528" s="3" t="str">
        <f>IFERROR(__xludf.DUMMYFUNCTION("GOOGLETRANSLATE(B528,""id"",""en"")"),"['Wherever', 'Telkomsel', 'network', 'strongest', 'accompany me', 'dozens', 'loyal', 'darling', 'wasteful', 'hehehehe', 'Telkomsel', ""]")</f>
        <v>['Wherever', 'Telkomsel', 'network', 'strongest', 'accompany me', 'dozens', 'loyal', 'darling', 'wasteful', 'hehehehe', 'Telkomsel', "]</v>
      </c>
      <c r="D528" s="3">
        <v>5.0</v>
      </c>
    </row>
    <row r="529" ht="15.75" customHeight="1">
      <c r="A529" s="1">
        <v>527.0</v>
      </c>
      <c r="B529" s="3" t="s">
        <v>530</v>
      </c>
      <c r="C529" s="3" t="str">
        <f>IFERROR(__xludf.DUMMYFUNCTION("GOOGLETRANSLATE(B529,""id"",""en"")"),"['card', 'SIM', 'promo', 'package', 'internet', 'cheap', 'different', 'card', 'SIM', 'friend', 'choose', 'love', ' Use ',' Telkomsel ',' Check ',' ']")</f>
        <v>['card', 'SIM', 'promo', 'package', 'internet', 'cheap', 'different', 'card', 'SIM', 'friend', 'choose', 'love', ' Use ',' Telkomsel ',' Check ',' ']</v>
      </c>
      <c r="D529" s="3">
        <v>1.0</v>
      </c>
    </row>
    <row r="530" ht="15.75" customHeight="1">
      <c r="A530" s="1">
        <v>528.0</v>
      </c>
      <c r="B530" s="3" t="s">
        <v>531</v>
      </c>
      <c r="C530" s="3" t="str">
        <f>IFERROR(__xludf.DUMMYFUNCTION("GOOGLETRANSLATE(B530,""id"",""en"")"),"['Exchange', 'Points',' Lottery ',' Collective ',' Direct ',' Determined ',' exchanged ',' by one ',' Not bad ',' eat ',' exchange ',' points', ' thank you', '']")</f>
        <v>['Exchange', 'Points',' Lottery ',' Collective ',' Direct ',' Determined ',' exchanged ',' by one ',' Not bad ',' eat ',' exchange ',' points', ' thank you', '']</v>
      </c>
      <c r="D530" s="3">
        <v>5.0</v>
      </c>
    </row>
    <row r="531" ht="15.75" customHeight="1">
      <c r="A531" s="1">
        <v>529.0</v>
      </c>
      <c r="B531" s="3" t="s">
        <v>532</v>
      </c>
      <c r="C531" s="3" t="str">
        <f>IFERROR(__xludf.DUMMYFUNCTION("GOOGLETRANSLATE(B531,""id"",""en"")"),"['access',' veryttt ',' lemoooooootttt ',' enter ',' page ',' Home ',' application ',' hrs', 'waiting', 'minute', 'page', 'veranda', ' HRS ',' Wait ',' choose ',' menu ',' ngelag ',' really ', ""]")</f>
        <v>['access',' veryttt ',' lemoooooootttt ',' enter ',' page ',' Home ',' application ',' hrs', 'waiting', 'minute', 'page', 'veranda', ' HRS ',' Wait ',' choose ',' menu ',' ngelag ',' really ', "]</v>
      </c>
      <c r="D531" s="3">
        <v>3.0</v>
      </c>
    </row>
    <row r="532" ht="15.75" customHeight="1">
      <c r="A532" s="1">
        <v>530.0</v>
      </c>
      <c r="B532" s="3" t="s">
        <v>533</v>
      </c>
      <c r="C532" s="3" t="str">
        <f>IFERROR(__xludf.DUMMYFUNCTION("GOOGLETRANSLATE(B532,""id"",""en"")"),"['skrg', 'gopay', 'method', 'payment', 'bug', 'gopay', 'apply', ""]")</f>
        <v>['skrg', 'gopay', 'method', 'payment', 'bug', 'gopay', 'apply', "]</v>
      </c>
      <c r="D532" s="3">
        <v>4.0</v>
      </c>
    </row>
    <row r="533" ht="15.75" customHeight="1">
      <c r="A533" s="1">
        <v>531.0</v>
      </c>
      <c r="B533" s="3" t="s">
        <v>534</v>
      </c>
      <c r="C533" s="3" t="str">
        <f>IFERROR(__xludf.DUMMYFUNCTION("GOOGLETRANSLATE(B533,""id"",""en"")"),"['', 'Customer', 'Telkomsel', 'itungan', 'yrs',' udh ',' yrs', 'disappointed', 'fill', 'quota', 'via', 'APK', 'fill ',' Credit ',' right ',' Open ',' APK ',' Direct ',' Cut ',' AGT ',' Nursing ',' Buy ',' Credit ',' Rb ',' Rb ', 'Total', 'RB', 'quota', 'C"&amp;"OMB', 'Sakti', 'GB', 'right', 'Open', 'APK', 'Credit', 'fast', 'crazy', 'Kayak ',' Racing ',' Gini ',' Disappointed ',' System ',' Service ',' SPT ']")</f>
        <v>['', 'Customer', 'Telkomsel', 'itungan', 'yrs',' udh ',' yrs', 'disappointed', 'fill', 'quota', 'via', 'APK', 'fill ',' Credit ',' right ',' Open ',' APK ',' Direct ',' Cut ',' AGT ',' Nursing ',' Buy ',' Credit ',' Rb ',' Rb ', 'Total', 'RB', 'quota', 'COMB', 'Sakti', 'GB', 'right', 'Open', 'APK', 'Credit', 'fast', 'crazy', 'Kayak ',' Racing ',' Gini ',' Disappointed ',' System ',' Service ',' SPT ']</v>
      </c>
      <c r="D533" s="3">
        <v>1.0</v>
      </c>
    </row>
    <row r="534" ht="15.75" customHeight="1">
      <c r="A534" s="1">
        <v>532.0</v>
      </c>
      <c r="B534" s="3" t="s">
        <v>535</v>
      </c>
      <c r="C534" s="3" t="str">
        <f>IFERROR(__xludf.DUMMYFUNCTION("GOOGLETRANSLATE(B534,""id"",""en"")"),"['Severe', 'users',' loyal ',' sympathy ',' dozens', 'packages',' internet ',' expensive ',' compared ',' competitors', 'Telkomsel', 'Different', ' Type ',' card ',' Different ',' price ',' phone ',' internet ',' active ',' change ',' card ',' number ',' "&amp;"accept ',' phone ',' ok ' , 'Signal', 'Full', 'rich', 'era', 'signal', 'Full', 'Internet', 'telephone', 'smooth', 'signal', 'Full', 'slow', ' Severe ',' really ',' device ',' poco ',' nfc ']")</f>
        <v>['Severe', 'users',' loyal ',' sympathy ',' dozens', 'packages',' internet ',' expensive ',' compared ',' competitors', 'Telkomsel', 'Different', ' Type ',' card ',' Different ',' price ',' phone ',' internet ',' active ',' change ',' card ',' number ',' accept ',' phone ',' ok ' , 'Signal', 'Full', 'rich', 'era', 'signal', 'Full', 'Internet', 'telephone', 'smooth', 'signal', 'Full', 'slow', ' Severe ',' really ',' device ',' poco ',' nfc ']</v>
      </c>
      <c r="D534" s="3">
        <v>1.0</v>
      </c>
    </row>
    <row r="535" ht="15.75" customHeight="1">
      <c r="A535" s="1">
        <v>533.0</v>
      </c>
      <c r="B535" s="3" t="s">
        <v>536</v>
      </c>
      <c r="C535" s="3" t="str">
        <f>IFERROR(__xludf.DUMMYFUNCTION("GOOGLETRANSLATE(B535,""id"",""en"")"),"['love', 'judgment', 'ugly', 'upset', 'contents',' pulse ',' sumps', 'direct', 'run out', 'pulse', 'data', 'internet', ' Matiin ',' use ',' houspot ',' wifi ',' disappointed ',' Telkomsel ']")</f>
        <v>['love', 'judgment', 'ugly', 'upset', 'contents',' pulse ',' sumps', 'direct', 'run out', 'pulse', 'data', 'internet', ' Matiin ',' use ',' houspot ',' wifi ',' disappointed ',' Telkomsel ']</v>
      </c>
      <c r="D535" s="3">
        <v>1.0</v>
      </c>
    </row>
    <row r="536" ht="15.75" customHeight="1">
      <c r="A536" s="1">
        <v>534.0</v>
      </c>
      <c r="B536" s="3" t="s">
        <v>537</v>
      </c>
      <c r="C536" s="3" t="str">
        <f>IFERROR(__xludf.DUMMYFUNCTION("GOOGLETRANSLATE(B536,""id"",""en"")"),"['', 'application', 'his writing', 'unlimited', 'price', 'thousand', 'pulse', 'thousand', 'right', 'list', 'sms',' pulse ',' understand ',' Cave ',' Telkomsel ',' Develop ',' Application ',' Update ',' Price ',' Latest ',' Mending ',' Disconnect ',' Contr"&amp;"act ',' Search ',' Child ', 'Internship', 'deft', 'it seems']")</f>
        <v>['', 'application', 'his writing', 'unlimited', 'price', 'thousand', 'pulse', 'thousand', 'right', 'list', 'sms',' pulse ',' understand ',' Cave ',' Telkomsel ',' Develop ',' Application ',' Update ',' Price ',' Latest ',' Mending ',' Disconnect ',' Contract ',' Search ',' Child ', 'Internship', 'deft', 'it seems']</v>
      </c>
      <c r="D536" s="3">
        <v>1.0</v>
      </c>
    </row>
    <row r="537" ht="15.75" customHeight="1">
      <c r="A537" s="1">
        <v>535.0</v>
      </c>
      <c r="B537" s="3" t="s">
        <v>538</v>
      </c>
      <c r="C537" s="3" t="str">
        <f>IFERROR(__xludf.DUMMYFUNCTION("GOOGLETRANSLATE(B537,""id"",""en"")"),"['purchase', 'package', 'easy', 'description', 'package', 'understandable', 'promo', 'multiplied', 'package', 'internet', 'application', 'sosmed', ' held', '']")</f>
        <v>['purchase', 'package', 'easy', 'description', 'package', 'understandable', 'promo', 'multiplied', 'package', 'internet', 'application', 'sosmed', ' held', '']</v>
      </c>
      <c r="D537" s="3">
        <v>5.0</v>
      </c>
    </row>
    <row r="538" ht="15.75" customHeight="1">
      <c r="A538" s="1">
        <v>536.0</v>
      </c>
      <c r="B538" s="3" t="s">
        <v>539</v>
      </c>
      <c r="C538" s="3" t="str">
        <f>IFERROR(__xludf.DUMMYFUNCTION("GOOGLETRANSLATE(B538,""id"",""en"")"),"['Dear', 'Telkomsel', 'Please', 'repaired', 'The network', 'Pay', 'expensive', 'expensive', 'obtained', 'satisfying', 'use', 'Telkomsel', ' The era ',' Prepaid ',' Sampe ',' Post ',' Pay ',' Haduuuh ',' Network ',' Severe ',' Bener ',' Play ',' Game ',' M"&amp;"obile ',' Legend ' , 'ping', 'network', 'get', 'outside', 'home', 'play', 'Please', 'repaired', 'thank', 'love', ""]")</f>
        <v>['Dear', 'Telkomsel', 'Please', 'repaired', 'The network', 'Pay', 'expensive', 'expensive', 'obtained', 'satisfying', 'use', 'Telkomsel', ' The era ',' Prepaid ',' Sampe ',' Post ',' Pay ',' Haduuuh ',' Network ',' Severe ',' Bener ',' Play ',' Game ',' Mobile ',' Legend ' , 'ping', 'network', 'get', 'outside', 'home', 'play', 'Please', 'repaired', 'thank', 'love', "]</v>
      </c>
      <c r="D538" s="3">
        <v>5.0</v>
      </c>
    </row>
    <row r="539" ht="15.75" customHeight="1">
      <c r="A539" s="1">
        <v>537.0</v>
      </c>
      <c r="B539" s="3" t="s">
        <v>540</v>
      </c>
      <c r="C539" s="3" t="str">
        <f>IFERROR(__xludf.DUMMYFUNCTION("GOOGLETRANSLATE(B539,""id"",""en"")"),"['signal', 'missing', 'buy', 'package', 'self-help', 'free', 'minute', 'operator', '']")</f>
        <v>['signal', 'missing', 'buy', 'package', 'self-help', 'free', 'minute', 'operator', '']</v>
      </c>
      <c r="D539" s="3">
        <v>1.0</v>
      </c>
    </row>
    <row r="540" ht="15.75" customHeight="1">
      <c r="A540" s="1">
        <v>538.0</v>
      </c>
      <c r="B540" s="3" t="s">
        <v>541</v>
      </c>
      <c r="C540" s="3" t="str">
        <f>IFERROR(__xludf.DUMMYFUNCTION("GOOGLETRANSLATE(B540,""id"",""en"")"),"['sympathy', 'price', 'package', 'OMG', 'GB', 'RB', 'friend', 'OMG', 'GB', 'RB', 'fair', 'really', ' Telkomsel ',' Consumer ',' Leave ',' Telkomsel ',' Kek ',' Gini ',' Thanks', ""]")</f>
        <v>['sympathy', 'price', 'package', 'OMG', 'GB', 'RB', 'friend', 'OMG', 'GB', 'RB', 'fair', 'really', ' Telkomsel ',' Consumer ',' Leave ',' Telkomsel ',' Kek ',' Gini ',' Thanks', "]</v>
      </c>
      <c r="D540" s="3">
        <v>1.0</v>
      </c>
    </row>
    <row r="541" ht="15.75" customHeight="1">
      <c r="A541" s="1">
        <v>539.0</v>
      </c>
      <c r="B541" s="3" t="s">
        <v>542</v>
      </c>
      <c r="C541" s="3" t="str">
        <f>IFERROR(__xludf.DUMMYFUNCTION("GOOGLETRANSLATE(B541,""id"",""en"")"),"['married', 'wife', 'Diem', 'village', 'wife', 'banjaran', 'kab', 'bandung', 'signal', 'sympathy', 'good', 'severe', ' really ',' please ',' Telkomsel ',' noticed ',' Pantes', 'village', 'population', 'thousands',' users', 'telkomsel', 'just', 'mountains'"&amp;",' forest ' , 'critical', '']")</f>
        <v>['married', 'wife', 'Diem', 'village', 'wife', 'banjaran', 'kab', 'bandung', 'signal', 'sympathy', 'good', 'severe', ' really ',' please ',' Telkomsel ',' noticed ',' Pantes', 'village', 'population', 'thousands',' users', 'telkomsel', 'just', 'mountains',' forest ' , 'critical', '']</v>
      </c>
      <c r="D541" s="3">
        <v>1.0</v>
      </c>
    </row>
    <row r="542" ht="15.75" customHeight="1">
      <c r="A542" s="1">
        <v>540.0</v>
      </c>
      <c r="B542" s="3" t="s">
        <v>543</v>
      </c>
      <c r="C542" s="3" t="str">
        <f>IFERROR(__xludf.DUMMYFUNCTION("GOOGLETRANSLATE(B542,""id"",""en"")"),"['Telkomsel', 'network', 'ugly', 'parahhh', 'sllu', 'broke', 'kya', 'kebon', 'ilang', 'then', 'change', 'high school', ' Prcuma ',' boyar ',' TPI ',' BWT ',' Disappointed ',' UDH ',' PART ',' TPI ',' TPI ',' Signal ',' ugly ',' Emotion ',' Udh ' , 'Ngadu'"&amp;", 'network', 'ugly', 'bnyak', 'love', 'TPI', 'bgtu', 'kya', 'response', 'high school', 'please', ' Fix ',' Network ',' told ',' Chat ',' Amail ',' Telkomsel ',' DSNI ',' complaint ',' Change ',' Krtu ',' BNI ',' then ']")</f>
        <v>['Telkomsel', 'network', 'ugly', 'parahhh', 'sllu', 'broke', 'kya', 'kebon', 'ilang', 'then', 'change', 'high school', ' Prcuma ',' boyar ',' TPI ',' BWT ',' Disappointed ',' UDH ',' PART ',' TPI ',' TPI ',' Signal ',' ugly ',' Emotion ',' Udh ' , 'Ngadu', 'network', 'ugly', 'bnyak', 'love', 'TPI', 'bgtu', 'kya', 'response', 'high school', 'please', ' Fix ',' Network ',' told ',' Chat ',' Amail ',' Telkomsel ',' DSNI ',' complaint ',' Change ',' Krtu ',' BNI ',' then ']</v>
      </c>
      <c r="D542" s="3">
        <v>1.0</v>
      </c>
    </row>
    <row r="543" ht="15.75" customHeight="1">
      <c r="A543" s="1">
        <v>541.0</v>
      </c>
      <c r="B543" s="3" t="s">
        <v>544</v>
      </c>
      <c r="C543" s="3" t="str">
        <f>IFERROR(__xludf.DUMMYFUNCTION("GOOGLETRANSLATE(B543,""id"",""en"")"),"['Packagein', 'UDH', 'BNGT', 'Notification', 'SMS', 'Iming', 'Package', 'Cheap', 'Sorry', 'Delicious',' Use ',' Package ',' Next to ',' price ',' RB ',' DPT ',' quota ',' GB ',' connection ',' smooth ',' Jaya ',' use ',' Telkomsel ',' Rb ',' can ' , 'GB',"&amp;" 'UDH', 'That's',' really ',' signal ',' internet ',' JDI ',' slow ',' use ',' card ',' Telkomsel ',' age ',' Thinking ',' buy ',' Package ',' Telkomsel ',' ']")</f>
        <v>['Packagein', 'UDH', 'BNGT', 'Notification', 'SMS', 'Iming', 'Package', 'Cheap', 'Sorry', 'Delicious',' Use ',' Package ',' Next to ',' price ',' RB ',' DPT ',' quota ',' GB ',' connection ',' smooth ',' Jaya ',' use ',' Telkomsel ',' Rb ',' can ' , 'GB', 'UDH', 'That's',' really ',' signal ',' internet ',' JDI ',' slow ',' use ',' card ',' Telkomsel ',' age ',' Thinking ',' buy ',' Package ',' Telkomsel ',' ']</v>
      </c>
      <c r="D543" s="3">
        <v>1.0</v>
      </c>
    </row>
    <row r="544" ht="15.75" customHeight="1">
      <c r="A544" s="1">
        <v>542.0</v>
      </c>
      <c r="B544" s="3" t="s">
        <v>545</v>
      </c>
      <c r="C544" s="3" t="str">
        <f>IFERROR(__xludf.DUMMYFUNCTION("GOOGLETRANSLATE(B544,""id"",""en"")"),"['Disappointed', 'Very', 'Telkomsel', 'number', 'active', 'Block', 'Heaheehhh', 'Bener', 'Bener', 'Disappointed', 'really', 'Kapok', ' Telkomsel ']")</f>
        <v>['Disappointed', 'Very', 'Telkomsel', 'number', 'active', 'Block', 'Heaheehhh', 'Bener', 'Bener', 'Disappointed', 'really', 'Kapok', ' Telkomsel ']</v>
      </c>
      <c r="D544" s="3">
        <v>1.0</v>
      </c>
    </row>
    <row r="545" ht="15.75" customHeight="1">
      <c r="A545" s="1">
        <v>543.0</v>
      </c>
      <c r="B545" s="3" t="s">
        <v>546</v>
      </c>
      <c r="C545" s="3" t="str">
        <f>IFERROR(__xludf.DUMMYFUNCTION("GOOGLETRANSLATE(B545,""id"",""en"")"),"['BBRP', 'network', 'super', 'slow', 'little', 'mulu', 'event', 'block', 'site', 'halah', '']")</f>
        <v>['BBRP', 'network', 'super', 'slow', 'little', 'mulu', 'event', 'block', 'site', 'halah', '']</v>
      </c>
      <c r="D545" s="3">
        <v>1.0</v>
      </c>
    </row>
    <row r="546" ht="15.75" customHeight="1">
      <c r="A546" s="1">
        <v>544.0</v>
      </c>
      <c r="B546" s="3" t="s">
        <v>547</v>
      </c>
      <c r="C546" s="3" t="str">
        <f>IFERROR(__xludf.DUMMYFUNCTION("GOOGLETRANSLATE(B546,""id"",""en"")"),"['Network', 'Ngeleg', 'Hayu', 'Boong', 'Emang', 'Bner', 'Ngellag', 'Error', 'The Network']")</f>
        <v>['Network', 'Ngeleg', 'Hayu', 'Boong', 'Emang', 'Bner', 'Ngellag', 'Error', 'The Network']</v>
      </c>
      <c r="D546" s="3">
        <v>1.0</v>
      </c>
    </row>
    <row r="547" ht="15.75" customHeight="1">
      <c r="A547" s="1">
        <v>545.0</v>
      </c>
      <c r="B547" s="3" t="s">
        <v>548</v>
      </c>
      <c r="C547" s="3" t="str">
        <f>IFERROR(__xludf.DUMMYFUNCTION("GOOGLETRANSLATE(B547,""id"",""en"")"),"['Tlong', 'JNG', 'Update', 'Application', 'Broo', 'Network', 'Please', 'Update', 'Swamp', 'Bojong', 'Gede', 'ugly', ' Package ',' Swadaya ',' RB ',' smooth ',' turn ',' PKE ',' PKET ',' Unlimited ',' RB ',' KNP ',' Slow ',' Severe ',' Severe ' , 'critical"&amp;"', '']")</f>
        <v>['Tlong', 'JNG', 'Update', 'Application', 'Broo', 'Network', 'Please', 'Update', 'Swamp', 'Bojong', 'Gede', 'ugly', ' Package ',' Swadaya ',' RB ',' smooth ',' turn ',' PKE ',' PKET ',' Unlimited ',' RB ',' KNP ',' Slow ',' Severe ',' Severe ' , 'critical', '']</v>
      </c>
      <c r="D547" s="3">
        <v>1.0</v>
      </c>
    </row>
    <row r="548" ht="15.75" customHeight="1">
      <c r="A548" s="1">
        <v>546.0</v>
      </c>
      <c r="B548" s="3" t="s">
        <v>549</v>
      </c>
      <c r="C548" s="3" t="str">
        <f>IFERROR(__xludf.DUMMYFUNCTION("GOOGLETRANSLATE(B548,""id"",""en"")"),"['Telkomsel', 'at the time', 'rain', 'signal', 'like', 'ilang', 'difficult', 'signal', 'overall', 'Telkomsel', 'gave', 'lightness',' Sambenguna ',' Stlah ',' Download ',' App ',' Check ',' Like ',' Win ',' Quota ',' Giga ',' Byte ',' Not bad ',' Check ','"&amp;" APP ' , 'Telkomsel', 'The', 'Best']")</f>
        <v>['Telkomsel', 'at the time', 'rain', 'signal', 'like', 'ilang', 'difficult', 'signal', 'overall', 'Telkomsel', 'gave', 'lightness',' Sambenguna ',' Stlah ',' Download ',' App ',' Check ',' Like ',' Win ',' Quota ',' Giga ',' Byte ',' Not bad ',' Check ',' APP ' , 'Telkomsel', 'The', 'Best']</v>
      </c>
      <c r="D548" s="3">
        <v>5.0</v>
      </c>
    </row>
    <row r="549" ht="15.75" customHeight="1">
      <c r="A549" s="1">
        <v>547.0</v>
      </c>
      <c r="B549" s="3" t="s">
        <v>550</v>
      </c>
      <c r="C549" s="3" t="str">
        <f>IFERROR(__xludf.DUMMYFUNCTION("GOOGLETRANSLATE(B549,""id"",""en"")"),"['poor', 'Telkomsel', 'package', 'expensive', 'signal', 'slow', 'net', 'missing', 'mending', 'like', 'gini', 'Telkomsel', ' signal ',' mna ',' okay ',' slow ',' kayak ',' gini ']")</f>
        <v>['poor', 'Telkomsel', 'package', 'expensive', 'signal', 'slow', 'net', 'missing', 'mending', 'like', 'gini', 'Telkomsel', ' signal ',' mna ',' okay ',' slow ',' kayak ',' gini ']</v>
      </c>
      <c r="D549" s="3">
        <v>4.0</v>
      </c>
    </row>
    <row r="550" ht="15.75" customHeight="1">
      <c r="A550" s="1">
        <v>548.0</v>
      </c>
      <c r="B550" s="3" t="s">
        <v>551</v>
      </c>
      <c r="C550" s="3" t="str">
        <f>IFERROR(__xludf.DUMMYFUNCTION("GOOGLETRANSLATE(B550,""id"",""en"")"),"['Operator', 'speed', 'Telkomsel', 'slow', 'Season', 'play', 'game', 'network', 'setabilia', 'manteng', 'please', 'Increase', ' Service ',' ']")</f>
        <v>['Operator', 'speed', 'Telkomsel', 'slow', 'Season', 'play', 'game', 'network', 'setabilia', 'manteng', 'please', 'Increase', ' Service ',' ']</v>
      </c>
      <c r="D550" s="3">
        <v>1.0</v>
      </c>
    </row>
    <row r="551" ht="15.75" customHeight="1">
      <c r="A551" s="1">
        <v>549.0</v>
      </c>
      <c r="B551" s="3" t="s">
        <v>552</v>
      </c>
      <c r="C551" s="3" t="str">
        <f>IFERROR(__xludf.DUMMYFUNCTION("GOOGLETRANSLATE(B551,""id"",""en"")"),"['fatal', 'fatal', 'app', 'solution', 'except', 'wifian', 'buy', 'package', 'data', 'via', 'app', 'package', ' Data ',' run out ',' buy ',' via ',' application ',' sometimes', 'sometimes',' ngeselin ',' the application ',' where ',' buy ',' package ',' fa"&amp;"il ' , 'processed', 'payment', 'pulse', 'sufficient', 'turn', 'ask', 'Vero', 'core', 'answer', 'tried', 'reviews',' edition ',' Update ',' App ',' ']")</f>
        <v>['fatal', 'fatal', 'app', 'solution', 'except', 'wifian', 'buy', 'package', 'data', 'via', 'app', 'package', ' Data ',' run out ',' buy ',' via ',' application ',' sometimes', 'sometimes',' ngeselin ',' the application ',' where ',' buy ',' package ',' fail ' , 'processed', 'payment', 'pulse', 'sufficient', 'turn', 'ask', 'Vero', 'core', 'answer', 'tried', 'reviews',' edition ',' Update ',' App ',' ']</v>
      </c>
      <c r="D551" s="3">
        <v>3.0</v>
      </c>
    </row>
    <row r="552" ht="15.75" customHeight="1">
      <c r="A552" s="1">
        <v>550.0</v>
      </c>
      <c r="B552" s="3" t="s">
        <v>553</v>
      </c>
      <c r="C552" s="3" t="str">
        <f>IFERROR(__xludf.DUMMYFUNCTION("GOOGLETRANSLATE(B552,""id"",""en"")"),"['use', 'package', 'combo', 'giga', 'minute', 'talk', 'package', 'internet', 'talk', 'minute', 'bought', 'price', ' package ',' talk ',' minutes', 'number', 'minutes',' bonus', 'package', 'talk', 'reduced', 'disappointed']")</f>
        <v>['use', 'package', 'combo', 'giga', 'minute', 'talk', 'package', 'internet', 'talk', 'minute', 'bought', 'price', ' package ',' talk ',' minutes', 'number', 'minutes',' bonus', 'package', 'talk', 'reduced', 'disappointed']</v>
      </c>
      <c r="D552" s="3">
        <v>1.0</v>
      </c>
    </row>
    <row r="553" ht="15.75" customHeight="1">
      <c r="A553" s="1">
        <v>551.0</v>
      </c>
      <c r="B553" s="3" t="s">
        <v>554</v>
      </c>
      <c r="C553" s="3" t="str">
        <f>IFERROR(__xludf.DUMMYFUNCTION("GOOGLETRANSLATE(B553,""id"",""en"")"),"['Disappointed', 'update', 'Loading', 'so', 'edit', 'August', 'Good', 'Job', 'star', 'Telkomsel', 'responsive', 'elegant', ' Classy ',' like ',' ']")</f>
        <v>['Disappointed', 'update', 'Loading', 'so', 'edit', 'August', 'Good', 'Job', 'star', 'Telkomsel', 'responsive', 'elegant', ' Classy ',' like ',' ']</v>
      </c>
      <c r="D553" s="3">
        <v>5.0</v>
      </c>
    </row>
    <row r="554" ht="15.75" customHeight="1">
      <c r="A554" s="1">
        <v>552.0</v>
      </c>
      <c r="B554" s="3" t="s">
        <v>555</v>
      </c>
      <c r="C554" s="3" t="str">
        <f>IFERROR(__xludf.DUMMYFUNCTION("GOOGLETRANSLATE(B554,""id"",""en"")"),"['Telkomsel', 'lock', 'pulse', 'no', 'sumps',' data ',' package ',' data ',' run out ',' time ',' limit ',' really ',' annoying ',' package ',' data ',' run out ',' fit ',' morning ',' check ',' pulse ',' sumps', 'run out', 'repaired', 'base', ""]")</f>
        <v>['Telkomsel', 'lock', 'pulse', 'no', 'sumps',' data ',' package ',' data ',' run out ',' time ',' limit ',' really ',' annoying ',' package ',' data ',' run out ',' fit ',' morning ',' check ',' pulse ',' sumps', 'run out', 'repaired', 'base', "]</v>
      </c>
      <c r="D554" s="3">
        <v>3.0</v>
      </c>
    </row>
    <row r="555" ht="15.75" customHeight="1">
      <c r="A555" s="1">
        <v>553.0</v>
      </c>
      <c r="B555" s="3" t="s">
        <v>556</v>
      </c>
      <c r="C555" s="3" t="str">
        <f>IFERROR(__xludf.DUMMYFUNCTION("GOOGLETRANSLATE(B555,""id"",""en"")"),"['basted', 'Kanapa', 'village', 'village', 'kouta', 'main', 'ngak', 'buy', 'makassar', 'kouta', 'the network', 'slow', ' Telkomsel ',' KNPA ',' Loss', 'Sya', 'buy', 'Kouta', 'Sia', 'ngak', 'use', 'loss',' please ',' fix ',' kouta ' , 'main', 'use', 'area'"&amp;", 'Indonesia', 'Kasi', 'star', 'because', 'exciting', 'the card', 'delicious', ""]")</f>
        <v>['basted', 'Kanapa', 'village', 'village', 'kouta', 'main', 'ngak', 'buy', 'makassar', 'kouta', 'the network', 'slow', ' Telkomsel ',' KNPA ',' Loss', 'Sya', 'buy', 'Kouta', 'Sia', 'ngak', 'use', 'loss',' please ',' fix ',' kouta ' , 'main', 'use', 'area', 'Indonesia', 'Kasi', 'star', 'because', 'exciting', 'the card', 'delicious', "]</v>
      </c>
      <c r="D555" s="3">
        <v>5.0</v>
      </c>
    </row>
    <row r="556" ht="15.75" customHeight="1">
      <c r="A556" s="1">
        <v>554.0</v>
      </c>
      <c r="B556" s="3" t="s">
        <v>557</v>
      </c>
      <c r="C556" s="3" t="str">
        <f>IFERROR(__xludf.DUMMYFUNCTION("GOOGLETRANSLATE(B556,""id"",""en"")"),"['Try', 'buy', 'combo', 'Sakti', 'expensive', 'slow', 'forgiveness',' capital ',' interesting ',' quota ',' signal ',' severe ',' Really ',' Worth ',' Worth '' ']")</f>
        <v>['Try', 'buy', 'combo', 'Sakti', 'expensive', 'slow', 'forgiveness',' capital ',' interesting ',' quota ',' signal ',' severe ',' Really ',' Worth ',' Worth '' ']</v>
      </c>
      <c r="D556" s="3">
        <v>1.0</v>
      </c>
    </row>
    <row r="557" ht="15.75" customHeight="1">
      <c r="A557" s="1">
        <v>555.0</v>
      </c>
      <c r="B557" s="3" t="s">
        <v>558</v>
      </c>
      <c r="C557" s="3" t="str">
        <f>IFERROR(__xludf.DUMMYFUNCTION("GOOGLETRANSLATE(B557,""id"",""en"")"),"['Provider', 'Bad', 'Fraudster', 'Customer', 'Sorry', 'Wear', 'Telkomsel', 'Hello', 'Beginned', 'Say "",' Appreciation ',' Customer ',' end ',' limit ',' customer ',' bad ']")</f>
        <v>['Provider', 'Bad', 'Fraudster', 'Customer', 'Sorry', 'Wear', 'Telkomsel', 'Hello', 'Beginned', 'Say ",' Appreciation ',' Customer ',' end ',' limit ',' customer ',' bad ']</v>
      </c>
      <c r="D557" s="3">
        <v>1.0</v>
      </c>
    </row>
    <row r="558" ht="15.75" customHeight="1">
      <c r="A558" s="1">
        <v>556.0</v>
      </c>
      <c r="B558" s="3" t="s">
        <v>559</v>
      </c>
      <c r="C558" s="3" t="str">
        <f>IFERROR(__xludf.DUMMYFUNCTION("GOOGLETRANSLATE(B558,""id"",""en"")"),"['Telkomsel', 'here', 'severe', 'signal', 'missing', 'mentang', 'mentang', 'area', 'rural', 'prioritized', 'in the city', 'disappointing', ' blackouts', 'electricity', 'all day', 'signal', 'zero', 'rotate', 'video', 'youtube', 'send', 'difficult', 'operat"&amp;"or', 'fortunately', 'doang' , 'service', 'nihil', 'poor']")</f>
        <v>['Telkomsel', 'here', 'severe', 'signal', 'missing', 'mentang', 'mentang', 'area', 'rural', 'prioritized', 'in the city', 'disappointing', ' blackouts', 'electricity', 'all day', 'signal', 'zero', 'rotate', 'video', 'youtube', 'send', 'difficult', 'operator', 'fortunately', 'doang' , 'service', 'nihil', 'poor']</v>
      </c>
      <c r="D558" s="3">
        <v>2.0</v>
      </c>
    </row>
    <row r="559" ht="15.75" customHeight="1">
      <c r="A559" s="1">
        <v>557.0</v>
      </c>
      <c r="B559" s="3" t="s">
        <v>560</v>
      </c>
      <c r="C559" s="3" t="str">
        <f>IFERROR(__xludf.DUMMYFUNCTION("GOOGLETRANSLATE(B559,""id"",""en"")"),"['', 'suggest', 'residents',' village ',' use ',' Telkomsel ',' signal ',' cheats', 'beam', 'package', 'expensive', 'expensive', 'Mending ',' use ',' card ',' hope ',' loss', 'use', 'Telkomsel', 'stop', ""]")</f>
        <v>['', 'suggest', 'residents',' village ',' use ',' Telkomsel ',' signal ',' cheats', 'beam', 'package', 'expensive', 'expensive', 'Mending ',' use ',' card ',' hope ',' loss', 'use', 'Telkomsel', 'stop', "]</v>
      </c>
      <c r="D559" s="3">
        <v>1.0</v>
      </c>
    </row>
    <row r="560" ht="15.75" customHeight="1">
      <c r="A560" s="1">
        <v>558.0</v>
      </c>
      <c r="B560" s="3" t="s">
        <v>561</v>
      </c>
      <c r="C560" s="3" t="str">
        <f>IFERROR(__xludf.DUMMYFUNCTION("GOOGLETRANSLATE(B560,""id"",""en"")"),"['buy', 'Package', 'Telkomsel', 'Constraints', 'System', 'Busy', 'Processure', 'Love', 'Star']")</f>
        <v>['buy', 'Package', 'Telkomsel', 'Constraints', 'System', 'Busy', 'Processure', 'Love', 'Star']</v>
      </c>
      <c r="D560" s="3">
        <v>1.0</v>
      </c>
    </row>
    <row r="561" ht="15.75" customHeight="1">
      <c r="A561" s="1">
        <v>559.0</v>
      </c>
      <c r="B561" s="3" t="s">
        <v>562</v>
      </c>
      <c r="C561" s="3" t="str">
        <f>IFERROR(__xludf.DUMMYFUNCTION("GOOGLETRANSLATE(B561,""id"",""en"")"),"['Buy', 'Package', 'Date', 'July', 'Description', 'SMS', 'date', 'August', 'already', 'Abis',' Pakrt ',' habit ',' Scheduled ',' bought ',' synchy ',' ugly ',' really ',' price ',' package ',' expensive ',' signal ',' ugly ',' active ',' package ',' corru"&amp;"pt ' , 'how', '']")</f>
        <v>['Buy', 'Package', 'Date', 'July', 'Description', 'SMS', 'date', 'August', 'already', 'Abis',' Pakrt ',' habit ',' Scheduled ',' bought ',' synchy ',' ugly ',' really ',' price ',' package ',' expensive ',' signal ',' ugly ',' active ',' package ',' corrupt ' , 'how', '']</v>
      </c>
      <c r="D561" s="3">
        <v>1.0</v>
      </c>
    </row>
    <row r="562" ht="15.75" customHeight="1">
      <c r="A562" s="1">
        <v>560.0</v>
      </c>
      <c r="B562" s="3" t="s">
        <v>563</v>
      </c>
      <c r="C562" s="3" t="str">
        <f>IFERROR(__xludf.DUMMYFUNCTION("GOOGLETRANSLATE(B562,""id"",""en"")"),"['Gini', 'minjam', 'package', 'emergency', 'pulse', 'ilang', 'telkomsel', 'anjg', 'contents',' pulse ',' udh ',' cut ',' Stay ',' contents', 'pulse', 'morning', 'call', 'cheek', 'pulses',' blm ',' pulses', 'udh', 'ilang', 'content', 'pulse' , 'That's', 'A"&amp;"mpe', 'Abes', 'Money', 'Segunung', 'Anjg', 'Need', 'Justice', 'Anjg', 'Balek', 'Credit', 'Kontolllllllllllll' Please, 'responded', 'developer']")</f>
        <v>['Gini', 'minjam', 'package', 'emergency', 'pulse', 'ilang', 'telkomsel', 'anjg', 'contents',' pulse ',' udh ',' cut ',' Stay ',' contents', 'pulse', 'morning', 'call', 'cheek', 'pulses',' blm ',' pulses', 'udh', 'ilang', 'content', 'pulse' , 'That's', 'Ampe', 'Abes', 'Money', 'Segunung', 'Anjg', 'Need', 'Justice', 'Anjg', 'Balek', 'Credit', 'Kontolllllllllllll' Please, 'responded', 'developer']</v>
      </c>
      <c r="D562" s="3">
        <v>1.0</v>
      </c>
    </row>
    <row r="563" ht="15.75" customHeight="1">
      <c r="A563" s="1">
        <v>561.0</v>
      </c>
      <c r="B563" s="3" t="s">
        <v>564</v>
      </c>
      <c r="C563" s="3" t="str">
        <f>IFERROR(__xludf.DUMMYFUNCTION("GOOGLETRANSLATE(B563,""id"",""en"")"),"['Excuse me', 'min', 'already', 'buy', 'package', 'cheerful', 'constrained', 'reply', 'signs', 'package', 'active', ""]")</f>
        <v>['Excuse me', 'min', 'already', 'buy', 'package', 'cheerful', 'constrained', 'reply', 'signs', 'package', 'active', "]</v>
      </c>
      <c r="D563" s="3">
        <v>1.0</v>
      </c>
    </row>
    <row r="564" ht="15.75" customHeight="1">
      <c r="A564" s="1">
        <v>562.0</v>
      </c>
      <c r="B564" s="3" t="s">
        <v>565</v>
      </c>
      <c r="C564" s="3" t="str">
        <f>IFERROR(__xludf.DUMMYFUNCTION("GOOGLETRANSLATE(B564,""id"",""en"")"),"['Telkomsel', 'contents',' pulse ',' stuck ',' migration ',' card ',' hello ',' regretting ',' number ',' replace ',' card ',' Pay, 'Bill', 'Not bad', 'Telkomsel', 'card', 'Hello', 'impressed', 'circles', '']")</f>
        <v>['Telkomsel', 'contents',' pulse ',' stuck ',' migration ',' card ',' hello ',' regretting ',' number ',' replace ',' card ',' Pay, 'Bill', 'Not bad', 'Telkomsel', 'card', 'Hello', 'impressed', 'circles', '']</v>
      </c>
      <c r="D564" s="3">
        <v>1.0</v>
      </c>
    </row>
    <row r="565" ht="15.75" customHeight="1">
      <c r="A565" s="1">
        <v>563.0</v>
      </c>
      <c r="B565" s="3" t="s">
        <v>566</v>
      </c>
      <c r="C565" s="3" t="str">
        <f>IFERROR(__xludf.DUMMYFUNCTION("GOOGLETRANSLATE(B565,""id"",""en"")"),"['Help', 'really', 'hope', 'apk', 'telkomsel', 'writing', 'ber', 'language', 'indonesia', 'easy', 'understand', 'sulea', ' Users', 'Telkomsel', 'Thank you', 'Telkomsel']")</f>
        <v>['Help', 'really', 'hope', 'apk', 'telkomsel', 'writing', 'ber', 'language', 'indonesia', 'easy', 'understand', 'sulea', ' Users', 'Telkomsel', 'Thank you', 'Telkomsel']</v>
      </c>
      <c r="D565" s="3">
        <v>5.0</v>
      </c>
    </row>
    <row r="566" ht="15.75" customHeight="1">
      <c r="A566" s="1">
        <v>564.0</v>
      </c>
      <c r="B566" s="3" t="s">
        <v>567</v>
      </c>
      <c r="C566" s="3" t="str">
        <f>IFERROR(__xludf.DUMMYFUNCTION("GOOGLETRANSLATE(B566,""id"",""en"")"),"['signal', 'slow', 'child', 'difficulty', 'zoom', 'school', 'customers',' Telkomsel ',' moved ',' unfortunate ',' choose ',' Telkomsel ',' Even though ',' expensive ',' signal ',' good ',' ']")</f>
        <v>['signal', 'slow', 'child', 'difficulty', 'zoom', 'school', 'customers',' Telkomsel ',' moved ',' unfortunate ',' choose ',' Telkomsel ',' Even though ',' expensive ',' signal ',' good ',' ']</v>
      </c>
      <c r="D566" s="3">
        <v>2.0</v>
      </c>
    </row>
    <row r="567" ht="15.75" customHeight="1">
      <c r="A567" s="1">
        <v>565.0</v>
      </c>
      <c r="B567" s="3" t="s">
        <v>568</v>
      </c>
      <c r="C567" s="3" t="str">
        <f>IFERROR(__xludf.DUMMYFUNCTION("GOOGLETRANSLATE(B567,""id"",""en"")"),"['', 'TELKOMSE', 'SETAL', 'Signal', 'Slow', 'Use', 'Telkomsel', 'You', 'Use', 'Data', 'Expensive', 'Slow', 'Signal ',' Try ',' replaced ',' Mending ',' signal ',' slow ',' ']")</f>
        <v>['', 'TELKOMSE', 'SETAL', 'Signal', 'Slow', 'Use', 'Telkomsel', 'You', 'Use', 'Data', 'Expensive', 'Slow', 'Signal ',' Try ',' replaced ',' Mending ',' signal ',' slow ',' ']</v>
      </c>
      <c r="D567" s="3">
        <v>1.0</v>
      </c>
    </row>
    <row r="568" ht="15.75" customHeight="1">
      <c r="A568" s="1">
        <v>566.0</v>
      </c>
      <c r="B568" s="3" t="s">
        <v>569</v>
      </c>
      <c r="C568" s="3" t="str">
        <f>IFERROR(__xludf.DUMMYFUNCTION("GOOGLETRANSLATE(B568,""id"",""en"")"),"['Telkomsel', 'stop', 'operate', 'good', 'bad', 'dead', 'lights',' dead ',' signal ',' Telkomsel ',' fix ',' conducive ',' Closed ',' Disappointed ',' User ',' Telkomsel ',' Area ',' Sumatra ',' North ']")</f>
        <v>['Telkomsel', 'stop', 'operate', 'good', 'bad', 'dead', 'lights',' dead ',' signal ',' Telkomsel ',' fix ',' conducive ',' Closed ',' Disappointed ',' User ',' Telkomsel ',' Area ',' Sumatra ',' North ']</v>
      </c>
      <c r="D568" s="3">
        <v>1.0</v>
      </c>
    </row>
    <row r="569" ht="15.75" customHeight="1">
      <c r="A569" s="1">
        <v>567.0</v>
      </c>
      <c r="B569" s="3" t="s">
        <v>570</v>
      </c>
      <c r="C569" s="3" t="str">
        <f>IFERROR(__xludf.DUMMYFUNCTION("GOOGLETRANSLATE(B569,""id"",""en"")"),"['application', 'good', 'practical', 'buy', 'quota', 'games',' play ',' game ',' online ',' yaa ',' pliss', 'fix', ' Thnk ']")</f>
        <v>['application', 'good', 'practical', 'buy', 'quota', 'games',' play ',' game ',' online ',' yaa ',' pliss', 'fix', ' Thnk ']</v>
      </c>
      <c r="D569" s="3">
        <v>5.0</v>
      </c>
    </row>
    <row r="570" ht="15.75" customHeight="1">
      <c r="A570" s="1">
        <v>568.0</v>
      </c>
      <c r="B570" s="3" t="s">
        <v>571</v>
      </c>
      <c r="C570" s="3" t="str">
        <f>IFERROR(__xludf.DUMMYFUNCTION("GOOGLETRANSLATE(B570,""id"",""en"")"),"['Internet', 'pulse', 'sumps',' already ',' classic ',' Telkomsel ',' please ',' repaired ',' admin ',' internet ',' package ',' internet ',' run out ',' decide ',' automatically ',' internet ',' pulse ',' customer ',' use ',' teimakasih ']")</f>
        <v>['Internet', 'pulse', 'sumps',' already ',' classic ',' Telkomsel ',' please ',' repaired ',' admin ',' internet ',' package ',' internet ',' run out ',' decide ',' automatically ',' internet ',' pulse ',' customer ',' use ',' teimakasih ']</v>
      </c>
      <c r="D570" s="3">
        <v>2.0</v>
      </c>
    </row>
    <row r="571" ht="15.75" customHeight="1">
      <c r="A571" s="1">
        <v>569.0</v>
      </c>
      <c r="B571" s="3" t="s">
        <v>572</v>
      </c>
      <c r="C571" s="3" t="str">
        <f>IFERROR(__xludf.DUMMYFUNCTION("GOOGLETRANSLATE(B571,""id"",""en"")"),"['Personal', 'Help', 'users',' Telkomsel ',' check ',' pulse ',' quota ',' internet ',' stay ',' enter ',' Ajh ',' the application ',' Klau ',' Check ',' Credit ',' Press', 'Number', 'Tingl', 'BRPA', 'Quota', 'Internet', 'APK', 'Help', 'Kereenn', ""]")</f>
        <v>['Personal', 'Help', 'users',' Telkomsel ',' check ',' pulse ',' quota ',' internet ',' stay ',' enter ',' Ajh ',' the application ',' Klau ',' Check ',' Credit ',' Press', 'Number', 'Tingl', 'BRPA', 'Quota', 'Internet', 'APK', 'Help', 'Kereenn', "]</v>
      </c>
      <c r="D571" s="3">
        <v>4.0</v>
      </c>
    </row>
    <row r="572" ht="15.75" customHeight="1">
      <c r="A572" s="1">
        <v>570.0</v>
      </c>
      <c r="B572" s="3" t="s">
        <v>573</v>
      </c>
      <c r="C572" s="3" t="str">
        <f>IFERROR(__xludf.DUMMYFUNCTION("GOOGLETRANSLATE(B572,""id"",""en"")"),"['Please', 'donk', 'suggestion', 'quota', 'run out', 'Telkomsel', 'hrs',' agreement ',' dlu ',' quota ',' rates', 'normal', ' Lgsg ',' suck ',' permission ',' ']")</f>
        <v>['Please', 'donk', 'suggestion', 'quota', 'run out', 'Telkomsel', 'hrs',' agreement ',' dlu ',' quota ',' rates', 'normal', ' Lgsg ',' suck ',' permission ',' ']</v>
      </c>
      <c r="D572" s="3">
        <v>4.0</v>
      </c>
    </row>
    <row r="573" ht="15.75" customHeight="1">
      <c r="A573" s="1">
        <v>571.0</v>
      </c>
      <c r="B573" s="3" t="s">
        <v>574</v>
      </c>
      <c r="C573" s="3" t="str">
        <f>IFERROR(__xludf.DUMMYFUNCTION("GOOGLETRANSLATE(B573,""id"",""en"")"),"['electricity', 'dead', 'ber', 'Mingu', 'data', 'dead', 'ber', 'mingu', 'mas',' actip ',' data ',' know ',' Tolerance ',' Hari ',' Gini ',' Lestrik ',' Dead ',' Tower ',' Dead ',' Robbing ',' Money ',' People ',' Data ',' wasted ',' Sampei ' , 'hood', 'nu"&amp;"nukan', 'dead', 'lights', 'please', 'love', 'tolerance', 'believe', 'check', 'namer']")</f>
        <v>['electricity', 'dead', 'ber', 'Mingu', 'data', 'dead', 'ber', 'mingu', 'mas',' actip ',' data ',' know ',' Tolerance ',' Hari ',' Gini ',' Lestrik ',' Dead ',' Tower ',' Dead ',' Robbing ',' Money ',' People ',' Data ',' wasted ',' Sampei ' , 'hood', 'nunukan', 'dead', 'lights', 'please', 'love', 'tolerance', 'believe', 'check', 'namer']</v>
      </c>
      <c r="D573" s="3">
        <v>1.0</v>
      </c>
    </row>
    <row r="574" ht="15.75" customHeight="1">
      <c r="A574" s="1">
        <v>572.0</v>
      </c>
      <c r="B574" s="3" t="s">
        <v>575</v>
      </c>
      <c r="C574" s="3" t="str">
        <f>IFERROR(__xludf.DUMMYFUNCTION("GOOGLETRANSLATE(B574,""id"",""en"")"),"['Information', 'quota', 'quota', 'evenly', 'active', 'hope', 'network', 'plus',' speedny ',' active ',' extend ',' bravo ',' Telkomsel ',' ']")</f>
        <v>['Information', 'quota', 'quota', 'evenly', 'active', 'hope', 'network', 'plus',' speedny ',' active ',' extend ',' bravo ',' Telkomsel ',' ']</v>
      </c>
      <c r="D574" s="3">
        <v>5.0</v>
      </c>
    </row>
    <row r="575" ht="15.75" customHeight="1">
      <c r="A575" s="1">
        <v>573.0</v>
      </c>
      <c r="B575" s="3" t="s">
        <v>576</v>
      </c>
      <c r="C575" s="3" t="str">
        <f>IFERROR(__xludf.DUMMYFUNCTION("GOOGLETRANSLATE(B575,""id"",""en"")"),"['Please', 'fix', 'bug', 'apk', 'buy', 'package', 'internet', 'APK', 'pulse', 'eaten', 'package', 'embossed', ' already ',' repeat ',' buy ',' package ',' pulse ',' pulse ',' run out ',' package ',' get ',' please ',' anjg ',' please ',' kelen ' , 'fix', "&amp;"'times', 'response', 'anjeng']")</f>
        <v>['Please', 'fix', 'bug', 'apk', 'buy', 'package', 'internet', 'APK', 'pulse', 'eaten', 'package', 'embossed', ' already ',' repeat ',' buy ',' package ',' pulse ',' pulse ',' run out ',' package ',' get ',' please ',' anjg ',' please ',' kelen ' , 'fix', 'times', 'response', 'anjeng']</v>
      </c>
      <c r="D575" s="3">
        <v>1.0</v>
      </c>
    </row>
    <row r="576" ht="15.75" customHeight="1">
      <c r="A576" s="1">
        <v>574.0</v>
      </c>
      <c r="B576" s="3" t="s">
        <v>577</v>
      </c>
      <c r="C576" s="3" t="str">
        <f>IFERROR(__xludf.DUMMYFUNCTION("GOOGLETRANSLATE(B576,""id"",""en"")"),"['Please', 'Benerin', 'Regulation', 'Company', 'Telkomsel', 'Buy', 'Package', 'WIB', 'Clock', 'Package', 'Out', 'Written', ' hours', 'should', 'buy', 'package', 'clock', 'wr.', 'tomorrow', 'run out', 'clock', 'WIB', 'no', 'customers',' buy ' , 'package', "&amp;"'clock', 'trs',' clock ',' run out ',' weird ',' just ',' clock ',' doang ',' clock ',' please ',' fix ',' Rules', 'company', 'Telkomsel', 'Perdana', 'according to', 'clock']")</f>
        <v>['Please', 'Benerin', 'Regulation', 'Company', 'Telkomsel', 'Buy', 'Package', 'WIB', 'Clock', 'Package', 'Out', 'Written', ' hours', 'should', 'buy', 'package', 'clock', 'wr.', 'tomorrow', 'run out', 'clock', 'WIB', 'no', 'customers',' buy ' , 'package', 'clock', 'trs',' clock ',' run out ',' weird ',' just ',' clock ',' doang ',' clock ',' please ',' fix ',' Rules', 'company', 'Telkomsel', 'Perdana', 'according to', 'clock']</v>
      </c>
      <c r="D576" s="3">
        <v>1.0</v>
      </c>
    </row>
    <row r="577" ht="15.75" customHeight="1">
      <c r="A577" s="1">
        <v>575.0</v>
      </c>
      <c r="B577" s="3" t="s">
        <v>578</v>
      </c>
      <c r="C577" s="3" t="str">
        <f>IFERROR(__xludf.DUMMYFUNCTION("GOOGLETRANSLATE(B577,""id"",""en"")"),"['Contents',' pulse ',' direct ',' run out ',' please ',' separate ',' package ',' data ',' pulse ',' lazy ',' contents', 'pulses',' Direct ',' suck ',' people ',' old ',' village ',' use ',' Telkomsel ',' use ',' card ']")</f>
        <v>['Contents',' pulse ',' direct ',' run out ',' please ',' separate ',' package ',' data ',' pulse ',' lazy ',' contents', 'pulses',' Direct ',' suck ',' people ',' old ',' village ',' use ',' Telkomsel ',' use ',' card ']</v>
      </c>
      <c r="D577" s="3">
        <v>1.0</v>
      </c>
    </row>
    <row r="578" ht="15.75" customHeight="1">
      <c r="A578" s="1">
        <v>576.0</v>
      </c>
      <c r="B578" s="3" t="s">
        <v>579</v>
      </c>
      <c r="C578" s="3" t="str">
        <f>IFERROR(__xludf.DUMMYFUNCTION("GOOGLETRANSLATE(B578,""id"",""en"")"),"['buy', 'quota', 'unlimited', 'youtube', 'right', 'used', 'pulse', 'belongs',' sumps', 'telkomsel', 'good', 'ugly', ' His performance ',' Mending ',' Move ',' Profider ',' ']")</f>
        <v>['buy', 'quota', 'unlimited', 'youtube', 'right', 'used', 'pulse', 'belongs',' sumps', 'telkomsel', 'good', 'ugly', ' His performance ',' Mending ',' Move ',' Profider ',' ']</v>
      </c>
      <c r="D578" s="3">
        <v>1.0</v>
      </c>
    </row>
    <row r="579" ht="15.75" customHeight="1">
      <c r="A579" s="1">
        <v>577.0</v>
      </c>
      <c r="B579" s="3" t="s">
        <v>580</v>
      </c>
      <c r="C579" s="3" t="str">
        <f>IFERROR(__xludf.DUMMYFUNCTION("GOOGLETRANSLATE(B579,""id"",""en"")"),"['Mentang', 'BUMN', 'Enforce', 'Policy', 'Check', 'Quota', 'Internet', 'Mandatory', 'Use', 'Application', 'Remnant', 'Kouta', ' The enactment ',' Out ',' Hopefully ',' Blessings', 'Business',' Application ',' Quality ',' Login ',' Accumulation ',' Remnant"&amp;"s', 'Kouta', 'Out', 'Enable', 'Enoops' , 'Koutaa', 'pure', 'clock', 'Embed', 'Uklum', 'pure', 'company', 'state', 'people', 'Indonesia', 'business', ""]")</f>
        <v>['Mentang', 'BUMN', 'Enforce', 'Policy', 'Check', 'Quota', 'Internet', 'Mandatory', 'Use', 'Application', 'Remnant', 'Kouta', ' The enactment ',' Out ',' Hopefully ',' Blessings', 'Business',' Application ',' Quality ',' Login ',' Accumulation ',' Remnants', 'Kouta', 'Out', 'Enable', 'Enoops' , 'Koutaa', 'pure', 'clock', 'Embed', 'Uklum', 'pure', 'company', 'state', 'people', 'Indonesia', 'business', "]</v>
      </c>
      <c r="D579" s="3">
        <v>1.0</v>
      </c>
    </row>
    <row r="580" ht="15.75" customHeight="1">
      <c r="A580" s="1">
        <v>578.0</v>
      </c>
      <c r="B580" s="3" t="s">
        <v>581</v>
      </c>
      <c r="C580" s="3" t="str">
        <f>IFERROR(__xludf.DUMMYFUNCTION("GOOGLETRANSLATE(B580,""id"",""en"")"),"['signal', 'bad', 'really', 'quota', 'expensive', 'network', 'internet', 'ugly', 'slow', 'please', 'fix', 'tmbah', ' ugly ',' signal ',' replace ',' dahhh ']")</f>
        <v>['signal', 'bad', 'really', 'quota', 'expensive', 'network', 'internet', 'ugly', 'slow', 'please', 'fix', 'tmbah', ' ugly ',' signal ',' replace ',' dahhh ']</v>
      </c>
      <c r="D580" s="3">
        <v>1.0</v>
      </c>
    </row>
    <row r="581" ht="15.75" customHeight="1">
      <c r="A581" s="1">
        <v>579.0</v>
      </c>
      <c r="B581" s="3" t="s">
        <v>582</v>
      </c>
      <c r="C581" s="3" t="str">
        <f>IFERROR(__xludf.DUMMYFUNCTION("GOOGLETRANSLATE(B581,""id"",""en"")"),"['SMS', 'Credit', 'sufficient', 'active', 'package', 'emergency', 'pulse', 'right', 'contents',' pulse ',' thousand ',' directly ',' Lost ',' information ',' pay ',' package ',' emergency ',' before ',' activate ',' package ',' emergency ']")</f>
        <v>['SMS', 'Credit', 'sufficient', 'active', 'package', 'emergency', 'pulse', 'right', 'contents',' pulse ',' thousand ',' directly ',' Lost ',' information ',' pay ',' package ',' emergency ',' before ',' activate ',' package ',' emergency ']</v>
      </c>
      <c r="D581" s="3">
        <v>1.0</v>
      </c>
    </row>
    <row r="582" ht="15.75" customHeight="1">
      <c r="A582" s="1">
        <v>580.0</v>
      </c>
      <c r="B582" s="3" t="s">
        <v>583</v>
      </c>
      <c r="C582" s="3" t="str">
        <f>IFERROR(__xludf.DUMMYFUNCTION("GOOGLETRANSLATE(B582,""id"",""en"")"),"['The name', 'please', 'repaired', 'because' error ',' afternoon ',' night ',' nerve ',' onbid ',' ojol ',' Performance ',' online ' teach', '']")</f>
        <v>['The name', 'please', 'repaired', 'because' error ',' afternoon ',' night ',' nerve ',' onbid ',' ojol ',' Performance ',' online ' teach', '']</v>
      </c>
      <c r="D582" s="3">
        <v>3.0</v>
      </c>
    </row>
    <row r="583" ht="15.75" customHeight="1">
      <c r="A583" s="1">
        <v>581.0</v>
      </c>
      <c r="B583" s="3" t="s">
        <v>584</v>
      </c>
      <c r="C583" s="3" t="str">
        <f>IFERROR(__xludf.DUMMYFUNCTION("GOOGLETRANSLATE(B583,""id"",""en"")"),"['Kasi', 'Honest', 'Telkomsel', 'Sangangkin', 'Severe', 'Network', 'Good', 'Bill', 'Sumbin', 'Expensive', 'Please', 'Fix', ' expensive ',' quality ',' ']")</f>
        <v>['Kasi', 'Honest', 'Telkomsel', 'Sangangkin', 'Severe', 'Network', 'Good', 'Bill', 'Sumbin', 'Expensive', 'Please', 'Fix', ' expensive ',' quality ',' ']</v>
      </c>
      <c r="D583" s="3">
        <v>1.0</v>
      </c>
    </row>
    <row r="584" ht="15.75" customHeight="1">
      <c r="A584" s="1">
        <v>582.0</v>
      </c>
      <c r="B584" s="3" t="s">
        <v>585</v>
      </c>
      <c r="C584" s="3" t="str">
        <f>IFERROR(__xludf.DUMMYFUNCTION("GOOGLETRANSLATE(B584,""id"",""en"")"),"['Updated', 'opened', 'appears',' updated ',' pressed ',' update ',' how ',' OPR ',' Telkomsel ',' the application ',' Equek ',' Equek ',' Shame ',' in ',' good ',' in the box ',' Atik ',' internship ',' Becus']")</f>
        <v>['Updated', 'opened', 'appears',' updated ',' pressed ',' update ',' how ',' OPR ',' Telkomsel ',' the application ',' Equek ',' Equek ',' Shame ',' in ',' good ',' in the box ',' Atik ',' internship ',' Becus']</v>
      </c>
      <c r="D584" s="3">
        <v>1.0</v>
      </c>
    </row>
    <row r="585" ht="15.75" customHeight="1">
      <c r="A585" s="1">
        <v>583.0</v>
      </c>
      <c r="B585" s="3" t="s">
        <v>586</v>
      </c>
      <c r="C585" s="3" t="str">
        <f>IFERROR(__xludf.DUMMYFUNCTION("GOOGLETRANSLATE(B585,""id"",""en"")"),"['Sis',' gmn ',' buy ',' quota ',' learn ',' key ',' already ',' conference ',' zoom ',' change ',' network ',' data ',' Telkom ',' out ',' zoom ',' quota ',' dipale ',' ngepain ',' name ',' quota ',' learn ',' zoom ',' trust ',' use ',' buy ' , 'Rb', 'GB"&amp;"', 'Saranin', 'friend', 'Thinking', 'buy', 'quota', 'learn', 'Telkom', ""]")</f>
        <v>['Sis',' gmn ',' buy ',' quota ',' learn ',' key ',' already ',' conference ',' zoom ',' change ',' network ',' data ',' Telkom ',' out ',' zoom ',' quota ',' dipale ',' ngepain ',' name ',' quota ',' learn ',' zoom ',' trust ',' use ',' buy ' , 'Rb', 'GB', 'Saranin', 'friend', 'Thinking', 'buy', 'quota', 'learn', 'Telkom', "]</v>
      </c>
      <c r="D585" s="3">
        <v>1.0</v>
      </c>
    </row>
    <row r="586" ht="15.75" customHeight="1">
      <c r="A586" s="1">
        <v>584.0</v>
      </c>
      <c r="B586" s="3" t="s">
        <v>587</v>
      </c>
      <c r="C586" s="3" t="str">
        <f>IFERROR(__xludf.DUMMYFUNCTION("GOOGLETRANSLATE(B586,""id"",""en"")"),"['Win', 'Check', 'Cash', 'JTA', 'Pointed', 'Link', 'SMS', 'Direct', 'Providers',' Number ',' CS ',' Ignore ',' SMS ',' Aktiv ',' Undi ',' Undi ',' Telkomsel ',' Polling ',' Anyway ',' Send ',' Points', 'Grandfrice', 'Toyota', 'Yaris',' Enter ' , 'Points',"&amp;" 'number', 'Lottery', 'Watch out', 'lie', 'bullet', 'bubble', 'penetrate', 'head', 'Telkomsel', ""]")</f>
        <v>['Win', 'Check', 'Cash', 'JTA', 'Pointed', 'Link', 'SMS', 'Direct', 'Providers',' Number ',' CS ',' Ignore ',' SMS ',' Aktiv ',' Undi ',' Undi ',' Telkomsel ',' Polling ',' Anyway ',' Send ',' Points', 'Grandfrice', 'Toyota', 'Yaris',' Enter ' , 'Points', 'number', 'Lottery', 'Watch out', 'lie', 'bullet', 'bubble', 'penetrate', 'head', 'Telkomsel', "]</v>
      </c>
      <c r="D586" s="3">
        <v>4.0</v>
      </c>
    </row>
    <row r="587" ht="15.75" customHeight="1">
      <c r="A587" s="1">
        <v>585.0</v>
      </c>
      <c r="B587" s="3" t="s">
        <v>588</v>
      </c>
      <c r="C587" s="3" t="str">
        <f>IFERROR(__xludf.DUMMYFUNCTION("GOOGLETRANSLATE(B587,""id"",""en"")"),"['report', 'Point', 'tens',' times', 'Points',' Tuker ',' Failed ',' Mulu ',' Points', 'already', 'hundreds',' emang ',' applies', 'Adin', 'Exchange', 'Points',' Report ',' Points', 'Useful', 'Used']")</f>
        <v>['report', 'Point', 'tens',' times', 'Points',' Tuker ',' Failed ',' Mulu ',' Points', 'already', 'hundreds',' emang ',' applies', 'Adin', 'Exchange', 'Points',' Report ',' Points', 'Useful', 'Used']</v>
      </c>
      <c r="D587" s="3">
        <v>1.0</v>
      </c>
    </row>
    <row r="588" ht="15.75" customHeight="1">
      <c r="A588" s="1">
        <v>586.0</v>
      </c>
      <c r="B588" s="3" t="s">
        <v>589</v>
      </c>
      <c r="C588" s="3" t="str">
        <f>IFERROR(__xludf.DUMMYFUNCTION("GOOGLETRANSLATE(B588,""id"",""en"")"),"['Payment', 'purchase', 'quota', 'gopay', 'appears',' sorry ',' disorder ',' system ',' that's', 'pasahal', 'update', 'smooth', ' fluent']")</f>
        <v>['Payment', 'purchase', 'quota', 'gopay', 'appears',' sorry ',' disorder ',' system ',' that's', 'pasahal', 'update', 'smooth', ' fluent']</v>
      </c>
      <c r="D588" s="3">
        <v>1.0</v>
      </c>
    </row>
    <row r="589" ht="15.75" customHeight="1">
      <c r="A589" s="1">
        <v>587.0</v>
      </c>
      <c r="B589" s="3" t="s">
        <v>590</v>
      </c>
      <c r="C589" s="3" t="str">
        <f>IFERROR(__xludf.DUMMYFUNCTION("GOOGLETRANSLATE(B589,""id"",""en"")"),"['Network', 'bad', 'complain', 'user', 'that's',' level ',' facility ',' network ',' komatsumen ',' complain ',' delicious', 'switch', ' prime ',' next door ',' smooth ',' network ',' ']")</f>
        <v>['Network', 'bad', 'complain', 'user', 'that's',' level ',' facility ',' network ',' komatsumen ',' complain ',' delicious', 'switch', ' prime ',' next door ',' smooth ',' network ',' ']</v>
      </c>
      <c r="D589" s="3">
        <v>1.0</v>
      </c>
    </row>
    <row r="590" ht="15.75" customHeight="1">
      <c r="A590" s="1">
        <v>588.0</v>
      </c>
      <c r="B590" s="3" t="s">
        <v>591</v>
      </c>
      <c r="C590" s="3" t="str">
        <f>IFERROR(__xludf.DUMMYFUNCTION("GOOGLETRANSLATE(B590,""id"",""en"")"),"['Please', 'Telkomsel', 'Package', 'Out', 'Direct', 'Used', 'Credit', 'Customer', 'Locking', 'Out', 'Pulses',' Network ',' Blame ',' Leet ',' ']")</f>
        <v>['Please', 'Telkomsel', 'Package', 'Out', 'Direct', 'Used', 'Credit', 'Customer', 'Locking', 'Out', 'Pulses',' Network ',' Blame ',' Leet ',' ']</v>
      </c>
      <c r="D590" s="3">
        <v>1.0</v>
      </c>
    </row>
    <row r="591" ht="15.75" customHeight="1">
      <c r="A591" s="1">
        <v>589.0</v>
      </c>
      <c r="B591" s="3" t="s">
        <v>592</v>
      </c>
      <c r="C591" s="3" t="str">
        <f>IFERROR(__xludf.DUMMYFUNCTION("GOOGLETRANSLATE(B591,""id"",""en"")"),"['What', 'min', 'login', 'difficult', 'sent', 'code', 'otp', 'click', 'login', 'solution', 'solution', ' Min ']")</f>
        <v>['What', 'min', 'login', 'difficult', 'sent', 'code', 'otp', 'click', 'login', 'solution', 'solution', ' Min ']</v>
      </c>
      <c r="D591" s="3">
        <v>1.0</v>
      </c>
    </row>
    <row r="592" ht="15.75" customHeight="1">
      <c r="A592" s="1">
        <v>590.0</v>
      </c>
      <c r="B592" s="3" t="s">
        <v>593</v>
      </c>
      <c r="C592" s="3" t="str">
        <f>IFERROR(__xludf.DUMMYFUNCTION("GOOGLETRANSLATE(B592,""id"",""en"")"),"['buy', 'package', 'activation', 'blom', 'active', 'pulse', 'main', 'sumps',' ceck ',' run out ',' gunain ',' internet ',' data ',' off ',' macem ',' gini ',' application ',' pdahal ',' dlu ',' good ',' bngt ',' loch ']")</f>
        <v>['buy', 'package', 'activation', 'blom', 'active', 'pulse', 'main', 'sumps',' ceck ',' run out ',' gunain ',' internet ',' data ',' off ',' macem ',' gini ',' application ',' pdahal ',' dlu ',' good ',' bngt ',' loch ']</v>
      </c>
      <c r="D592" s="3">
        <v>1.0</v>
      </c>
    </row>
    <row r="593" ht="15.75" customHeight="1">
      <c r="A593" s="1">
        <v>591.0</v>
      </c>
      <c r="B593" s="3" t="s">
        <v>594</v>
      </c>
      <c r="C593" s="3" t="str">
        <f>IFERROR(__xludf.DUMMYFUNCTION("GOOGLETRANSLATE(B593,""id"",""en"")"),"['already', 'contents',' pulse ',' notification ',' credit ',' enter ',' Telkomsel ',' belom ',' pulse ',' gabisa ',' buy ',' package ',' already ',' refresh ',' many ',' times', 'tetep', 'belom', ""]")</f>
        <v>['already', 'contents',' pulse ',' notification ',' credit ',' enter ',' Telkomsel ',' belom ',' pulse ',' gabisa ',' buy ',' package ',' already ',' refresh ',' many ',' times', 'tetep', 'belom', "]</v>
      </c>
      <c r="D593" s="3">
        <v>5.0</v>
      </c>
    </row>
    <row r="594" ht="15.75" customHeight="1">
      <c r="A594" s="1">
        <v>592.0</v>
      </c>
      <c r="B594" s="3" t="s">
        <v>595</v>
      </c>
      <c r="C594" s="3" t="str">
        <f>IFERROR(__xludf.DUMMYFUNCTION("GOOGLETRANSLATE(B594,""id"",""en"")"),"['Subscribe', 'Package', 'Interner', 'a week', 'a day', 'Should', 'Cut', 'Credit', 'Legiler', 'Out', 'left', 'Remnation', ' Giga ',' ']")</f>
        <v>['Subscribe', 'Package', 'Interner', 'a week', 'a day', 'Should', 'Cut', 'Credit', 'Legiler', 'Out', 'left', 'Remnation', ' Giga ',' ']</v>
      </c>
      <c r="D594" s="3">
        <v>1.0</v>
      </c>
    </row>
    <row r="595" ht="15.75" customHeight="1">
      <c r="A595" s="1">
        <v>593.0</v>
      </c>
      <c r="B595" s="3" t="s">
        <v>596</v>
      </c>
      <c r="C595" s="3" t="str">
        <f>IFERROR(__xludf.DUMMYFUNCTION("GOOGLETRANSLATE(B595,""id"",""en"")"),"['list', 'package', 'unlimited', 'network', 'good', 'good', 'list', 'package', 'sudden', 'signal', 'stable', 'tuk', ' Enter ',' APL ',' Telkomsel ',' FAILURE ',' Disappointing ',' Network ',' Telkomsel ',' Pekah ',' Open ',' Application ',' WhatsApp ', """&amp;"]")</f>
        <v>['list', 'package', 'unlimited', 'network', 'good', 'good', 'list', 'package', 'sudden', 'signal', 'stable', 'tuk', ' Enter ',' APL ',' Telkomsel ',' FAILURE ',' Disappointing ',' Network ',' Telkomsel ',' Pekah ',' Open ',' Application ',' WhatsApp ', "]</v>
      </c>
      <c r="D595" s="3">
        <v>1.0</v>
      </c>
    </row>
    <row r="596" ht="15.75" customHeight="1">
      <c r="A596" s="1">
        <v>594.0</v>
      </c>
      <c r="B596" s="3" t="s">
        <v>597</v>
      </c>
      <c r="C596" s="3" t="str">
        <f>IFERROR(__xludf.DUMMYFUNCTION("GOOGLETRANSLATE(B596,""id"",""en"")"),"['want', 'see', 'Telkomsel', 'Review', 'good', 'just', 'complaint', 'doang', 'right', 'update', 'signal', 'slow', ' Really ',' application ',' login ',' reset ',' hadeuh ']")</f>
        <v>['want', 'see', 'Telkomsel', 'Review', 'good', 'just', 'complaint', 'doang', 'right', 'update', 'signal', 'slow', ' Really ',' application ',' login ',' reset ',' hadeuh ']</v>
      </c>
      <c r="D596" s="3">
        <v>1.0</v>
      </c>
    </row>
    <row r="597" ht="15.75" customHeight="1">
      <c r="A597" s="1">
        <v>595.0</v>
      </c>
      <c r="B597" s="3" t="s">
        <v>598</v>
      </c>
      <c r="C597" s="3" t="str">
        <f>IFERROR(__xludf.DUMMYFUNCTION("GOOGLETRANSLATE(B597,""id"",""en"")"),"['ugly', 'price', 'suits',' quality ',' network ',' slow ',' slow ',' slow ',' severe ',' streaming ',' ngeleg ',' severe ',' Buy ',' Quota ',' Discard ',' Discard ',' Money ',' Lemot ']")</f>
        <v>['ugly', 'price', 'suits',' quality ',' network ',' slow ',' slow ',' slow ',' severe ',' streaming ',' ngeleg ',' severe ',' Buy ',' Quota ',' Discard ',' Discard ',' Money ',' Lemot ']</v>
      </c>
      <c r="D597" s="3">
        <v>1.0</v>
      </c>
    </row>
    <row r="598" ht="15.75" customHeight="1">
      <c r="A598" s="1">
        <v>596.0</v>
      </c>
      <c r="B598" s="3" t="s">
        <v>599</v>
      </c>
      <c r="C598" s="3" t="str">
        <f>IFERROR(__xludf.DUMMYFUNCTION("GOOGLETRANSLATE(B598,""id"",""en"")"),"['happy', 'buk', 'application', 'Telkomsel', 'ngak', 'sms',' the application ',' good ',' really ',' eat ',' hunt ',' download ',' NGK ',' see ',' down ',' the application ',' good ',' really ',' sihiih ', ""]")</f>
        <v>['happy', 'buk', 'application', 'Telkomsel', 'ngak', 'sms',' the application ',' good ',' really ',' eat ',' hunt ',' download ',' NGK ',' see ',' down ',' the application ',' good ',' really ',' sihiih ', "]</v>
      </c>
      <c r="D598" s="3">
        <v>5.0</v>
      </c>
    </row>
    <row r="599" ht="15.75" customHeight="1">
      <c r="A599" s="1">
        <v>597.0</v>
      </c>
      <c r="B599" s="3" t="s">
        <v>600</v>
      </c>
      <c r="C599" s="3" t="str">
        <f>IFERROR(__xludf.DUMMYFUNCTION("GOOGLETRANSLATE(B599,""id"",""en"")"),"['Kota', 'Network', 'Data', 'Good', 'Suburbs',' City ',' Network ',' Lost ',' Report ',' Veronica ',' Live ',' Chat ',' examination ',' tower ',' cable ',' lost ',' cause ',' slow ',' solution ',' suburbs', 'city', 'network', 'slow', 'report', 'the offici"&amp;"al' , 'GraPARI', 'his conviction', 'process',' expensive ',' understand ',' poor ',' stupid ',' sorry ',' Ocehhan ',' wrong ',' person ',' ']")</f>
        <v>['Kota', 'Network', 'Data', 'Good', 'Suburbs',' City ',' Network ',' Lost ',' Report ',' Veronica ',' Live ',' Chat ',' examination ',' tower ',' cable ',' lost ',' cause ',' slow ',' solution ',' suburbs', 'city', 'network', 'slow', 'report', 'the official' , 'GraPARI', 'his conviction', 'process',' expensive ',' understand ',' poor ',' stupid ',' sorry ',' Ocehhan ',' wrong ',' person ',' ']</v>
      </c>
      <c r="D599" s="3">
        <v>2.0</v>
      </c>
    </row>
    <row r="600" ht="15.75" customHeight="1">
      <c r="A600" s="1">
        <v>598.0</v>
      </c>
      <c r="B600" s="3" t="s">
        <v>601</v>
      </c>
      <c r="C600" s="3" t="str">
        <f>IFERROR(__xludf.DUMMYFUNCTION("GOOGLETRANSLATE(B600,""id"",""en"")"),"['Please', 'Package', 'Internet', 'Corporate', 'Full', 'Internet', 'Where', 'Divided', 'Inside', 'Internet', 'Local', 'Busyness',' Work ',' settled ',' Region ']")</f>
        <v>['Please', 'Package', 'Internet', 'Corporate', 'Full', 'Internet', 'Where', 'Divided', 'Inside', 'Internet', 'Local', 'Busyness',' Work ',' settled ',' Region ']</v>
      </c>
      <c r="D600" s="3">
        <v>4.0</v>
      </c>
    </row>
    <row r="601" ht="15.75" customHeight="1">
      <c r="A601" s="1">
        <v>599.0</v>
      </c>
      <c r="B601" s="3" t="s">
        <v>602</v>
      </c>
      <c r="C601" s="3" t="str">
        <f>IFERROR(__xludf.DUMMYFUNCTION("GOOGLETRANSLATE(B601,""id"",""en"")"),"['use', 'Telkomsel', 'Telkomsel', 'thief', 'balance', 'pulse', 'balance', 'pulses',' check ',' pulse ',' reduced ',' complain ',' Please ',' Telkomsel ',' Eliminate ',' Impertness', 'Success']")</f>
        <v>['use', 'Telkomsel', 'Telkomsel', 'thief', 'balance', 'pulse', 'balance', 'pulses',' check ',' pulse ',' reduced ',' complain ',' Please ',' Telkomsel ',' Eliminate ',' Impertness', 'Success']</v>
      </c>
      <c r="D601" s="3">
        <v>1.0</v>
      </c>
    </row>
    <row r="602" ht="15.75" customHeight="1">
      <c r="A602" s="1">
        <v>600.0</v>
      </c>
      <c r="B602" s="3" t="s">
        <v>603</v>
      </c>
      <c r="C602" s="3" t="str">
        <f>IFERROR(__xludf.DUMMYFUNCTION("GOOGLETRANSLATE(B602,""id"",""en"")"),"['difficult', 'login', 'wifi', 'hospot', 'friend', 'buy', 'package', 'load', 'reset', 'teruuuussssss',' pancar ',' longaa ',' Original ',' emotion ',' ']")</f>
        <v>['difficult', 'login', 'wifi', 'hospot', 'friend', 'buy', 'package', 'load', 'reset', 'teruuuussssss',' pancar ',' longaa ',' Original ',' emotion ',' ']</v>
      </c>
      <c r="D602" s="3">
        <v>1.0</v>
      </c>
    </row>
    <row r="603" ht="15.75" customHeight="1">
      <c r="A603" s="1">
        <v>601.0</v>
      </c>
      <c r="B603" s="3" t="s">
        <v>604</v>
      </c>
      <c r="C603" s="3" t="str">
        <f>IFERROR(__xludf.DUMMYFUNCTION("GOOGLETRANSLATE(B603,""id"",""en"")"),"['Telkomsel', 'Jancook', 'Life', 'Data', 'Credit', 'RB', 'Out', 'Where', 'Package', 'Data', 'Credit', 'Suck', ' Sampek ',' Anjeng ',' Anjeng ',' Kuntull ',' ']")</f>
        <v>['Telkomsel', 'Jancook', 'Life', 'Data', 'Credit', 'RB', 'Out', 'Where', 'Package', 'Data', 'Credit', 'Suck', ' Sampek ',' Anjeng ',' Anjeng ',' Kuntull ',' ']</v>
      </c>
      <c r="D603" s="3">
        <v>1.0</v>
      </c>
    </row>
    <row r="604" ht="15.75" customHeight="1">
      <c r="A604" s="1">
        <v>602.0</v>
      </c>
      <c r="B604" s="3" t="s">
        <v>605</v>
      </c>
      <c r="C604" s="3" t="str">
        <f>IFERROR(__xludf.DUMMYFUNCTION("GOOGLETRANSLATE(B604,""id"",""en"")"),"['Package', 'Internet', 'Disconnect', 'Report', 'Telkomsel', 'told', 'Try', 'Change', 'Have', 'Change', 'Send', 'Send', ' technicians', 'check', 'area', 'broke', 'signal', 'internet', 'love', 'solution', 'kayak', 'pulp']")</f>
        <v>['Package', 'Internet', 'Disconnect', 'Report', 'Telkomsel', 'told', 'Try', 'Change', 'Have', 'Change', 'Send', 'Send', ' technicians', 'check', 'area', 'broke', 'signal', 'internet', 'love', 'solution', 'kayak', 'pulp']</v>
      </c>
      <c r="D604" s="3">
        <v>1.0</v>
      </c>
    </row>
    <row r="605" ht="15.75" customHeight="1">
      <c r="A605" s="1">
        <v>603.0</v>
      </c>
      <c r="B605" s="3" t="s">
        <v>606</v>
      </c>
      <c r="C605" s="3" t="str">
        <f>IFERROR(__xludf.DUMMYFUNCTION("GOOGLETRANSLATE(B605,""id"",""en"")"),"['Good', 'fast', 'please', 'fill out', 'survey', 'satisfaction', 'appears', 'please', 'sorry', 'annoying', ""]")</f>
        <v>['Good', 'fast', 'please', 'fill out', 'survey', 'satisfaction', 'appears', 'please', 'sorry', 'annoying', "]</v>
      </c>
      <c r="D605" s="3">
        <v>5.0</v>
      </c>
    </row>
    <row r="606" ht="15.75" customHeight="1">
      <c r="A606" s="1">
        <v>604.0</v>
      </c>
      <c r="B606" s="3" t="s">
        <v>607</v>
      </c>
      <c r="C606" s="3" t="str">
        <f>IFERROR(__xludf.DUMMYFUNCTION("GOOGLETRANSLATE(B606,""id"",""en"")"),"['Terms',' Terms', 'Purchase', 'Package', 'Unlimited', 'Call', 'As',' Implementation ',' Cutting ',' Package ',' PDHL ',' Terms', ' provisions', 'reports',' many ',' respond ',' slow ',' wait ',' org ',' forget ',' ttg ',' complaint ',' org ',' random ' ,"&amp;" 'PDHL', 'Terms',' Terms', 'Purchases',' Written ',' Error ',' Company ',' Class', 'Telkomsel', 'Buy', 'Package', 'RB', ' JT ',' resident ',' ']")</f>
        <v>['Terms',' Terms', 'Purchase', 'Package', 'Unlimited', 'Call', 'As',' Implementation ',' Cutting ',' Package ',' PDHL ',' Terms', ' provisions', 'reports',' many ',' respond ',' slow ',' wait ',' org ',' forget ',' ttg ',' complaint ',' org ',' random ' , 'PDHL', 'Terms',' Terms', 'Purchases',' Written ',' Error ',' Company ',' Class', 'Telkomsel', 'Buy', 'Package', 'RB', ' JT ',' resident ',' ']</v>
      </c>
      <c r="D606" s="3">
        <v>1.0</v>
      </c>
    </row>
    <row r="607" ht="15.75" customHeight="1">
      <c r="A607" s="1">
        <v>605.0</v>
      </c>
      <c r="B607" s="3" t="s">
        <v>608</v>
      </c>
      <c r="C607" s="3" t="str">
        <f>IFERROR(__xludf.DUMMYFUNCTION("GOOGLETRANSLATE(B607,""id"",""en"")"),"['buy', 'package', 'combo', 'thrifty', 'mnt', 'tsel', 'sms',' tsel ',' darling ',' telephone ',' enter ',' mnt ',' MNT ',' promoted ',' complaints', 'settlement', '']")</f>
        <v>['buy', 'package', 'combo', 'thrifty', 'mnt', 'tsel', 'sms',' tsel ',' darling ',' telephone ',' enter ',' mnt ',' MNT ',' promoted ',' complaints', 'settlement', '']</v>
      </c>
      <c r="D607" s="3">
        <v>1.0</v>
      </c>
    </row>
    <row r="608" ht="15.75" customHeight="1">
      <c r="A608" s="1">
        <v>606.0</v>
      </c>
      <c r="B608" s="3" t="s">
        <v>609</v>
      </c>
      <c r="C608" s="3" t="str">
        <f>IFERROR(__xludf.DUMMYFUNCTION("GOOGLETRANSLATE(B608,""id"",""en"")"),"['Please', 'related', 'maximize', 'performance', 'network', 'really', 'problematic', 'network', 'pay', 'expensive', 'TPI', 'problematic', ' Cook ',' Lose ',' Network ',' Abal ',' ']")</f>
        <v>['Please', 'related', 'maximize', 'performance', 'network', 'really', 'problematic', 'network', 'pay', 'expensive', 'TPI', 'problematic', ' Cook ',' Lose ',' Network ',' Abal ',' ']</v>
      </c>
      <c r="D608" s="3">
        <v>2.0</v>
      </c>
    </row>
    <row r="609" ht="15.75" customHeight="1">
      <c r="A609" s="1">
        <v>607.0</v>
      </c>
      <c r="B609" s="3" t="s">
        <v>610</v>
      </c>
      <c r="C609" s="3" t="str">
        <f>IFERROR(__xludf.DUMMYFUNCTION("GOOGLETRANSLATE(B609,""id"",""en"")"),"['buy', 'package', 'bonus',' package ',' Disney ',' Hostar ',' right ',' rotate ',' film ',' package ',' main ',' Embat ',' The case ',' fraud ',' Kasi ',' star ',' Karna ',' Disappointed ',' Promise ',' Sweet ',' Telkomsel ',' Commitment ',' Package ']")</f>
        <v>['buy', 'package', 'bonus',' package ',' Disney ',' Hostar ',' right ',' rotate ',' film ',' package ',' main ',' Embat ',' The case ',' fraud ',' Kasi ',' star ',' Karna ',' Disappointed ',' Promise ',' Sweet ',' Telkomsel ',' Commitment ',' Package ']</v>
      </c>
      <c r="D609" s="3">
        <v>1.0</v>
      </c>
    </row>
    <row r="610" ht="15.75" customHeight="1">
      <c r="A610" s="1">
        <v>608.0</v>
      </c>
      <c r="B610" s="3" t="s">
        <v>611</v>
      </c>
      <c r="C610" s="3" t="str">
        <f>IFERROR(__xludf.DUMMYFUNCTION("GOOGLETRANSLATE(B610,""id"",""en"")"),"['expensive', 'compared to', 'provider', 'price', 'promo', 'difference', 'division', 'package', 'useful', ""]")</f>
        <v>['expensive', 'compared to', 'provider', 'price', 'promo', 'difference', 'division', 'package', 'useful', "]</v>
      </c>
      <c r="D610" s="3">
        <v>1.0</v>
      </c>
    </row>
    <row r="611" ht="15.75" customHeight="1">
      <c r="A611" s="1">
        <v>609.0</v>
      </c>
      <c r="B611" s="3" t="s">
        <v>612</v>
      </c>
      <c r="C611" s="3" t="str">
        <f>IFERROR(__xludf.DUMMYFUNCTION("GOOGLETRANSLATE(B611,""id"",""en"")"),"['Buy', 'Package', 'Afternoon', 'Package', 'Enter', 'Ujan', 'Wind', 'Storm', 'Signal', 'Strong', 'Doang', 'That's',' disappointed ',' bet ',' oath ']")</f>
        <v>['Buy', 'Package', 'Afternoon', 'Package', 'Enter', 'Ujan', 'Wind', 'Storm', 'Signal', 'Strong', 'Doang', 'That's',' disappointed ',' bet ',' oath ']</v>
      </c>
      <c r="D611" s="3">
        <v>1.0</v>
      </c>
    </row>
    <row r="612" ht="15.75" customHeight="1">
      <c r="A612" s="1">
        <v>610.0</v>
      </c>
      <c r="B612" s="3" t="s">
        <v>613</v>
      </c>
      <c r="C612" s="3" t="str">
        <f>IFERROR(__xludf.DUMMYFUNCTION("GOOGLETRANSLATE(B612,""id"",""en"")"),"['Application', 'Bad', 'Good', 'Hold', 'Dilapidated', 'Install', 'Kagak', 'Disappointed', 'Paketan', 'Expensive', 'Appears',' Gambler ',' The application ',' Disappointed ',' ']")</f>
        <v>['Application', 'Bad', 'Good', 'Hold', 'Dilapidated', 'Install', 'Kagak', 'Disappointed', 'Paketan', 'Expensive', 'Appears',' Gambler ',' The application ',' Disappointed ',' ']</v>
      </c>
      <c r="D612" s="3">
        <v>1.0</v>
      </c>
    </row>
    <row r="613" ht="15.75" customHeight="1">
      <c r="A613" s="1">
        <v>611.0</v>
      </c>
      <c r="B613" s="3" t="s">
        <v>614</v>
      </c>
      <c r="C613" s="3" t="str">
        <f>IFERROR(__xludf.DUMMYFUNCTION("GOOGLETRANSLATE(B613,""id"",""en"")"),"['unlimited', 'limits',' reach ',' boundary ',' see ',' Poto ',' muter ',' boro ',' boro ',' open ',' tik ',' tok ',' cave ',' buy ',' rich ',' that's', 'loss',' really ',' oath ',' please ',' fix ',' min ',' his brain ',' the package ']")</f>
        <v>['unlimited', 'limits',' reach ',' boundary ',' see ',' Poto ',' muter ',' boro ',' boro ',' open ',' tik ',' tok ',' cave ',' buy ',' rich ',' that's', 'loss',' really ',' oath ',' please ',' fix ',' min ',' his brain ',' the package ']</v>
      </c>
      <c r="D613" s="3">
        <v>5.0</v>
      </c>
    </row>
    <row r="614" ht="15.75" customHeight="1">
      <c r="A614" s="1">
        <v>612.0</v>
      </c>
      <c r="B614" s="3" t="s">
        <v>615</v>
      </c>
      <c r="C614" s="3" t="str">
        <f>IFERROR(__xludf.DUMMYFUNCTION("GOOGLETRANSLATE(B614,""id"",""en"")"),"['card', 'Post', 'Pay', 'card', 'Hello', 'Pre', 'Pay', 'Karna', 'Package', 'Pay', 'Rb', 'MBA', ' his custamer ',' confirm ',' appears', 'Artian', 'tax', 'put', 'nominal', 'total', 'rb', 'tax', 'rb', 'empor', 'boss' , 'Quya', 'essence', 'stop', 'subscribe'"&amp;", 'card', 'hello', 'post', 'pay', 'thank', 'love']")</f>
        <v>['card', 'Post', 'Pay', 'card', 'Hello', 'Pre', 'Pay', 'Karna', 'Package', 'Pay', 'Rb', 'MBA', ' his custamer ',' confirm ',' appears', 'Artian', 'tax', 'put', 'nominal', 'total', 'rb', 'tax', 'rb', 'empor', 'boss' , 'Quya', 'essence', 'stop', 'subscribe', 'card', 'hello', 'post', 'pay', 'thank', 'love']</v>
      </c>
      <c r="D614" s="3">
        <v>1.0</v>
      </c>
    </row>
    <row r="615" ht="15.75" customHeight="1">
      <c r="A615" s="1">
        <v>613.0</v>
      </c>
      <c r="B615" s="3" t="s">
        <v>616</v>
      </c>
      <c r="C615" s="3" t="str">
        <f>IFERROR(__xludf.DUMMYFUNCTION("GOOGLETRANSLATE(B615,""id"",""en"")"),"['gmn', 'open', 'the application', 'heavy', 'already', 'entered', 'nge', 'blank', 'heavy', 'basically', 'lose', 'ama', ' Application ',' Next to ',' Miss', 'Use', 'The Application', '']")</f>
        <v>['gmn', 'open', 'the application', 'heavy', 'already', 'entered', 'nge', 'blank', 'heavy', 'basically', 'lose', 'ama', ' Application ',' Next to ',' Miss', 'Use', 'The Application', '']</v>
      </c>
      <c r="D615" s="3">
        <v>3.0</v>
      </c>
    </row>
    <row r="616" ht="15.75" customHeight="1">
      <c r="A616" s="1">
        <v>614.0</v>
      </c>
      <c r="B616" s="3" t="s">
        <v>617</v>
      </c>
      <c r="C616" s="3" t="str">
        <f>IFERROR(__xludf.DUMMYFUNCTION("GOOGLETRANSLATE(B616,""id"",""en"")"),"['ugly', 'credit', 'Telkomsel', 'buy', 'subscribe', 'App', 'Game', 'Google', 'Play', 'History', 'Purchase', 'Payment', ' ']")</f>
        <v>['ugly', 'credit', 'Telkomsel', 'buy', 'subscribe', 'App', 'Game', 'Google', 'Play', 'History', 'Purchase', 'Payment', ' ']</v>
      </c>
      <c r="D616" s="3">
        <v>1.0</v>
      </c>
    </row>
    <row r="617" ht="15.75" customHeight="1">
      <c r="A617" s="1">
        <v>615.0</v>
      </c>
      <c r="B617" s="3" t="s">
        <v>618</v>
      </c>
      <c r="C617" s="3" t="str">
        <f>IFERROR(__xludf.DUMMYFUNCTION("GOOGLETRANSLATE(B617,""id"",""en"")"),"['Update', 'application', 'quality', 'network', 'repaired', 'package', 'price', 'expensive', 'star', 'yak', 'maap', 'min']")</f>
        <v>['Update', 'application', 'quality', 'network', 'repaired', 'package', 'price', 'expensive', 'star', 'yak', 'maap', 'min']</v>
      </c>
      <c r="D617" s="3">
        <v>1.0</v>
      </c>
    </row>
    <row r="618" ht="15.75" customHeight="1">
      <c r="A618" s="1">
        <v>616.0</v>
      </c>
      <c r="B618" s="3" t="s">
        <v>619</v>
      </c>
      <c r="C618" s="3" t="str">
        <f>IFERROR(__xludf.DUMMYFUNCTION("GOOGLETRANSLATE(B618,""id"",""en"")"),"['Telkomsel', 'The network', 'like', 'dirt', 'slow', 'forgiveness',' people ',' buy ',' package ',' money ',' leaves', 'dry', ' Please, 'Love', 'Comfort', 'Customer', '']")</f>
        <v>['Telkomsel', 'The network', 'like', 'dirt', 'slow', 'forgiveness',' people ',' buy ',' package ',' money ',' leaves', 'dry', ' Please, 'Love', 'Comfort', 'Customer', '']</v>
      </c>
      <c r="D618" s="3">
        <v>1.0</v>
      </c>
    </row>
    <row r="619" ht="15.75" customHeight="1">
      <c r="A619" s="1">
        <v>617.0</v>
      </c>
      <c r="B619" s="3" t="s">
        <v>620</v>
      </c>
      <c r="C619" s="3" t="str">
        <f>IFERROR(__xludf.DUMMYFUNCTION("GOOGLETRANSLATE(B619,""id"",""en"")"),"['bad', 'users',' Telkomsel ',' tens', 'here', 'network', 'bad', 'garden', 'animal', 'mouth', 'play', 'game', ' Open ',' apk ',' muter ',' stressed ',' crazy ',' chaotic ',' price ',' expensive ',' maximum ',' really ',' disappointed ',' ']")</f>
        <v>['bad', 'users',' Telkomsel ',' tens', 'here', 'network', 'bad', 'garden', 'animal', 'mouth', 'play', 'game', ' Open ',' apk ',' muter ',' stressed ',' crazy ',' chaotic ',' price ',' expensive ',' maximum ',' really ',' disappointed ',' ']</v>
      </c>
      <c r="D619" s="3">
        <v>1.0</v>
      </c>
    </row>
    <row r="620" ht="15.75" customHeight="1">
      <c r="A620" s="1">
        <v>618.0</v>
      </c>
      <c r="B620" s="3" t="s">
        <v>621</v>
      </c>
      <c r="C620" s="3" t="str">
        <f>IFERROR(__xludf.DUMMYFUNCTION("GOOGLETRANSLATE(B620,""id"",""en"")"),"['Points',' Fill ',' reset ',' Exchange ',' Points', 'Win', 'Car', 'Toyota', 'Yaris',' BGM ',' Lottery ',' Bro ',' Application ',' detrimental ',' consumer ',' correction ',' ']")</f>
        <v>['Points',' Fill ',' reset ',' Exchange ',' Points', 'Win', 'Car', 'Toyota', 'Yaris',' BGM ',' Lottery ',' Bro ',' Application ',' detrimental ',' consumer ',' correction ',' ']</v>
      </c>
      <c r="D620" s="3">
        <v>3.0</v>
      </c>
    </row>
    <row r="621" ht="15.75" customHeight="1">
      <c r="A621" s="1">
        <v>619.0</v>
      </c>
      <c r="B621" s="3" t="s">
        <v>622</v>
      </c>
      <c r="C621" s="3" t="str">
        <f>IFERROR(__xludf.DUMMYFUNCTION("GOOGLETRANSLATE(B621,""id"",""en"")"),"['Provider', 'the oldest', 'country', 'darling', 'price', 'package', 'data', 'internet', 'understanding', 'dhaman', 'sudh', 'dominated', ' Jringn ',' Internet ',' Price ',' Mehong ',' ']")</f>
        <v>['Provider', 'the oldest', 'country', 'darling', 'price', 'package', 'data', 'internet', 'understanding', 'dhaman', 'sudh', 'dominated', ' Jringn ',' Internet ',' Price ',' Mehong ',' ']</v>
      </c>
      <c r="D621" s="3">
        <v>1.0</v>
      </c>
    </row>
    <row r="622" ht="15.75" customHeight="1">
      <c r="A622" s="1">
        <v>620.0</v>
      </c>
      <c r="B622" s="3" t="s">
        <v>623</v>
      </c>
      <c r="C622" s="3" t="str">
        <f>IFERROR(__xludf.DUMMYFUNCTION("GOOGLETRANSLATE(B622,""id"",""en"")"),"['', 'Afternoon', 'Telkomsel', 'Network', 'ilang', 'card', 'SIM', 'rich', 'dislodged', 'kebaca', 'poor', 'oath', 'Telkomsel ',' disturbed ',' rich ',' gini ',' then ',' right ',' buy ',' expensive ',' package ',' ']")</f>
        <v>['', 'Afternoon', 'Telkomsel', 'Network', 'ilang', 'card', 'SIM', 'rich', 'dislodged', 'kebaca', 'poor', 'oath', 'Telkomsel ',' disturbed ',' rich ',' gini ',' then ',' right ',' buy ',' expensive ',' package ',' ']</v>
      </c>
      <c r="D622" s="3">
        <v>1.0</v>
      </c>
    </row>
    <row r="623" ht="15.75" customHeight="1">
      <c r="A623" s="1">
        <v>621.0</v>
      </c>
      <c r="B623" s="3" t="s">
        <v>624</v>
      </c>
      <c r="C623" s="3" t="str">
        <f>IFERROR(__xludf.DUMMYFUNCTION("GOOGLETRANSLATE(B623,""id"",""en"")"),"['Network', 'bad', 'week', 'Wait', 'improvement', 'network', 'edge', 'destroyed', 'Manyuah', 'worries',' restar ',' tried it ',' times', 'results',' zero ',' if ',' area ',' provider ',' moved ',' provider ',' Telkomsel ',' comment ',' person ',' person '"&amp;",' read ' , 'Read', 'Please', 'Fix', 'Disappointed', 'Condition', 'Telkomsel', '']")</f>
        <v>['Network', 'bad', 'week', 'Wait', 'improvement', 'network', 'edge', 'destroyed', 'Manyuah', 'worries',' restar ',' tried it ',' times', 'results',' zero ',' if ',' area ',' provider ',' moved ',' provider ',' Telkomsel ',' comment ',' person ',' person ',' read ' , 'Read', 'Please', 'Fix', 'Disappointed', 'Condition', 'Telkomsel', '']</v>
      </c>
      <c r="D623" s="3">
        <v>1.0</v>
      </c>
    </row>
    <row r="624" ht="15.75" customHeight="1">
      <c r="A624" s="1">
        <v>622.0</v>
      </c>
      <c r="B624" s="3" t="s">
        <v>625</v>
      </c>
      <c r="C624" s="3" t="str">
        <f>IFERROR(__xludf.DUMMYFUNCTION("GOOGLETRANSLATE(B624,""id"",""en"")"),"['forced', 'love', 'star', 'Telkomsel', 'slow', 'signal', 'missing', 'stay', 'city', 'expensive', 'buy', 'quota']")</f>
        <v>['forced', 'love', 'star', 'Telkomsel', 'slow', 'signal', 'missing', 'stay', 'city', 'expensive', 'buy', 'quota']</v>
      </c>
      <c r="D624" s="3">
        <v>1.0</v>
      </c>
    </row>
    <row r="625" ht="15.75" customHeight="1">
      <c r="A625" s="1">
        <v>623.0</v>
      </c>
      <c r="B625" s="3" t="s">
        <v>626</v>
      </c>
      <c r="C625" s="3" t="str">
        <f>IFERROR(__xludf.DUMMYFUNCTION("GOOGLETRANSLATE(B625,""id"",""en"")"),"['already', 'really', 'Telkomsel', 'disappointed', 'already', 'call', 'operator', 'reset', 'replace', 'Tetep', 'Network', 'Loading', ' Very ',' Geruget ',' Forgiveness', 'Tawarin', 'Move', 'Package', 'Promo', 'What's',' Bodo ',' Mahhh ',' Package ',' inte"&amp;"rnet ',' Heague ' , 'Gregettttt', 'Maless', '']")</f>
        <v>['already', 'really', 'Telkomsel', 'disappointed', 'already', 'call', 'operator', 'reset', 'replace', 'Tetep', 'Network', 'Loading', ' Very ',' Geruget ',' Forgiveness', 'Tawarin', 'Move', 'Package', 'Promo', 'What's',' Bodo ',' Mahhh ',' Package ',' internet ',' Heague ' , 'Gregettttt', 'Maless', '']</v>
      </c>
      <c r="D625" s="3">
        <v>1.0</v>
      </c>
    </row>
    <row r="626" ht="15.75" customHeight="1">
      <c r="A626" s="1">
        <v>624.0</v>
      </c>
      <c r="B626" s="3" t="s">
        <v>627</v>
      </c>
      <c r="C626" s="3" t="str">
        <f>IFERROR(__xludf.DUMMYFUNCTION("GOOGLETRANSLATE(B626,""id"",""en"")"),"['buy', 'package', 'choice', 'unlimited', 'buy', 'pulse', 'turn', 'missing', 'rich', 'gini', 'politics',' Telkomsel ',' kmrn ',' buy ',' package ',' unlimited ',' youtube ',' a week ',' just ',' reset ',' telkomsel ',' quality ',' Telkomsel ',' ']")</f>
        <v>['buy', 'package', 'choice', 'unlimited', 'buy', 'pulse', 'turn', 'missing', 'rich', 'gini', 'politics',' Telkomsel ',' kmrn ',' buy ',' package ',' unlimited ',' youtube ',' a week ',' just ',' reset ',' telkomsel ',' quality ',' Telkomsel ',' ']</v>
      </c>
      <c r="D626" s="3">
        <v>1.0</v>
      </c>
    </row>
    <row r="627" ht="15.75" customHeight="1">
      <c r="A627" s="1">
        <v>625.0</v>
      </c>
      <c r="B627" s="3" t="s">
        <v>628</v>
      </c>
      <c r="C627" s="3" t="str">
        <f>IFERROR(__xludf.DUMMYFUNCTION("GOOGLETRANSLATE(B627,""id"",""en"")"),"['What', 'application', 'buy', 'pulse', 'platform', 'mytelkomsel', 'already', 'transfer', 'balance', 'cheek', 'pulses',' enter ',' Until ',' skrg ', ""]")</f>
        <v>['What', 'application', 'buy', 'pulse', 'platform', 'mytelkomsel', 'already', 'transfer', 'balance', 'cheek', 'pulses',' enter ',' Until ',' skrg ', "]</v>
      </c>
      <c r="D627" s="3">
        <v>1.0</v>
      </c>
    </row>
    <row r="628" ht="15.75" customHeight="1">
      <c r="A628" s="1">
        <v>626.0</v>
      </c>
      <c r="B628" s="3" t="s">
        <v>629</v>
      </c>
      <c r="C628" s="3" t="str">
        <f>IFERROR(__xludf.DUMMYFUNCTION("GOOGLETRANSLATE(B628,""id"",""en"")"),"['Package', 'Extra', 'Unlimited', 'Max', 'Addin', 'Region', 'Sragen', 'Region', 'Indonesia', 'Indonesia', 'Different', ' Kannn ',' ']")</f>
        <v>['Package', 'Extra', 'Unlimited', 'Max', 'Addin', 'Region', 'Sragen', 'Region', 'Indonesia', 'Indonesia', 'Different', ' Kannn ',' ']</v>
      </c>
      <c r="D628" s="3">
        <v>1.0</v>
      </c>
    </row>
    <row r="629" ht="15.75" customHeight="1">
      <c r="A629" s="1">
        <v>627.0</v>
      </c>
      <c r="B629" s="3" t="s">
        <v>630</v>
      </c>
      <c r="C629" s="3" t="str">
        <f>IFERROR(__xludf.DUMMYFUNCTION("GOOGLETRANSLATE(B629,""id"",""en"")"),"['Please', 'Network', 'Strengthen', 'Region', 'Use', 'Telkomsel', 'TPI', 'Dear', 'Ngeluh', 'Gara', 'Network', 'Disconnect', ' Game ',' difficult ',' really ',' network ',' Telkomsel ',' please ',' Min ',' Strengthen ',' Network ',' Telkomsel ',' Area ',' "&amp;"Bojonegoro ',' Tower ' , 'difficult', 'network', 'love', 'star', 'disappointed', 'Telkomsel', ""]")</f>
        <v>['Please', 'Network', 'Strengthen', 'Region', 'Use', 'Telkomsel', 'TPI', 'Dear', 'Ngeluh', 'Gara', 'Network', 'Disconnect', ' Game ',' difficult ',' really ',' network ',' Telkomsel ',' please ',' Min ',' Strengthen ',' Network ',' Telkomsel ',' Area ',' Bojonegoro ',' Tower ' , 'difficult', 'network', 'love', 'star', 'disappointed', 'Telkomsel', "]</v>
      </c>
      <c r="D629" s="3">
        <v>4.0</v>
      </c>
    </row>
    <row r="630" ht="15.75" customHeight="1">
      <c r="A630" s="1">
        <v>628.0</v>
      </c>
      <c r="B630" s="3" t="s">
        <v>631</v>
      </c>
      <c r="C630" s="3" t="str">
        <f>IFERROR(__xludf.DUMMYFUNCTION("GOOGLETRANSLATE(B630,""id"",""en"")"),"['Please', 'fix', 'code', 'PUK', 'number', 'slow', 'application', 'terbimah', 'love', ""]")</f>
        <v>['Please', 'fix', 'code', 'PUK', 'number', 'slow', 'application', 'terbimah', 'love', "]</v>
      </c>
      <c r="D630" s="3">
        <v>2.0</v>
      </c>
    </row>
    <row r="631" ht="15.75" customHeight="1">
      <c r="A631" s="1">
        <v>629.0</v>
      </c>
      <c r="B631" s="3" t="s">
        <v>632</v>
      </c>
      <c r="C631" s="3" t="str">
        <f>IFERROR(__xludf.DUMMYFUNCTION("GOOGLETRANSLATE(B631,""id"",""en"")"),"['Type', 'Abis', 'converts', 'Telkomsel', 'pig', 'network', 'missing', 'signal', 'right', 'play', 'game', 'then' said ',' card ',' SIM ',' network ',' kayak ',' gini ',' always', 'supports',' ']")</f>
        <v>['Type', 'Abis', 'converts', 'Telkomsel', 'pig', 'network', 'missing', 'signal', 'right', 'play', 'game', 'then' said ',' card ',' SIM ',' network ',' kayak ',' gini ',' always', 'supports',' ']</v>
      </c>
      <c r="D631" s="3">
        <v>1.0</v>
      </c>
    </row>
    <row r="632" ht="15.75" customHeight="1">
      <c r="A632" s="1">
        <v>630.0</v>
      </c>
      <c r="B632" s="3" t="s">
        <v>633</v>
      </c>
      <c r="C632" s="3" t="str">
        <f>IFERROR(__xludf.DUMMYFUNCTION("GOOGLETRANSLATE(B632,""id"",""en"")"),"['Package', 'Talk', 'SMS', 'Internet', 'Lottery', 'Prize', 'Hopefully', 'Win', 'Lottery', 'Motor', 'Nmax', 'hehehe', ' Okay ',' Like ',' ']")</f>
        <v>['Package', 'Talk', 'SMS', 'Internet', 'Lottery', 'Prize', 'Hopefully', 'Win', 'Lottery', 'Motor', 'Nmax', 'hehehe', ' Okay ',' Like ',' ']</v>
      </c>
      <c r="D632" s="3">
        <v>5.0</v>
      </c>
    </row>
    <row r="633" ht="15.75" customHeight="1">
      <c r="A633" s="1">
        <v>631.0</v>
      </c>
      <c r="B633" s="3" t="s">
        <v>634</v>
      </c>
      <c r="C633" s="3" t="str">
        <f>IFERROR(__xludf.DUMMYFUNCTION("GOOGLETRANSLATE(B633,""id"",""en"")"),"['Kouta', 'expensive', 'really', 'network', 'stable', 'waste', 'card', 'Telkomsel', 'Mending', 'Indosat', 'my computer', 'cheap', ' network ',' Not bad ',' watch ',' play ',' game ',' smooth ',' luck ',' im ',' safe ',' kouta ',' kayak ',' telko ',' puyen"&amp;"g ' ]")</f>
        <v>['Kouta', 'expensive', 'really', 'network', 'stable', 'waste', 'card', 'Telkomsel', 'Mending', 'Indosat', 'my computer', 'cheap', ' network ',' Not bad ',' watch ',' play ',' game ',' smooth ',' luck ',' im ',' safe ',' kouta ',' kayak ',' telko ',' puyeng ' ]</v>
      </c>
      <c r="D633" s="3">
        <v>1.0</v>
      </c>
    </row>
    <row r="634" ht="15.75" customHeight="1">
      <c r="A634" s="1">
        <v>632.0</v>
      </c>
      <c r="B634" s="3" t="s">
        <v>635</v>
      </c>
      <c r="C634" s="3" t="str">
        <f>IFERROR(__xludf.DUMMYFUNCTION("GOOGLETRANSLATE(B634,""id"",""en"")"),"['APK', 'BNGST', 'Bad', 'World', 'Gara', 'Gara', 'APK', 'Cave', 'Depression', 'Credit', 'Cave', 'Sumpot', ' Update ',' Sumpot ',' Credit ',' Cave ',' Sumpot ',' Buy ',' Package ',' Learning ',' Online ',' Gara ',' Gara ',' APK ',' Cave ' , 'angry', 'paren"&amp;"ts', 'hatch', 'ngak', 'prayer', 'APK', 'go bankrupt', 'bark', 'amin']")</f>
        <v>['APK', 'BNGST', 'Bad', 'World', 'Gara', 'Gara', 'APK', 'Cave', 'Depression', 'Credit', 'Cave', 'Sumpot', ' Update ',' Sumpot ',' Credit ',' Cave ',' Sumpot ',' Buy ',' Package ',' Learning ',' Online ',' Gara ',' Gara ',' APK ',' Cave ' , 'angry', 'parents', 'hatch', 'ngak', 'prayer', 'APK', 'go bankrupt', 'bark', 'amin']</v>
      </c>
      <c r="D634" s="3">
        <v>1.0</v>
      </c>
    </row>
    <row r="635" ht="15.75" customHeight="1">
      <c r="A635" s="1">
        <v>633.0</v>
      </c>
      <c r="B635" s="3" t="s">
        <v>636</v>
      </c>
      <c r="C635" s="3" t="str">
        <f>IFERROR(__xludf.DUMMYFUNCTION("GOOGLETRANSLATE(B635,""id"",""en"")"),"['Severe', 'Nye', 'down', 'price', 'package', 'nye', 'heee', 'condition', 'rich', 'gini', 'pelnggan', 'mah', ' Package ',' cheap ',' Wort ',' I ',' Customer ',' number ',' I've, 'get', 'package', 'wort', 'dapetnye', 'expensive', 'apaiya' , 'protest', 'giv"&amp;"en', 'cheap', 'signal', 'nye', 'broken', 'please', 'telkom', 'think', 'pelnggan', 'customer', 'move', ' Brand ',' Next to ',' given ',' Choose ',' package ',' expensive ',' Mulu ',' I ',' person ',' rich ', ""]")</f>
        <v>['Severe', 'Nye', 'down', 'price', 'package', 'nye', 'heee', 'condition', 'rich', 'gini', 'pelnggan', 'mah', ' Package ',' cheap ',' Wort ',' I ',' Customer ',' number ',' I've, 'get', 'package', 'wort', 'dapetnye', 'expensive', 'apaiya' , 'protest', 'given', 'cheap', 'signal', 'nye', 'broken', 'please', 'telkom', 'think', 'pelnggan', 'customer', 'move', ' Brand ',' Next to ',' given ',' Choose ',' package ',' expensive ',' Mulu ',' I ',' person ',' rich ', "]</v>
      </c>
      <c r="D635" s="3">
        <v>1.0</v>
      </c>
    </row>
    <row r="636" ht="15.75" customHeight="1">
      <c r="A636" s="1">
        <v>634.0</v>
      </c>
      <c r="B636" s="3" t="s">
        <v>637</v>
      </c>
      <c r="C636" s="3" t="str">
        <f>IFERROR(__xludf.DUMMYFUNCTION("GOOGLETRANSLATE(B636,""id"",""en"")"),"['Maap', 'Change', 'star', 'slow', 'slow', 'mainstay', 'work', 'chaotic', 'Gara', 'slow', 'already', 'customers',' Times', 'Disappointed', 'Severe', '']")</f>
        <v>['Maap', 'Change', 'star', 'slow', 'slow', 'mainstay', 'work', 'chaotic', 'Gara', 'slow', 'already', 'customers',' Times', 'Disappointed', 'Severe', '']</v>
      </c>
      <c r="D636" s="3">
        <v>1.0</v>
      </c>
    </row>
    <row r="637" ht="15.75" customHeight="1">
      <c r="A637" s="1">
        <v>635.0</v>
      </c>
      <c r="B637" s="3" t="s">
        <v>638</v>
      </c>
      <c r="C637" s="3" t="str">
        <f>IFERROR(__xludf.DUMMYFUNCTION("GOOGLETRANSLATE(B637,""id"",""en"")"),"['Krnapa', 'package', 'unlimited', 'pay', 'expensive', 'package', 'unlimited', 'UTU', 'name', 'limited', 'min', 'deh', ' Kadi ',' kek ',' loss', 'buy', 'unlimited', 'so', 'thank', 'quota']")</f>
        <v>['Krnapa', 'package', 'unlimited', 'pay', 'expensive', 'package', 'unlimited', 'UTU', 'name', 'limited', 'min', 'deh', ' Kadi ',' kek ',' loss', 'buy', 'unlimited', 'so', 'thank', 'quota']</v>
      </c>
      <c r="D637" s="3">
        <v>3.0</v>
      </c>
    </row>
    <row r="638" ht="15.75" customHeight="1">
      <c r="A638" s="1">
        <v>636.0</v>
      </c>
      <c r="B638" s="3" t="s">
        <v>639</v>
      </c>
      <c r="C638" s="3" t="str">
        <f>IFERROR(__xludf.DUMMYFUNCTION("GOOGLETRANSLATE(B638,""id"",""en"")"),"['network', 'telkon', 'disorder', 'already', 'good', 'signal', 'fit', 'enter', 'game', 'online', 'please', 'telkom', ' Buy ',' Vocer ',' Telkom ',' expensive ',' according to ',' Network ',' Good ',' ']")</f>
        <v>['network', 'telkon', 'disorder', 'already', 'good', 'signal', 'fit', 'enter', 'game', 'online', 'please', 'telkom', ' Buy ',' Vocer ',' Telkom ',' expensive ',' according to ',' Network ',' Good ',' ']</v>
      </c>
      <c r="D638" s="3">
        <v>1.0</v>
      </c>
    </row>
    <row r="639" ht="15.75" customHeight="1">
      <c r="A639" s="1">
        <v>637.0</v>
      </c>
      <c r="B639" s="3" t="s">
        <v>640</v>
      </c>
      <c r="C639" s="3" t="str">
        <f>IFERROR(__xludf.DUMMYFUNCTION("GOOGLETRANSLATE(B639,""id"",""en"")"),"['quota', 'UDH', 'just', 'little', 'speed', 'ping', 'reduced', 'drastic', 'package', 'quota', 'udh', 'a little', ' Please ',' Developer ',' Changed ',' Strength ',' Ping ',' Need ',' Fluency ',' Internet ',' Region ',' Minimal ',' Signal ',' Developer ','"&amp;" wise ' , '']")</f>
        <v>['quota', 'UDH', 'just', 'little', 'speed', 'ping', 'reduced', 'drastic', 'package', 'quota', 'udh', 'a little', ' Please ',' Developer ',' Changed ',' Strength ',' Ping ',' Need ',' Fluency ',' Internet ',' Region ',' Minimal ',' Signal ',' Developer ',' wise ' , '']</v>
      </c>
      <c r="D639" s="3">
        <v>3.0</v>
      </c>
    </row>
    <row r="640" ht="15.75" customHeight="1">
      <c r="A640" s="1">
        <v>638.0</v>
      </c>
      <c r="B640" s="3" t="s">
        <v>641</v>
      </c>
      <c r="C640" s="3" t="str">
        <f>IFERROR(__xludf.DUMMYFUNCTION("GOOGLETRANSLATE(B640,""id"",""en"")"),"['Please', 'Telkomsel', 'Sukak', 'MOTH', 'Credit', 'People', 'Reasons',' Package ',' Emergency ',' Credit ',' Cut ',' times', ' sometimes', 'package', 'emergency', 'fill', 'pulse', 'pulses',' truncated ', ""]")</f>
        <v>['Please', 'Telkomsel', 'Sukak', 'MOTH', 'Credit', 'People', 'Reasons',' Package ',' Emergency ',' Credit ',' Cut ',' times', ' sometimes', 'package', 'emergency', 'fill', 'pulse', 'pulses',' truncated ', "]</v>
      </c>
      <c r="D640" s="3">
        <v>5.0</v>
      </c>
    </row>
    <row r="641" ht="15.75" customHeight="1">
      <c r="A641" s="1">
        <v>639.0</v>
      </c>
      <c r="B641" s="3" t="s">
        <v>642</v>
      </c>
      <c r="C641" s="3" t="str">
        <f>IFERROR(__xludf.DUMMYFUNCTION("GOOGLETRANSLATE(B641,""id"",""en"")"),"['Taikkomsel', 'kimak', 'signal', 'quota', 'internet', 'open', 'you', 'tube', 'video', 'whataaaaa', '']")</f>
        <v>['Taikkomsel', 'kimak', 'signal', 'quota', 'internet', 'open', 'you', 'tube', 'video', 'whataaaaa', '']</v>
      </c>
      <c r="D641" s="3">
        <v>1.0</v>
      </c>
    </row>
    <row r="642" ht="15.75" customHeight="1">
      <c r="A642" s="1">
        <v>640.0</v>
      </c>
      <c r="B642" s="3" t="s">
        <v>643</v>
      </c>
      <c r="C642" s="3" t="str">
        <f>IFERROR(__xludf.DUMMYFUNCTION("GOOGLETRANSLATE(B642,""id"",""en"")"),"['Please', 'The network', 'Enhanced', 'Please', 'Fast', 'Complete', 'Learning', 'Online', 'Tribulation', 'Signal', 'Ngerni', 'Price', ' Expensive ',' network ',' downhill ',' ']")</f>
        <v>['Please', 'The network', 'Enhanced', 'Please', 'Fast', 'Complete', 'Learning', 'Online', 'Tribulation', 'Signal', 'Ngerni', 'Price', ' Expensive ',' network ',' downhill ',' ']</v>
      </c>
      <c r="D642" s="3">
        <v>1.0</v>
      </c>
    </row>
    <row r="643" ht="15.75" customHeight="1">
      <c r="A643" s="1">
        <v>641.0</v>
      </c>
      <c r="B643" s="3" t="s">
        <v>644</v>
      </c>
      <c r="C643" s="3" t="str">
        <f>IFERROR(__xludf.DUMMYFUNCTION("GOOGLETRANSLATE(B643,""id"",""en"")"),"['network', 'fake', 'home', 'full', 'total', 'stable', 'outside', 'home', 'network', 'reduced', 'drastic', 'stable', ' Current ',' imitate ',' Indosat ',' inside ',' home ',' signal ',' bad ',' stable ',' Telkomsel ',' lying ']")</f>
        <v>['network', 'fake', 'home', 'full', 'total', 'stable', 'outside', 'home', 'network', 'reduced', 'drastic', 'stable', ' Current ',' imitate ',' Indosat ',' inside ',' home ',' signal ',' bad ',' stable ',' Telkomsel ',' lying ']</v>
      </c>
      <c r="D643" s="3">
        <v>1.0</v>
      </c>
    </row>
    <row r="644" ht="15.75" customHeight="1">
      <c r="A644" s="1">
        <v>642.0</v>
      </c>
      <c r="B644" s="3" t="s">
        <v>645</v>
      </c>
      <c r="C644" s="3" t="str">
        <f>IFERROR(__xludf.DUMMYFUNCTION("GOOGLETRANSLATE(B644,""id"",""en"")"),"['Good', 'Paketan', 'Data', 'Unlimited', 'Out', 'Unlimited', 'Dipake', 'Week', 'Out', 'Iki', 'OPOOOO', '']")</f>
        <v>['Good', 'Paketan', 'Data', 'Unlimited', 'Out', 'Unlimited', 'Dipake', 'Week', 'Out', 'Iki', 'OPOOOO', '']</v>
      </c>
      <c r="D644" s="3">
        <v>5.0</v>
      </c>
    </row>
    <row r="645" ht="15.75" customHeight="1">
      <c r="A645" s="1">
        <v>643.0</v>
      </c>
      <c r="B645" s="3" t="s">
        <v>646</v>
      </c>
      <c r="C645" s="3" t="str">
        <f>IFERROR(__xludf.DUMMYFUNCTION("GOOGLETRANSLATE(B645,""id"",""en"")"),"['min', 'price', 'quota', 'expensive', 'kasian', 'person', 'old', 'child', 'school', 'online', 'wasteful', 'quota', ' Dri ',' money ',' book ',' ']")</f>
        <v>['min', 'price', 'quota', 'expensive', 'kasian', 'person', 'old', 'child', 'school', 'online', 'wasteful', 'quota', ' Dri ',' money ',' book ',' ']</v>
      </c>
      <c r="D645" s="3">
        <v>1.0</v>
      </c>
    </row>
    <row r="646" ht="15.75" customHeight="1">
      <c r="A646" s="1">
        <v>644.0</v>
      </c>
      <c r="B646" s="3" t="s">
        <v>647</v>
      </c>
      <c r="C646" s="3" t="str">
        <f>IFERROR(__xludf.DUMMYFUNCTION("GOOGLETRANSLATE(B646,""id"",""en"")"),"['Salah', 'Provider', 'Telecommunications',' Professional ',' Proven ',' Take ',' Credit ',' Consumers', 'Cheat', 'Persons',' Arrested ',' Hahahaha ',' ']")</f>
        <v>['Salah', 'Provider', 'Telecommunications',' Professional ',' Proven ',' Take ',' Credit ',' Consumers', 'Cheat', 'Persons',' Arrested ',' Hahahaha ',' ']</v>
      </c>
      <c r="D646" s="3">
        <v>1.0</v>
      </c>
    </row>
    <row r="647" ht="15.75" customHeight="1">
      <c r="A647" s="1">
        <v>645.0</v>
      </c>
      <c r="B647" s="3" t="s">
        <v>648</v>
      </c>
      <c r="C647" s="3" t="str">
        <f>IFERROR(__xludf.DUMMYFUNCTION("GOOGLETRANSLATE(B647,""id"",""en"")"),"['Package', 'Internet', 'Combo', 'Sakti', 'Unlimited', 'Use', 'Package', 'Internet', 'Out', 'Activate', 'Barengan', 'Used', ' ']")</f>
        <v>['Package', 'Internet', 'Combo', 'Sakti', 'Unlimited', 'Use', 'Package', 'Internet', 'Out', 'Activate', 'Barengan', 'Used', ' ']</v>
      </c>
      <c r="D647" s="3">
        <v>1.0</v>
      </c>
    </row>
    <row r="648" ht="15.75" customHeight="1">
      <c r="A648" s="1">
        <v>646.0</v>
      </c>
      <c r="B648" s="3" t="s">
        <v>649</v>
      </c>
      <c r="C648" s="3" t="str">
        <f>IFERROR(__xludf.DUMMYFUNCTION("GOOGLETRANSLATE(B648,""id"",""en"")"),"['application', 'open', 'option', 'update', 'application', 'update', 'application', 'delay', 'update', 'option', 'like', 'choose', ' update ',' application ',' knapa ',' update ',' requires', 'person', 'update', 'yes',' smooth ',' no ',' open ',' applicat"&amp;"ion ',' before ' , 'fluent', '']")</f>
        <v>['application', 'open', 'option', 'update', 'application', 'update', 'application', 'delay', 'update', 'option', 'like', 'choose', ' update ',' application ',' knapa ',' update ',' requires', 'person', 'update', 'yes',' smooth ',' no ',' open ',' application ',' before ' , 'fluent', '']</v>
      </c>
      <c r="D648" s="3">
        <v>1.0</v>
      </c>
    </row>
    <row r="649" ht="15.75" customHeight="1">
      <c r="A649" s="1">
        <v>647.0</v>
      </c>
      <c r="B649" s="3" t="s">
        <v>650</v>
      </c>
      <c r="C649" s="3" t="str">
        <f>IFERROR(__xludf.DUMMYFUNCTION("GOOGLETRANSLATE(B649,""id"",""en"")"),"['Paketannya', 'Package', 'TLP', 'Package', 'Kring', 'SKRG', 'Package', 'SLI', 'Package', 'SPT', 'Suggest', 'Package', ' Internet ',' OMG ',' Package ',' Combo ',' Sakti ',' Expensive ',' SERBA ',' Different ',' Territory ',' Expensive ',' Price ']")</f>
        <v>['Paketannya', 'Package', 'TLP', 'Package', 'Kring', 'SKRG', 'Package', 'SLI', 'Package', 'SPT', 'Suggest', 'Package', ' Internet ',' OMG ',' Package ',' Combo ',' Sakti ',' Expensive ',' SERBA ',' Different ',' Territory ',' Expensive ',' Price ']</v>
      </c>
      <c r="D649" s="3">
        <v>1.0</v>
      </c>
    </row>
    <row r="650" ht="15.75" customHeight="1">
      <c r="A650" s="1">
        <v>648.0</v>
      </c>
      <c r="B650" s="3" t="s">
        <v>651</v>
      </c>
      <c r="C650" s="3" t="str">
        <f>IFERROR(__xludf.DUMMYFUNCTION("GOOGLETRANSLATE(B650,""id"",""en"")"),"['Pakek', 'Telkomsel', 'deh', 'already', 'expensive', 'wasteful', 'really', 'pulses', 'really', 'sumps', 'please', 'enlightenment']")</f>
        <v>['Pakek', 'Telkomsel', 'deh', 'already', 'expensive', 'wasteful', 'really', 'pulses', 'really', 'sumps', 'please', 'enlightenment']</v>
      </c>
      <c r="D650" s="3">
        <v>1.0</v>
      </c>
    </row>
    <row r="651" ht="15.75" customHeight="1">
      <c r="A651" s="1">
        <v>649.0</v>
      </c>
      <c r="B651" s="3" t="s">
        <v>652</v>
      </c>
      <c r="C651" s="3" t="str">
        <f>IFERROR(__xludf.DUMMYFUNCTION("GOOGLETRANSLATE(B651,""id"",""en"")"),"['hope', 'hope', 'OFRATOR', 'Telkomsel', 'Sudi', 'Kasi', 'Hadia', 'Kasi', 'Hadia', 'promotion', 'application', 'friend', ' Families', 'skrg', 'believe', 'Telkomsel', 'Hadia', ""]")</f>
        <v>['hope', 'hope', 'OFRATOR', 'Telkomsel', 'Sudi', 'Kasi', 'Hadia', 'Kasi', 'Hadia', 'promotion', 'application', 'friend', ' Families', 'skrg', 'believe', 'Telkomsel', 'Hadia', "]</v>
      </c>
      <c r="D651" s="3">
        <v>5.0</v>
      </c>
    </row>
    <row r="652" ht="15.75" customHeight="1">
      <c r="A652" s="1">
        <v>650.0</v>
      </c>
      <c r="B652" s="3" t="s">
        <v>653</v>
      </c>
      <c r="C652" s="3" t="str">
        <f>IFERROR(__xludf.DUMMYFUNCTION("GOOGLETRANSLATE(B652,""id"",""en"")"),"['How', 'Happy', 'Yesterday', 'Pay', 'Shopeepay', 'already', 'Woy', 'Disappointing', 'Really', 'protest', 'Telkomsel', 'Diginiin', ' Njir ',' Klu ',' buy ',' pulse ',' in place ',' fees', 'admin', 'Suff', 'really', 'back', 'method', 'payment', 'shopeepay'"&amp;" , 'Edit', 'already', 'returned', 'method', 'payment', 'balance', 'spay', 'use', 'buy', 'pulse', 'buy', 'package', ' Data ',' ']")</f>
        <v>['How', 'Happy', 'Yesterday', 'Pay', 'Shopeepay', 'already', 'Woy', 'Disappointing', 'Really', 'protest', 'Telkomsel', 'Diginiin', ' Njir ',' Klu ',' buy ',' pulse ',' in place ',' fees', 'admin', 'Suff', 'really', 'back', 'method', 'payment', 'shopeepay' , 'Edit', 'already', 'returned', 'method', 'payment', 'balance', 'spay', 'use', 'buy', 'pulse', 'buy', 'package', ' Data ',' ']</v>
      </c>
      <c r="D652" s="3">
        <v>3.0</v>
      </c>
    </row>
    <row r="653" ht="15.75" customHeight="1">
      <c r="A653" s="1">
        <v>651.0</v>
      </c>
      <c r="B653" s="3" t="s">
        <v>654</v>
      </c>
      <c r="C653" s="3" t="str">
        <f>IFERROR(__xludf.DUMMYFUNCTION("GOOGLETRANSLATE(B653,""id"",""en"")"),"['Package', 'self-help', 'network', 'slow', 'quota', 'sms',' dipake ',' quota ',' phone ',' nda ',' open ',' relation ',' Gojek ',' LEG ',' Open ',' Not bad ',' Increase ',' Sorry ',' Thank ',' Love ', ""]")</f>
        <v>['Package', 'self-help', 'network', 'slow', 'quota', 'sms',' dipake ',' quota ',' phone ',' nda ',' open ',' relation ',' Gojek ',' LEG ',' Open ',' Not bad ',' Increase ',' Sorry ',' Thank ',' Love ', "]</v>
      </c>
      <c r="D653" s="3">
        <v>3.0</v>
      </c>
    </row>
    <row r="654" ht="15.75" customHeight="1">
      <c r="A654" s="1">
        <v>652.0</v>
      </c>
      <c r="B654" s="3" t="s">
        <v>655</v>
      </c>
      <c r="C654" s="3" t="str">
        <f>IFERROR(__xludf.DUMMYFUNCTION("GOOGLETRANSLATE(B654,""id"",""en"")"),"['Telkomsel', 'Telkomsel', 'Telkomsel', 'disappointing', 'package', 'internet', 'optimal', 'pay', 'leaves',' please ',' fix ',' loss', ' expensive ',' already ',' profit ',' cheating ',' user ',' internet ',' dozen ',' already ',' delete ',' menu ',' fear"&amp;" ',' loss', 'feeling' , 'Loss', 'Customer', 'Loss', 'Repair', 'Total']")</f>
        <v>['Telkomsel', 'Telkomsel', 'Telkomsel', 'disappointing', 'package', 'internet', 'optimal', 'pay', 'leaves',' please ',' fix ',' loss', ' expensive ',' already ',' profit ',' cheating ',' user ',' internet ',' dozen ',' already ',' delete ',' menu ',' fear ',' loss', 'feeling' , 'Loss', 'Customer', 'Loss', 'Repair', 'Total']</v>
      </c>
      <c r="D654" s="3">
        <v>1.0</v>
      </c>
    </row>
    <row r="655" ht="15.75" customHeight="1">
      <c r="A655" s="1">
        <v>653.0</v>
      </c>
      <c r="B655" s="3" t="s">
        <v>656</v>
      </c>
      <c r="C655" s="3" t="str">
        <f>IFERROR(__xludf.DUMMYFUNCTION("GOOGLETRANSLATE(B655,""id"",""en"")"),"['Pub', 'Telkomsel', 'melek', 'lion', 'clock', 'before', 'quota', 'abis',' data ',' Matiin ',' then ',' buy ',' package ',' dial ',' numb ',' stengah ',' watch ',' wait ',' sms', 'get', 'now', 'dapet', 'contents',' sorry ',' pulses' , 'buy', 'package', 'r"&amp;"ight', 'check', 'pulse', 'cheek', 'strange', 'real', 'pdhl', 'quota', 'mash', 'before' Abis', 'stupah', 'clock', 'before', 'paketan', 'abis',' Matiin ',' data ',' please ',' jng ',' kya ',' melek ',' lion ' , 'luck', 'GTU']")</f>
        <v>['Pub', 'Telkomsel', 'melek', 'lion', 'clock', 'before', 'quota', 'abis',' data ',' Matiin ',' then ',' buy ',' package ',' dial ',' numb ',' stengah ',' watch ',' wait ',' sms', 'get', 'now', 'dapet', 'contents',' sorry ',' pulses' , 'buy', 'package', 'right', 'check', 'pulse', 'cheek', 'strange', 'real', 'pdhl', 'quota', 'mash', 'before' Abis', 'stupah', 'clock', 'before', 'paketan', 'abis',' Matiin ',' data ',' please ',' jng ',' kya ',' melek ',' lion ' , 'luck', 'GTU']</v>
      </c>
      <c r="D655" s="3">
        <v>1.0</v>
      </c>
    </row>
    <row r="656" ht="15.75" customHeight="1">
      <c r="A656" s="1">
        <v>654.0</v>
      </c>
      <c r="B656" s="3" t="s">
        <v>657</v>
      </c>
      <c r="C656" s="3" t="str">
        <f>IFERROR(__xludf.DUMMYFUNCTION("GOOGLETRANSLATE(B656,""id"",""en"")"),"['Please', 'Benerin', 'signal', 'min', 'TKP', 'Palembang', 'opposite', 'Ulu', 'home', 'signal', 'Wuss',' Mending ',' cards', 'tri', 'axis',' Indosat ',' Dalem ',' home ',' signal ',' get ',' WUS ',' Ujan ',' Abis', 'Ujan', 'signal' , 'Nothing', 'buy', 'pa"&amp;"ckage', 'cheap', 'min', '']")</f>
        <v>['Please', 'Benerin', 'signal', 'min', 'TKP', 'Palembang', 'opposite', 'Ulu', 'home', 'signal', 'Wuss',' Mending ',' cards', 'tri', 'axis',' Indosat ',' Dalem ',' home ',' signal ',' get ',' WUS ',' Ujan ',' Abis', 'Ujan', 'signal' , 'Nothing', 'buy', 'package', 'cheap', 'min', '']</v>
      </c>
      <c r="D656" s="3">
        <v>1.0</v>
      </c>
    </row>
    <row r="657" ht="15.75" customHeight="1">
      <c r="A657" s="1">
        <v>655.0</v>
      </c>
      <c r="B657" s="3" t="s">
        <v>658</v>
      </c>
      <c r="C657" s="3" t="str">
        <f>IFERROR(__xludf.DUMMYFUNCTION("GOOGLETRANSLATE(B657,""id"",""en"")"),"['leftover', 'quota', 'accumulated', 'detrimental', 'leftover', 'quota', 'please', 'accumulated', 'leftover', 'quota', 'yesterday', ""]")</f>
        <v>['leftover', 'quota', 'accumulated', 'detrimental', 'leftover', 'quota', 'please', 'accumulated', 'leftover', 'quota', 'yesterday', "]</v>
      </c>
      <c r="D657" s="3">
        <v>5.0</v>
      </c>
    </row>
    <row r="658" ht="15.75" customHeight="1">
      <c r="A658" s="1">
        <v>656.0</v>
      </c>
      <c r="B658" s="3" t="s">
        <v>659</v>
      </c>
      <c r="C658" s="3" t="str">
        <f>IFERROR(__xludf.DUMMYFUNCTION("GOOGLETRANSLATE(B658,""id"",""en"")"),"['package', 'expensive', 'quality', 'signal', 'chaotic', 'play', 'game', 'pink', 'until', 'user', 'udh', 'disappointed', ' Ngepeeet ',' ']")</f>
        <v>['package', 'expensive', 'quality', 'signal', 'chaotic', 'play', 'game', 'pink', 'until', 'user', 'udh', 'disappointed', ' Ngepeeet ',' ']</v>
      </c>
      <c r="D658" s="3">
        <v>1.0</v>
      </c>
    </row>
    <row r="659" ht="15.75" customHeight="1">
      <c r="A659" s="1">
        <v>657.0</v>
      </c>
      <c r="B659" s="3" t="s">
        <v>660</v>
      </c>
      <c r="C659" s="3" t="str">
        <f>IFERROR(__xludf.DUMMYFUNCTION("GOOGLETRANSLATE(B659,""id"",""en"")"),"['Sorry', 'star', 'natural', 'package', 'combo', 'unlimited', 'thousand', 'unlimited', 'whatsapp', 'missing', 'appears',' disappointed ',' depends', 'package', 'at the same time', 'menu', 'purchase', 'package', 'missing', 'please', 'Telkomsel', 'overcome'"&amp;", 'natural', ""]")</f>
        <v>['Sorry', 'star', 'natural', 'package', 'combo', 'unlimited', 'thousand', 'unlimited', 'whatsapp', 'missing', 'appears',' disappointed ',' depends', 'package', 'at the same time', 'menu', 'purchase', 'package', 'missing', 'please', 'Telkomsel', 'overcome', 'natural', "]</v>
      </c>
      <c r="D659" s="3">
        <v>2.0</v>
      </c>
    </row>
    <row r="660" ht="15.75" customHeight="1">
      <c r="A660" s="1">
        <v>658.0</v>
      </c>
      <c r="B660" s="3" t="s">
        <v>661</v>
      </c>
      <c r="C660" s="3" t="str">
        <f>IFERROR(__xludf.DUMMYFUNCTION("GOOGLETRANSLATE(B660,""id"",""en"")"),"['signal', 'Telkomsel', 'area', 'ilang', 'ilang', 'tomorrow', 'typing', 'reviews',' mending ',' as strong ',' Telkomsel ',' stable ',' ilang ',' thank you ',' ']")</f>
        <v>['signal', 'Telkomsel', 'area', 'ilang', 'ilang', 'tomorrow', 'typing', 'reviews',' mending ',' as strong ',' Telkomsel ',' stable ',' ilang ',' thank you ',' ']</v>
      </c>
      <c r="D660" s="3">
        <v>1.0</v>
      </c>
    </row>
    <row r="661" ht="15.75" customHeight="1">
      <c r="A661" s="1">
        <v>659.0</v>
      </c>
      <c r="B661" s="3" t="s">
        <v>662</v>
      </c>
      <c r="C661" s="3" t="str">
        <f>IFERROR(__xludf.DUMMYFUNCTION("GOOGLETRANSLATE(B661,""id"",""en"")"),"['Please', 'See', 'Telkomsel', 'Play', 'Mobile', 'Legend', 'Network', 'Down', 'Season', 'As' according to ',' Price ',' Buy ',' expensive ',' expensive ',' disappointed ',' heavy ']")</f>
        <v>['Please', 'See', 'Telkomsel', 'Play', 'Mobile', 'Legend', 'Network', 'Down', 'Season', 'As' according to ',' Price ',' Buy ',' expensive ',' expensive ',' disappointed ',' heavy ']</v>
      </c>
      <c r="D661" s="3">
        <v>1.0</v>
      </c>
    </row>
    <row r="662" ht="15.75" customHeight="1">
      <c r="A662" s="1">
        <v>660.0</v>
      </c>
      <c r="B662" s="3" t="s">
        <v>663</v>
      </c>
      <c r="C662" s="3" t="str">
        <f>IFERROR(__xludf.DUMMYFUNCTION("GOOGLETRANSLATE(B662,""id"",""en"")"),"['already', 'buy', 'voucher', 'turn', 'enter', 'code', 'voucher', 'network', 'busy', 'until', 'repeated', 'times',' Tetep ',' loss', 'really', 'already', 'buy', 'voucher', 'use', 'move', 'subscription']")</f>
        <v>['already', 'buy', 'voucher', 'turn', 'enter', 'code', 'voucher', 'network', 'busy', 'until', 'repeated', 'times',' Tetep ',' loss', 'really', 'already', 'buy', 'voucher', 'use', 'move', 'subscription']</v>
      </c>
      <c r="D662" s="3">
        <v>1.0</v>
      </c>
    </row>
    <row r="663" ht="15.75" customHeight="1">
      <c r="A663" s="1">
        <v>661.0</v>
      </c>
      <c r="B663" s="3" t="s">
        <v>664</v>
      </c>
      <c r="C663" s="3" t="str">
        <f>IFERROR(__xludf.DUMMYFUNCTION("GOOGLETRANSLATE(B663,""id"",""en"")"),"['', 'Download', 'SMP', 'SKRNG', 'Error', 'Plus',' Download ',' App ',' Peduli Protection ',' Severe ',' App ',' Telkomsel ',' Gelatus ',' contents', 'package', 'difficult', 'org', 'Telkomsel', 'help', 'finish', 'mslh', 'dilapidated', 'company']")</f>
        <v>['', 'Download', 'SMP', 'SKRNG', 'Error', 'Plus',' Download ',' App ',' Peduli Protection ',' Severe ',' App ',' Telkomsel ',' Gelatus ',' contents', 'package', 'difficult', 'org', 'Telkomsel', 'help', 'finish', 'mslh', 'dilapidated', 'company']</v>
      </c>
      <c r="D663" s="3">
        <v>1.0</v>
      </c>
    </row>
    <row r="664" ht="15.75" customHeight="1">
      <c r="A664" s="1">
        <v>662.0</v>
      </c>
      <c r="B664" s="3" t="s">
        <v>665</v>
      </c>
      <c r="C664" s="3" t="str">
        <f>IFERROR(__xludf.DUMMYFUNCTION("GOOGLETRANSLATE(B664,""id"",""en"")"),"['Package', 'unlimited', 'suffered', 'already', 'Makai', 'Telkomsel', 'buy', 'package', 'Mulu', 'until', 'a month', 'already', ' run out ',' first ',' gratitude ',' quota ',' unlimited ',' replace ',' card ',' prime ',' hope ',' channeled ',' ']")</f>
        <v>['Package', 'unlimited', 'suffered', 'already', 'Makai', 'Telkomsel', 'buy', 'package', 'Mulu', 'until', 'a month', 'already', ' run out ',' first ',' gratitude ',' quota ',' unlimited ',' replace ',' card ',' prime ',' hope ',' channeled ',' ']</v>
      </c>
      <c r="D664" s="3">
        <v>1.0</v>
      </c>
    </row>
    <row r="665" ht="15.75" customHeight="1">
      <c r="A665" s="1">
        <v>663.0</v>
      </c>
      <c r="B665" s="3" t="s">
        <v>666</v>
      </c>
      <c r="C665" s="3" t="str">
        <f>IFERROR(__xludf.DUMMYFUNCTION("GOOGLETRANSLATE(B665,""id"",""en"")"),"['Package', 'Internet', 'Utuk', 'Game', 'Play', 'Current', 'Play', 'Internet', 'Local', 'Deceiving', 'Disight', ""]")</f>
        <v>['Package', 'Internet', 'Utuk', 'Game', 'Play', 'Current', 'Play', 'Internet', 'Local', 'Deceiving', 'Disight', "]</v>
      </c>
      <c r="D665" s="3">
        <v>1.0</v>
      </c>
    </row>
    <row r="666" ht="15.75" customHeight="1">
      <c r="A666" s="1">
        <v>664.0</v>
      </c>
      <c r="B666" s="3" t="s">
        <v>667</v>
      </c>
      <c r="C666" s="3" t="str">
        <f>IFERROR(__xludf.DUMMYFUNCTION("GOOGLETRANSLATE(B666,""id"",""en"")"),"['Telkomsel', 'buy', 'package', 'sampek', 'a month', 'active', 'buy', 'date', 'change', 'number', '']")</f>
        <v>['Telkomsel', 'buy', 'package', 'sampek', 'a month', 'active', 'buy', 'date', 'change', 'number', '']</v>
      </c>
      <c r="D666" s="3">
        <v>1.0</v>
      </c>
    </row>
    <row r="667" ht="15.75" customHeight="1">
      <c r="A667" s="1">
        <v>665.0</v>
      </c>
      <c r="B667" s="3" t="s">
        <v>668</v>
      </c>
      <c r="C667" s="3" t="str">
        <f>IFERROR(__xludf.DUMMYFUNCTION("GOOGLETRANSLATE(B667,""id"",""en"")"),"['Parahnya', 'finished', 'think', 'price', 'package', 'buy', 'thousand', 'thousand', 'strange', 'buy', 'thousand', 'Telkomsel', ' Losing ',' IM ',' IM ',' Price ',' Package ',' Ganjil ',' Credit ',' Sell ',' Odd ',' Try ',' Fikir ',' Try ', ""]")</f>
        <v>['Parahnya', 'finished', 'think', 'price', 'package', 'buy', 'thousand', 'thousand', 'strange', 'buy', 'thousand', 'Telkomsel', ' Losing ',' IM ',' IM ',' Price ',' Package ',' Ganjil ',' Credit ',' Sell ',' Odd ',' Try ',' Fikir ',' Try ', "]</v>
      </c>
      <c r="D667" s="3">
        <v>1.0</v>
      </c>
    </row>
    <row r="668" ht="15.75" customHeight="1">
      <c r="A668" s="1">
        <v>666.0</v>
      </c>
      <c r="B668" s="3" t="s">
        <v>669</v>
      </c>
      <c r="C668" s="3" t="str">
        <f>IFERROR(__xludf.DUMMYFUNCTION("GOOGLETRANSLATE(B668,""id"",""en"")"),"['Good', 'signal', 'Telkomsel', 'Severe', 'already', 'price', 'package', 'expensive', 'service', 'comparable', 'down', 'provider', ' ']")</f>
        <v>['Good', 'signal', 'Telkomsel', 'Severe', 'already', 'price', 'package', 'expensive', 'service', 'comparable', 'down', 'provider', ' ']</v>
      </c>
      <c r="D668" s="3">
        <v>1.0</v>
      </c>
    </row>
    <row r="669" ht="15.75" customHeight="1">
      <c r="A669" s="1">
        <v>667.0</v>
      </c>
      <c r="B669" s="3" t="s">
        <v>670</v>
      </c>
      <c r="C669" s="3" t="str">
        <f>IFERROR(__xludf.DUMMYFUNCTION("GOOGLETRANSLATE(B669,""id"",""en"")"),"['quality', 'signal', 'difficult', 'normal', 'stable', 'brp', 'times',' complain ',' phone ',' lgsung ',' TPI ',' change ',' MHN ',' Action ',' go on ',' THX ']")</f>
        <v>['quality', 'signal', 'difficult', 'normal', 'stable', 'brp', 'times',' complain ',' phone ',' lgsung ',' TPI ',' change ',' MHN ',' Action ',' go on ',' THX ']</v>
      </c>
      <c r="D669" s="3">
        <v>2.0</v>
      </c>
    </row>
    <row r="670" ht="15.75" customHeight="1">
      <c r="A670" s="1">
        <v>668.0</v>
      </c>
      <c r="B670" s="3" t="s">
        <v>671</v>
      </c>
      <c r="C670" s="3" t="str">
        <f>IFERROR(__xludf.DUMMYFUNCTION("GOOGLETRANSLATE(B670,""id"",""en"")"),"['please', 'love', 'feature', 'lock', 'pulse', 'rich', 'next door', 'upset', 'used', 'pulse', 'quota', 'data', ' Disight ',' quota ',' data ',' take ',' pulse ',' buy ',' quota ',' pulse ',' app ',' annoyed ',' benerin ',' customer ',' comfortable ' , 'us"&amp;"e', 'app']")</f>
        <v>['please', 'love', 'feature', 'lock', 'pulse', 'rich', 'next door', 'upset', 'used', 'pulse', 'quota', 'data', ' Disight ',' quota ',' data ',' take ',' pulse ',' buy ',' quota ',' pulse ',' app ',' annoyed ',' benerin ',' customer ',' comfortable ' , 'use', 'app']</v>
      </c>
      <c r="D670" s="3">
        <v>1.0</v>
      </c>
    </row>
    <row r="671" ht="15.75" customHeight="1">
      <c r="A671" s="1">
        <v>669.0</v>
      </c>
      <c r="B671" s="3" t="s">
        <v>672</v>
      </c>
      <c r="C671" s="3" t="str">
        <f>IFERROR(__xludf.DUMMYFUNCTION("GOOGLETRANSLATE(B671,""id"",""en"")"),"['BANGJE', 'Telkomsel', 'Mna', 'expensive', 'quota', 'signal', 'ugly', 'NGK', 'office', 'bankrupt', 'enthusiasts',' Telkomsel ',' Lost ',' Switch ',' At God's', 'Please', 'Fix', 'As soon as', ""]")</f>
        <v>['BANGJE', 'Telkomsel', 'Mna', 'expensive', 'quota', 'signal', 'ugly', 'NGK', 'office', 'bankrupt', 'enthusiasts',' Telkomsel ',' Lost ',' Switch ',' At God's', 'Please', 'Fix', 'As soon as', "]</v>
      </c>
      <c r="D671" s="3">
        <v>1.0</v>
      </c>
    </row>
    <row r="672" ht="15.75" customHeight="1">
      <c r="A672" s="1">
        <v>670.0</v>
      </c>
      <c r="B672" s="3" t="s">
        <v>673</v>
      </c>
      <c r="C672" s="3" t="str">
        <f>IFERROR(__xludf.DUMMYFUNCTION("GOOGLETRANSLATE(B672,""id"",""en"")"),"['The network', 'troubling', 'active', 'game', 'minutes',' obstacles', 'lag', 'connection', 'internet', 'lost', 'disappointed', 'product', ' Telkomsel ',' Indonesia ',' Medan ', ""]")</f>
        <v>['The network', 'troubling', 'active', 'game', 'minutes',' obstacles', 'lag', 'connection', 'internet', 'lost', 'disappointed', 'product', ' Telkomsel ',' Indonesia ',' Medan ', "]</v>
      </c>
      <c r="D672" s="3">
        <v>1.0</v>
      </c>
    </row>
    <row r="673" ht="15.75" customHeight="1">
      <c r="A673" s="1">
        <v>671.0</v>
      </c>
      <c r="B673" s="3" t="s">
        <v>674</v>
      </c>
      <c r="C673" s="3" t="str">
        <f>IFERROR(__xludf.DUMMYFUNCTION("GOOGLETRANSLATE(B673,""id"",""en"")"),"['buy', 'Package', 'Combo', 'Sakti', 'quota', 'main', 'GB', 'quota', 'sosmed', 'chat', 'games',' GB ',' quota ',' main ',' run out ',' GB ',' gabisa ',' dipake ',' disappointed ',' really ',' since 'said', '']")</f>
        <v>['buy', 'Package', 'Combo', 'Sakti', 'quota', 'main', 'GB', 'quota', 'sosmed', 'chat', 'games',' GB ',' quota ',' main ',' run out ',' GB ',' gabisa ',' dipake ',' disappointed ',' really ',' since 'said', '']</v>
      </c>
      <c r="D673" s="3">
        <v>1.0</v>
      </c>
    </row>
    <row r="674" ht="15.75" customHeight="1">
      <c r="A674" s="1">
        <v>672.0</v>
      </c>
      <c r="B674" s="3" t="s">
        <v>675</v>
      </c>
      <c r="C674" s="3" t="str">
        <f>IFERROR(__xludf.DUMMYFUNCTION("GOOGLETRANSLATE(B674,""id"",""en"")"),"['Thanks',' Like ',' Application ',' Help ',' Application ',' Please ',' Open ',' Play ',' Store ',' Donlot ',' Jang ',' Mayble ',' INFIO ',' interesting ',' Come ',' Hurry ',' ']")</f>
        <v>['Thanks',' Like ',' Application ',' Help ',' Application ',' Please ',' Open ',' Play ',' Store ',' Donlot ',' Jang ',' Mayble ',' INFIO ',' interesting ',' Come ',' Hurry ',' ']</v>
      </c>
      <c r="D674" s="3">
        <v>5.0</v>
      </c>
    </row>
    <row r="675" ht="15.75" customHeight="1">
      <c r="A675" s="1">
        <v>673.0</v>
      </c>
      <c r="B675" s="3" t="s">
        <v>676</v>
      </c>
      <c r="C675" s="3" t="str">
        <f>IFERROR(__xludf.DUMMYFUNCTION("GOOGLETRANSLATE(B675,""id"",""en"")"),"['contents',' pulse ',' RB ',' package ',' success', 'charge', 'pulses',' appears', 'quota', 'application', 'Telkomsel', 'check', ' quota ',' internet ',' appears', 'display', 'application', 'activation', 'failed', 'got', 'charge', 'tariff', 'non', 'quota"&amp;"', 'suggestion' , 'application', 'Telkomsel', 'sound', 'notification', 'application', 'distinguished', 'anatara', 'success',' actfasi ',' package ',' mistaken ',' person ',' Successful ',' activate ']")</f>
        <v>['contents',' pulse ',' RB ',' package ',' success', 'charge', 'pulses',' appears', 'quota', 'application', 'Telkomsel', 'check', ' quota ',' internet ',' appears', 'display', 'application', 'activation', 'failed', 'got', 'charge', 'tariff', 'non', 'quota', 'suggestion' , 'application', 'Telkomsel', 'sound', 'notification', 'application', 'distinguished', 'anatara', 'success',' actfasi ',' package ',' mistaken ',' person ',' Successful ',' activate ']</v>
      </c>
      <c r="D675" s="3">
        <v>1.0</v>
      </c>
    </row>
    <row r="676" ht="15.75" customHeight="1">
      <c r="A676" s="1">
        <v>674.0</v>
      </c>
      <c r="B676" s="3" t="s">
        <v>677</v>
      </c>
      <c r="C676" s="3" t="str">
        <f>IFERROR(__xludf.DUMMYFUNCTION("GOOGLETRANSLATE(B676,""id"",""en"")"),"['Sangaaat', 'useful', 'klw', 'buy', 'qombo', 'giga', 'nelfon', 'smsan', 'pulse', 'then', 'kiya', 'nelfon', ' pulses', 'run out', 'Telkomsel', 'really', 'gave', 'pulse', 'nelfon', 'heheh', 'guested', ""]")</f>
        <v>['Sangaaat', 'useful', 'klw', 'buy', 'qombo', 'giga', 'nelfon', 'smsan', 'pulse', 'then', 'kiya', 'nelfon', ' pulses', 'run out', 'Telkomsel', 'really', 'gave', 'pulse', 'nelfon', 'heheh', 'guested', "]</v>
      </c>
      <c r="D676" s="3">
        <v>5.0</v>
      </c>
    </row>
    <row r="677" ht="15.75" customHeight="1">
      <c r="A677" s="1">
        <v>675.0</v>
      </c>
      <c r="B677" s="3" t="s">
        <v>678</v>
      </c>
      <c r="C677" s="3" t="str">
        <f>IFERROR(__xludf.DUMMYFUNCTION("GOOGLETRANSLATE(B677,""id"",""en"")"),"['used', 'rare', 'update', 'buy', 'quota', 'quota', 'kantel', 'pulse', 'use', 'internet', 'explanation', 'quota', ' usually ',' pulse ',' suck ',' quota ',' telkomsel ']")</f>
        <v>['used', 'rare', 'update', 'buy', 'quota', 'quota', 'kantel', 'pulse', 'use', 'internet', 'explanation', 'quota', ' usually ',' pulse ',' suck ',' quota ',' telkomsel ']</v>
      </c>
      <c r="D677" s="3">
        <v>2.0</v>
      </c>
    </row>
    <row r="678" ht="15.75" customHeight="1">
      <c r="A678" s="1">
        <v>676.0</v>
      </c>
      <c r="B678" s="3" t="s">
        <v>679</v>
      </c>
      <c r="C678" s="3" t="str">
        <f>IFERROR(__xludf.DUMMYFUNCTION("GOOGLETRANSLATE(B678,""id"",""en"")"),"['Telkomsel', 'fraudsters',' quota ',' multimedia ',' SPT ',' chat ',' game ',' sosmed ',' play ',' game ',' sosmed ',' run out ',' quota ',' internet ',' fraudsters', 'return', 'quota', '']")</f>
        <v>['Telkomsel', 'fraudsters',' quota ',' multimedia ',' SPT ',' chat ',' game ',' sosmed ',' play ',' game ',' sosmed ',' run out ',' quota ',' internet ',' fraudsters', 'return', 'quota', '']</v>
      </c>
      <c r="D678" s="3">
        <v>1.0</v>
      </c>
    </row>
    <row r="679" ht="15.75" customHeight="1">
      <c r="A679" s="1">
        <v>677.0</v>
      </c>
      <c r="B679" s="3" t="s">
        <v>680</v>
      </c>
      <c r="C679" s="3" t="str">
        <f>IFERROR(__xludf.DUMMYFUNCTION("GOOGLETRANSLATE(B679,""id"",""en"")"),"['Hi', 'Telkom', 'Ancur', 'oath', 'Severe', 'Choice', 'Network', 'card', 'already', 'smooth', 'loving', 'cave', ' already ',' cave ',' replace ',' card ',' oath ',' cave ',' jabarin ',' complained ',' Kisah ',' cave ',' price ',' quota ',' internet ' , 'N"&amp;"gilake', 'package', 'unlimited', 'fake', 'limit', 'already', 'abis',' package ',' game ',' pulse ',' sumps', 'right', ' Play ',' Game ',' Package ',' Game ',' Sumpot ',' Karna ',' Quota ',' Background ',' APS ',' Cave ',' Matiin ',' Quota ',' Background '"&amp;" , 'APK']")</f>
        <v>['Hi', 'Telkom', 'Ancur', 'oath', 'Severe', 'Choice', 'Network', 'card', 'already', 'smooth', 'loving', 'cave', ' already ',' cave ',' replace ',' card ',' oath ',' cave ',' jabarin ',' complained ',' Kisah ',' cave ',' price ',' quota ',' internet ' , 'Ngilake', 'package', 'unlimited', 'fake', 'limit', 'already', 'abis',' package ',' game ',' pulse ',' sumps', 'right', ' Play ',' Game ',' Package ',' Game ',' Sumpot ',' Karna ',' Quota ',' Background ',' APS ',' Cave ',' Matiin ',' Quota ',' Background ' , 'APK']</v>
      </c>
      <c r="D679" s="3">
        <v>1.0</v>
      </c>
    </row>
    <row r="680" ht="15.75" customHeight="1">
      <c r="A680" s="1">
        <v>678.0</v>
      </c>
      <c r="B680" s="3" t="s">
        <v>681</v>
      </c>
      <c r="C680" s="3" t="str">
        <f>IFERROR(__xludf.DUMMYFUNCTION("GOOGLETRANSLATE(B680,""id"",""en"")"),"['Developer', 'Dear', 'Sorry', 'Star', 'Submit', 'Complaints',' Package ',' Local ',' Package ',' Unlimited ',' Package ',' Local ',' GB ',' Sudh ',' a month ',' card ',' prepaid ',' Please ',' verification ',' verification ',' star ']")</f>
        <v>['Developer', 'Dear', 'Sorry', 'Star', 'Submit', 'Complaints',' Package ',' Local ',' Package ',' Unlimited ',' Package ',' Local ',' GB ',' Sudh ',' a month ',' card ',' prepaid ',' Please ',' verification ',' verification ',' star ']</v>
      </c>
      <c r="D680" s="3">
        <v>2.0</v>
      </c>
    </row>
    <row r="681" ht="15.75" customHeight="1">
      <c r="A681" s="1">
        <v>679.0</v>
      </c>
      <c r="B681" s="3" t="s">
        <v>682</v>
      </c>
      <c r="C681" s="3" t="str">
        <f>IFERROR(__xludf.DUMMYFUNCTION("GOOGLETRANSLATE(B681,""id"",""en"")"),"['use', 'Appsi', 'buy', 'Kouta', 'get', 'siisa', 'kouta', 'maxtreme', 'use', 'application', 'maxtreme', 'run out', ' The rest of ',' opened ',' cheated ',' buy ',' kouta ',' kujiiiiii ']")</f>
        <v>['use', 'Appsi', 'buy', 'Kouta', 'get', 'siisa', 'kouta', 'maxtreme', 'use', 'application', 'maxtreme', 'run out', ' The rest of ',' opened ',' cheated ',' buy ',' kouta ',' kujiiiiii ']</v>
      </c>
      <c r="D681" s="3">
        <v>1.0</v>
      </c>
    </row>
    <row r="682" ht="15.75" customHeight="1">
      <c r="A682" s="1">
        <v>680.0</v>
      </c>
      <c r="B682" s="3" t="s">
        <v>683</v>
      </c>
      <c r="C682" s="3" t="str">
        <f>IFERROR(__xludf.DUMMYFUNCTION("GOOGLETRANSLATE(B682,""id"",""en"")"),"['Disappointed', 'Provider', 'Telkomsel', 'Network', 'Good', 'Plumping', 'France', 'Lost', 'Embossed', 'Watch', 'YouTube', 'Play', ' Games', 'Online', 'Network', 'Lost', 'Call', 'Call', 'Call', 'Via', 'Telephone', 'Network', 'Lost', 'Hoping', 'Telkomsel' "&amp;", 'respond', 'reviews',' please ',' price ',' package ',' internet ',' conducted ',' expensive ',' era ',' pandemic ',' covid ',' greetings', ' warm']")</f>
        <v>['Disappointed', 'Provider', 'Telkomsel', 'Network', 'Good', 'Plumping', 'France', 'Lost', 'Embossed', 'Watch', 'YouTube', 'Play', ' Games', 'Online', 'Network', 'Lost', 'Call', 'Call', 'Call', 'Via', 'Telephone', 'Network', 'Lost', 'Hoping', 'Telkomsel' , 'respond', 'reviews',' please ',' price ',' package ',' internet ',' conducted ',' expensive ',' era ',' pandemic ',' covid ',' greetings', ' warm']</v>
      </c>
      <c r="D682" s="3">
        <v>1.0</v>
      </c>
    </row>
    <row r="683" ht="15.75" customHeight="1">
      <c r="A683" s="1">
        <v>681.0</v>
      </c>
      <c r="B683" s="3" t="s">
        <v>684</v>
      </c>
      <c r="C683" s="3" t="str">
        <f>IFERROR(__xludf.DUMMYFUNCTION("GOOGLETRANSLATE(B683,""id"",""en"")"),"['', 'offer', 'package', 'activate', 'clock', 'night', 'gnti', 'clock', 'udh', 'angus',' package ',' hrs', 'count ',' clock ',' Malem ',' tomorrow ',' BLM ',' Genesis', 'check', 'Telkomsel', 'at the same time', 'package', 'non', 'active', 'warning', 'use'"&amp;", 'pulse', 'non', 'package', 'recognition', 'blah', 'pdhl', 'checked', 'telkomsel', 'cut', 'please', 'fix', 'it happened ',' Developer ',' program ',' eat ',' money ',' halal ',' squeeze ',' user ',' results', 'comparable']")</f>
        <v>['', 'offer', 'package', 'activate', 'clock', 'night', 'gnti', 'clock', 'udh', 'angus',' package ',' hrs', 'count ',' clock ',' Malem ',' tomorrow ',' BLM ',' Genesis', 'check', 'Telkomsel', 'at the same time', 'package', 'non', 'active', 'warning', 'use', 'pulse', 'non', 'package', 'recognition', 'blah', 'pdhl', 'checked', 'telkomsel', 'cut', 'please', 'fix', 'it happened ',' Developer ',' program ',' eat ',' money ',' halal ',' squeeze ',' user ',' results', 'comparable']</v>
      </c>
      <c r="D683" s="3">
        <v>1.0</v>
      </c>
    </row>
    <row r="684" ht="15.75" customHeight="1">
      <c r="A684" s="1">
        <v>682.0</v>
      </c>
      <c r="B684" s="3" t="s">
        <v>685</v>
      </c>
      <c r="C684" s="3" t="str">
        <f>IFERROR(__xludf.DUMMYFUNCTION("GOOGLETRANSLATE(B684,""id"",""en"")"),"['Signal', 'Telkomsel', 'Severe', 'Enter', 'Login', 'Ditigu', 'SMS', 'Login', 'Enter', 'How', 'Login', 'Kalu', ' Kayak ',' Gini ',' check ',' package ',' package ',' kagak ',' apk ',' mytelkomsel ',' ugly ',' update ',' annya ',' person ',' salespeople ' "&amp;", 'Gara', 'Nie', 'APK', 'Hadeh', ""]")</f>
        <v>['Signal', 'Telkomsel', 'Severe', 'Enter', 'Login', 'Ditigu', 'SMS', 'Login', 'Enter', 'How', 'Login', 'Kalu', ' Kayak ',' Gini ',' check ',' package ',' package ',' kagak ',' apk ',' mytelkomsel ',' ugly ',' update ',' annya ',' person ',' salespeople ' , 'Gara', 'Nie', 'APK', 'Hadeh', "]</v>
      </c>
      <c r="D684" s="3">
        <v>1.0</v>
      </c>
    </row>
    <row r="685" ht="15.75" customHeight="1">
      <c r="A685" s="1">
        <v>683.0</v>
      </c>
      <c r="B685" s="3" t="s">
        <v>686</v>
      </c>
      <c r="C685" s="3" t="str">
        <f>IFERROR(__xludf.DUMMYFUNCTION("GOOGLETRANSLATE(B685,""id"",""en"")"),"['expensive', 'quota', 'kayak', 'provider', 'star', 'quality', 'star', 'uda', 'fraud', 'telkomsel', 'check', 'point', ' Etc. ',' Telkomsel ',' provider ',' squeeze ',' community ',' skarang ',' pandemic ',' help ',' discount ',' strangling ',' community '"&amp;",' price ',' quota ' , 'expensive', 'worse', 'qualitations', 'destroyed', 'Please', 'fix', 'lift', 'luggage', 'Telkomsel', 'Mending', 'replace', 'disappointed']")</f>
        <v>['expensive', 'quota', 'kayak', 'provider', 'star', 'quality', 'star', 'uda', 'fraud', 'telkomsel', 'check', 'point', ' Etc. ',' Telkomsel ',' provider ',' squeeze ',' community ',' skarang ',' pandemic ',' help ',' discount ',' strangling ',' community ',' price ',' quota ' , 'expensive', 'worse', 'qualitations', 'destroyed', 'Please', 'fix', 'lift', 'luggage', 'Telkomsel', 'Mending', 'replace', 'disappointed']</v>
      </c>
      <c r="D685" s="3">
        <v>1.0</v>
      </c>
    </row>
    <row r="686" ht="15.75" customHeight="1">
      <c r="A686" s="1">
        <v>684.0</v>
      </c>
      <c r="B686" s="3" t="s">
        <v>687</v>
      </c>
      <c r="C686" s="3" t="str">
        <f>IFERROR(__xludf.DUMMYFUNCTION("GOOGLETRANSLATE(B686,""id"",""en"")"),"['application', 'dilapidated', 'usurbed', 'style', 'login', 'link', 'mending', 'method', 'already', 'tried', 'login', 'many', ' time ',' login ',' signal ',' internet ',' number ',' connected ',' already ',' signal ',' internet ',' wifi ',' disappointed '"&amp;",' update ']")</f>
        <v>['application', 'dilapidated', 'usurbed', 'style', 'login', 'link', 'mending', 'method', 'already', 'tried', 'login', 'many', ' time ',' login ',' signal ',' internet ',' number ',' connected ',' already ',' signal ',' internet ',' wifi ',' disappointed ',' update ']</v>
      </c>
      <c r="D686" s="3">
        <v>1.0</v>
      </c>
    </row>
    <row r="687" ht="15.75" customHeight="1">
      <c r="A687" s="1">
        <v>685.0</v>
      </c>
      <c r="B687" s="3" t="s">
        <v>688</v>
      </c>
      <c r="C687" s="3" t="str">
        <f>IFERROR(__xludf.DUMMYFUNCTION("GOOGLETRANSLATE(B687,""id"",""en"")"),"['buy', 'pulse', 'quota', 'Telkomsel', 'sometimes',' entry ',' complain ',' via ',' email ',' responded ',' proof ',' transaction ',' Send ', the' proof ',' quota ',' internet ',' enter ',' quota ',' buy ',' quota ',' ladies', 'main']")</f>
        <v>['buy', 'pulse', 'quota', 'Telkomsel', 'sometimes',' entry ',' complain ',' via ',' email ',' responded ',' proof ',' transaction ',' Send ', the' proof ',' quota ',' internet ',' enter ',' quota ',' buy ',' quota ',' ladies', 'main']</v>
      </c>
      <c r="D687" s="3">
        <v>2.0</v>
      </c>
    </row>
    <row r="688" ht="15.75" customHeight="1">
      <c r="A688" s="1">
        <v>686.0</v>
      </c>
      <c r="B688" s="3" t="s">
        <v>689</v>
      </c>
      <c r="C688" s="3" t="str">
        <f>IFERROR(__xludf.DUMMYFUNCTION("GOOGLETRANSLATE(B688,""id"",""en"")"),"['Severe', 'Main', 'Game', 'Lag', 'Forgiveness',' Location ',' Ane ',' Bandung ',' City ',' Telkomsel ',' Special ',' Region ',' Remote ',' package ',' expensive ',' quality ',' guarantee ',' disappointed ',' ']")</f>
        <v>['Severe', 'Main', 'Game', 'Lag', 'Forgiveness',' Location ',' Ane ',' Bandung ',' City ',' Telkomsel ',' Special ',' Region ',' Remote ',' package ',' expensive ',' quality ',' guarantee ',' disappointed ',' ']</v>
      </c>
      <c r="D688" s="3">
        <v>1.0</v>
      </c>
    </row>
    <row r="689" ht="15.75" customHeight="1">
      <c r="A689" s="1">
        <v>687.0</v>
      </c>
      <c r="B689" s="3" t="s">
        <v>690</v>
      </c>
      <c r="C689" s="3" t="str">
        <f>IFERROR(__xludf.DUMMYFUNCTION("GOOGLETRANSLATE(B689,""id"",""en"")"),"['Network', 'okay', 'use', 'just', 'diligent', 'exchanging', 'point', 'Alhamdulillah', 'prize', 'hope', 'get', 'hahaha', ' Thank you ',' Telkomsel ']")</f>
        <v>['Network', 'okay', 'use', 'just', 'diligent', 'exchanging', 'point', 'Alhamdulillah', 'prize', 'hope', 'get', 'hahaha', ' Thank you ',' Telkomsel ']</v>
      </c>
      <c r="D689" s="3">
        <v>5.0</v>
      </c>
    </row>
    <row r="690" ht="15.75" customHeight="1">
      <c r="A690" s="1">
        <v>688.0</v>
      </c>
      <c r="B690" s="3" t="s">
        <v>691</v>
      </c>
      <c r="C690" s="3" t="str">
        <f>IFERROR(__xludf.DUMMYFUNCTION("GOOGLETRANSLATE(B690,""id"",""en"")"),"['Please', 'my package', 'run out', 'continued', 'pulse', 'leftover', 'pulse', 'conversion', 'package', 'data', 'please', 'fix', ' Services', 'Application', '']")</f>
        <v>['Please', 'my package', 'run out', 'continued', 'pulse', 'leftover', 'pulse', 'conversion', 'package', 'data', 'please', 'fix', ' Services', 'Application', '']</v>
      </c>
      <c r="D690" s="3">
        <v>1.0</v>
      </c>
    </row>
    <row r="691" ht="15.75" customHeight="1">
      <c r="A691" s="1">
        <v>689.0</v>
      </c>
      <c r="B691" s="3" t="s">
        <v>692</v>
      </c>
      <c r="C691" s="3" t="str">
        <f>IFERROR(__xludf.DUMMYFUNCTION("GOOGLETRANSLATE(B691,""id"",""en"")"),"['application', 'pulse', 'thousand', 'package', 'pulse', 'pull', 'card', 'application', 'intention', 'operator', 'detrimental', 'community', ' Benerin ',' Woy ',' quota ',' pull ',' pulse ',' ugly ',' Telkomsel ',' rich ',' gini ',' gini ',' oath ',' Telk"&amp;"omsel ',' as soon as' , 'contents', 'pulse', 'missing', '']")</f>
        <v>['application', 'pulse', 'thousand', 'package', 'pulse', 'pull', 'card', 'application', 'intention', 'operator', 'detrimental', 'community', ' Benerin ',' Woy ',' quota ',' pull ',' pulse ',' ugly ',' Telkomsel ',' rich ',' gini ',' gini ',' oath ',' Telkomsel ',' as soon as' , 'contents', 'pulse', 'missing', '']</v>
      </c>
      <c r="D691" s="3">
        <v>1.0</v>
      </c>
    </row>
    <row r="692" ht="15.75" customHeight="1">
      <c r="A692" s="1">
        <v>690.0</v>
      </c>
      <c r="B692" s="3" t="s">
        <v>693</v>
      </c>
      <c r="C692" s="3" t="str">
        <f>IFERROR(__xludf.DUMMYFUNCTION("GOOGLETRANSLATE(B692,""id"",""en"")"),"['here', 'Blood', 'I', 'fill in', 'pulse', 'notification', 'enter', 'right', 'check', 'no', 'worse', 'pulses',' I ',' Out ',' Honey ',' Gini ',' Fill ',' Retin ',' Credit ',' Please ',' ']")</f>
        <v>['here', 'Blood', 'I', 'fill in', 'pulse', 'notification', 'enter', 'right', 'check', 'no', 'worse', 'pulses',' I ',' Out ',' Honey ',' Gini ',' Fill ',' Retin ',' Credit ',' Please ',' ']</v>
      </c>
      <c r="D692" s="3">
        <v>1.0</v>
      </c>
    </row>
    <row r="693" ht="15.75" customHeight="1">
      <c r="A693" s="1">
        <v>691.0</v>
      </c>
      <c r="B693" s="3" t="s">
        <v>694</v>
      </c>
      <c r="C693" s="3" t="str">
        <f>IFERROR(__xludf.DUMMYFUNCTION("GOOGLETRANSLATE(B693,""id"",""en"")"),"['Restore', 'Credit', 'Cut', 'Cheat', 'Cut "",' thousand ',' charging ',' nominal ',' thousand ',' contents ',' reset ',' buy ',' package ',' self-independent ',' gojek ',' driver ',' money ',' system ',' telkomsel ',' maen ',' take ',' pulse ',' brush ',"&amp;"' pulse ',' silent ' , 'silent', 'his name', 'take', 'right', 'person', 'please', 'note', 'operator', 'management', 'take', 'right', 'network', ' Like ',' LemoOoot ']")</f>
        <v>['Restore', 'Credit', 'Cut', 'Cheat', 'Cut ",' thousand ',' charging ',' nominal ',' thousand ',' contents ',' reset ',' buy ',' package ',' self-independent ',' gojek ',' driver ',' money ',' system ',' telkomsel ',' maen ',' take ',' pulse ',' brush ',' pulse ',' silent ' , 'silent', 'his name', 'take', 'right', 'person', 'please', 'note', 'operator', 'management', 'take', 'right', 'network', ' Like ',' LemoOoot ']</v>
      </c>
      <c r="D693" s="3">
        <v>1.0</v>
      </c>
    </row>
    <row r="694" ht="15.75" customHeight="1">
      <c r="A694" s="1">
        <v>692.0</v>
      </c>
      <c r="B694" s="3" t="s">
        <v>695</v>
      </c>
      <c r="C694" s="3" t="str">
        <f>IFERROR(__xludf.DUMMYFUNCTION("GOOGLETRANSLATE(B694,""id"",""en"")"),"['love', 'input', 'niyah', 'apk', 'telkomsel', 'apk', 'want', 'lock', 'pulse', 'nyah', 'quota', 'abis',' Credit ',' Safe ',' Sucked ',' Over ',' Thank you ', ""]")</f>
        <v>['love', 'input', 'niyah', 'apk', 'telkomsel', 'apk', 'want', 'lock', 'pulse', 'nyah', 'quota', 'abis',' Credit ',' Safe ',' Sucked ',' Over ',' Thank you ', "]</v>
      </c>
      <c r="D694" s="3">
        <v>3.0</v>
      </c>
    </row>
    <row r="695" ht="15.75" customHeight="1">
      <c r="A695" s="1">
        <v>693.0</v>
      </c>
      <c r="B695" s="3" t="s">
        <v>696</v>
      </c>
      <c r="C695" s="3" t="str">
        <f>IFERROR(__xludf.DUMMYFUNCTION("GOOGLETRANSLATE(B695,""id"",""en"")"),"['buy', 'package', 'quota', 'clock', 'package', 'disappear', 'leftover', 'package', 'sucked', 'so', 'theft', 'please']")</f>
        <v>['buy', 'package', 'quota', 'clock', 'package', 'disappear', 'leftover', 'package', 'sucked', 'so', 'theft', 'please']</v>
      </c>
      <c r="D695" s="3">
        <v>1.0</v>
      </c>
    </row>
    <row r="696" ht="15.75" customHeight="1">
      <c r="A696" s="1">
        <v>694.0</v>
      </c>
      <c r="B696" s="3" t="s">
        <v>697</v>
      </c>
      <c r="C696" s="3" t="str">
        <f>IFERROR(__xludf.DUMMYFUNCTION("GOOGLETRANSLATE(B696,""id"",""en"")"),"['quota', 'already', 'emergency', 'run out', 'buy', 'package', 'balance', 'notification', 'purchase', 'process',' please ',' service ',' Increase ',' ksh ']")</f>
        <v>['quota', 'already', 'emergency', 'run out', 'buy', 'package', 'balance', 'notification', 'purchase', 'process',' please ',' service ',' Increase ',' ksh ']</v>
      </c>
      <c r="D696" s="3">
        <v>3.0</v>
      </c>
    </row>
    <row r="697" ht="15.75" customHeight="1">
      <c r="A697" s="1">
        <v>695.0</v>
      </c>
      <c r="B697" s="3" t="s">
        <v>698</v>
      </c>
      <c r="C697" s="3" t="str">
        <f>IFERROR(__xludf.DUMMYFUNCTION("GOOGLETRANSLATE(B697,""id"",""en"")"),"['Update', 'Quality', 'Bad', 'Fix', 'Signal', 'Jabodetabek', 'Signal', 'Destroyed', 'City', 'Good', 'Jabodetabek', 'Take', ' Fortunately ',' Indonesia ',' Ngaco ',' Aur ',' auran ',' garbage ', ""]")</f>
        <v>['Update', 'Quality', 'Bad', 'Fix', 'Signal', 'Jabodetabek', 'Signal', 'Destroyed', 'City', 'Good', 'Jabodetabek', 'Take', ' Fortunately ',' Indonesia ',' Ngaco ',' Aur ',' auran ',' garbage ', "]</v>
      </c>
      <c r="D697" s="3">
        <v>1.0</v>
      </c>
    </row>
    <row r="698" ht="15.75" customHeight="1">
      <c r="A698" s="1">
        <v>696.0</v>
      </c>
      <c r="B698" s="3" t="s">
        <v>699</v>
      </c>
      <c r="C698" s="3" t="str">
        <f>IFERROR(__xludf.DUMMYFUNCTION("GOOGLETRANSLATE(B698,""id"",""en"")"),"['service', 'bad', 'activated', 'card', 'Telkomsel', 'missing', 'number', 'card', 'missing', 'report', 'police', 'forced' card ',' Hello ',' card ',' dead ',' run out ',' active ',' disappointing ',' Telkomsel ',' service ',' badkkkk ']")</f>
        <v>['service', 'bad', 'activated', 'card', 'Telkomsel', 'missing', 'number', 'card', 'missing', 'report', 'police', 'forced' card ',' Hello ',' card ',' dead ',' run out ',' active ',' disappointing ',' Telkomsel ',' service ',' badkkkk ']</v>
      </c>
      <c r="D698" s="3">
        <v>1.0</v>
      </c>
    </row>
    <row r="699" ht="15.75" customHeight="1">
      <c r="A699" s="1">
        <v>697.0</v>
      </c>
      <c r="B699" s="3" t="s">
        <v>700</v>
      </c>
      <c r="C699" s="3" t="str">
        <f>IFERROR(__xludf.DUMMYFUNCTION("GOOGLETRANSLATE(B699,""id"",""en"")"),"['expensive', 'meek', 'pure', 'internet', 'quota', 'application', 'watch', 'gaguna', 'it's good', 'internet', 'clock', 'BURIK', ' red ',' play ',' game ',' right ',' enter ',' promo ',' GB ',' right ',' Signed ',' sorry ',' promo ',' exhaust ',' what's' ,"&amp;" 'forget', 'pokonya', 'gabisa', 'bought', 'inner', 'asw', 'asw', 'need', 'quota', 'pure', 'internet', 'hour']")</f>
        <v>['expensive', 'meek', 'pure', 'internet', 'quota', 'application', 'watch', 'gaguna', 'it's good', 'internet', 'clock', 'BURIK', ' red ',' play ',' game ',' right ',' enter ',' promo ',' GB ',' right ',' Signed ',' sorry ',' promo ',' exhaust ',' what's' , 'forget', 'pokonya', 'gabisa', 'bought', 'inner', 'asw', 'asw', 'need', 'quota', 'pure', 'internet', 'hour']</v>
      </c>
      <c r="D699" s="3">
        <v>1.0</v>
      </c>
    </row>
    <row r="700" ht="15.75" customHeight="1">
      <c r="A700" s="1">
        <v>698.0</v>
      </c>
      <c r="B700" s="3" t="s">
        <v>701</v>
      </c>
      <c r="C700" s="3" t="str">
        <f>IFERROR(__xludf.DUMMYFUNCTION("GOOGLETRANSLATE(B700,""id"",""en"")"),"['signal', 'bad', 'connection', 'lost', 'play', 'game', 'data', 'internet', 'setabilia', 'sya', 'responsibility', 'use', ' Telkomsel ',' Please ',' Fix ',' Network ',' Data ',' Stay ',' Region ',' Cengkareng ',' Kapok ',' Jakarta ',' West ', ""]")</f>
        <v>['signal', 'bad', 'connection', 'lost', 'play', 'game', 'data', 'internet', 'setabilia', 'sya', 'responsibility', 'use', ' Telkomsel ',' Please ',' Fix ',' Network ',' Data ',' Stay ',' Region ',' Cengkareng ',' Kapok ',' Jakarta ',' West ', "]</v>
      </c>
      <c r="D700" s="3">
        <v>1.0</v>
      </c>
    </row>
    <row r="701" ht="15.75" customHeight="1">
      <c r="A701" s="1">
        <v>699.0</v>
      </c>
      <c r="B701" s="3" t="s">
        <v>702</v>
      </c>
      <c r="C701" s="3" t="str">
        <f>IFERROR(__xludf.DUMMYFUNCTION("GOOGLETRANSLATE(B701,""id"",""en"")"),"['given', 'bonus',' GB ',' use ',' quota ',' main ',' intention ',' ngk ',' gave ',' bonus', 'provaider', 'garbage', ' NGK ',' Ngibul ',' Ngk ',' Telkomsel ',' name ',' already ',' Patahin ',' card ', ""]")</f>
        <v>['given', 'bonus',' GB ',' use ',' quota ',' main ',' intention ',' ngk ',' gave ',' bonus', 'provaider', 'garbage', ' NGK ',' Ngibul ',' Ngk ',' Telkomsel ',' name ',' already ',' Patahin ',' card ', "]</v>
      </c>
      <c r="D701" s="3">
        <v>1.0</v>
      </c>
    </row>
    <row r="702" ht="15.75" customHeight="1">
      <c r="A702" s="1">
        <v>700.0</v>
      </c>
      <c r="B702" s="3" t="s">
        <v>703</v>
      </c>
      <c r="C702" s="3" t="str">
        <f>IFERROR(__xludf.DUMMYFUNCTION("GOOGLETRANSLATE(B702,""id"",""en"")"),"['Network', 'okay', 'area', 'fortunately', 'service', 'buffering', 'Telkomsel', 'direct', 'continued', 'sometimes', 'disorder']")</f>
        <v>['Network', 'okay', 'area', 'fortunately', 'service', 'buffering', 'Telkomsel', 'direct', 'continued', 'sometimes', 'disorder']</v>
      </c>
      <c r="D702" s="3">
        <v>5.0</v>
      </c>
    </row>
    <row r="703" ht="15.75" customHeight="1">
      <c r="A703" s="1">
        <v>701.0</v>
      </c>
      <c r="B703" s="3" t="s">
        <v>704</v>
      </c>
      <c r="C703" s="3" t="str">
        <f>IFERROR(__xludf.DUMMYFUNCTION("GOOGLETRANSLATE(B703,""id"",""en"")"),"['Please', 'Developer', 'GNI', 'GWE', 'Top', 'quota', 'GB', 'MERDEKA', 'GWE', 'Credit', 'Top', 'Fail', ' I ',' contents', 'pulses',' thousand ',' point ',' written ',' surpass', 'boundary', 'exchange', 'point', 'SAK', 'BET', 'I' , 'please', 'fix', 'donk',"&amp;" 'tensi', 'top', 'fail', 'then', 'top', 'right', 'work', 'system', 'gni']")</f>
        <v>['Please', 'Developer', 'GNI', 'GWE', 'Top', 'quota', 'GB', 'MERDEKA', 'GWE', 'Credit', 'Top', 'Fail', ' I ',' contents', 'pulses',' thousand ',' point ',' written ',' surpass', 'boundary', 'exchange', 'point', 'SAK', 'BET', 'I' , 'please', 'fix', 'donk', 'tensi', 'top', 'fail', 'then', 'top', 'right', 'work', 'system', 'gni']</v>
      </c>
      <c r="D703" s="3">
        <v>2.0</v>
      </c>
    </row>
    <row r="704" ht="15.75" customHeight="1">
      <c r="A704" s="1">
        <v>702.0</v>
      </c>
      <c r="B704" s="3" t="s">
        <v>705</v>
      </c>
      <c r="C704" s="3" t="str">
        <f>IFERROR(__xludf.DUMMYFUNCTION("GOOGLETRANSLATE(B704,""id"",""en"")"),"['Sorry', 'Change', 'Bintang', 'Package', 'Expensive', 'Sinyal', 'Lost', 'Connect', 'Network', 'Extensive', 'User', 'Card', ' Disappointed ',' Heavy ',' Dadly ',' Sattle ',' Customer ',' Telkomsel ',' Weve ',' Good ',' Signal ',' Strong ',' Connect ',' Do"&amp;"wn ',' Derasti ' , 'KB', 'Simply', 'Satisfied', 'Lunnya', 'Quality', 'Sousal', 'Sorry', 'Reduce', 'Buy', 'Paketan', 'Telkom', ""]")</f>
        <v>['Sorry', 'Change', 'Bintang', 'Package', 'Expensive', 'Sinyal', 'Lost', 'Connect', 'Network', 'Extensive', 'User', 'Card', ' Disappointed ',' Heavy ',' Dadly ',' Sattle ',' Customer ',' Telkomsel ',' Weve ',' Good ',' Signal ',' Strong ',' Connect ',' Down ',' Derasti ' , 'KB', 'Simply', 'Satisfied', 'Lunnya', 'Quality', 'Sousal', 'Sorry', 'Reduce', 'Buy', 'Paketan', 'Telkom', "]</v>
      </c>
      <c r="D704" s="3">
        <v>1.0</v>
      </c>
    </row>
    <row r="705" ht="15.75" customHeight="1">
      <c r="A705" s="1">
        <v>703.0</v>
      </c>
      <c r="B705" s="3" t="s">
        <v>706</v>
      </c>
      <c r="C705" s="3" t="str">
        <f>IFERROR(__xludf.DUMMYFUNCTION("GOOGLETRANSLATE(B705,""id"",""en"")"),"['expensive', 'signal', 'ugly', 'according to', 'price', 'already', 'stressed', 'dinaikin', 'price', 'goodbye', 'Telkomsel', 'last' Buy ',' quota ',' provider ',' ']")</f>
        <v>['expensive', 'signal', 'ugly', 'according to', 'price', 'already', 'stressed', 'dinaikin', 'price', 'goodbye', 'Telkomsel', 'last' Buy ',' quota ',' provider ',' ']</v>
      </c>
      <c r="D705" s="3">
        <v>1.0</v>
      </c>
    </row>
    <row r="706" ht="15.75" customHeight="1">
      <c r="A706" s="1">
        <v>704.0</v>
      </c>
      <c r="B706" s="3" t="s">
        <v>707</v>
      </c>
      <c r="C706" s="3" t="str">
        <f>IFERROR(__xludf.DUMMYFUNCTION("GOOGLETRANSLATE(B706,""id"",""en"")"),"['Purchase', 'package', 'combo', 'limit', 'skarang', 'pandemic', 'like', 'help', 'all', 'package', 'expensive', 'sorry', ' Love ',' Rate ',' Star ',' Already ',' Fix ',' Ride ',' ']")</f>
        <v>['Purchase', 'package', 'combo', 'limit', 'skarang', 'pandemic', 'like', 'help', 'all', 'package', 'expensive', 'sorry', ' Love ',' Rate ',' Star ',' Already ',' Fix ',' Ride ',' ']</v>
      </c>
      <c r="D706" s="3">
        <v>2.0</v>
      </c>
    </row>
    <row r="707" ht="15.75" customHeight="1">
      <c r="A707" s="1">
        <v>705.0</v>
      </c>
      <c r="B707" s="3" t="s">
        <v>708</v>
      </c>
      <c r="C707" s="3" t="str">
        <f>IFERROR(__xludf.DUMMYFUNCTION("GOOGLETRANSLATE(B707,""id"",""en"")"),"['', 'Telkomsel', 'keep', 'Get', 'bonus', 'data', 'internet', 'cheap', 'try', 'do', 'tks']")</f>
        <v>['', 'Telkomsel', 'keep', 'Get', 'bonus', 'data', 'internet', 'cheap', 'try', 'do', 'tks']</v>
      </c>
      <c r="D707" s="3">
        <v>5.0</v>
      </c>
    </row>
    <row r="708" ht="15.75" customHeight="1">
      <c r="A708" s="1">
        <v>706.0</v>
      </c>
      <c r="B708" s="3" t="s">
        <v>709</v>
      </c>
      <c r="C708" s="3" t="str">
        <f>IFERROR(__xludf.DUMMYFUNCTION("GOOGLETRANSLATE(B708,""id"",""en"")"),"['Kapok', 'use', 'Telkomsel', 'buy', 'quota', 'learn', 'internet', 'max', 'limited', 'eLearning', 'open', 'eLearning', ' kagak ',' already ',' past ',' boundary ',' subscribe ',' quota ',' learn ',' internet ',' max ',' like ',' feel ',' waste ',' waste '"&amp;" , 'money']")</f>
        <v>['Kapok', 'use', 'Telkomsel', 'buy', 'quota', 'learn', 'internet', 'max', 'limited', 'eLearning', 'open', 'eLearning', ' kagak ',' already ',' past ',' boundary ',' subscribe ',' quota ',' learn ',' internet ',' max ',' like ',' feel ',' waste ',' waste ' , 'money']</v>
      </c>
      <c r="D708" s="3">
        <v>1.0</v>
      </c>
    </row>
    <row r="709" ht="15.75" customHeight="1">
      <c r="A709" s="1">
        <v>707.0</v>
      </c>
      <c r="B709" s="3" t="s">
        <v>710</v>
      </c>
      <c r="C709" s="3" t="str">
        <f>IFERROR(__xludf.DUMMYFUNCTION("GOOGLETRANSLATE(B709,""id"",""en"")"),"['service', 'via', 'online', 'bad', 'chat', 'veronika', 'answered', 'chat', 'veronika', 'service', 'chat', ' Expectation ',' just ',' formalities', 'offset', 'rivals',' super ',' busy ',' fate ',' consumers', 'company', 'cheated', 'cheap', 'promo' , 'prom"&amp;"ises', 'service', 'best', 'reality', 'indifference', 'closed', 'promo', 'interesting', '']")</f>
        <v>['service', 'via', 'online', 'bad', 'chat', 'veronika', 'answered', 'chat', 'veronika', 'service', 'chat', ' Expectation ',' just ',' formalities', 'offset', 'rivals',' super ',' busy ',' fate ',' consumers', 'company', 'cheated', 'cheap', 'promo' , 'promises', 'service', 'best', 'reality', 'indifference', 'closed', 'promo', 'interesting', '']</v>
      </c>
      <c r="D709" s="3">
        <v>1.0</v>
      </c>
    </row>
    <row r="710" ht="15.75" customHeight="1">
      <c r="A710" s="1">
        <v>708.0</v>
      </c>
      <c r="B710" s="3" t="s">
        <v>711</v>
      </c>
      <c r="C710" s="3" t="str">
        <f>IFERROR(__xludf.DUMMYFUNCTION("GOOGLETRANSLATE(B710,""id"",""en"")"),"['APK', 'Lumayun', 'checked', 'pulse', 'slow', 'forgiveness',' willing ',' staying up ',' Telkomsel ',' please ',' admin ',' Telkomsel ',' repair', '']")</f>
        <v>['APK', 'Lumayun', 'checked', 'pulse', 'slow', 'forgiveness',' willing ',' staying up ',' Telkomsel ',' please ',' admin ',' Telkomsel ',' repair', '']</v>
      </c>
      <c r="D710" s="3">
        <v>2.0</v>
      </c>
    </row>
    <row r="711" ht="15.75" customHeight="1">
      <c r="A711" s="1">
        <v>709.0</v>
      </c>
      <c r="B711" s="3" t="s">
        <v>712</v>
      </c>
      <c r="C711" s="3" t="str">
        <f>IFERROR(__xludf.DUMMYFUNCTION("GOOGLETRANSLATE(B711,""id"",""en"")"),"['card', 'ndasmu', 'signal', 'slow', 'then', 'expensive', 'quota', 'already', 'expensive', 'buy', 'signal', 'emotion', ' MAH ',' ']")</f>
        <v>['card', 'ndasmu', 'signal', 'slow', 'then', 'expensive', 'quota', 'already', 'expensive', 'buy', 'signal', 'emotion', ' MAH ',' ']</v>
      </c>
      <c r="D711" s="3">
        <v>1.0</v>
      </c>
    </row>
    <row r="712" ht="15.75" customHeight="1">
      <c r="A712" s="1">
        <v>710.0</v>
      </c>
      <c r="B712" s="3" t="s">
        <v>713</v>
      </c>
      <c r="C712" s="3" t="str">
        <f>IFERROR(__xludf.DUMMYFUNCTION("GOOGLETRANSLATE(B712,""id"",""en"")"),"['Disappointed', 'Heavy', 'Telkomsel', 'Credit', 'Buy', 'Package', 'Credit', 'Sumpot', 'Failed', 'Buy', 'Package', 'Fix', ' System ',' Network ',' Severe ',' Stable ',' ']")</f>
        <v>['Disappointed', 'Heavy', 'Telkomsel', 'Credit', 'Buy', 'Package', 'Credit', 'Sumpot', 'Failed', 'Buy', 'Package', 'Fix', ' System ',' Network ',' Severe ',' Stable ',' ']</v>
      </c>
      <c r="D712" s="3">
        <v>1.0</v>
      </c>
    </row>
    <row r="713" ht="15.75" customHeight="1">
      <c r="A713" s="1">
        <v>711.0</v>
      </c>
      <c r="B713" s="3" t="s">
        <v>714</v>
      </c>
      <c r="C713" s="3" t="str">
        <f>IFERROR(__xludf.DUMMYFUNCTION("GOOGLETRANSLATE(B713,""id"",""en"")"),"['network', 'Telkomsel', 'quality', 'threat', 'slow', 'sell', 'quota', 'expensive', 'quality', 'network', 'bad']")</f>
        <v>['network', 'Telkomsel', 'quality', 'threat', 'slow', 'sell', 'quota', 'expensive', 'quality', 'network', 'bad']</v>
      </c>
      <c r="D713" s="3">
        <v>1.0</v>
      </c>
    </row>
    <row r="714" ht="15.75" customHeight="1">
      <c r="A714" s="1">
        <v>712.0</v>
      </c>
      <c r="B714" s="3" t="s">
        <v>715</v>
      </c>
      <c r="C714" s="3" t="str">
        <f>IFERROR(__xludf.DUMMYFUNCTION("GOOGLETRANSLATE(B714,""id"",""en"")"),"['Kunaon', 'MENTA', 'Updet', 'then', 'Maap', 'Kituaweh', 'Hungkul']")</f>
        <v>['Kunaon', 'MENTA', 'Updet', 'then', 'Maap', 'Kituaweh', 'Hungkul']</v>
      </c>
      <c r="D714" s="3">
        <v>1.0</v>
      </c>
    </row>
    <row r="715" ht="15.75" customHeight="1">
      <c r="A715" s="1">
        <v>713.0</v>
      </c>
      <c r="B715" s="3" t="s">
        <v>716</v>
      </c>
      <c r="C715" s="3" t="str">
        <f>IFERROR(__xludf.DUMMYFUNCTION("GOOGLETRANSLATE(B715,""id"",""en"")"),"['Help', 'practical', 'promo', 'choice', 'makes it easy', 'usage', 'card', 'Telkomsel', 'application', 'Telkomsel', 'pakek', 'setting', ' Language ',' That's', 'Over', 'Language', 'Current', 'Language', 'Foreign', 'trimakasih']")</f>
        <v>['Help', 'practical', 'promo', 'choice', 'makes it easy', 'usage', 'card', 'Telkomsel', 'application', 'Telkomsel', 'pakek', 'setting', ' Language ',' That's', 'Over', 'Language', 'Current', 'Language', 'Foreign', 'trimakasih']</v>
      </c>
      <c r="D715" s="3">
        <v>4.0</v>
      </c>
    </row>
    <row r="716" ht="15.75" customHeight="1">
      <c r="A716" s="1">
        <v>714.0</v>
      </c>
      <c r="B716" s="3" t="s">
        <v>717</v>
      </c>
      <c r="C716" s="3" t="str">
        <f>IFERROR(__xludf.DUMMYFUNCTION("GOOGLETRANSLATE(B716,""id"",""en"")"),"['Upgrade', 'Try', 'Uninstall', 'then', 'Install', 'reset', 'broken', 'really', 'already', 'expensive', 'ugly', 'quality', ' disappointed']")</f>
        <v>['Upgrade', 'Try', 'Uninstall', 'then', 'Install', 'reset', 'broken', 'really', 'already', 'expensive', 'ugly', 'quality', ' disappointed']</v>
      </c>
      <c r="D716" s="3">
        <v>1.0</v>
      </c>
    </row>
    <row r="717" ht="15.75" customHeight="1">
      <c r="A717" s="1">
        <v>715.0</v>
      </c>
      <c r="B717" s="3" t="s">
        <v>718</v>
      </c>
      <c r="C717" s="3" t="str">
        <f>IFERROR(__xludf.DUMMYFUNCTION("GOOGLETRANSLATE(B717,""id"",""en"")"),"['Redeem', 'Points', 'Karna', 'Pulse', 'Redeem', 'Calculated', 'Redeem', 'Redeem', 'Credit', 'Please', 'Repaired']")</f>
        <v>['Redeem', 'Points', 'Karna', 'Pulse', 'Redeem', 'Calculated', 'Redeem', 'Redeem', 'Credit', 'Please', 'Repaired']</v>
      </c>
      <c r="D717" s="3">
        <v>1.0</v>
      </c>
    </row>
    <row r="718" ht="15.75" customHeight="1">
      <c r="A718" s="1">
        <v>716.0</v>
      </c>
      <c r="B718" s="3" t="s">
        <v>719</v>
      </c>
      <c r="C718" s="3" t="str">
        <f>IFERROR(__xludf.DUMMYFUNCTION("GOOGLETRANSLATE(B718,""id"",""en"")"),"['quality', 'signal', 'internet', 'stable', 'fast', 'in all', 'location', 'Indonesia', 'urban', 'solid', 'mountains',' rural ',' Regions', 'City', 'Village', 'Buffering', 'Signal', 'Down', 'Users',' Faithful ',' Worth ',' Consider ',' Bintang ',' Value ',"&amp;"' Highest ' , 'Telkomsel', '']")</f>
        <v>['quality', 'signal', 'internet', 'stable', 'fast', 'in all', 'location', 'Indonesia', 'urban', 'solid', 'mountains',' rural ',' Regions', 'City', 'Village', 'Buffering', 'Signal', 'Down', 'Users',' Faithful ',' Worth ',' Consider ',' Bintang ',' Value ',' Highest ' , 'Telkomsel', '']</v>
      </c>
      <c r="D718" s="3">
        <v>3.0</v>
      </c>
    </row>
    <row r="719" ht="15.75" customHeight="1">
      <c r="A719" s="1">
        <v>717.0</v>
      </c>
      <c r="B719" s="3" t="s">
        <v>720</v>
      </c>
      <c r="C719" s="3" t="str">
        <f>IFERROR(__xludf.DUMMYFUNCTION("GOOGLETRANSLATE(B719,""id"",""en"")"),"['Telkomsel', 'network', 'feels',' kyk ',' forgiveness', 'see', 'network', 'tolng', 'fix', 'network', 'sprt', 'normal', ' online ',' network ',' error ',' ank ',' school ',' bnyk ',' lgi ',' online ',' please ',' labnrn ',' network ',' kyk ',' gini ' , 'N"&amp;"etwork', 'loyal', 'Telkomsel', 'bnyak', 'people', 'Send', 'Review', 'use', 'Telkomsel', 'loyal', 'Sia', ' Nnti ',' Gaada ',' use ',' Telkomsel ',' LGI ',' AUTO ',' BANGKRU ',' ']")</f>
        <v>['Telkomsel', 'network', 'feels',' kyk ',' forgiveness', 'see', 'network', 'tolng', 'fix', 'network', 'sprt', 'normal', ' online ',' network ',' error ',' ank ',' school ',' bnyk ',' lgi ',' online ',' please ',' labnrn ',' network ',' kyk ',' gini ' , 'Network', 'loyal', 'Telkomsel', 'bnyak', 'people', 'Send', 'Review', 'use', 'Telkomsel', 'loyal', 'Sia', ' Nnti ',' Gaada ',' use ',' Telkomsel ',' LGI ',' AUTO ',' BANGKRU ',' ']</v>
      </c>
      <c r="D719" s="3">
        <v>1.0</v>
      </c>
    </row>
    <row r="720" ht="15.75" customHeight="1">
      <c r="A720" s="1">
        <v>718.0</v>
      </c>
      <c r="B720" s="3" t="s">
        <v>721</v>
      </c>
      <c r="C720" s="3" t="str">
        <f>IFERROR(__xludf.DUMMYFUNCTION("GOOGLETRANSLATE(B720,""id"",""en"")"),"['', 'fox', 'chaotic', 'sicnyal', 'sympathy', 'right', 'ujang', 'please', 'use', 'perudis',' plus', 'application', 'Telkomsel ',' petrified ', ""]")</f>
        <v>['', 'fox', 'chaotic', 'sicnyal', 'sympathy', 'right', 'ujang', 'please', 'use', 'perudis',' plus', 'application', 'Telkomsel ',' petrified ', "]</v>
      </c>
      <c r="D720" s="3">
        <v>1.0</v>
      </c>
    </row>
    <row r="721" ht="15.75" customHeight="1">
      <c r="A721" s="1">
        <v>719.0</v>
      </c>
      <c r="B721" s="3" t="s">
        <v>722</v>
      </c>
      <c r="C721" s="3" t="str">
        <f>IFERROR(__xludf.DUMMYFUNCTION("GOOGLETRANSLATE(B721,""id"",""en"")"),"['application', 'good', 'connection', 'smooth', 'package', 'quota', 'bika', 'quota', 'price', 'affordable', 'cheap', 'strength', ' stability ',' Jaribgan ',' Enhanced ',' ']")</f>
        <v>['application', 'good', 'connection', 'smooth', 'package', 'quota', 'bika', 'quota', 'price', 'affordable', 'cheap', 'strength', ' stability ',' Jaribgan ',' Enhanced ',' ']</v>
      </c>
      <c r="D721" s="3">
        <v>5.0</v>
      </c>
    </row>
    <row r="722" ht="15.75" customHeight="1">
      <c r="A722" s="1">
        <v>720.0</v>
      </c>
      <c r="B722" s="3" t="s">
        <v>723</v>
      </c>
      <c r="C722" s="3" t="str">
        <f>IFERROR(__xludf.DUMMYFUNCTION("GOOGLETRANSLATE(B722,""id"",""en"")"),"['Nawar', 'IN', 'Tuker', 'Point', 'get', 'Dipake', 'Taunya', 'touched', 'at all', 'Sumpot', 'quota', 'main', ' Ryesel ',' intention ',' save ',' loss']")</f>
        <v>['Nawar', 'IN', 'Tuker', 'Point', 'get', 'Dipake', 'Taunya', 'touched', 'at all', 'Sumpot', 'quota', 'main', ' Ryesel ',' intention ',' save ',' loss']</v>
      </c>
      <c r="D722" s="3">
        <v>1.0</v>
      </c>
    </row>
    <row r="723" ht="15.75" customHeight="1">
      <c r="A723" s="1">
        <v>721.0</v>
      </c>
      <c r="B723" s="3" t="s">
        <v>724</v>
      </c>
      <c r="C723" s="3" t="str">
        <f>IFERROR(__xludf.DUMMYFUNCTION("GOOGLETRANSLATE(B723,""id"",""en"")"),"['Dear', 'cancel', 'package', 'usage', 'buy', 'package', 'priority', 'package', 'set', 'automatic', 'system', 'disappointing', ' Quota ',' deadline ',' short ',' used ',' compared ',' quota ', ""]")</f>
        <v>['Dear', 'cancel', 'package', 'usage', 'buy', 'package', 'priority', 'package', 'set', 'automatic', 'system', 'disappointing', ' Quota ',' deadline ',' short ',' used ',' compared ',' quota ', "]</v>
      </c>
      <c r="D723" s="3">
        <v>1.0</v>
      </c>
    </row>
    <row r="724" ht="15.75" customHeight="1">
      <c r="A724" s="1">
        <v>722.0</v>
      </c>
      <c r="B724" s="3" t="s">
        <v>725</v>
      </c>
      <c r="C724" s="3" t="str">
        <f>IFERROR(__xludf.DUMMYFUNCTION("GOOGLETRANSLATE(B724,""id"",""en"")"),"['Telkomsel', 'severe', 'network', 'ugly', 'network', 'I', 'disappointed', 'regret', 'Telkomsel', 'please', 'fix', 'network', ' good ',' gtu ',' oath ',' regret ',' bat ',' pke ',' telkomsel ']")</f>
        <v>['Telkomsel', 'severe', 'network', 'ugly', 'network', 'I', 'disappointed', 'regret', 'Telkomsel', 'please', 'fix', 'network', ' good ',' gtu ',' oath ',' regret ',' bat ',' pke ',' telkomsel ']</v>
      </c>
      <c r="D724" s="3">
        <v>1.0</v>
      </c>
    </row>
    <row r="725" ht="15.75" customHeight="1">
      <c r="A725" s="1">
        <v>723.0</v>
      </c>
      <c r="B725" s="3" t="s">
        <v>726</v>
      </c>
      <c r="C725" s="3" t="str">
        <f>IFERROR(__xludf.DUMMYFUNCTION("GOOGLETRANSLATE(B725,""id"",""en"")"),"['The network', 'chaotic', 'need', 'network', 'no', 'please', 'Telkomsel', 'fix', 'network', 'in fact', 'Jambi', 'in the city', ' DESESA ',' Need ',' Network ',' Good ',' Plus', 'Price', 'Quota', 'Internet', 'Expensive', 'Disappointed', 'Please']")</f>
        <v>['The network', 'chaotic', 'need', 'network', 'no', 'please', 'Telkomsel', 'fix', 'network', 'in fact', 'Jambi', 'in the city', ' DESESA ',' Need ',' Network ',' Good ',' Plus', 'Price', 'Quota', 'Internet', 'Expensive', 'Disappointed', 'Please']</v>
      </c>
      <c r="D725" s="3">
        <v>1.0</v>
      </c>
    </row>
    <row r="726" ht="15.75" customHeight="1">
      <c r="A726" s="1">
        <v>724.0</v>
      </c>
      <c r="B726" s="3" t="s">
        <v>727</v>
      </c>
      <c r="C726" s="3" t="str">
        <f>IFERROR(__xludf.DUMMYFUNCTION("GOOGLETRANSLATE(B726,""id"",""en"")"),"['SMS', 'Telkomsel', 'Exchange', 'Points',' Pulse ',' Rp ',' Customer ',' Gold ',' Platinum ',' Diamon ',' SMS ',' Sent ',' Remdom ',' Remdom ',' Thanks', 'Because', 'Promo', 'Promo', 'Out', 'TELKOMSEL', 'Play', 'Customer', 'Name', 'Customer' , 'GOLD', 'T"&amp;"irima', 'subscribe', 'Telkomsel', 'Honest', 'Disappointed', 'Telkomsel', ""]")</f>
        <v>['SMS', 'Telkomsel', 'Exchange', 'Points',' Pulse ',' Rp ',' Customer ',' Gold ',' Platinum ',' Diamon ',' SMS ',' Sent ',' Remdom ',' Remdom ',' Thanks', 'Because', 'Promo', 'Promo', 'Out', 'TELKOMSEL', 'Play', 'Customer', 'Name', 'Customer' , 'GOLD', 'Tirima', 'subscribe', 'Telkomsel', 'Honest', 'Disappointed', 'Telkomsel', "]</v>
      </c>
      <c r="D726" s="3">
        <v>1.0</v>
      </c>
    </row>
    <row r="727" ht="15.75" customHeight="1">
      <c r="A727" s="1">
        <v>725.0</v>
      </c>
      <c r="B727" s="3" t="s">
        <v>728</v>
      </c>
      <c r="C727" s="3" t="str">
        <f>IFERROR(__xludf.DUMMYFUNCTION("GOOGLETRANSLATE(B727,""id"",""en"")"),"['Disappointed', 'Telkomsel', 'cheats',' lure ',' promo ',' Prnnuk ',' Points', 'quota', 'GB', 'because', 'pulses',' Charging ',' Pulse ',' thousand ',' Telkomsel ',' Direct ',' Cutting ',' thousand ',' Exchange ',' Points', 'Declared', 'Exchange', 'Credi"&amp;"t', 'Remnant' , 'thousands',' visit ',' myteljomsel ',' redemption ',' pulse ',' zero ',' blom ',' dapt ',' package ',' pulse ',' hbis', 'krna', ' disappointed ',' loan ',' pket ',' thousand ']")</f>
        <v>['Disappointed', 'Telkomsel', 'cheats',' lure ',' promo ',' Prnnuk ',' Points', 'quota', 'GB', 'because', 'pulses',' Charging ',' Pulse ',' thousand ',' Telkomsel ',' Direct ',' Cutting ',' thousand ',' Exchange ',' Points', 'Declared', 'Exchange', 'Credit', 'Remnant' , 'thousands',' visit ',' myteljomsel ',' redemption ',' pulse ',' zero ',' blom ',' dapt ',' package ',' pulse ',' hbis', 'krna', ' disappointed ',' loan ',' pket ',' thousand ']</v>
      </c>
      <c r="D727" s="3">
        <v>1.0</v>
      </c>
    </row>
    <row r="728" ht="15.75" customHeight="1">
      <c r="A728" s="1">
        <v>726.0</v>
      </c>
      <c r="B728" s="3" t="s">
        <v>729</v>
      </c>
      <c r="C728" s="3" t="str">
        <f>IFERROR(__xludf.DUMMYFUNCTION("GOOGLETRANSLATE(B728,""id"",""en"")"),"['Try', 'Notice', 'DLU', 'Network', 'Subdistrict', 'BUALAEMO', 'Kab', 'Banggai', 'Village', 'Bualemo', 'Network', 'knp', ' kayak ',' gini ',' dead ',' lights', 'network', 'lost', 'try', 'find', 'solution', 'dlu', ""]")</f>
        <v>['Try', 'Notice', 'DLU', 'Network', 'Subdistrict', 'BUALAEMO', 'Kab', 'Banggai', 'Village', 'Bualemo', 'Network', 'knp', ' kayak ',' gini ',' dead ',' lights', 'network', 'lost', 'try', 'find', 'solution', 'dlu', "]</v>
      </c>
      <c r="D728" s="3">
        <v>5.0</v>
      </c>
    </row>
    <row r="729" ht="15.75" customHeight="1">
      <c r="A729" s="1">
        <v>727.0</v>
      </c>
      <c r="B729" s="3" t="s">
        <v>730</v>
      </c>
      <c r="C729" s="3" t="str">
        <f>IFERROR(__xludf.DUMMYFUNCTION("GOOGLETRANSLATE(B729,""id"",""en"")"),"['buy', 'package', 'already', 'wait', 'buy', 'package', 'internet', 'application', 'really', 'eat', 'package', 'slow', ' sometimes']")</f>
        <v>['buy', 'package', 'already', 'wait', 'buy', 'package', 'internet', 'application', 'really', 'eat', 'package', 'slow', ' sometimes']</v>
      </c>
      <c r="D729" s="3">
        <v>1.0</v>
      </c>
    </row>
    <row r="730" ht="15.75" customHeight="1">
      <c r="A730" s="1">
        <v>728.0</v>
      </c>
      <c r="B730" s="3" t="s">
        <v>731</v>
      </c>
      <c r="C730" s="3" t="str">
        <f>IFERROR(__xludf.DUMMYFUNCTION("GOOGLETRANSLATE(B730,""id"",""en"")"),"['Thank you', 'Telkomsel', 'blessings',' quota ',' emergency ',' quota ',' to get ',' help ',' pandemic ',' exchange ',' point ',' GB ',' Independence ',' Hopefully ',' Wanda ',' Yudha ',' Pratama ',' Win ',' Lottery ',' Exchange ',' Point ',' Toyota ',' "&amp;"Yaris', 'Aamiin' , 'win', 'gift', 'sold', 'million', 'compensation', 'child', 'orphaned', 'etc.', 'along with', 'gift', 'prime', 'quota', ' people ',' present ',' event ',' thanksgiving ',' hope ',' help ', ""]")</f>
        <v>['Thank you', 'Telkomsel', 'blessings',' quota ',' emergency ',' quota ',' to get ',' help ',' pandemic ',' exchange ',' point ',' GB ',' Independence ',' Hopefully ',' Wanda ',' Yudha ',' Pratama ',' Win ',' Lottery ',' Exchange ',' Point ',' Toyota ',' Yaris', 'Aamiin' , 'win', 'gift', 'sold', 'million', 'compensation', 'child', 'orphaned', 'etc.', 'along with', 'gift', 'prime', 'quota', ' people ',' present ',' event ',' thanksgiving ',' hope ',' help ', "]</v>
      </c>
      <c r="D730" s="3">
        <v>5.0</v>
      </c>
    </row>
    <row r="731" ht="15.75" customHeight="1">
      <c r="A731" s="1">
        <v>729.0</v>
      </c>
      <c r="B731" s="3" t="s">
        <v>732</v>
      </c>
      <c r="C731" s="3" t="str">
        <f>IFERROR(__xludf.DUMMYFUNCTION("GOOGLETRANSLATE(B731,""id"",""en"")"),"['A year', 'application', 'Telkomsel', 'open', 'times',' do ',' operator ',' Telkomsel ',' Delete ',' Install ',' etc. ',' application ',' Telkomsel ',' Blank ',' Closed ',' Menu ',' Android ',' Times', 'Forced', 'Via', 'Web', 'There', 'Sometimes',' Kenda"&amp;"an ']")</f>
        <v>['A year', 'application', 'Telkomsel', 'open', 'times',' do ',' operator ',' Telkomsel ',' Delete ',' Install ',' etc. ',' application ',' Telkomsel ',' Blank ',' Closed ',' Menu ',' Android ',' Times', 'Forced', 'Via', 'Web', 'There', 'Sometimes',' Kendaan ']</v>
      </c>
      <c r="D731" s="3">
        <v>2.0</v>
      </c>
    </row>
    <row r="732" ht="15.75" customHeight="1">
      <c r="A732" s="1">
        <v>730.0</v>
      </c>
      <c r="B732" s="3" t="s">
        <v>733</v>
      </c>
      <c r="C732" s="3" t="str">
        <f>IFERROR(__xludf.DUMMYFUNCTION("GOOGLETRANSLATE(B732,""id"",""en"")"),"['Duh', 'how', 'Telkomsel', 'internet', 'MuterRrrr', 'forest', 'quota', 'pay', 'free', 'try', 'please', 'fix', ' replace ',' nomer ',' darling ',' subscribe ',' sampe ',' overseas', 'state']")</f>
        <v>['Duh', 'how', 'Telkomsel', 'internet', 'MuterRrrr', 'forest', 'quota', 'pay', 'free', 'try', 'please', 'fix', ' replace ',' nomer ',' darling ',' subscribe ',' sampe ',' overseas', 'state']</v>
      </c>
      <c r="D732" s="3">
        <v>1.0</v>
      </c>
    </row>
    <row r="733" ht="15.75" customHeight="1">
      <c r="A733" s="1">
        <v>731.0</v>
      </c>
      <c r="B733" s="3" t="s">
        <v>734</v>
      </c>
      <c r="C733" s="3" t="str">
        <f>IFERROR(__xludf.DUMMYFUNCTION("GOOGLETRANSLATE(B733,""id"",""en"")"),"['Please', 'min', 'already', 'log', 'repeat', 'times',' tomorrow ',' log ',' please ',' fix ',' apk ',' broken ',' Network ',' difficult ',' quota ',' expensive ',' ']")</f>
        <v>['Please', 'min', 'already', 'log', 'repeat', 'times',' tomorrow ',' log ',' please ',' fix ',' apk ',' broken ',' Network ',' difficult ',' quota ',' expensive ',' ']</v>
      </c>
      <c r="D733" s="3">
        <v>1.0</v>
      </c>
    </row>
    <row r="734" ht="15.75" customHeight="1">
      <c r="A734" s="1">
        <v>732.0</v>
      </c>
      <c r="B734" s="3" t="s">
        <v>735</v>
      </c>
      <c r="C734" s="3" t="str">
        <f>IFERROR(__xludf.DUMMYFUNCTION("GOOGLETRANSLATE(B734,""id"",""en"")"),"['Suggestion', 'card', 'already', 'already', 'many years', 'promo', 'cheap', 'festive', 'customer', 'loyal', 'Istiman', 'NOT' Forced ',' Change ',' card ',' card ',' Sakti ', ""]")</f>
        <v>['Suggestion', 'card', 'already', 'already', 'many years', 'promo', 'cheap', 'festive', 'customer', 'loyal', 'Istiman', 'NOT' Forced ',' Change ',' card ',' card ',' Sakti ', "]</v>
      </c>
      <c r="D734" s="3">
        <v>5.0</v>
      </c>
    </row>
    <row r="735" ht="15.75" customHeight="1">
      <c r="A735" s="1">
        <v>733.0</v>
      </c>
      <c r="B735" s="3" t="s">
        <v>736</v>
      </c>
      <c r="C735" s="3" t="str">
        <f>IFERROR(__xludf.DUMMYFUNCTION("GOOGLETRANSLATE(B735,""id"",""en"")"),"['update', 'slow', 'response', 'buy', 'package', 'like', 'slow', 'response', 'fast', 'serve', 'times',' slow ',' very', '']")</f>
        <v>['update', 'slow', 'response', 'buy', 'package', 'like', 'slow', 'response', 'fast', 'serve', 'times',' slow ',' very', '']</v>
      </c>
      <c r="D735" s="3">
        <v>4.0</v>
      </c>
    </row>
    <row r="736" ht="15.75" customHeight="1">
      <c r="A736" s="1">
        <v>734.0</v>
      </c>
      <c r="B736" s="3" t="s">
        <v>737</v>
      </c>
      <c r="C736" s="3" t="str">
        <f>IFERROR(__xludf.DUMMYFUNCTION("GOOGLETRANSLATE(B736,""id"",""en"")"),"['application', 'good', 'fresh', 'see', 'quota', 'pulse', 'easy', 'buy', 'package', 'easy', 'add', 'features',' pulses', 'sucked', 'data', 'cellular', 'have', 'quota', 'application', 'fail', 'load', 'error', 'hope', 'fixed']")</f>
        <v>['application', 'good', 'fresh', 'see', 'quota', 'pulse', 'easy', 'buy', 'package', 'easy', 'add', 'features',' pulses', 'sucked', 'data', 'cellular', 'have', 'quota', 'application', 'fail', 'load', 'error', 'hope', 'fixed']</v>
      </c>
      <c r="D736" s="3">
        <v>4.0</v>
      </c>
    </row>
    <row r="737" ht="15.75" customHeight="1">
      <c r="A737" s="1">
        <v>735.0</v>
      </c>
      <c r="B737" s="3" t="s">
        <v>738</v>
      </c>
      <c r="C737" s="3" t="str">
        <f>IFERROR(__xludf.DUMMYFUNCTION("GOOGLETRANSLATE(B737,""id"",""en"")"),"['website', 'Telkomsel', 'check', 'number', 'number', 'registered', 'nik', 'KTP', 'misused', 'person', 'fast', 'right', ' Unreg ',' Look ',' number ',' number ',' registered ',' Nik ',' Difficult ',' Grapari ',' check ',' number ',' number ',' Nik ',' Gra"&amp;"PARI ' , 'knapa', 'life', 'difficult', 'easy', '']")</f>
        <v>['website', 'Telkomsel', 'check', 'number', 'number', 'registered', 'nik', 'KTP', 'misused', 'person', 'fast', 'right', ' Unreg ',' Look ',' number ',' number ',' registered ',' Nik ',' Difficult ',' Grapari ',' check ',' number ',' number ',' Nik ',' GraPARI ' , 'knapa', 'life', 'difficult', 'easy', '']</v>
      </c>
      <c r="D737" s="3">
        <v>1.0</v>
      </c>
    </row>
    <row r="738" ht="15.75" customHeight="1">
      <c r="A738" s="1">
        <v>736.0</v>
      </c>
      <c r="B738" s="3" t="s">
        <v>739</v>
      </c>
      <c r="C738" s="3" t="str">
        <f>IFERROR(__xludf.DUMMYFUNCTION("GOOGLETRANSLATE(B738,""id"",""en"")"),"['customer', 'already', 'Meresa', 'disturbed', 'network', 'stable', 'Please', 'as fast', 'fix', 'because', 'Please', 'Maap', ' Given ',' reting ',' little ',' because ',' pact ',' prove ',' trimakasih ']")</f>
        <v>['customer', 'already', 'Meresa', 'disturbed', 'network', 'stable', 'Please', 'as fast', 'fix', 'because', 'Please', 'Maap', ' Given ',' reting ',' little ',' because ',' pact ',' prove ',' trimakasih ']</v>
      </c>
      <c r="D738" s="3">
        <v>1.0</v>
      </c>
    </row>
    <row r="739" ht="15.75" customHeight="1">
      <c r="A739" s="1">
        <v>737.0</v>
      </c>
      <c r="B739" s="3" t="s">
        <v>740</v>
      </c>
      <c r="C739" s="3" t="str">
        <f>IFERROR(__xludf.DUMMYFUNCTION("GOOGLETRANSLATE(B739,""id"",""en"")"),"['', 'Telkomsel', 'Network', 'Okay', 'Indonesia', 'Wrong', 'Judge', 'Minus',' Network ',' Full ',' Connection ',' Internet ',' already ',' a week ',' repairs', 'Sorry', 'Rating', 'Telkomsel', 'Minus', ""]")</f>
        <v>['', 'Telkomsel', 'Network', 'Okay', 'Indonesia', 'Wrong', 'Judge', 'Minus',' Network ',' Full ',' Connection ',' Internet ',' already ',' a week ',' repairs', 'Sorry', 'Rating', 'Telkomsel', 'Minus', "]</v>
      </c>
      <c r="D739" s="3">
        <v>1.0</v>
      </c>
    </row>
    <row r="740" ht="15.75" customHeight="1">
      <c r="A740" s="1">
        <v>738.0</v>
      </c>
      <c r="B740" s="3" t="s">
        <v>741</v>
      </c>
      <c r="C740" s="3" t="str">
        <f>IFERROR(__xludf.DUMMYFUNCTION("GOOGLETRANSLATE(B740,""id"",""en"")"),"['buy', 'quota', 'internet', 'nggk', 'method', 'payment', 'pulse', 'sorry', 'change', 'star', 'star', 'entry', ' Change ',' star ',' star ']")</f>
        <v>['buy', 'quota', 'internet', 'nggk', 'method', 'payment', 'pulse', 'sorry', 'change', 'star', 'star', 'entry', ' Change ',' star ',' star ']</v>
      </c>
      <c r="D740" s="3">
        <v>3.0</v>
      </c>
    </row>
    <row r="741" ht="15.75" customHeight="1">
      <c r="A741" s="1">
        <v>739.0</v>
      </c>
      <c r="B741" s="3" t="s">
        <v>742</v>
      </c>
      <c r="C741" s="3" t="str">
        <f>IFERROR(__xludf.DUMMYFUNCTION("GOOGLETRANSLATE(B741,""id"",""en"")"),"['Increases',' Calo ',' Boss', 'Switch', 'Network', 'Maintain', 'Telkomsel', 'Superior', 'Keep', 'Quality', 'Telkomsel', 'Keep', ' Comfort ',' Consumers', 'Jngn', 'Comfortable', '']")</f>
        <v>['Increases',' Calo ',' Boss', 'Switch', 'Network', 'Maintain', 'Telkomsel', 'Superior', 'Keep', 'Quality', 'Telkomsel', 'Keep', ' Comfort ',' Consumers', 'Jngn', 'Comfortable', '']</v>
      </c>
      <c r="D741" s="3">
        <v>4.0</v>
      </c>
    </row>
    <row r="742" ht="15.75" customHeight="1">
      <c r="A742" s="1">
        <v>740.0</v>
      </c>
      <c r="B742" s="3" t="s">
        <v>743</v>
      </c>
      <c r="C742" s="3" t="str">
        <f>IFERROR(__xludf.DUMMYFUNCTION("GOOGLETRANSLATE(B742,""id"",""en"")"),"['users',' Telkomsel ',' Satisfied ',' Service ',' Region ',' Kupang ',' Network ',' Good ',' Disorders', 'Repair', 'Development', 'Promotions',' expensive ',' expensive ',' customers', 'Telkomsel', 'income', 'proposed', 'name', 'promo', 'expensive', 'exp"&amp;"ensive', 'that's',' for example ',' card ' , 'promo', 'promo', 'expensive', 'thank you']")</f>
        <v>['users',' Telkomsel ',' Satisfied ',' Service ',' Region ',' Kupang ',' Network ',' Good ',' Disorders', 'Repair', 'Development', 'Promotions',' expensive ',' expensive ',' customers', 'Telkomsel', 'income', 'proposed', 'name', 'promo', 'expensive', 'expensive', 'that's',' for example ',' card ' , 'promo', 'promo', 'expensive', 'thank you']</v>
      </c>
      <c r="D742" s="3">
        <v>5.0</v>
      </c>
    </row>
    <row r="743" ht="15.75" customHeight="1">
      <c r="A743" s="1">
        <v>741.0</v>
      </c>
      <c r="B743" s="3" t="s">
        <v>744</v>
      </c>
      <c r="C743" s="3" t="str">
        <f>IFERROR(__xludf.DUMMYFUNCTION("GOOGLETRANSLATE(B743,""id"",""en"")"),"['Good', 'baget', 'staple', 'download', 'see', 'ngetot']")</f>
        <v>['Good', 'baget', 'staple', 'download', 'see', 'ngetot']</v>
      </c>
      <c r="D743" s="3">
        <v>5.0</v>
      </c>
    </row>
    <row r="744" ht="15.75" customHeight="1">
      <c r="A744" s="1">
        <v>742.0</v>
      </c>
      <c r="B744" s="3" t="s">
        <v>745</v>
      </c>
      <c r="C744" s="3" t="str">
        <f>IFERROR(__xludf.DUMMYFUNCTION("GOOGLETRANSLATE(B744,""id"",""en"")"),"['Network', 'Powered', 'Telkomsel', 'Loss',' Buy ',' Package ',' Data ',' Out ',' Gara ',' Network ',' Macem ',' Alms', ' Telkomsel ',' buy ',' package ',' please ',' fix ',' detrimental ',' customer ']")</f>
        <v>['Network', 'Powered', 'Telkomsel', 'Loss',' Buy ',' Package ',' Data ',' Out ',' Gara ',' Network ',' Macem ',' Alms', ' Telkomsel ',' buy ',' package ',' please ',' fix ',' detrimental ',' customer ']</v>
      </c>
      <c r="D744" s="3">
        <v>1.0</v>
      </c>
    </row>
    <row r="745" ht="15.75" customHeight="1">
      <c r="A745" s="1">
        <v>743.0</v>
      </c>
      <c r="B745" s="3" t="s">
        <v>746</v>
      </c>
      <c r="C745" s="3" t="str">
        <f>IFERROR(__xludf.DUMMYFUNCTION("GOOGLETRANSLATE(B745,""id"",""en"")"),"['Points',' Exchange ',' Package ',' Data ',' Credit ',' Telkomsel ',' Useful ',' Anjingg ',' Sia ',' Package ',' Data ',' Subscribe ',' Feedback ',' fun ',' Customer ',' pig ']")</f>
        <v>['Points',' Exchange ',' Package ',' Data ',' Credit ',' Telkomsel ',' Useful ',' Anjingg ',' Sia ',' Package ',' Data ',' Subscribe ',' Feedback ',' fun ',' Customer ',' pig ']</v>
      </c>
      <c r="D745" s="3">
        <v>1.0</v>
      </c>
    </row>
    <row r="746" ht="15.75" customHeight="1">
      <c r="A746" s="1">
        <v>744.0</v>
      </c>
      <c r="B746" s="3" t="s">
        <v>747</v>
      </c>
      <c r="C746" s="3" t="str">
        <f>IFERROR(__xludf.DUMMYFUNCTION("GOOGLETRANSLATE(B746,""id"",""en"")"),"['Package', 'monthly', 'odd', 'price', 'even', 'the term', 'fees', 'package', 'monthly', 'wish', 'wish', ""]")</f>
        <v>['Package', 'monthly', 'odd', 'price', 'even', 'the term', 'fees', 'package', 'monthly', 'wish', 'wish', "]</v>
      </c>
      <c r="D746" s="3">
        <v>5.0</v>
      </c>
    </row>
    <row r="747" ht="15.75" customHeight="1">
      <c r="A747" s="1">
        <v>745.0</v>
      </c>
      <c r="B747" s="3" t="s">
        <v>748</v>
      </c>
      <c r="C747" s="3" t="str">
        <f>IFERROR(__xludf.DUMMYFUNCTION("GOOGLETRANSLATE(B747,""id"",""en"")"),"['please', 'cook', 'stable', 'trosss',' village ',' stable ',' city ',' stable ',' sometimes', 'stable', 'causes',' price ',' package ',' already ',' stable ',' gkkk ',' parahhhhhhhhhhh ']")</f>
        <v>['please', 'cook', 'stable', 'trosss',' village ',' stable ',' city ',' stable ',' sometimes', 'stable', 'causes',' price ',' package ',' already ',' stable ',' gkkk ',' parahhhhhhhhhhh ']</v>
      </c>
      <c r="D747" s="3">
        <v>1.0</v>
      </c>
    </row>
    <row r="748" ht="15.75" customHeight="1">
      <c r="A748" s="1">
        <v>746.0</v>
      </c>
      <c r="B748" s="3" t="s">
        <v>749</v>
      </c>
      <c r="C748" s="3" t="str">
        <f>IFERROR(__xludf.DUMMYFUNCTION("GOOGLETRANSLATE(B748,""id"",""en"")"),"['application', 'entry', 'application', 'min', 'telkomsel', 'ngaire', 'aje', 'chaotic', 'pulse', 'buy', 'play', 'cut', ' As wide as', 'Ude', 'use', 'Telkomsel', 'THN', 'Disappointed', 'Telkomsel', 'Jdi', 'Call', 'Call', 'Telkomsel', 'SGAT' , 'difficult', "&amp;"'contact', 'ngeapain', 'aje', 'office', 'telkomsel', 'smpai', 'contact', 'please', 'answer', 'min', '']")</f>
        <v>['application', 'entry', 'application', 'min', 'telkomsel', 'ngaire', 'aje', 'chaotic', 'pulse', 'buy', 'play', 'cut', ' As wide as', 'Ude', 'use', 'Telkomsel', 'THN', 'Disappointed', 'Telkomsel', 'Jdi', 'Call', 'Call', 'Telkomsel', 'SGAT' , 'difficult', 'contact', 'ngeapain', 'aje', 'office', 'telkomsel', 'smpai', 'contact', 'please', 'answer', 'min', '']</v>
      </c>
      <c r="D748" s="3">
        <v>1.0</v>
      </c>
    </row>
    <row r="749" ht="15.75" customHeight="1">
      <c r="A749" s="1">
        <v>747.0</v>
      </c>
      <c r="B749" s="3" t="s">
        <v>750</v>
      </c>
      <c r="C749" s="3" t="str">
        <f>IFERROR(__xludf.DUMMYFUNCTION("GOOGLETRANSLATE(B749,""id"",""en"")"),"['down', 'star', 'subscriptions',' here ',' quality ',' bad ',' in the area ',' house ',' see ',' Story ',' Youtub ',' Previously ',' Current ',' already ',' that's', 'package', 'expensive', 'operator', '']")</f>
        <v>['down', 'star', 'subscriptions',' here ',' quality ',' bad ',' in the area ',' house ',' see ',' Story ',' Youtub ',' Previously ',' Current ',' already ',' that's', 'package', 'expensive', 'operator', '']</v>
      </c>
      <c r="D749" s="3">
        <v>1.0</v>
      </c>
    </row>
    <row r="750" ht="15.75" customHeight="1">
      <c r="A750" s="1">
        <v>748.0</v>
      </c>
      <c r="B750" s="3" t="s">
        <v>751</v>
      </c>
      <c r="C750" s="3" t="str">
        <f>IFERROR(__xludf.DUMMYFUNCTION("GOOGLETRANSLATE(B750,""id"",""en"")"),"['Teach', 'really', 'Telkomsel', 'Ngakartin', 'package', 'emergency', 'notification', 'already', 'activate', 'quota', 'package', 'emergency', ' ']")</f>
        <v>['Teach', 'really', 'Telkomsel', 'Ngakartin', 'package', 'emergency', 'notification', 'already', 'activate', 'quota', 'package', 'emergency', ' ']</v>
      </c>
      <c r="D750" s="3">
        <v>1.0</v>
      </c>
    </row>
    <row r="751" ht="15.75" customHeight="1">
      <c r="A751" s="1">
        <v>749.0</v>
      </c>
      <c r="B751" s="3" t="s">
        <v>752</v>
      </c>
      <c r="C751" s="3" t="str">
        <f>IFERROR(__xludf.DUMMYFUNCTION("GOOGLETRANSLATE(B751,""id"",""en"")"),"['Card', 'Different', 'Different', 'Choice', 'Package', 'APK', 'Recommend', 'Wear', 'Card', 'Sympathy', 'Loop', 'Different', ' price ',' type ',' card ',' Telkomsel ',' price ',' package ',' internet ',' difference ',' rb ',' price ',' package ',' card ',"&amp;"' Telkomsel ' , 'Mantap', 'Telkomsel']")</f>
        <v>['Card', 'Different', 'Different', 'Choice', 'Package', 'APK', 'Recommend', 'Wear', 'Card', 'Sympathy', 'Loop', 'Different', ' price ',' type ',' card ',' Telkomsel ',' price ',' package ',' internet ',' difference ',' rb ',' price ',' package ',' card ',' Telkomsel ' , 'Mantap', 'Telkomsel']</v>
      </c>
      <c r="D751" s="3">
        <v>5.0</v>
      </c>
    </row>
    <row r="752" ht="15.75" customHeight="1">
      <c r="A752" s="1">
        <v>750.0</v>
      </c>
      <c r="B752" s="3" t="s">
        <v>753</v>
      </c>
      <c r="C752" s="3" t="str">
        <f>IFERROR(__xludf.DUMMYFUNCTION("GOOGLETRANSLATE(B752,""id"",""en"")"),"['', 'quality', 'decreases',' sometimes', 'signal', 'like', 'tbtb', 'ngilan', 'rich', 'doi', 'please', 'fix', 'the network ',' users', 'Telkomsel', 'UDH', 'believe', 'use', 'Telkomsel', 'times',' feel ',' disappointed ',' really ']")</f>
        <v>['', 'quality', 'decreases',' sometimes', 'signal', 'like', 'tbtb', 'ngilan', 'rich', 'doi', 'please', 'fix', 'the network ',' users', 'Telkomsel', 'UDH', 'believe', 'use', 'Telkomsel', 'times',' feel ',' disappointed ',' really ']</v>
      </c>
      <c r="D752" s="3">
        <v>1.0</v>
      </c>
    </row>
    <row r="753" ht="15.75" customHeight="1">
      <c r="A753" s="1">
        <v>751.0</v>
      </c>
      <c r="B753" s="3" t="s">
        <v>754</v>
      </c>
      <c r="C753" s="3" t="str">
        <f>IFERROR(__xludf.DUMMYFUNCTION("GOOGLETRANSLATE(B753,""id"",""en"")"),"['Contents',' reset ',' bid ',' bonus', 'bought', 'according to', 'direction', 'written', 'package', 'available', 'not', 'offered', ' ']")</f>
        <v>['Contents',' reset ',' bid ',' bonus', 'bought', 'according to', 'direction', 'written', 'package', 'available', 'not', 'offered', ' ']</v>
      </c>
      <c r="D753" s="3">
        <v>1.0</v>
      </c>
    </row>
    <row r="754" ht="15.75" customHeight="1">
      <c r="A754" s="1">
        <v>752.0</v>
      </c>
      <c r="B754" s="3" t="s">
        <v>755</v>
      </c>
      <c r="C754" s="3" t="str">
        <f>IFERROR(__xludf.DUMMYFUNCTION("GOOGLETRANSLATE(B754,""id"",""en"")"),"['Dear', 'admin', 'Telkomsel', 'Please', 'Looked', 'Acquired', 'Continue', 'Complaints',' Customer ',' Customer ',' Application ',' Telkomsel ',' data ',' cheap ',' expensive ',' no ',' wet ',' his era ',' era ',' sms', 'telephone', 'actually', 'true', 'q"&amp;"uota' , 'Multimedia', 'contents',' SMS ',' telephone ',' use ',' pandemic ',' quota ',' internet ',' expensive ',' forgiveness', 'please', 'repaired', ' The system is', 'Disappointed', '']")</f>
        <v>['Dear', 'admin', 'Telkomsel', 'Please', 'Looked', 'Acquired', 'Continue', 'Complaints',' Customer ',' Customer ',' Application ',' Telkomsel ',' data ',' cheap ',' expensive ',' no ',' wet ',' his era ',' era ',' sms', 'telephone', 'actually', 'true', 'quota' , 'Multimedia', 'contents',' SMS ',' telephone ',' use ',' pandemic ',' quota ',' internet ',' expensive ',' forgiveness', 'please', 'repaired', ' The system is', 'Disappointed', '']</v>
      </c>
      <c r="D754" s="3">
        <v>1.0</v>
      </c>
    </row>
    <row r="755" ht="15.75" customHeight="1">
      <c r="A755" s="1">
        <v>753.0</v>
      </c>
      <c r="B755" s="3" t="s">
        <v>756</v>
      </c>
      <c r="C755" s="3" t="str">
        <f>IFERROR(__xludf.DUMMYFUNCTION("GOOGLETRANSLATE(B755,""id"",""en"")"),"['Help', 'buy', 'data', 'usage', 'data', 'use', 'like', 'application', 'complete', 'easy', 'use', 'thanks',' Telkomsel ',' The ',' Best ',' ']")</f>
        <v>['Help', 'buy', 'data', 'usage', 'data', 'use', 'like', 'application', 'complete', 'easy', 'use', 'thanks',' Telkomsel ',' The ',' Best ',' ']</v>
      </c>
      <c r="D755" s="3">
        <v>5.0</v>
      </c>
    </row>
    <row r="756" ht="15.75" customHeight="1">
      <c r="A756" s="1">
        <v>754.0</v>
      </c>
      <c r="B756" s="3" t="s">
        <v>757</v>
      </c>
      <c r="C756" s="3" t="str">
        <f>IFERROR(__xludf.DUMMYFUNCTION("GOOGLETRANSLATE(B756,""id"",""en"")"),"['Telkomsel', 'hobbies',' people ',' sleep ',' activation ',' package ',' promo ',' really ',' sometimes', 'failed', 'already', 'try', ' Many ',' times', 'pulses',' sumps', 'please', 'replace', 'payment', 'money', 'credit', 'ovo', 'shopeepay', 'etc.']")</f>
        <v>['Telkomsel', 'hobbies',' people ',' sleep ',' activation ',' package ',' promo ',' really ',' sometimes', 'failed', 'already', 'try', ' Many ',' times', 'pulses',' sumps', 'please', 'replace', 'payment', 'money', 'credit', 'ovo', 'shopeepay', 'etc.']</v>
      </c>
      <c r="D756" s="3">
        <v>3.0</v>
      </c>
    </row>
    <row r="757" ht="15.75" customHeight="1">
      <c r="A757" s="1">
        <v>755.0</v>
      </c>
      <c r="B757" s="3" t="s">
        <v>758</v>
      </c>
      <c r="C757" s="3" t="str">
        <f>IFERROR(__xludf.DUMMYFUNCTION("GOOGLETRANSLATE(B757,""id"",""en"")"),"['Severe', 'The network', '']")</f>
        <v>['Severe', 'The network', '']</v>
      </c>
      <c r="D757" s="3">
        <v>1.0</v>
      </c>
    </row>
    <row r="758" ht="15.75" customHeight="1">
      <c r="A758" s="1">
        <v>756.0</v>
      </c>
      <c r="B758" s="3" t="s">
        <v>759</v>
      </c>
      <c r="C758" s="3" t="str">
        <f>IFERROR(__xludf.DUMMYFUNCTION("GOOGLETRANSLATE(B758,""id"",""en"")"),"['Simcard', 'good', 'use', 'Telkomsel', 'use', 'Telkomsel', 'loss',' quota ',' internet ',' expensive ',' division ',' quota ',' The internet ',' ']")</f>
        <v>['Simcard', 'good', 'use', 'Telkomsel', 'use', 'Telkomsel', 'loss',' quota ',' internet ',' expensive ',' division ',' quota ',' The internet ',' ']</v>
      </c>
      <c r="D758" s="3">
        <v>2.0</v>
      </c>
    </row>
    <row r="759" ht="15.75" customHeight="1">
      <c r="A759" s="1">
        <v>757.0</v>
      </c>
      <c r="B759" s="3" t="s">
        <v>760</v>
      </c>
      <c r="C759" s="3" t="str">
        <f>IFERROR(__xludf.DUMMYFUNCTION("GOOGLETRANSLATE(B759,""id"",""en"")"),"['Oklah', 'Please', 'Kabupaten', 'Tangerang', 'Banten', 'Region', 'Bencongan', 'Beautiful', 'Coconut', 'Signal', 'Reinforced', 'Signal', ' Internet ',' weak ',' ']")</f>
        <v>['Oklah', 'Please', 'Kabupaten', 'Tangerang', 'Banten', 'Region', 'Bencongan', 'Beautiful', 'Coconut', 'Signal', 'Reinforced', 'Signal', ' Internet ',' weak ',' ']</v>
      </c>
      <c r="D759" s="3">
        <v>5.0</v>
      </c>
    </row>
    <row r="760" ht="15.75" customHeight="1">
      <c r="A760" s="1">
        <v>758.0</v>
      </c>
      <c r="B760" s="3" t="s">
        <v>761</v>
      </c>
      <c r="C760" s="3" t="str">
        <f>IFERROR(__xludf.DUMMYFUNCTION("GOOGLETRANSLATE(B760,""id"",""en"")"),"['tired', 'times',' see ',' APK ',' already ',' my APK ',' just ',' gabisa ',' open ',' ngeblank ',' that's', 'I think', ' network ',' times', 'Tebuka', 'application', 'ngeblank', 'white', 'that's',' sampek ',' emotion ',' just ',' check ',' quota ',' doa"&amp;"ng ' , 'Uninstall', 'gabisa', 'click', 'install', 'gabisa', 'download', 'dahlaa', 'tired', 'kayak', 'gini', 'times',' Telkomsel ',' Gini ',' times']")</f>
        <v>['tired', 'times',' see ',' APK ',' already ',' my APK ',' just ',' gabisa ',' open ',' ngeblank ',' that's', 'I think', ' network ',' times', 'Tebuka', 'application', 'ngeblank', 'white', 'that's',' sampek ',' emotion ',' just ',' check ',' quota ',' doang ' , 'Uninstall', 'gabisa', 'click', 'install', 'gabisa', 'download', 'dahlaa', 'tired', 'kayak', 'gini', 'times',' Telkomsel ',' Gini ',' times']</v>
      </c>
      <c r="D760" s="3">
        <v>2.0</v>
      </c>
    </row>
    <row r="761" ht="15.75" customHeight="1">
      <c r="A761" s="1">
        <v>759.0</v>
      </c>
      <c r="B761" s="3" t="s">
        <v>762</v>
      </c>
      <c r="C761" s="3" t="str">
        <f>IFERROR(__xludf.DUMMYFUNCTION("GOOGLETRANSLATE(B761,""id"",""en"")"),"['Road', 'Hamlet', 'Bunut', 'North', 'District', 'Rembang', 'Pasuruan', 'Java', 'East', 'factory', 'Pier', 'signal', ' Telkomsel ',' Kbps', 'Signal', 'What', 'Fix', 'Gombin', 'Expand', 'Area', 'Network', ""]")</f>
        <v>['Road', 'Hamlet', 'Bunut', 'North', 'District', 'Rembang', 'Pasuruan', 'Java', 'East', 'factory', 'Pier', 'signal', ' Telkomsel ',' Kbps', 'Signal', 'What', 'Fix', 'Gombin', 'Expand', 'Area', 'Network', "]</v>
      </c>
      <c r="D761" s="3">
        <v>1.0</v>
      </c>
    </row>
    <row r="762" ht="15.75" customHeight="1">
      <c r="A762" s="1">
        <v>760.0</v>
      </c>
      <c r="B762" s="3" t="s">
        <v>763</v>
      </c>
      <c r="C762" s="3" t="str">
        <f>IFERROR(__xludf.DUMMYFUNCTION("GOOGLETRANSLATE(B762,""id"",""en"")"),"['application', 'loss',' contents', 'pulse', 'buy', 'package', 'data', 'use', 'application', 'status',' purchase ',' package ',' Successful ',' Package ',' Data ',' Enter ',' Credit ',' Out ',' Sumpot ',' Internet ',' Application ',' Pekah ']")</f>
        <v>['application', 'loss',' contents', 'pulse', 'buy', 'package', 'data', 'use', 'application', 'status',' purchase ',' package ',' Successful ',' Package ',' Data ',' Enter ',' Credit ',' Out ',' Sumpot ',' Internet ',' Application ',' Pekah ']</v>
      </c>
      <c r="D762" s="3">
        <v>1.0</v>
      </c>
    </row>
    <row r="763" ht="15.75" customHeight="1">
      <c r="A763" s="1">
        <v>761.0</v>
      </c>
      <c r="B763" s="3" t="s">
        <v>764</v>
      </c>
      <c r="C763" s="3" t="str">
        <f>IFERROR(__xludf.DUMMYFUNCTION("GOOGLETRANSLATE(B763,""id"",""en"")"),"['', 'Stay', 'City', 'Jakarta', 'Boz', 'Forest', 'wilderness',' in the room ',' signal ',' jerk ',' severe ',' room ',' intentionally ',' then ',' internet ',' kees', 'in the room', 'room', 'guest', 'different', 'meter', 'signal', 'Different', 'hahaha', '"&amp;"most', 'eat', 'quota', 'doang', 'mah', 'severe', 'star', 'change', 'love', 'rating', 'employee', 'brother', 'Telkomsel', "" ]")</f>
        <v>['', 'Stay', 'City', 'Jakarta', 'Boz', 'Forest', 'wilderness',' in the room ',' signal ',' jerk ',' severe ',' room ',' intentionally ',' then ',' internet ',' kees', 'in the room', 'room', 'guest', 'different', 'meter', 'signal', 'Different', 'hahaha', 'most', 'eat', 'quota', 'doang', 'mah', 'severe', 'star', 'change', 'love', 'rating', 'employee', 'brother', 'Telkomsel', " ]</v>
      </c>
      <c r="D763" s="3">
        <v>1.0</v>
      </c>
    </row>
    <row r="764" ht="15.75" customHeight="1">
      <c r="A764" s="1">
        <v>762.0</v>
      </c>
      <c r="B764" s="3" t="s">
        <v>765</v>
      </c>
      <c r="C764" s="3" t="str">
        <f>IFERROR(__xludf.DUMMYFUNCTION("GOOGLETRANSLATE(B764,""id"",""en"")"),"['Assalamualaikum', 'users',' Telkomsel ',' submit ',' Problems', 'Network', 'Telkomsel', 'Useful', 'Used', 'Disegala', 'In', 'Home', ' broken ',' outside ',' home ',' beg ',' repaired ',' as much as']")</f>
        <v>['Assalamualaikum', 'users',' Telkomsel ',' submit ',' Problems', 'Network', 'Telkomsel', 'Useful', 'Used', 'Disegala', 'In', 'Home', ' broken ',' outside ',' home ',' beg ',' repaired ',' as much as']</v>
      </c>
      <c r="D764" s="3">
        <v>1.0</v>
      </c>
    </row>
    <row r="765" ht="15.75" customHeight="1">
      <c r="A765" s="1">
        <v>763.0</v>
      </c>
      <c r="B765" s="3" t="s">
        <v>766</v>
      </c>
      <c r="C765" s="3" t="str">
        <f>IFERROR(__xludf.DUMMYFUNCTION("GOOGLETRANSLATE(B765,""id"",""en"")"),"['Come', 'Severe', 'BLI', 'Package', 'Telkomsel', 'Difficult', 'Sometimes',' Ampe ',' All Day ',' Sometimes', 'Mass',' Ground "" Haru ',' card ',' pay ',' dead ',' card ',' repair ',' donk ',' quality ', ""]")</f>
        <v>['Come', 'Severe', 'BLI', 'Package', 'Telkomsel', 'Difficult', 'Sometimes',' Ampe ',' All Day ',' Sometimes', 'Mass',' Ground " Haru ',' card ',' pay ',' dead ',' card ',' repair ',' donk ',' quality ', "]</v>
      </c>
      <c r="D765" s="3">
        <v>1.0</v>
      </c>
    </row>
    <row r="766" ht="15.75" customHeight="1">
      <c r="A766" s="1">
        <v>764.0</v>
      </c>
      <c r="B766" s="3" t="s">
        <v>767</v>
      </c>
      <c r="C766" s="3" t="str">
        <f>IFERROR(__xludf.DUMMYFUNCTION("GOOGLETRANSLATE(B766,""id"",""en"")"),"['Telkomsel', 'here', 'send', 'code', 'otp', 'apk', 'no', 'ngeselin', 'really', 'quota', 'internet', 'already', ' So ',' slow ',' how ',' Left ',' Try ',' User ',' Masi ',' Litu ',' Bagusan ',' Telkomsel ',' Package ',' Expensive ',' Current ' , 'Network'"&amp;", 'trs', 'OTP', 'Perna', 'late', 'entered', 'sek', 'sorry', 'disappointed', 'Telkomsel', ""]")</f>
        <v>['Telkomsel', 'here', 'send', 'code', 'otp', 'apk', 'no', 'ngeselin', 'really', 'quota', 'internet', 'already', ' So ',' slow ',' how ',' Left ',' Try ',' User ',' Masi ',' Litu ',' Bagusan ',' Telkomsel ',' Package ',' Expensive ',' Current ' , 'Network', 'trs', 'OTP', 'Perna', 'late', 'entered', 'sek', 'sorry', 'disappointed', 'Telkomsel', "]</v>
      </c>
      <c r="D766" s="3">
        <v>1.0</v>
      </c>
    </row>
    <row r="767" ht="15.75" customHeight="1">
      <c r="A767" s="1">
        <v>765.0</v>
      </c>
      <c r="B767" s="3" t="s">
        <v>768</v>
      </c>
      <c r="C767" s="3" t="str">
        <f>IFERROR(__xludf.DUMMYFUNCTION("GOOGLETRANSLATE(B767,""id"",""en"")"),"['Connection', 'Internet', 'Disconnect', 'Slow', 'Quota', 'Use', 'Speed', 'Internet', 'Mbps',' Rain ',' Muter ',' Since ',' network ',' threat ',' tsel ']")</f>
        <v>['Connection', 'Internet', 'Disconnect', 'Slow', 'Quota', 'Use', 'Speed', 'Internet', 'Mbps',' Rain ',' Muter ',' Since ',' network ',' threat ',' tsel ']</v>
      </c>
      <c r="D767" s="3">
        <v>1.0</v>
      </c>
    </row>
    <row r="768" ht="15.75" customHeight="1">
      <c r="A768" s="1">
        <v>766.0</v>
      </c>
      <c r="B768" s="3" t="s">
        <v>769</v>
      </c>
      <c r="C768" s="3" t="str">
        <f>IFERROR(__xludf.DUMMYFUNCTION("GOOGLETRANSLATE(B768,""id"",""en"")"),"['auto', 'login', 'verification', 'complicated', 'mending', 'version', 'language', 'English', 'language', 'Indonesia', 'back', 'donk', ' cell ',' Telkomsel ',' Bener ',' make it ']")</f>
        <v>['auto', 'login', 'verification', 'complicated', 'mending', 'version', 'language', 'English', 'language', 'Indonesia', 'back', 'donk', ' cell ',' Telkomsel ',' Bener ',' make it ']</v>
      </c>
      <c r="D768" s="3">
        <v>5.0</v>
      </c>
    </row>
    <row r="769" ht="15.75" customHeight="1">
      <c r="A769" s="1">
        <v>767.0</v>
      </c>
      <c r="B769" s="3" t="s">
        <v>770</v>
      </c>
      <c r="C769" s="3" t="str">
        <f>IFERROR(__xludf.DUMMYFUNCTION("GOOGLETRANSLATE(B769,""id"",""en"")"),"['price', 'expensive', 'buy', 'quota', 'play', 'game', 'online', 'mobile', 'legend', 'slow', 'quota', 'Telkomsel', ' expensive you ',' quality ',' please ',' quota ',' expensive ',' fast ',' play ',' game ',' online ',' rich ',' smooth ',' slow ']")</f>
        <v>['price', 'expensive', 'buy', 'quota', 'play', 'game', 'online', 'mobile', 'legend', 'slow', 'quota', 'Telkomsel', ' expensive you ',' quality ',' please ',' quota ',' expensive ',' fast ',' play ',' game ',' online ',' rich ',' smooth ',' slow ']</v>
      </c>
      <c r="D769" s="3">
        <v>1.0</v>
      </c>
    </row>
    <row r="770" ht="15.75" customHeight="1">
      <c r="A770" s="1">
        <v>768.0</v>
      </c>
      <c r="B770" s="3" t="s">
        <v>771</v>
      </c>
      <c r="C770" s="3" t="str">
        <f>IFERROR(__xludf.DUMMYFUNCTION("GOOGLETRANSLATE(B770,""id"",""en"")"),"['Signal', 'Telkomsel', 'Severe', 'Severe', 'Play', 'Game', 'Signal', 'Down', 'Fitting', 'Deliberate', 'Game', 'right', ' repeat']")</f>
        <v>['Signal', 'Telkomsel', 'Severe', 'Severe', 'Play', 'Game', 'Signal', 'Down', 'Fitting', 'Deliberate', 'Game', 'right', ' repeat']</v>
      </c>
      <c r="D770" s="3">
        <v>2.0</v>
      </c>
    </row>
    <row r="771" ht="15.75" customHeight="1">
      <c r="A771" s="1">
        <v>769.0</v>
      </c>
      <c r="B771" s="3" t="s">
        <v>772</v>
      </c>
      <c r="C771" s="3" t="str">
        <f>IFERROR(__xludf.DUMMYFUNCTION("GOOGLETRANSLATE(B771,""id"",""en"")"),"['Exchange', 'Points',' Undi ',' Undi ',' Hepi ',' Win ',' Special ',' Island ',' Javanese ',' Outside ',' Island ',' Javanese ',' hnya ',' php ',' exchange ',' point ',' can ',' name ',' reward ',' telkomsel ',' tens', 'customers',' Telkomsel ',' looks',"&amp;" 'times' , 'Setounting', 'Reward', '']")</f>
        <v>['Exchange', 'Points',' Undi ',' Undi ',' Hepi ',' Win ',' Special ',' Island ',' Javanese ',' Outside ',' Island ',' Javanese ',' hnya ',' php ',' exchange ',' point ',' can ',' name ',' reward ',' telkomsel ',' tens', 'customers',' Telkomsel ',' looks', 'times' , 'Setounting', 'Reward', '']</v>
      </c>
      <c r="D771" s="3">
        <v>1.0</v>
      </c>
    </row>
    <row r="772" ht="15.75" customHeight="1">
      <c r="A772" s="1">
        <v>770.0</v>
      </c>
      <c r="B772" s="3" t="s">
        <v>773</v>
      </c>
      <c r="C772" s="3" t="str">
        <f>IFERROR(__xludf.DUMMYFUNCTION("GOOGLETRANSLATE(B772,""id"",""en"")"),"['Sorry', 'download', 'APK', 'cheap', 'promo', 'wasteful', 'kouta', 'apk', 'good', 'promo', 'package', 'point', ' Tuker ',' Package ',' pulse ',' gift ',' affordable ',' price ',' that way ',' opinions', 'Thanks',' The ',' App ',' Makers', ""]")</f>
        <v>['Sorry', 'download', 'APK', 'cheap', 'promo', 'wasteful', 'kouta', 'apk', 'good', 'promo', 'package', 'point', ' Tuker ',' Package ',' pulse ',' gift ',' affordable ',' price ',' that way ',' opinions', 'Thanks',' The ',' App ',' Makers', "]</v>
      </c>
      <c r="D772" s="3">
        <v>5.0</v>
      </c>
    </row>
    <row r="773" ht="15.75" customHeight="1">
      <c r="A773" s="1">
        <v>771.0</v>
      </c>
      <c r="B773" s="3" t="s">
        <v>774</v>
      </c>
      <c r="C773" s="3" t="str">
        <f>IFERROR(__xludf.DUMMYFUNCTION("GOOGLETRANSLATE(B773,""id"",""en"")"),"['update', 'open', 'application', 'told', 'update', 'application', 'playstore', 'page', 'alternating', 'application', 'Telkomsel', 'Playstore', ' That's', 'Sampe', 'Judgment']")</f>
        <v>['update', 'open', 'application', 'told', 'update', 'application', 'playstore', 'page', 'alternating', 'application', 'Telkomsel', 'Playstore', ' That's', 'Sampe', 'Judgment']</v>
      </c>
      <c r="D773" s="3">
        <v>1.0</v>
      </c>
    </row>
    <row r="774" ht="15.75" customHeight="1">
      <c r="A774" s="1">
        <v>772.0</v>
      </c>
      <c r="B774" s="3" t="s">
        <v>775</v>
      </c>
      <c r="C774" s="3" t="str">
        <f>IFERROR(__xludf.DUMMYFUNCTION("GOOGLETRANSLATE(B774,""id"",""en"")"),"['Reduce', 'Features',' Mubazir ',' Helpful ',' Quota ',' Multimedia ',' Mubazir ',' Manchester ',' Exchange ',' Quota ',' Internet ',' Useful ',' Lottery ',' coin ',' transparent ',' winner ',' announced ',' times', 'bonus',' quota ',' login ',' daily ',"&amp;"' failed ',' sent ',' news' , '']")</f>
        <v>['Reduce', 'Features',' Mubazir ',' Helpful ',' Quota ',' Multimedia ',' Mubazir ',' Manchester ',' Exchange ',' Quota ',' Internet ',' Useful ',' Lottery ',' coin ',' transparent ',' winner ',' announced ',' times', 'bonus',' quota ',' login ',' daily ',' failed ',' sent ',' news' , '']</v>
      </c>
      <c r="D774" s="3">
        <v>1.0</v>
      </c>
    </row>
    <row r="775" ht="15.75" customHeight="1">
      <c r="A775" s="1">
        <v>773.0</v>
      </c>
      <c r="B775" s="3" t="s">
        <v>776</v>
      </c>
      <c r="C775" s="3" t="str">
        <f>IFERROR(__xludf.DUMMYFUNCTION("GOOGLETRANSLATE(B775,""id"",""en"")"),"['Knp', 'buy', 'quota', 'Telkomsel', 'expensive', 'really', 'buy', 'thousand', 'can', 'mlh', 'can', 'please', ' Benerin ',' LGI ',' LGI ',' SKRG ',' Pandemic ',' People ',' Money ',' Buy ',' Quota ',' Listen ',' Price ',' Expensive ']")</f>
        <v>['Knp', 'buy', 'quota', 'Telkomsel', 'expensive', 'really', 'buy', 'thousand', 'can', 'mlh', 'can', 'please', ' Benerin ',' LGI ',' LGI ',' SKRG ',' Pandemic ',' People ',' Money ',' Buy ',' Quota ',' Listen ',' Price ',' Expensive ']</v>
      </c>
      <c r="D775" s="3">
        <v>1.0</v>
      </c>
    </row>
    <row r="776" ht="15.75" customHeight="1">
      <c r="A776" s="1">
        <v>774.0</v>
      </c>
      <c r="B776" s="3" t="s">
        <v>777</v>
      </c>
      <c r="C776" s="3" t="str">
        <f>IFERROR(__xludf.DUMMYFUNCTION("GOOGLETRANSLATE(B776,""id"",""en"")"),"['Please', 'Fix', 'Network', 'Internet', 'Region', 'Limpakuwus',' Subdistrict ',' Donations', 'Regency', 'Banyumas',' Price ',' Package ',' Data ',' internet ',' expensive ',' signal ',' no ',' smooth ',' thinking ',' blm ',' stable ']")</f>
        <v>['Please', 'Fix', 'Network', 'Internet', 'Region', 'Limpakuwus',' Subdistrict ',' Donations', 'Regency', 'Banyumas',' Price ',' Package ',' Data ',' internet ',' expensive ',' signal ',' no ',' smooth ',' thinking ',' blm ',' stable ']</v>
      </c>
      <c r="D776" s="3">
        <v>1.0</v>
      </c>
    </row>
    <row r="777" ht="15.75" customHeight="1">
      <c r="A777" s="1">
        <v>775.0</v>
      </c>
      <c r="B777" s="3" t="s">
        <v>778</v>
      </c>
      <c r="C777" s="3" t="str">
        <f>IFERROR(__xludf.DUMMYFUNCTION("GOOGLETRANSLATE(B777,""id"",""en"")"),"['ugly', 'quality', 'internet', 'price', 'package', 'expensive', 'quality', 'fix', 'believe', 'good', 'replace', ""]")</f>
        <v>['ugly', 'quality', 'internet', 'price', 'package', 'expensive', 'quality', 'fix', 'believe', 'good', 'replace', "]</v>
      </c>
      <c r="D777" s="3">
        <v>1.0</v>
      </c>
    </row>
    <row r="778" ht="15.75" customHeight="1">
      <c r="A778" s="1">
        <v>776.0</v>
      </c>
      <c r="B778" s="3" t="s">
        <v>779</v>
      </c>
      <c r="C778" s="3" t="str">
        <f>IFERROR(__xludf.DUMMYFUNCTION("GOOGLETRANSLATE(B778,""id"",""en"")"),"['Skrng', 'Adm', 'What', 'Contents',' Credit ',' Take ',' Package ',' Cut ',' Pulses', 'Fill', 'Pulses',' right ',' lgi ',' price ',' package ',' take ',' package ',' emergency ',' package ',' data ',' cellphone ',' already ',' turn it off ',' before ',' "&amp;"']")</f>
        <v>['Skrng', 'Adm', 'What', 'Contents',' Credit ',' Take ',' Package ',' Cut ',' Pulses', 'Fill', 'Pulses',' right ',' lgi ',' price ',' package ',' take ',' package ',' emergency ',' package ',' data ',' cellphone ',' already ',' turn it off ',' before ',' ']</v>
      </c>
      <c r="D778" s="3">
        <v>3.0</v>
      </c>
    </row>
    <row r="779" ht="15.75" customHeight="1">
      <c r="A779" s="1">
        <v>777.0</v>
      </c>
      <c r="B779" s="3" t="s">
        <v>780</v>
      </c>
      <c r="C779" s="3" t="str">
        <f>IFERROR(__xludf.DUMMYFUNCTION("GOOGLETRANSLATE(B779,""id"",""en"")"),"['buy', 'package', 'data', 'emergency', 'data', 'gini', 'name', 'extortion', 'description', 'pay', 'package', ' emergency ',' active ',' package ',' emergency ',' buy ',' forced ',' buy ',' please ',' repaired ',' admin ',' detrimental ']")</f>
        <v>['buy', 'package', 'data', 'emergency', 'data', 'gini', 'name', 'extortion', 'description', 'pay', 'package', ' emergency ',' active ',' package ',' emergency ',' buy ',' forced ',' buy ',' please ',' repaired ',' admin ',' detrimental ']</v>
      </c>
      <c r="D779" s="3">
        <v>1.0</v>
      </c>
    </row>
    <row r="780" ht="15.75" customHeight="1">
      <c r="A780" s="1">
        <v>778.0</v>
      </c>
      <c r="B780" s="3" t="s">
        <v>781</v>
      </c>
      <c r="C780" s="3" t="str">
        <f>IFERROR(__xludf.DUMMYFUNCTION("GOOGLETRANSLATE(B780,""id"",""en"")"),"['SMS', 'Telkomsel', 'anger', 'increases',' basic ',' check ',' package ',' cheap ',' egeh ',' buy ',' ngak ',' annoyed ',' SMS ',' Telkomsel ',' sick ',' heart ']")</f>
        <v>['SMS', 'Telkomsel', 'anger', 'increases',' basic ',' check ',' package ',' cheap ',' egeh ',' buy ',' ngak ',' annoyed ',' SMS ',' Telkomsel ',' sick ',' heart ']</v>
      </c>
      <c r="D780" s="3">
        <v>1.0</v>
      </c>
    </row>
    <row r="781" ht="15.75" customHeight="1">
      <c r="A781" s="1">
        <v>779.0</v>
      </c>
      <c r="B781" s="3" t="s">
        <v>782</v>
      </c>
      <c r="C781" s="3" t="str">
        <f>IFERROR(__xludf.DUMMYFUNCTION("GOOGLETRANSLATE(B781,""id"",""en"")"),"['Application', 'Install', 'reset', 'open', 'lol', 'really', 'intention', 'nda', 'orng', 'apps', 'help', 'make it difficult']")</f>
        <v>['Application', 'Install', 'reset', 'open', 'lol', 'really', 'intention', 'nda', 'orng', 'apps', 'help', 'make it difficult']</v>
      </c>
      <c r="D781" s="3">
        <v>1.0</v>
      </c>
    </row>
    <row r="782" ht="15.75" customHeight="1">
      <c r="A782" s="1">
        <v>780.0</v>
      </c>
      <c r="B782" s="3" t="s">
        <v>783</v>
      </c>
      <c r="C782" s="3" t="str">
        <f>IFERROR(__xludf.DUMMYFUNCTION("GOOGLETRANSLATE(B782,""id"",""en"")"),"['Application', 'Search', 'complicated', 'purchase', 'package', 'phone', 'package', 'telephone', 'country', 'doang', 'user', 'do business',' people ',' foreign ',' tkw ']")</f>
        <v>['Application', 'Search', 'complicated', 'purchase', 'package', 'phone', 'package', 'telephone', 'country', 'doang', 'user', 'do business',' people ',' foreign ',' tkw ']</v>
      </c>
      <c r="D782" s="3">
        <v>3.0</v>
      </c>
    </row>
    <row r="783" ht="15.75" customHeight="1">
      <c r="A783" s="1">
        <v>781.0</v>
      </c>
      <c r="B783" s="3" t="s">
        <v>784</v>
      </c>
      <c r="C783" s="3" t="str">
        <f>IFERROR(__xludf.DUMMYFUNCTION("GOOGLETRANSLATE(B783,""id"",""en"")"),"['expensive', 'Doang', 'Network', 'Burik', 'Kemanggisan', 'Jakarta', 'West', 'Kampung', 'The Network', 'WOI', 'Fix', 'Network', ' work ',' Neh ',' hadeuh ',' ngeta ',' office ',' cooperation ',' Telkomsel ',' the network ',' BURIK ',' rich ',' gini ', ""]")</f>
        <v>['expensive', 'Doang', 'Network', 'Burik', 'Kemanggisan', 'Jakarta', 'West', 'Kampung', 'The Network', 'WOI', 'Fix', 'Network', ' work ',' Neh ',' hadeuh ',' ngeta ',' office ',' cooperation ',' Telkomsel ',' the network ',' BURIK ',' rich ',' gini ', "]</v>
      </c>
      <c r="D783" s="3">
        <v>1.0</v>
      </c>
    </row>
    <row r="784" ht="15.75" customHeight="1">
      <c r="A784" s="1">
        <v>782.0</v>
      </c>
      <c r="B784" s="3" t="s">
        <v>785</v>
      </c>
      <c r="C784" s="3" t="str">
        <f>IFERROR(__xludf.DUMMYFUNCTION("GOOGLETRANSLATE(B784,""id"",""en"")"),"['quota', 'have', 'active', 'prioritized', 'times',' use ',' spend ',' quota ',' active ',' quota ',' active ',' short ',' Upstairs ',' forced ',' spend ',' quota ',' as soon as possible, 'buy', 'user', 'quota', 'internet', 'government', 'hope', 'Telkomse"&amp;"l', 'pay attention' , 'Related', 'convenience', 'customer', '']")</f>
        <v>['quota', 'have', 'active', 'prioritized', 'times',' use ',' spend ',' quota ',' active ',' quota ',' active ',' short ',' Upstairs ',' forced ',' spend ',' quota ',' as soon as possible, 'buy', 'user', 'quota', 'internet', 'government', 'hope', 'Telkomsel', 'pay attention' , 'Related', 'convenience', 'customer', '']</v>
      </c>
      <c r="D784" s="3">
        <v>1.0</v>
      </c>
    </row>
    <row r="785" ht="15.75" customHeight="1">
      <c r="A785" s="1">
        <v>783.0</v>
      </c>
      <c r="B785" s="3" t="s">
        <v>786</v>
      </c>
      <c r="C785" s="3" t="str">
        <f>IFERROR(__xludf.DUMMYFUNCTION("GOOGLETRANSLATE(B785,""id"",""en"")"),"['Good', 'here', 'pulse', 'missing', 'contents',' pulse ',' night ',' lived ',' pakek ',' data ',' Telkomsel ',' ngelag ',' Buy ',' Package ',' Application ',' Credit ',' Cutting ',' Package ',' Enter ',' Network ',' Lost ',' Use ',' Telkomsel ',' Lecture"&amp;" ',' Online ' , 'please', 'repaired', 'here', 'chaotic', 'disconnected', 'connection', 'college', 'online', '']")</f>
        <v>['Good', 'here', 'pulse', 'missing', 'contents',' pulse ',' night ',' lived ',' pakek ',' data ',' Telkomsel ',' ngelag ',' Buy ',' Package ',' Application ',' Credit ',' Cutting ',' Package ',' Enter ',' Network ',' Lost ',' Use ',' Telkomsel ',' Lecture ',' Online ' , 'please', 'repaired', 'here', 'chaotic', 'disconnected', 'connection', 'college', 'online', '']</v>
      </c>
      <c r="D785" s="3">
        <v>1.0</v>
      </c>
    </row>
    <row r="786" ht="15.75" customHeight="1">
      <c r="A786" s="1">
        <v>784.0</v>
      </c>
      <c r="B786" s="3" t="s">
        <v>787</v>
      </c>
      <c r="C786" s="3" t="str">
        <f>IFERROR(__xludf.DUMMYFUNCTION("GOOGLETRANSLATE(B786,""id"",""en"")"),"['quota', 'doang', 'expensive', 'network', 'kek', 'pig', 'oath', 'emotion', 'bnget', 'right', 'maen', 'mobile', ' Legend ',' War ',' lag ',' Please ',' Telkomsel ',' Fix ',' Gara ',' Gara ',' Down ',' Bintang ',' PDAHL ',' already ',' Mytic ' , '']")</f>
        <v>['quota', 'doang', 'expensive', 'network', 'kek', 'pig', 'oath', 'emotion', 'bnget', 'right', 'maen', 'mobile', ' Legend ',' War ',' lag ',' Please ',' Telkomsel ',' Fix ',' Gara ',' Gara ',' Down ',' Bintang ',' PDAHL ',' already ',' Mytic ' , '']</v>
      </c>
      <c r="D786" s="3">
        <v>1.0</v>
      </c>
    </row>
    <row r="787" ht="15.75" customHeight="1">
      <c r="A787" s="1">
        <v>785.0</v>
      </c>
      <c r="B787" s="3" t="s">
        <v>788</v>
      </c>
      <c r="C787" s="3" t="str">
        <f>IFERROR(__xludf.DUMMYFUNCTION("GOOGLETRANSLATE(B787,""id"",""en"")"),"['Forced', 'Region', 'Sidas',' County ',' Landak ',' Kalimantan ',' West ',' Tower ',' Network ',' Tipu ',' Damaging ',' work ',' Org ',' ilang ',' ']")</f>
        <v>['Forced', 'Region', 'Sidas',' County ',' Landak ',' Kalimantan ',' West ',' Tower ',' Network ',' Tipu ',' Damaging ',' work ',' Org ',' ilang ',' ']</v>
      </c>
      <c r="D787" s="3">
        <v>1.0</v>
      </c>
    </row>
    <row r="788" ht="15.75" customHeight="1">
      <c r="A788" s="1">
        <v>786.0</v>
      </c>
      <c r="B788" s="3" t="s">
        <v>789</v>
      </c>
      <c r="C788" s="3" t="str">
        <f>IFERROR(__xludf.DUMMYFUNCTION("GOOGLETRANSLATE(B788,""id"",""en"")"),"['SMS', 'Info', 'SMS', 'Bonus',' Talk ',' Stirup ',' Grapari ',' The answer ',' satisfying ',' TTP ',' Loss', 'Credit', ' Cut out ',' free ']")</f>
        <v>['SMS', 'Info', 'SMS', 'Bonus',' Talk ',' Stirup ',' Grapari ',' The answer ',' satisfying ',' TTP ',' Loss', 'Credit', ' Cut out ',' free ']</v>
      </c>
      <c r="D788" s="3">
        <v>3.0</v>
      </c>
    </row>
    <row r="789" ht="15.75" customHeight="1">
      <c r="A789" s="1">
        <v>787.0</v>
      </c>
      <c r="B789" s="3" t="s">
        <v>790</v>
      </c>
      <c r="C789" s="3" t="str">
        <f>IFERROR(__xludf.DUMMYFUNCTION("GOOGLETRANSLATE(B789,""id"",""en"")"),"['application', 'easy', 'check', 'leftover', 'quota', 'credit', 'owned', 'the rest', 'enhanced', 'promo', 'promo', 'package', ' Quota ',' Internet ',' Affordable ',' ']")</f>
        <v>['application', 'easy', 'check', 'leftover', 'quota', 'credit', 'owned', 'the rest', 'enhanced', 'promo', 'promo', 'package', ' Quota ',' Internet ',' Affordable ',' ']</v>
      </c>
      <c r="D789" s="3">
        <v>5.0</v>
      </c>
    </row>
    <row r="790" ht="15.75" customHeight="1">
      <c r="A790" s="1">
        <v>788.0</v>
      </c>
      <c r="B790" s="3" t="s">
        <v>791</v>
      </c>
      <c r="C790" s="3" t="str">
        <f>IFERROR(__xludf.DUMMYFUNCTION("GOOGLETRANSLATE(B790,""id"",""en"")"),"['The network', 'repaired', 'Quality', 'Bad', 'The application', 'Simple', 'Troublesome', 'Login', 'Hadehhh', 'Telkomsel', 'Update', 'Enter', ' Zzzzzz ']")</f>
        <v>['The network', 'repaired', 'Quality', 'Bad', 'The application', 'Simple', 'Troublesome', 'Login', 'Hadehhh', 'Telkomsel', 'Update', 'Enter', ' Zzzzzz ']</v>
      </c>
      <c r="D790" s="3">
        <v>1.0</v>
      </c>
    </row>
    <row r="791" ht="15.75" customHeight="1">
      <c r="A791" s="1">
        <v>789.0</v>
      </c>
      <c r="B791" s="3" t="s">
        <v>792</v>
      </c>
      <c r="C791" s="3" t="str">
        <f>IFERROR(__xludf.DUMMYFUNCTION("GOOGLETRANSLATE(B791,""id"",""en"")"),"['Operator', 'Tipu', 'Tipu', 'Notification', 'Offer', 'Quota', 'Cheap', 'Click', 'Appear', 'Posts',' Sorry ',' Offer ',' Anjim ',' rich ',' that's']")</f>
        <v>['Operator', 'Tipu', 'Tipu', 'Notification', 'Offer', 'Quota', 'Cheap', 'Click', 'Appear', 'Posts',' Sorry ',' Offer ',' Anjim ',' rich ',' that's']</v>
      </c>
      <c r="D791" s="3">
        <v>1.0</v>
      </c>
    </row>
    <row r="792" ht="15.75" customHeight="1">
      <c r="A792" s="1">
        <v>790.0</v>
      </c>
      <c r="B792" s="3" t="s">
        <v>793</v>
      </c>
      <c r="C792" s="3" t="str">
        <f>IFERROR(__xludf.DUMMYFUNCTION("GOOGLETRANSLATE(B792,""id"",""en"")"),"['Buy', 'Package', 'Special', 'Bener', 'Bener', 'SPE', 'Damn', 'Special', 'Network', 'get', 'Cut', 'Credit', ' Reasons', 'Network', 'The Network', 'Telkomsel', 'City', 'Evenly', '']")</f>
        <v>['Buy', 'Package', 'Special', 'Bener', 'Bener', 'SPE', 'Damn', 'Special', 'Network', 'get', 'Cut', 'Credit', ' Reasons', 'Network', 'The Network', 'Telkomsel', 'City', 'Evenly', '']</v>
      </c>
      <c r="D792" s="3">
        <v>1.0</v>
      </c>
    </row>
    <row r="793" ht="15.75" customHeight="1">
      <c r="A793" s="1">
        <v>791.0</v>
      </c>
      <c r="B793" s="3" t="s">
        <v>794</v>
      </c>
      <c r="C793" s="3" t="str">
        <f>IFERROR(__xludf.DUMMYFUNCTION("GOOGLETRANSLATE(B793,""id"",""en"")"),"['Disappointed', 'Disappointed', 'really', 'buy', 'package', 'GB', 'DIRECT', 'BSA', 'DPAKE', 'GB', 'GB', 'Ngga', ' BSA ',' Dipake ',' KEK ',' Litu ',' Kek ',' Gini ',' Nyak ',' Switch ',' Card ',' Please ',' Disappointed ',' Costumer ', ""]")</f>
        <v>['Disappointed', 'Disappointed', 'really', 'buy', 'package', 'GB', 'DIRECT', 'BSA', 'DPAKE', 'GB', 'GB', 'Ngga', ' BSA ',' Dipake ',' KEK ',' Litu ',' Kek ',' Gini ',' Nyak ',' Switch ',' Card ',' Please ',' Disappointed ',' Costumer ', "]</v>
      </c>
      <c r="D793" s="3">
        <v>1.0</v>
      </c>
    </row>
    <row r="794" ht="15.75" customHeight="1">
      <c r="A794" s="1">
        <v>792.0</v>
      </c>
      <c r="B794" s="3" t="s">
        <v>795</v>
      </c>
      <c r="C794" s="3" t="str">
        <f>IFERROR(__xludf.DUMMYFUNCTION("GOOGLETRANSLATE(B794,""id"",""en"")"),"['price', 'package', 'ok', 'keeleli', 'active', 'kerllu', 'brief', 'already', 'pke', 'Telkomsel', 'times',' sorry ',' Move ',' Profeder ',' Thinking ',' Consumer ']")</f>
        <v>['price', 'package', 'ok', 'keeleli', 'active', 'kerllu', 'brief', 'already', 'pke', 'Telkomsel', 'times',' sorry ',' Move ',' Profeder ',' Thinking ',' Consumer ']</v>
      </c>
      <c r="D794" s="3">
        <v>1.0</v>
      </c>
    </row>
    <row r="795" ht="15.75" customHeight="1">
      <c r="A795" s="1">
        <v>793.0</v>
      </c>
      <c r="B795" s="3" t="s">
        <v>796</v>
      </c>
      <c r="C795" s="3" t="str">
        <f>IFERROR(__xludf.DUMMYFUNCTION("GOOGLETRANSLATE(B795,""id"",""en"")"),"['hope', 'use', 'Telkomsel', 'special', 'service', 'best', 'feel', 'satisfaction', 'hope', 'chance', 'gift', 'lottery', ' Hold ',' Telkomsel ',' Success', 'Aminn']")</f>
        <v>['hope', 'use', 'Telkomsel', 'special', 'service', 'best', 'feel', 'satisfaction', 'hope', 'chance', 'gift', 'lottery', ' Hold ',' Telkomsel ',' Success', 'Aminn']</v>
      </c>
      <c r="D795" s="3">
        <v>5.0</v>
      </c>
    </row>
    <row r="796" ht="15.75" customHeight="1">
      <c r="A796" s="1">
        <v>794.0</v>
      </c>
      <c r="B796" s="3" t="s">
        <v>797</v>
      </c>
      <c r="C796" s="3" t="str">
        <f>IFERROR(__xludf.DUMMYFUNCTION("GOOGLETRANSLATE(B796,""id"",""en"")"),"['suggested', 'application', 'open', 'connected', 'network', 'internet', 'quota', 'need', 'charging', 'package', 'data', ""]")</f>
        <v>['suggested', 'application', 'open', 'connected', 'network', 'internet', 'quota', 'need', 'charging', 'package', 'data', "]</v>
      </c>
      <c r="D796" s="3">
        <v>4.0</v>
      </c>
    </row>
    <row r="797" ht="15.75" customHeight="1">
      <c r="A797" s="1">
        <v>795.0</v>
      </c>
      <c r="B797" s="3" t="s">
        <v>798</v>
      </c>
      <c r="C797" s="3" t="str">
        <f>IFERROR(__xludf.DUMMYFUNCTION("GOOGLETRANSLATE(B797,""id"",""en"")"),"['Heart', 'related', 'information', 'leftover', 'quota', 'internet', 'grace', 'experience', 'internet', 'quota', 'grace', 'apply', ' the information ',' valid ',' internet ',' leftover ',' pulse ',' no ',' responsibility ',' thousand ',' rupiah ',' sucked"&amp;" ',' mending ',' delete ',' app ' , '']")</f>
        <v>['Heart', 'related', 'information', 'leftover', 'quota', 'internet', 'grace', 'experience', 'internet', 'quota', 'grace', 'apply', ' the information ',' valid ',' internet ',' leftover ',' pulse ',' no ',' responsibility ',' thousand ',' rupiah ',' sucked ',' mending ',' delete ',' app ' , '']</v>
      </c>
      <c r="D797" s="3">
        <v>1.0</v>
      </c>
    </row>
    <row r="798" ht="15.75" customHeight="1">
      <c r="A798" s="1">
        <v>796.0</v>
      </c>
      <c r="B798" s="3" t="s">
        <v>799</v>
      </c>
      <c r="C798" s="3" t="str">
        <f>IFERROR(__xludf.DUMMYFUNCTION("GOOGLETRANSLATE(B798,""id"",""en"")"),"['GDK', 'Package', 'Free', 'Nie', 'APK', 'Telkomsel', 'Package', 'AXIS', 'Free', 'GDK', 'Severe', 'Bat', ' Telkomsel ',' Please ',' Package ',' Free ',' Supya ',' Helped ']")</f>
        <v>['GDK', 'Package', 'Free', 'Nie', 'APK', 'Telkomsel', 'Package', 'AXIS', 'Free', 'GDK', 'Severe', 'Bat', ' Telkomsel ',' Please ',' Package ',' Free ',' Supya ',' Helped ']</v>
      </c>
      <c r="D798" s="3">
        <v>1.0</v>
      </c>
    </row>
    <row r="799" ht="15.75" customHeight="1">
      <c r="A799" s="1">
        <v>797.0</v>
      </c>
      <c r="B799" s="3" t="s">
        <v>800</v>
      </c>
      <c r="C799" s="3" t="str">
        <f>IFERROR(__xludf.DUMMYFUNCTION("GOOGLETRANSLATE(B799,""id"",""en"")"),"['Network', 'already', 'Not bad', 'good', 'kayak', 'purchase', 'package', 'difficult', 'process',' package ',' blom ',' kantel ',' Credit ',' already ',' pull ',' ']")</f>
        <v>['Network', 'already', 'Not bad', 'good', 'kayak', 'purchase', 'package', 'difficult', 'process',' package ',' blom ',' kantel ',' Credit ',' already ',' pull ',' ']</v>
      </c>
      <c r="D799" s="3">
        <v>2.0</v>
      </c>
    </row>
    <row r="800" ht="15.75" customHeight="1">
      <c r="A800" s="1">
        <v>798.0</v>
      </c>
      <c r="B800" s="3" t="s">
        <v>801</v>
      </c>
      <c r="C800" s="3" t="str">
        <f>IFERROR(__xludf.DUMMYFUNCTION("GOOGLETRANSLATE(B800,""id"",""en"")"),"['Telkomsel', 'signal', 'good', 'just', 'darling', 'program', 'consumer', 'rating', 'low', 'telkom', 'fast', 'responsive', ' Consumers', 'Satisfied', 'Rugkan']")</f>
        <v>['Telkomsel', 'signal', 'good', 'just', 'darling', 'program', 'consumer', 'rating', 'low', 'telkom', 'fast', 'responsive', ' Consumers', 'Satisfied', 'Rugkan']</v>
      </c>
      <c r="D800" s="3">
        <v>1.0</v>
      </c>
    </row>
    <row r="801" ht="15.75" customHeight="1">
      <c r="A801" s="1">
        <v>799.0</v>
      </c>
      <c r="B801" s="3" t="s">
        <v>802</v>
      </c>
      <c r="C801" s="3" t="str">
        <f>IFERROR(__xludf.DUMMYFUNCTION("GOOGLETRANSLATE(B801,""id"",""en"")"),"['signal', 'Telkomsel', 'down', 'as good', 'times',' play ',' game ',' error ',' game ',' Please ',' enhanced ',' Telkomsel ',' Trusted ',' Sinyal ',' Cook ',' Down ',' Raiting ',' Gara ',' Gara ',' Signal ', ""]")</f>
        <v>['signal', 'Telkomsel', 'down', 'as good', 'times',' play ',' game ',' error ',' game ',' Please ',' enhanced ',' Telkomsel ',' Trusted ',' Sinyal ',' Cook ',' Down ',' Raiting ',' Gara ',' Gara ',' Signal ', "]</v>
      </c>
      <c r="D801" s="3">
        <v>1.0</v>
      </c>
    </row>
    <row r="802" ht="15.75" customHeight="1">
      <c r="A802" s="1">
        <v>800.0</v>
      </c>
      <c r="B802" s="3" t="s">
        <v>803</v>
      </c>
      <c r="C802" s="3" t="str">
        <f>IFERROR(__xludf.DUMMYFUNCTION("GOOGLETRANSLATE(B802,""id"",""en"")"),"['buy', 'package', 'processed', 'check', 'pulse', 'reduced', 'try', 'buy', 'processed', 'check', 'pulse', 'reduced', ' Buy ',' Eeee ',' as soon as', 'Transaction', 'Success',' Out ',' Credit ',' Buy ',' Package ',' GB ']")</f>
        <v>['buy', 'package', 'processed', 'check', 'pulse', 'reduced', 'try', 'buy', 'processed', 'check', 'pulse', 'reduced', ' Buy ',' Eeee ',' as soon as', 'Transaction', 'Success',' Out ',' Credit ',' Buy ',' Package ',' GB ']</v>
      </c>
      <c r="D802" s="3">
        <v>1.0</v>
      </c>
    </row>
    <row r="803" ht="15.75" customHeight="1">
      <c r="A803" s="1">
        <v>801.0</v>
      </c>
      <c r="B803" s="3" t="s">
        <v>804</v>
      </c>
      <c r="C803" s="3" t="str">
        <f>IFERROR(__xludf.DUMMYFUNCTION("GOOGLETRANSLATE(B803,""id"",""en"")"),"['Package', 'unlimited', 'buy', 'unlimited', 'GB', 'quota', 'main', 'run out', 'directly', 'enter', 'notif', 'use', ' The limit ',' reasonable ',' out ',' quota ',' main ',' run out ',' unlimited ',' open ',' status', 'gabisa', 'traveling', ""]")</f>
        <v>['Package', 'unlimited', 'buy', 'unlimited', 'GB', 'quota', 'main', 'run out', 'directly', 'enter', 'notif', 'use', ' The limit ',' reasonable ',' out ',' quota ',' main ',' run out ',' unlimited ',' open ',' status', 'gabisa', 'traveling', "]</v>
      </c>
      <c r="D803" s="3">
        <v>1.0</v>
      </c>
    </row>
    <row r="804" ht="15.75" customHeight="1">
      <c r="A804" s="1">
        <v>802.0</v>
      </c>
      <c r="B804" s="3" t="s">
        <v>805</v>
      </c>
      <c r="C804" s="3" t="str">
        <f>IFERROR(__xludf.DUMMYFUNCTION("GOOGLETRANSLATE(B804,""id"",""en"")"),"['updated', 'the latest', 'right', 'opened', 'the application', 'told', 'update', 'lgi', 'pdahal', 'dupte', 'the application', 'tdak', ' Opened ',' bgmana ', ""]")</f>
        <v>['updated', 'the latest', 'right', 'opened', 'the application', 'told', 'update', 'lgi', 'pdahal', 'dupte', 'the application', 'tdak', ' Opened ',' bgmana ', "]</v>
      </c>
      <c r="D804" s="3">
        <v>3.0</v>
      </c>
    </row>
    <row r="805" ht="15.75" customHeight="1">
      <c r="A805" s="1">
        <v>803.0</v>
      </c>
      <c r="B805" s="3" t="s">
        <v>806</v>
      </c>
      <c r="C805" s="3" t="str">
        <f>IFERROR(__xludf.DUMMYFUNCTION("GOOGLETRANSLATE(B805,""id"",""en"")"),"['Purchase', 'a month', 'cut', 'buy', 'yesterday', 'date', 'expired', 'date', 'or', 'nga', 'cut', 'buyer', ' a month ',' his name ',' please ',' parked ',' customer ',' nga ',' loss', 'thank you']")</f>
        <v>['Purchase', 'a month', 'cut', 'buy', 'yesterday', 'date', 'expired', 'date', 'or', 'nga', 'cut', 'buyer', ' a month ',' his name ',' please ',' parked ',' customer ',' nga ',' loss', 'thank you']</v>
      </c>
      <c r="D805" s="3">
        <v>3.0</v>
      </c>
    </row>
    <row r="806" ht="15.75" customHeight="1">
      <c r="A806" s="1">
        <v>804.0</v>
      </c>
      <c r="B806" s="3" t="s">
        <v>807</v>
      </c>
      <c r="C806" s="3" t="str">
        <f>IFERROR(__xludf.DUMMYFUNCTION("GOOGLETRANSLATE(B806,""id"",""en"")"),"['ojol', 'helped', 'krna', 'package', 'promo', 'GB', 'a month', 'ppkm', 'according to', 'bajet', 'income', 'TPI', ' because ',' promo ',' already ',' ngak ',' his order ',' lonely ',' package ',' expensive ',' huuuuftttt ',' already ',' bginilah ',' fate "&amp;"',' people ' , 'commoners', 'people', 'Indonesia', 'Merdeka', 'his country', '']")</f>
        <v>['ojol', 'helped', 'krna', 'package', 'promo', 'GB', 'a month', 'ppkm', 'according to', 'bajet', 'income', 'TPI', ' because ',' promo ',' already ',' ngak ',' his order ',' lonely ',' package ',' expensive ',' huuuuftttt ',' already ',' bginilah ',' fate ',' people ' , 'commoners', 'people', 'Indonesia', 'Merdeka', 'his country', '']</v>
      </c>
      <c r="D806" s="3">
        <v>2.0</v>
      </c>
    </row>
    <row r="807" ht="15.75" customHeight="1">
      <c r="A807" s="1">
        <v>805.0</v>
      </c>
      <c r="B807" s="3" t="s">
        <v>808</v>
      </c>
      <c r="C807" s="3" t="str">
        <f>IFERROR(__xludf.DUMMYFUNCTION("GOOGLETRANSLATE(B807,""id"",""en"")"),"['Network', 'connection', 'intrnet', 'ugly', 'rich', 'that's',' already ',' buy ',' package ',' expensive ',' connection ',' stable ',' ']")</f>
        <v>['Network', 'connection', 'intrnet', 'ugly', 'rich', 'that's',' already ',' buy ',' package ',' expensive ',' connection ',' stable ',' ']</v>
      </c>
      <c r="D807" s="3">
        <v>2.0</v>
      </c>
    </row>
    <row r="808" ht="15.75" customHeight="1">
      <c r="A808" s="1">
        <v>806.0</v>
      </c>
      <c r="B808" s="3" t="s">
        <v>809</v>
      </c>
      <c r="C808" s="3" t="str">
        <f>IFERROR(__xludf.DUMMYFUNCTION("GOOGLETRANSLATE(B808,""id"",""en"")"),"['Helpful', 'Helping', 'Sharing', 'Consumers',' Needs', 'Buy', 'Package', 'Quota', 'Pulse', 'Prepaid', 'Thank you', 'Telkomsel', ' ']")</f>
        <v>['Helpful', 'Helping', 'Sharing', 'Consumers',' Needs', 'Buy', 'Package', 'Quota', 'Pulse', 'Prepaid', 'Thank you', 'Telkomsel', ' ']</v>
      </c>
      <c r="D808" s="3">
        <v>5.0</v>
      </c>
    </row>
    <row r="809" ht="15.75" customHeight="1">
      <c r="A809" s="1">
        <v>807.0</v>
      </c>
      <c r="B809" s="3" t="s">
        <v>810</v>
      </c>
      <c r="C809" s="3" t="str">
        <f>IFERROR(__xludf.DUMMYFUNCTION("GOOGLETRANSLATE(B809,""id"",""en"")"),"['quota', 'multimedia', 'used', 'update', 'download', 'application', 'via', 'Play', 'Store', 'quota', 'night', 'quota', ' National ',' Bener ',' Bener ',' chaotic ']")</f>
        <v>['quota', 'multimedia', 'used', 'update', 'download', 'application', 'via', 'Play', 'Store', 'quota', 'night', 'quota', ' National ',' Bener ',' Bener ',' chaotic ']</v>
      </c>
      <c r="D809" s="3">
        <v>1.0</v>
      </c>
    </row>
    <row r="810" ht="15.75" customHeight="1">
      <c r="A810" s="1">
        <v>808.0</v>
      </c>
      <c r="B810" s="3" t="s">
        <v>811</v>
      </c>
      <c r="C810" s="3" t="str">
        <f>IFERROR(__xludf.DUMMYFUNCTION("GOOGLETRANSLATE(B810,""id"",""en"")"),"['plnggn', 'Telkomsel', 'many years',' network ',' rich ',' turtle ',' ugly ',' use ',' buotit ',' according to ',' price ',' please ',' Telkomsel ',' Fix ',' Service ']")</f>
        <v>['plnggn', 'Telkomsel', 'many years',' network ',' rich ',' turtle ',' ugly ',' use ',' buotit ',' according to ',' price ',' please ',' Telkomsel ',' Fix ',' Service ']</v>
      </c>
      <c r="D810" s="3">
        <v>1.0</v>
      </c>
    </row>
    <row r="811" ht="15.75" customHeight="1">
      <c r="A811" s="1">
        <v>809.0</v>
      </c>
      <c r="B811" s="3" t="s">
        <v>812</v>
      </c>
      <c r="C811" s="3" t="str">
        <f>IFERROR(__xludf.DUMMYFUNCTION("GOOGLETRANSLATE(B811,""id"",""en"")"),"['mimin', 'tsel', 'please', 'fix', 'apk', 'upgrade', 'slow', 'how', 'network', 'top', 'ohya', 'ngeluarin', ' Promo ',' special ',' ppkm ',' ']")</f>
        <v>['mimin', 'tsel', 'please', 'fix', 'apk', 'upgrade', 'slow', 'how', 'network', 'top', 'ohya', 'ngeluarin', ' Promo ',' special ',' ppkm ',' ']</v>
      </c>
      <c r="D811" s="3">
        <v>5.0</v>
      </c>
    </row>
    <row r="812" ht="15.75" customHeight="1">
      <c r="A812" s="1">
        <v>810.0</v>
      </c>
      <c r="B812" s="3" t="s">
        <v>813</v>
      </c>
      <c r="C812" s="3" t="str">
        <f>IFERROR(__xludf.DUMMYFUNCTION("GOOGLETRANSLATE(B812,""id"",""en"")"),"['application', 'want', 'how', 'cook', 'package', 'available', 'choice', 'Where', 'Woeee', 'Gigamax', 'Diporromoin', 'emang', ' Internet ',' Watch ',' Video ',' Online ',' Disappointed ',' Customer ',' Simcard ', ""]")</f>
        <v>['application', 'want', 'how', 'cook', 'package', 'available', 'choice', 'Where', 'Woeee', 'Gigamax', 'Diporromoin', 'emang', ' Internet ',' Watch ',' Video ',' Online ',' Disappointed ',' Customer ',' Simcard ', "]</v>
      </c>
      <c r="D812" s="3">
        <v>2.0</v>
      </c>
    </row>
    <row r="813" ht="15.75" customHeight="1">
      <c r="A813" s="1">
        <v>811.0</v>
      </c>
      <c r="B813" s="3" t="s">
        <v>814</v>
      </c>
      <c r="C813" s="3" t="str">
        <f>IFERROR(__xludf.DUMMYFUNCTION("GOOGLETRANSLATE(B813,""id"",""en"")"),"['updated', 'package', 'bought', 'package', 'expensive', 'udh', 'that's',' complicated ',' use ',' the application ',' back ',' sprti ',' dlu ',' please ',' min ',' sorry ',' sya ',' less', 'star', 'strange', 'the application', 'pulses',' reduced ',' fini"&amp;"shed ',' his sndrumnya ' , 'pdhal', 'quota', 'internet', 'NLP', 'bnyak', 'pulses', 'reduced', 'kmrin', 'lgsung', 'run out', 'gtu', 'please' Shrus', 'update', 'good', 'error', '']")</f>
        <v>['updated', 'package', 'bought', 'package', 'expensive', 'udh', 'that's',' complicated ',' use ',' the application ',' back ',' sprti ',' dlu ',' please ',' min ',' sorry ',' sya ',' less', 'star', 'strange', 'the application', 'pulses',' reduced ',' finished ',' his sndrumnya ' , 'pdhal', 'quota', 'internet', 'NLP', 'bnyak', 'pulses', 'reduced', 'kmrin', 'lgsung', 'run out', 'gtu', 'please' Shrus', 'update', 'good', 'error', '']</v>
      </c>
      <c r="D813" s="3">
        <v>1.0</v>
      </c>
    </row>
    <row r="814" ht="15.75" customHeight="1">
      <c r="A814" s="1">
        <v>812.0</v>
      </c>
      <c r="B814" s="3" t="s">
        <v>815</v>
      </c>
      <c r="C814" s="3" t="str">
        <f>IFERROR(__xludf.DUMMYFUNCTION("GOOGLETRANSLATE(B814,""id"",""en"")"),"['surprised', 'Telkomsel', 'pekanbaru', 'signal', 'internet', 'ugly', 'bekasi', 'ugly', 'bogor', 'ugly', 'here', 'signal', ' "", 'Aceh', 'use', 'use', 'deh', '']")</f>
        <v>['surprised', 'Telkomsel', 'pekanbaru', 'signal', 'internet', 'ugly', 'bekasi', 'ugly', 'bogor', 'ugly', 'here', 'signal', ' ", 'Aceh', 'use', 'use', 'deh', '']</v>
      </c>
      <c r="D814" s="3">
        <v>2.0</v>
      </c>
    </row>
    <row r="815" ht="15.75" customHeight="1">
      <c r="A815" s="1">
        <v>813.0</v>
      </c>
      <c r="B815" s="3" t="s">
        <v>816</v>
      </c>
      <c r="C815" s="3" t="str">
        <f>IFERROR(__xludf.DUMMYFUNCTION("GOOGLETRANSLATE(B815,""id"",""en"")"),"['ane', 'love', 'star', 'happy', 'honest', 'ane', 'disappointed', 'customer', 'card', 'born', 'worry', 'activation', ' Combo ',' Sakti ',' getting ',' Cut ',' activation ',' date ',' Application ',' counted it ',' date ',' date ',' don't come ',' beyoo ',"&amp;"' do you do ' , 'backward', 'date', 'bossssss', '']")</f>
        <v>['ane', 'love', 'star', 'happy', 'honest', 'ane', 'disappointed', 'customer', 'card', 'born', 'worry', 'activation', ' Combo ',' Sakti ',' getting ',' Cut ',' activation ',' date ',' Application ',' counted it ',' date ',' date ',' don't come ',' beyoo ',' do you do ' , 'backward', 'date', 'bossssss', '']</v>
      </c>
      <c r="D815" s="3">
        <v>5.0</v>
      </c>
    </row>
    <row r="816" ht="15.75" customHeight="1">
      <c r="A816" s="1">
        <v>814.0</v>
      </c>
      <c r="B816" s="3" t="s">
        <v>817</v>
      </c>
      <c r="C816" s="3" t="str">
        <f>IFERROR(__xludf.DUMMYFUNCTION("GOOGLETRANSLATE(B816,""id"",""en"")"),"['Star', 'edit', 'star', 'quality', 'speed', 'internet', 'Telkomsel', 'bad', 'service', 'complaints',' customer ',' satisfying ',' Exchange ',' Point ',' Coupon ',' Lottery ',' Complain ',' Satisfying ',' Customers', '']")</f>
        <v>['Star', 'edit', 'star', 'quality', 'speed', 'internet', 'Telkomsel', 'bad', 'service', 'complaints',' customer ',' satisfying ',' Exchange ',' Point ',' Coupon ',' Lottery ',' Complain ',' Satisfying ',' Customers', '']</v>
      </c>
      <c r="D816" s="3">
        <v>2.0</v>
      </c>
    </row>
    <row r="817" ht="15.75" customHeight="1">
      <c r="A817" s="1">
        <v>815.0</v>
      </c>
      <c r="B817" s="3" t="s">
        <v>818</v>
      </c>
      <c r="C817" s="3" t="str">
        <f>IFERROR(__xludf.DUMMYFUNCTION("GOOGLETRANSLATE(B817,""id"",""en"")"),"['signal', 'slow', 'really', 'that's',' pulse ',' lost ',' blm ',' use ',' please ',' telkomsel ',' jng ',' customer ',' Saturated ',' Please ',' Fix ',' ']")</f>
        <v>['signal', 'slow', 'really', 'that's',' pulse ',' lost ',' blm ',' use ',' please ',' telkomsel ',' jng ',' customer ',' Saturated ',' Please ',' Fix ',' ']</v>
      </c>
      <c r="D817" s="3">
        <v>1.0</v>
      </c>
    </row>
    <row r="818" ht="15.75" customHeight="1">
      <c r="A818" s="1">
        <v>816.0</v>
      </c>
      <c r="B818" s="3" t="s">
        <v>819</v>
      </c>
      <c r="C818" s="3" t="str">
        <f>IFERROR(__xludf.DUMMYFUNCTION("GOOGLETRANSLATE(B818,""id"",""en"")"),"['Telkomsel', 'Network', 'Bener', 'Bener', 'Price', 'Rupa', 'Price', 'Rupa', 'Adequate', 'Times',' Internet ',' Malem ',' Doang ',' clock ',' night ',' forgiveness', 'see', 'speed', 'toloooooooong', 'already', 'chat', 'still', 'really', 'forgiveness',' se"&amp;"vere ' , '']")</f>
        <v>['Telkomsel', 'Network', 'Bener', 'Bener', 'Price', 'Rupa', 'Price', 'Rupa', 'Adequate', 'Times',' Internet ',' Malem ',' Doang ',' clock ',' night ',' forgiveness', 'see', 'speed', 'toloooooooong', 'already', 'chat', 'still', 'really', 'forgiveness',' severe ' , '']</v>
      </c>
      <c r="D818" s="3">
        <v>1.0</v>
      </c>
    </row>
    <row r="819" ht="15.75" customHeight="1">
      <c r="A819" s="1">
        <v>817.0</v>
      </c>
      <c r="B819" s="3" t="s">
        <v>820</v>
      </c>
      <c r="C819" s="3" t="str">
        <f>IFERROR(__xludf.DUMMYFUNCTION("GOOGLETRANSLATE(B819,""id"",""en"")"),"['How', 'Telkomsel', 'Dear', 'Condition', 'Internet', 'SAGAT', 'BAD', 'LOCATION', 'Lancil', 'right', 'Open', 'Telkonsel', ' application ',' bad ',' ngak ',' solution ',' ngak ',' repair ',' woi ',' buy ',' package ',' internet ',' use ',' money ',' use ' "&amp;", 'Leaves',' Please ',' Fix ',' Jagan ',' Continuous', 'Disappointing', 'Consumers',' Kalin ',' Rich ',' Poor ',' Karna ',' Internet ',' bad']")</f>
        <v>['How', 'Telkomsel', 'Dear', 'Condition', 'Internet', 'SAGAT', 'BAD', 'LOCATION', 'Lancil', 'right', 'Open', 'Telkonsel', ' application ',' bad ',' ngak ',' solution ',' ngak ',' repair ',' woi ',' buy ',' package ',' internet ',' use ',' money ',' use ' , 'Leaves',' Please ',' Fix ',' Jagan ',' Continuous', 'Disappointing', 'Consumers',' Kalin ',' Rich ',' Poor ',' Karna ',' Internet ',' bad']</v>
      </c>
      <c r="D819" s="3">
        <v>1.0</v>
      </c>
    </row>
    <row r="820" ht="15.75" customHeight="1">
      <c r="A820" s="1">
        <v>818.0</v>
      </c>
      <c r="B820" s="3" t="s">
        <v>821</v>
      </c>
      <c r="C820" s="3" t="str">
        <f>IFERROR(__xludf.DUMMYFUNCTION("GOOGLETRANSLATE(B820,""id"",""en"")"),"['Please', 'Telkomsel', 'System', 'What', 'Already', 'Reported', 'Pulse', 'Already', 'Buy', 'Package', 'Package', 'Nyampe', ' nyampe ',' already ',' repeat ',' times', 'try', 'please', 'costumer', 'comfortable', 'package', 'expensive', 'access',' difficul"&amp;"t ',' already ' , 'times', 'transaction', 'package', 'data', 'lohh', '']")</f>
        <v>['Please', 'Telkomsel', 'System', 'What', 'Already', 'Reported', 'Pulse', 'Already', 'Buy', 'Package', 'Package', 'Nyampe', ' nyampe ',' already ',' repeat ',' times', 'try', 'please', 'costumer', 'comfortable', 'package', 'expensive', 'access',' difficult ',' already ' , 'times', 'transaction', 'package', 'data', 'lohh', '']</v>
      </c>
      <c r="D820" s="3">
        <v>1.0</v>
      </c>
    </row>
    <row r="821" ht="15.75" customHeight="1">
      <c r="A821" s="1">
        <v>819.0</v>
      </c>
      <c r="B821" s="3" t="s">
        <v>822</v>
      </c>
      <c r="C821" s="3" t="str">
        <f>IFERROR(__xludf.DUMMYFUNCTION("GOOGLETRANSLATE(B821,""id"",""en"")"),"['application', 'Telkomsel', 'happy', 'application', 'Telkomsel', 'leftover', 'pulse', 'leftover', 'quota', 'internet', 'leftover', 'quota', ' Calls', 'leftovers',' quota ',' SMS ',' Simultaneous', 'thank', 'love', 'Telkomsel', 'application', 'Telkomsel',"&amp;" ""]")</f>
        <v>['application', 'Telkomsel', 'happy', 'application', 'Telkomsel', 'leftover', 'pulse', 'leftover', 'quota', 'internet', 'leftover', 'quota', ' Calls', 'leftovers',' quota ',' SMS ',' Simultaneous', 'thank', 'love', 'Telkomsel', 'application', 'Telkomsel', "]</v>
      </c>
      <c r="D821" s="3">
        <v>5.0</v>
      </c>
    </row>
    <row r="822" ht="15.75" customHeight="1">
      <c r="A822" s="1">
        <v>820.0</v>
      </c>
      <c r="B822" s="3" t="s">
        <v>823</v>
      </c>
      <c r="C822" s="3" t="str">
        <f>IFERROR(__xludf.DUMMYFUNCTION("GOOGLETRANSLATE(B822,""id"",""en"")"),"['application', 'packagein', 'quota', 'kokk', 'writing', 'check', 'connection', 'Again', 'and', 'repeat', 'The', 'transaction', ' After ',' One ',' Minute ',' already ',' use ',' wifi ',' already ',' signal ',' strong ',' gabisa ',' put together ',' quota"&amp;" ']")</f>
        <v>['application', 'packagein', 'quota', 'kokk', 'writing', 'check', 'connection', 'Again', 'and', 'repeat', 'The', 'transaction', ' After ',' One ',' Minute ',' already ',' use ',' wifi ',' already ',' signal ',' strong ',' gabisa ',' put together ',' quota ']</v>
      </c>
      <c r="D822" s="3">
        <v>3.0</v>
      </c>
    </row>
    <row r="823" ht="15.75" customHeight="1">
      <c r="A823" s="1">
        <v>821.0</v>
      </c>
      <c r="B823" s="3" t="s">
        <v>824</v>
      </c>
      <c r="C823" s="3" t="str">
        <f>IFERROR(__xludf.DUMMYFUNCTION("GOOGLETRANSLATE(B823,""id"",""en"")"),"['buy', 'package', 'internet', 'HR', 'GB', 'Uda', 'SDI', 'buy', 'Gara', 'lemoooooottt', 'forgiveness',' buy ',' package ',' lucky ',' uda ',' use ',' telkom ',' klau ',' waste ',' number ',' disappointed ',' Telkomsel ', ""]")</f>
        <v>['buy', 'package', 'internet', 'HR', 'GB', 'Uda', 'SDI', 'buy', 'Gara', 'lemoooooottt', 'forgiveness',' buy ',' package ',' lucky ',' uda ',' use ',' telkom ',' klau ',' waste ',' number ',' disappointed ',' Telkomsel ', "]</v>
      </c>
      <c r="D823" s="3">
        <v>2.0</v>
      </c>
    </row>
    <row r="824" ht="15.75" customHeight="1">
      <c r="A824" s="1">
        <v>822.0</v>
      </c>
      <c r="B824" s="3" t="s">
        <v>825</v>
      </c>
      <c r="C824" s="3" t="str">
        <f>IFERROR(__xludf.DUMMYFUNCTION("GOOGLETRANSLATE(B824,""id"",""en"")"),"['Application', 'Telkomsel', 'Accept', 'Love', 'Make Easy', 'Register', 'Choose', 'Package', 'Hopefully', 'Promo', 'Cheap', ""]")</f>
        <v>['Application', 'Telkomsel', 'Accept', 'Love', 'Make Easy', 'Register', 'Choose', 'Package', 'Hopefully', 'Promo', 'Cheap', "]</v>
      </c>
      <c r="D824" s="3">
        <v>5.0</v>
      </c>
    </row>
    <row r="825" ht="15.75" customHeight="1">
      <c r="A825" s="1">
        <v>823.0</v>
      </c>
      <c r="B825" s="3" t="s">
        <v>826</v>
      </c>
      <c r="C825" s="3" t="str">
        <f>IFERROR(__xludf.DUMMYFUNCTION("GOOGLETRANSLATE(B825,""id"",""en"")"),"['Please', 'Signal', 'Difficult', 'Surabaya', 'Loading', 'Zoom', 'Meeting', 'Enter', 'Already', 'Trouble', 'Network', 'Buy', ' package']")</f>
        <v>['Please', 'Signal', 'Difficult', 'Surabaya', 'Loading', 'Zoom', 'Meeting', 'Enter', 'Already', 'Trouble', 'Network', 'Buy', ' package']</v>
      </c>
      <c r="D825" s="3">
        <v>1.0</v>
      </c>
    </row>
    <row r="826" ht="15.75" customHeight="1">
      <c r="A826" s="1">
        <v>824.0</v>
      </c>
      <c r="B826" s="3" t="s">
        <v>827</v>
      </c>
      <c r="C826" s="3" t="str">
        <f>IFERROR(__xludf.DUMMYFUNCTION("GOOGLETRANSLATE(B826,""id"",""en"")"),"['application', 'buy', 'pulse', 'direct', 'run out', 'grgr', 'kepet', 'turn on', 'data', 'internet', 'ampe', 'second', ' Direct ',' run out ',' Ridho ',' pulse ',' cut ',' cave ',' pray ',' dead ',' silly ', ""]")</f>
        <v>['application', 'buy', 'pulse', 'direct', 'run out', 'grgr', 'kepet', 'turn on', 'data', 'internet', 'ampe', 'second', ' Direct ',' run out ',' Ridho ',' pulse ',' cut ',' cave ',' pray ',' dead ',' silly ', "]</v>
      </c>
      <c r="D826" s="3">
        <v>1.0</v>
      </c>
    </row>
    <row r="827" ht="15.75" customHeight="1">
      <c r="A827" s="1">
        <v>825.0</v>
      </c>
      <c r="B827" s="3" t="s">
        <v>828</v>
      </c>
      <c r="C827" s="3" t="str">
        <f>IFERROR(__xludf.DUMMYFUNCTION("GOOGLETRANSLATE(B827,""id"",""en"")"),"['Please', 'fix', 'network', 'Telkomsel', 'play', 'game', 'lag', 'really', 'gymna', 'pro', 'network', 'kek', ' Snail ',' Telkomsel ',' wifi ',' mas', 'lag', 'emang', 'city', 'tower', '']")</f>
        <v>['Please', 'fix', 'network', 'Telkomsel', 'play', 'game', 'lag', 'really', 'gymna', 'pro', 'network', 'kek', ' Snail ',' Telkomsel ',' wifi ',' mas', 'lag', 'emang', 'city', 'tower', '']</v>
      </c>
      <c r="D827" s="3">
        <v>1.0</v>
      </c>
    </row>
    <row r="828" ht="15.75" customHeight="1">
      <c r="A828" s="1">
        <v>826.0</v>
      </c>
      <c r="B828" s="3" t="s">
        <v>829</v>
      </c>
      <c r="C828" s="3" t="str">
        <f>IFERROR(__xludf.DUMMYFUNCTION("GOOGLETRANSLATE(B828,""id"",""en"")"),"['package', 'quota', 'play', 'game', 'game', 'sosmed', 'etc.', 'just', 'quota', 'main', 'hbis',' play ',' Game ']")</f>
        <v>['package', 'quota', 'play', 'game', 'game', 'sosmed', 'etc.', 'just', 'quota', 'main', 'hbis',' play ',' Game ']</v>
      </c>
      <c r="D828" s="3">
        <v>2.0</v>
      </c>
    </row>
    <row r="829" ht="15.75" customHeight="1">
      <c r="A829" s="1">
        <v>827.0</v>
      </c>
      <c r="B829" s="3" t="s">
        <v>830</v>
      </c>
      <c r="C829" s="3" t="str">
        <f>IFERROR(__xludf.DUMMYFUNCTION("GOOGLETRANSLATE(B829,""id"",""en"")"),"['', 'Bngt', 'customers',' loyal ',' skrg ',' data ',' cpt ',' hbs', 'yaa', 'oecewa', 'bngt', 'era', 'pandemic ',' LBH ',' LBH ',' BNYK ',' Need ',' Data ',' Telkomsel ',' Bonus', 'Data', 'Handemi', 'Pekah', 'Yaa', ""]")</f>
        <v>['', 'Bngt', 'customers',' loyal ',' skrg ',' data ',' cpt ',' hbs', 'yaa', 'oecewa', 'bngt', 'era', 'pandemic ',' LBH ',' LBH ',' BNYK ',' Need ',' Data ',' Telkomsel ',' Bonus', 'Data', 'Handemi', 'Pekah', 'Yaa', "]</v>
      </c>
      <c r="D829" s="3">
        <v>3.0</v>
      </c>
    </row>
    <row r="830" ht="15.75" customHeight="1">
      <c r="A830" s="1">
        <v>828.0</v>
      </c>
      <c r="B830" s="3" t="s">
        <v>831</v>
      </c>
      <c r="C830" s="3" t="str">
        <f>IFERROR(__xludf.DUMMYFUNCTION("GOOGLETRANSLATE(B830,""id"",""en"")"),"['already', 'go through', 'signal', 'Telkomsel', 'slow', 'already', 'card', 'expensive', 'package', 'expensive', 'signal', 'slow', ' About ',' Tower ',' Tower ',' Signal ',' Player ',' Game ',' Disappointed ',' Signal ',' Telkomsel ', ""]")</f>
        <v>['already', 'go through', 'signal', 'Telkomsel', 'slow', 'already', 'card', 'expensive', 'package', 'expensive', 'signal', 'slow', ' About ',' Tower ',' Tower ',' Signal ',' Player ',' Game ',' Disappointed ',' Signal ',' Telkomsel ', "]</v>
      </c>
      <c r="D830" s="3">
        <v>1.0</v>
      </c>
    </row>
    <row r="831" ht="15.75" customHeight="1">
      <c r="A831" s="1">
        <v>829.0</v>
      </c>
      <c r="B831" s="3" t="s">
        <v>832</v>
      </c>
      <c r="C831" s="3" t="str">
        <f>IFERROR(__xludf.DUMMYFUNCTION("GOOGLETRANSLATE(B831,""id"",""en"")"),"['Telkomsel', 'Disruption', 'TKP', 'West Java', 'West', 'Knp', 'Price', 'Package', 'Internet', 'expensive', 'according to', 'Quality', ' please corection']")</f>
        <v>['Telkomsel', 'Disruption', 'TKP', 'West Java', 'West', 'Knp', 'Price', 'Package', 'Internet', 'expensive', 'according to', 'Quality', ' please corection']</v>
      </c>
      <c r="D831" s="3">
        <v>1.0</v>
      </c>
    </row>
    <row r="832" ht="15.75" customHeight="1">
      <c r="A832" s="1">
        <v>830.0</v>
      </c>
      <c r="B832" s="3" t="s">
        <v>833</v>
      </c>
      <c r="C832" s="3" t="str">
        <f>IFERROR(__xludf.DUMMYFUNCTION("GOOGLETRANSLATE(B832,""id"",""en"")"),"['', 'promo', 'Home', 'buy', 'smw', 'org', 'rich', 'see', 'promo', 'buy', 'pulse', 'buy', 'pulsa ',' promo ',' ilang ',' devil ',' fraud ',' person ',' buy ',' pulse ',' hadeh ',' good ',' little ']")</f>
        <v>['', 'promo', 'Home', 'buy', 'smw', 'org', 'rich', 'see', 'promo', 'buy', 'pulse', 'buy', 'pulsa ',' promo ',' ilang ',' devil ',' fraud ',' person ',' buy ',' pulse ',' hadeh ',' good ',' little ']</v>
      </c>
      <c r="D832" s="3">
        <v>1.0</v>
      </c>
    </row>
    <row r="833" ht="15.75" customHeight="1">
      <c r="A833" s="1">
        <v>831.0</v>
      </c>
      <c r="B833" s="3" t="s">
        <v>834</v>
      </c>
      <c r="C833" s="3" t="str">
        <f>IFERROR(__xludf.DUMMYFUNCTION("GOOGLETRANSLATE(B833,""id"",""en"")"),"['Sorry', 'Change', 'Typical', 'Fikir', 'Problems',' User ',' Telkomsel ',' Solved ',' Solution ',' Dwilitary ',' There ',' Naro ',' Hope ',' Provider ', ""]")</f>
        <v>['Sorry', 'Change', 'Typical', 'Fikir', 'Problems',' User ',' Telkomsel ',' Solved ',' Solution ',' Dwilitary ',' There ',' Naro ',' Hope ',' Provider ', "]</v>
      </c>
      <c r="D833" s="3">
        <v>4.0</v>
      </c>
    </row>
    <row r="834" ht="15.75" customHeight="1">
      <c r="A834" s="1">
        <v>832.0</v>
      </c>
      <c r="B834" s="3" t="s">
        <v>835</v>
      </c>
      <c r="C834" s="3" t="str">
        <f>IFERROR(__xludf.DUMMYFUNCTION("GOOGLETRANSLATE(B834,""id"",""en"")"),"['Where', 'loss',' package ',' special ',' driver ',' online ',' then ',' ride ',' price ',' yesterday ',' forced ',' buy ',' For ',' RB ',' RB ',' already ',' Network ',' Down ']")</f>
        <v>['Where', 'loss',' package ',' special ',' driver ',' online ',' then ',' ride ',' price ',' yesterday ',' forced ',' buy ',' For ',' RB ',' RB ',' already ',' Network ',' Down ']</v>
      </c>
      <c r="D834" s="3">
        <v>1.0</v>
      </c>
    </row>
    <row r="835" ht="15.75" customHeight="1">
      <c r="A835" s="1">
        <v>833.0</v>
      </c>
      <c r="B835" s="3" t="s">
        <v>836</v>
      </c>
      <c r="C835" s="3" t="str">
        <f>IFERROR(__xludf.DUMMYFUNCTION("GOOGLETRANSLATE(B835,""id"",""en"")"),"['Really', 'Disappointed', 'Really', 'Signal', 'Like', 'Lost', 'Signal', 'Slow', 'Slow', 'Very', 'Please', 'As soon as possible,' Please, 'fix', 'user', 'disappointing']")</f>
        <v>['Really', 'Disappointed', 'Really', 'Signal', 'Like', 'Lost', 'Signal', 'Slow', 'Slow', 'Very', 'Please', 'As soon as possible,' Please, 'fix', 'user', 'disappointing']</v>
      </c>
      <c r="D835" s="3">
        <v>1.0</v>
      </c>
    </row>
    <row r="836" ht="15.75" customHeight="1">
      <c r="A836" s="1">
        <v>834.0</v>
      </c>
      <c r="B836" s="3" t="s">
        <v>837</v>
      </c>
      <c r="C836" s="3" t="str">
        <f>IFERROR(__xludf.DUMMYFUNCTION("GOOGLETRANSLATE(B836,""id"",""en"")"),"['innovating', 'easy', 'ajz', 'slow', 'application', 'please', 'evaluation', 'perudis',' version ',' date ',' August ',' promo ',' The quota ',' lose ',' application ',' neighbor ',' owned ',' BUMN ',' ']")</f>
        <v>['innovating', 'easy', 'ajz', 'slow', 'application', 'please', 'evaluation', 'perudis',' version ',' date ',' August ',' promo ',' The quota ',' lose ',' application ',' neighbor ',' owned ',' BUMN ',' ']</v>
      </c>
      <c r="D836" s="3">
        <v>1.0</v>
      </c>
    </row>
    <row r="837" ht="15.75" customHeight="1">
      <c r="A837" s="1">
        <v>835.0</v>
      </c>
      <c r="B837" s="3" t="s">
        <v>838</v>
      </c>
      <c r="C837" s="3" t="str">
        <f>IFERROR(__xludf.DUMMYFUNCTION("GOOGLETRANSLATE(B837,""id"",""en"")"),"['signal', 'Full', 'quota', 'full', 'internet', 'no', 'road', 'severe', 'signal', 'switch', 'pulse', 'regular', ' Ludess', 'Severe', 'Telkomsel', 'Features',' Credit ',' Safe ',' take ',' pulse ',' silent ', ""]")</f>
        <v>['signal', 'Full', 'quota', 'full', 'internet', 'no', 'road', 'severe', 'signal', 'switch', 'pulse', 'regular', ' Ludess', 'Severe', 'Telkomsel', 'Features',' Credit ',' Safe ',' take ',' pulse ',' silent ', "]</v>
      </c>
      <c r="D837" s="3">
        <v>1.0</v>
      </c>
    </row>
    <row r="838" ht="15.75" customHeight="1">
      <c r="A838" s="1">
        <v>836.0</v>
      </c>
      <c r="B838" s="3" t="s">
        <v>839</v>
      </c>
      <c r="C838" s="3" t="str">
        <f>IFERROR(__xludf.DUMMYFUNCTION("GOOGLETRANSLATE(B838,""id"",""en"")"),"['disappointed', 'sympathy', 'signal', 'bad', 'change', 'card', 'already', 'defended', 'in', 'buy', 'pulse', 'the reason', ' network ',' error ',' disappointing ',' customer ',' servicenya ',' nggk ',' capital ',' phone ',' bad ',' bangettt ',' sympathy '"&amp;",' ']")</f>
        <v>['disappointed', 'sympathy', 'signal', 'bad', 'change', 'card', 'already', 'defended', 'in', 'buy', 'pulse', 'the reason', ' network ',' error ',' disappointing ',' customer ',' servicenya ',' nggk ',' capital ',' phone ',' bad ',' bangettt ',' sympathy ',' ']</v>
      </c>
      <c r="D838" s="3">
        <v>1.0</v>
      </c>
    </row>
    <row r="839" ht="15.75" customHeight="1">
      <c r="A839" s="1">
        <v>837.0</v>
      </c>
      <c r="B839" s="3" t="s">
        <v>840</v>
      </c>
      <c r="C839" s="3" t="str">
        <f>IFERROR(__xludf.DUMMYFUNCTION("GOOGLETRANSLATE(B839,""id"",""en"")"),"['Disappointed', 'Take', 'Package', 'Available', 'Repeated', 'Time', 'Try', 'Notif', 'Success',' Failed ',' Terms', 'Credit', ' fulfilled ',' chat ',' admin ',' Telkomsel ',' Telegram ',' solution ',' make ',' reason ',' offer ',' sms', ""]")</f>
        <v>['Disappointed', 'Take', 'Package', 'Available', 'Repeated', 'Time', 'Try', 'Notif', 'Success',' Failed ',' Terms', 'Credit', ' fulfilled ',' chat ',' admin ',' Telkomsel ',' Telegram ',' solution ',' make ',' reason ',' offer ',' sms', "]</v>
      </c>
      <c r="D839" s="3">
        <v>1.0</v>
      </c>
    </row>
    <row r="840" ht="15.75" customHeight="1">
      <c r="A840" s="1">
        <v>838.0</v>
      </c>
      <c r="B840" s="3" t="s">
        <v>841</v>
      </c>
      <c r="C840" s="3" t="str">
        <f>IFERROR(__xludf.DUMMYFUNCTION("GOOGLETRANSLATE(B840,""id"",""en"")"),"['Out', 'Update', 'Login', 'Error', 'TRS', 'Try', 'Many', 'Skali', 'SMS', 'clicked', 'Link', 'Aneeeeh', ' ']")</f>
        <v>['Out', 'Update', 'Login', 'Error', 'TRS', 'Try', 'Many', 'Skali', 'SMS', 'clicked', 'Link', 'Aneeeeh', ' ']</v>
      </c>
      <c r="D840" s="3">
        <v>1.0</v>
      </c>
    </row>
    <row r="841" ht="15.75" customHeight="1">
      <c r="A841" s="1">
        <v>839.0</v>
      </c>
      <c r="B841" s="3" t="s">
        <v>842</v>
      </c>
      <c r="C841" s="3" t="str">
        <f>IFERROR(__xludf.DUMMYFUNCTION("GOOGLETRANSLATE(B841,""id"",""en"")"),"['Package', 'Offered', 'number', 'Telkomsel', 'Different', 'Different', 'Package', 'Internet', 'Offered', 'Number', 'Telkomsel', 'wife', ' Package ',' Purchase ',' Voucher ',' Telkomsel ',' Call ',' Call ',' Center ',' Sorry ',' Say ',' Policy ',' Telkoms"&amp;"el ', ""]")</f>
        <v>['Package', 'Offered', 'number', 'Telkomsel', 'Different', 'Different', 'Package', 'Internet', 'Offered', 'Number', 'Telkomsel', 'wife', ' Package ',' Purchase ',' Voucher ',' Telkomsel ',' Call ',' Call ',' Center ',' Sorry ',' Say ',' Policy ',' Telkomsel ', "]</v>
      </c>
      <c r="D841" s="3">
        <v>1.0</v>
      </c>
    </row>
    <row r="842" ht="15.75" customHeight="1">
      <c r="A842" s="1">
        <v>840.0</v>
      </c>
      <c r="B842" s="3" t="s">
        <v>843</v>
      </c>
      <c r="C842" s="3" t="str">
        <f>IFERROR(__xludf.DUMMYFUNCTION("GOOGLETRANSLATE(B842,""id"",""en"")"),"['repeated', 'times',' try ',' rendem ',' point ',' package ',' data ',' sms', 'reply', 'please', 'sorry', 'system', ' Busy ',' Point ',' Restore ',' Love ',' Gift ',' Fraud ',' Consumer ',' name ',' Telkomsel ',' BUMN ',' Cook ',' company ',' belongs' , "&amp;"'State', 'shy', 'nation', 'Indonesia', 'Erik', 'Tohir', 'Minister', 'BUMN', 'evaluation', 'management', 'Telkomsel', ' management ',' shame ',' state ']")</f>
        <v>['repeated', 'times',' try ',' rendem ',' point ',' package ',' data ',' sms', 'reply', 'please', 'sorry', 'system', ' Busy ',' Point ',' Restore ',' Love ',' Gift ',' Fraud ',' Consumer ',' name ',' Telkomsel ',' BUMN ',' Cook ',' company ',' belongs' , 'State', 'shy', 'nation', 'Indonesia', 'Erik', 'Tohir', 'Minister', 'BUMN', 'evaluation', 'management', 'Telkomsel', ' management ',' shame ',' state ']</v>
      </c>
      <c r="D842" s="3">
        <v>1.0</v>
      </c>
    </row>
    <row r="843" ht="15.75" customHeight="1">
      <c r="A843" s="1">
        <v>841.0</v>
      </c>
      <c r="B843" s="3" t="s">
        <v>844</v>
      </c>
      <c r="C843" s="3" t="str">
        <f>IFERROR(__xludf.DUMMYFUNCTION("GOOGLETRANSLATE(B843,""id"",""en"")"),"['times',' tens', 'times',' buy ',' package ',' MyTelkomsel ',' condition ',' fulfilled ',' application ',' service ',' Telkomsel ',' transaction ',' bad']")</f>
        <v>['times',' tens', 'times',' buy ',' package ',' MyTelkomsel ',' condition ',' fulfilled ',' application ',' service ',' Telkomsel ',' transaction ',' bad']</v>
      </c>
      <c r="D843" s="3">
        <v>1.0</v>
      </c>
    </row>
    <row r="844" ht="15.75" customHeight="1">
      <c r="A844" s="1">
        <v>842.0</v>
      </c>
      <c r="B844" s="3" t="s">
        <v>845</v>
      </c>
      <c r="C844" s="3" t="str">
        <f>IFERROR(__xludf.DUMMYFUNCTION("GOOGLETRANSLATE(B844,""id"",""en"")"),"['suffering', 'ppkm', 'price', 'package', 'exorbitant', 'difficult', 'aaja', 'promo', 'discount', 'expensive', 'provider', 'injam', ' pulses', 'quota', 'right', 'kepepet', 'pulak', 'system', 'kek', 'see', 'provider', 'trusted', 'pinjol', 'dlu', 'lgi' , 'L"&amp;"ove', 'Points', 'Exchange', 'Package', 'Consument', 'Tutu', 'Exchange', 'Coins', 'Shop', 'ect', ""]")</f>
        <v>['suffering', 'ppkm', 'price', 'package', 'exorbitant', 'difficult', 'aaja', 'promo', 'discount', 'expensive', 'provider', 'injam', ' pulses', 'quota', 'right', 'kepepet', 'pulak', 'system', 'kek', 'see', 'provider', 'trusted', 'pinjol', 'dlu', 'lgi' , 'Love', 'Points', 'Exchange', 'Package', 'Consument', 'Tutu', 'Exchange', 'Coins', 'Shop', 'ect', "]</v>
      </c>
      <c r="D844" s="3">
        <v>5.0</v>
      </c>
    </row>
    <row r="845" ht="15.75" customHeight="1">
      <c r="A845" s="1">
        <v>843.0</v>
      </c>
      <c r="B845" s="3" t="s">
        <v>846</v>
      </c>
      <c r="C845" s="3" t="str">
        <f>IFERROR(__xludf.DUMMYFUNCTION("GOOGLETRANSLATE(B845,""id"",""en"")"),"['sorry', 'edit', 'star', 'service', 'network', 'ugly', 'stable', 'compares',' inverted ',' purchase ',' price ',' package ',' expensive ',' operator ',' next door ',' operator ',' next door ',' hatha ',' cheap ',' network ',' internet ',' stable ',' use "&amp;"',' internet ',' reach ' , 'Active', 'quota', 'run out', 'Telkomsel', 'dream', 'mere', 'operator', 'developing', 'forward', 'disappointing']")</f>
        <v>['sorry', 'edit', 'star', 'service', 'network', 'ugly', 'stable', 'compares',' inverted ',' purchase ',' price ',' package ',' expensive ',' operator ',' next door ',' operator ',' next door ',' hatha ',' cheap ',' network ',' internet ',' stable ',' use ',' internet ',' reach ' , 'Active', 'quota', 'run out', 'Telkomsel', 'dream', 'mere', 'operator', 'developing', 'forward', 'disappointing']</v>
      </c>
      <c r="D845" s="3">
        <v>1.0</v>
      </c>
    </row>
    <row r="846" ht="15.75" customHeight="1">
      <c r="A846" s="1">
        <v>844.0</v>
      </c>
      <c r="B846" s="3" t="s">
        <v>847</v>
      </c>
      <c r="C846" s="3" t="str">
        <f>IFERROR(__xludf.DUMMYFUNCTION("GOOGLETRANSLATE(B846,""id"",""en"")"),"['Service', 'satisfaction', 'Customer', 'Mines', 'Slow', 'response', 'responded', 'complaints', 'resolved', 'sekrng']")</f>
        <v>['Service', 'satisfaction', 'Customer', 'Mines', 'Slow', 'response', 'responded', 'complaints', 'resolved', 'sekrng']</v>
      </c>
      <c r="D846" s="3">
        <v>1.0</v>
      </c>
    </row>
    <row r="847" ht="15.75" customHeight="1">
      <c r="A847" s="1">
        <v>845.0</v>
      </c>
      <c r="B847" s="3" t="s">
        <v>848</v>
      </c>
      <c r="C847" s="3" t="str">
        <f>IFERROR(__xludf.DUMMYFUNCTION("GOOGLETRANSLATE(B847,""id"",""en"")"),"['Telkomsel', 'balance', 'cave', 'turn', 'choose', 'package', 'compir', 'telom', 'kagak', 'please', 'fix', 'buy', ' quota ',' balance ',' cave ',' sumps']")</f>
        <v>['Telkomsel', 'balance', 'cave', 'turn', 'choose', 'package', 'compir', 'telom', 'kagak', 'please', 'fix', 'buy', ' quota ',' balance ',' cave ',' sumps']</v>
      </c>
      <c r="D847" s="3">
        <v>1.0</v>
      </c>
    </row>
    <row r="848" ht="15.75" customHeight="1">
      <c r="A848" s="1">
        <v>846.0</v>
      </c>
      <c r="B848" s="3" t="s">
        <v>849</v>
      </c>
      <c r="C848" s="3" t="str">
        <f>IFERROR(__xludf.DUMMYFUNCTION("GOOGLETRANSLATE(B848,""id"",""en"")"),"['application', 'class',' operator ',' biggest ',' Indonesia ',' million ',' customer ',' application ',' light ',' can be ',' animation ',' app ',' heavy ',' spec ',' low ',' application ',' check ',' pulse ',' ama ',' buy ',' package ',' data ',' ridicu"&amp;"lous', '']")</f>
        <v>['application', 'class',' operator ',' biggest ',' Indonesia ',' million ',' customer ',' application ',' light ',' can be ',' animation ',' app ',' heavy ',' spec ',' low ',' application ',' check ',' pulse ',' ama ',' buy ',' package ',' data ',' ridiculous', '']</v>
      </c>
      <c r="D848" s="3">
        <v>1.0</v>
      </c>
    </row>
    <row r="849" ht="15.75" customHeight="1">
      <c r="A849" s="1">
        <v>847.0</v>
      </c>
      <c r="B849" s="3" t="s">
        <v>850</v>
      </c>
      <c r="C849" s="3" t="str">
        <f>IFERROR(__xludf.DUMMYFUNCTION("GOOGLETRANSLATE(B849,""id"",""en"")"),"['Telkomsel', 'counted', 'expensive', 'package', 'etc.', 'use', 'Telkomsel', 'knp', 'signal', 'ugly', 'business',' online ',' detrimental ',' signal ',' getting ',' influence ',' covid ',' yeeee ']")</f>
        <v>['Telkomsel', 'counted', 'expensive', 'package', 'etc.', 'use', 'Telkomsel', 'knp', 'signal', 'ugly', 'business',' online ',' detrimental ',' signal ',' getting ',' influence ',' covid ',' yeeee ']</v>
      </c>
      <c r="D849" s="3">
        <v>1.0</v>
      </c>
    </row>
    <row r="850" ht="15.75" customHeight="1">
      <c r="A850" s="1">
        <v>848.0</v>
      </c>
      <c r="B850" s="3" t="s">
        <v>851</v>
      </c>
      <c r="C850" s="3" t="str">
        <f>IFERROR(__xludf.DUMMYFUNCTION("GOOGLETRANSLATE(B850,""id"",""en"")"),"['pig', 'buy', 'quota', 'learn', 'dipake', 'Google', 'classroom', 'package', 'internet', 'gacha', 'expensive', 'emang', ' Pigs', 'Telkomsel', 'Pandemic', 'Located', 'Naek', 'Gini', 'Stay', 'Indonesia']")</f>
        <v>['pig', 'buy', 'quota', 'learn', 'dipake', 'Google', 'classroom', 'package', 'internet', 'gacha', 'expensive', 'emang', ' Pigs', 'Telkomsel', 'Pandemic', 'Located', 'Naek', 'Gini', 'Stay', 'Indonesia']</v>
      </c>
      <c r="D850" s="3">
        <v>1.0</v>
      </c>
    </row>
    <row r="851" ht="15.75" customHeight="1">
      <c r="A851" s="1">
        <v>849.0</v>
      </c>
      <c r="B851" s="3" t="s">
        <v>852</v>
      </c>
      <c r="C851" s="3" t="str">
        <f>IFERROR(__xludf.DUMMYFUNCTION("GOOGLETRANSLATE(B851,""id"",""en"")"),"['SMS', 'Telkomsel', 'promo', 'GB', 'Activate', 'Telkomsel', 'download', 'check', 'promo', 'access',' access', 'promo', ' Telkomsel ',' trusted ',' star ',' love ',' disappointed ',' really ']")</f>
        <v>['SMS', 'Telkomsel', 'promo', 'GB', 'Activate', 'Telkomsel', 'download', 'check', 'promo', 'access',' access', 'promo', ' Telkomsel ',' trusted ',' star ',' love ',' disappointed ',' really ']</v>
      </c>
      <c r="D851" s="3">
        <v>1.0</v>
      </c>
    </row>
    <row r="852" ht="15.75" customHeight="1">
      <c r="A852" s="1">
        <v>850.0</v>
      </c>
      <c r="B852" s="3" t="s">
        <v>853</v>
      </c>
      <c r="C852" s="3" t="str">
        <f>IFERROR(__xludf.DUMMYFUNCTION("GOOGLETRANSLATE(B852,""id"",""en"")"),"['Application', 'After', 'Money', 'Jaringa', 'ugly', 'Lost', 'Internet', 'Nye', 'Sorry', 'Substance', 'Wear', 'Telkomsel', ' yrs', 'good', 'skrng', 'nda', 'ade', 'good', 'nye', 'saye', 'buy', 'package', 'expensive', 'bise', 'duet' , 'Rb', 'bln', 'times', "&amp;"'buy', 'package', 'skrng', 'udh', 'kukop', 'kid', 'change', 'card', 'regret']")</f>
        <v>['Application', 'After', 'Money', 'Jaringa', 'ugly', 'Lost', 'Internet', 'Nye', 'Sorry', 'Substance', 'Wear', 'Telkomsel', ' yrs', 'good', 'skrng', 'nda', 'ade', 'good', 'nye', 'saye', 'buy', 'package', 'expensive', 'bise', 'duet' , 'Rb', 'bln', 'times', 'buy', 'package', 'skrng', 'udh', 'kukop', 'kid', 'change', 'card', 'regret']</v>
      </c>
      <c r="D852" s="3">
        <v>1.0</v>
      </c>
    </row>
    <row r="853" ht="15.75" customHeight="1">
      <c r="A853" s="1">
        <v>851.0</v>
      </c>
      <c r="B853" s="3" t="s">
        <v>854</v>
      </c>
      <c r="C853" s="3" t="str">
        <f>IFERROR(__xludf.DUMMYFUNCTION("GOOGLETRANSLATE(B853,""id"",""en"")"),"['Application', 'good', 'really', '']")</f>
        <v>['Application', 'good', 'really', '']</v>
      </c>
      <c r="D853" s="3">
        <v>5.0</v>
      </c>
    </row>
    <row r="854" ht="15.75" customHeight="1">
      <c r="A854" s="1">
        <v>852.0</v>
      </c>
      <c r="B854" s="3" t="s">
        <v>855</v>
      </c>
      <c r="C854" s="3" t="str">
        <f>IFERROR(__xludf.DUMMYFUNCTION("GOOGLETRANSLATE(B854,""id"",""en"")"),"['', 'home', 'network', 'garbage', 'drop', 'maximum', 'muasin', 'customers',' mending ',' burn ',' company ',' Deh. ', 'network', '']")</f>
        <v>['', 'home', 'network', 'garbage', 'drop', 'maximum', 'muasin', 'customers',' mending ',' burn ',' company ',' Deh. ', 'network', '']</v>
      </c>
      <c r="D854" s="3">
        <v>1.0</v>
      </c>
    </row>
    <row r="855" ht="15.75" customHeight="1">
      <c r="A855" s="1">
        <v>853.0</v>
      </c>
      <c r="B855" s="3" t="s">
        <v>856</v>
      </c>
      <c r="C855" s="3" t="str">
        <f>IFERROR(__xludf.DUMMYFUNCTION("GOOGLETRANSLATE(B855,""id"",""en"")"),"['Please', 'min', 'rates', 'expensive', 'expensive', 'expensive', 'monthly', 'users', 'Telkomsel', 'thank', 'love']")</f>
        <v>['Please', 'min', 'rates', 'expensive', 'expensive', 'expensive', 'monthly', 'users', 'Telkomsel', 'thank', 'love']</v>
      </c>
      <c r="D855" s="3">
        <v>3.0</v>
      </c>
    </row>
    <row r="856" ht="15.75" customHeight="1">
      <c r="A856" s="1">
        <v>854.0</v>
      </c>
      <c r="B856" s="3" t="s">
        <v>857</v>
      </c>
      <c r="C856" s="3" t="str">
        <f>IFERROR(__xludf.DUMMYFUNCTION("GOOGLETRANSLATE(B856,""id"",""en"")"),"['expensive', 'rates',' bad ',' service ',' dead ',' lights', 'signal', 'Telkomsel', 'tetep', 'strong', 'now', 'die', ' Lights', 'signal', 'Jga', 'ilang', 'lose', 'neighbor', 'Next to', '']")</f>
        <v>['expensive', 'rates',' bad ',' service ',' dead ',' lights', 'signal', 'Telkomsel', 'tetep', 'strong', 'now', 'die', ' Lights', 'signal', 'Jga', 'ilang', 'lose', 'neighbor', 'Next to', '']</v>
      </c>
      <c r="D856" s="3">
        <v>1.0</v>
      </c>
    </row>
    <row r="857" ht="15.75" customHeight="1">
      <c r="A857" s="1">
        <v>855.0</v>
      </c>
      <c r="B857" s="3" t="s">
        <v>858</v>
      </c>
      <c r="C857" s="3" t="str">
        <f>IFERROR(__xludf.DUMMYFUNCTION("GOOGLETRANSLATE(B857,""id"",""en"")"),"['appears',' signal ',' slow ',' gerangan ',' Telkomsel ',' price ',' package ',' expensive ',' lhooo ',' jokes', 'expensive', 'just', ' Nginfo ',' Application ',' MyTelkomsel ',' Error ',' Login ',' ']")</f>
        <v>['appears',' signal ',' slow ',' gerangan ',' Telkomsel ',' price ',' package ',' expensive ',' lhooo ',' jokes', 'expensive', 'just', ' Nginfo ',' Application ',' MyTelkomsel ',' Error ',' Login ',' ']</v>
      </c>
      <c r="D857" s="3">
        <v>3.0</v>
      </c>
    </row>
    <row r="858" ht="15.75" customHeight="1">
      <c r="A858" s="1">
        <v>856.0</v>
      </c>
      <c r="B858" s="3" t="s">
        <v>859</v>
      </c>
      <c r="C858" s="3" t="str">
        <f>IFERROR(__xludf.DUMMYFUNCTION("GOOGLETRANSLATE(B858,""id"",""en"")"),"['pulse', 'drawn', 'debt', 'emergency', 'operator', 'actually', 'use', 'take', 'package', 'internet', 'weekly', 'GB', ' Fill ',' pulse ',' leftover ',' run out ',' missing ',' ntah ',' where ',' fit ',' check ',' application ',' mytelkomsel ',' pulse ',' "&amp;"stay ' , '']")</f>
        <v>['pulse', 'drawn', 'debt', 'emergency', 'operator', 'actually', 'use', 'take', 'package', 'internet', 'weekly', 'GB', ' Fill ',' pulse ',' leftover ',' run out ',' missing ',' ntah ',' where ',' fit ',' check ',' application ',' mytelkomsel ',' pulse ',' stay ' , '']</v>
      </c>
      <c r="D858" s="3">
        <v>1.0</v>
      </c>
    </row>
    <row r="859" ht="15.75" customHeight="1">
      <c r="A859" s="1">
        <v>857.0</v>
      </c>
      <c r="B859" s="3" t="s">
        <v>860</v>
      </c>
      <c r="C859" s="3" t="str">
        <f>IFERROR(__xludf.DUMMYFUNCTION("GOOGLETRANSLATE(B859,""id"",""en"")"),"['Mahall', 'package', 'cheap', 'cheap', 'missing', 'loyal', 'tsel', 'bye', 'thank you', 'bro', 'rating', 'dislodial' ']")</f>
        <v>['Mahall', 'package', 'cheap', 'cheap', 'missing', 'loyal', 'tsel', 'bye', 'thank you', 'bro', 'rating', 'dislodial' ']</v>
      </c>
      <c r="D859" s="3">
        <v>1.0</v>
      </c>
    </row>
    <row r="860" ht="15.75" customHeight="1">
      <c r="A860" s="1">
        <v>858.0</v>
      </c>
      <c r="B860" s="3" t="s">
        <v>861</v>
      </c>
      <c r="C860" s="3" t="str">
        <f>IFERROR(__xludf.DUMMYFUNCTION("GOOGLETRANSLATE(B860,""id"",""en"")"),"['How', 'advanced', 'grow', 'package', 'expensive', 'signal', 'doang', 'jakarta', 'there', 'helloooo', ""]")</f>
        <v>['How', 'advanced', 'grow', 'package', 'expensive', 'signal', 'doang', 'jakarta', 'there', 'helloooo', "]</v>
      </c>
      <c r="D860" s="3">
        <v>1.0</v>
      </c>
    </row>
    <row r="861" ht="15.75" customHeight="1">
      <c r="A861" s="1">
        <v>859.0</v>
      </c>
      <c r="B861" s="3" t="s">
        <v>862</v>
      </c>
      <c r="C861" s="3" t="str">
        <f>IFERROR(__xludf.DUMMYFUNCTION("GOOGLETRANSLATE(B861,""id"",""en"")"),"['pulse', 'underlook', 'use', 'udh', 'times', 'try', 'unreg', 'all', 'please', 'love', 'enlightenment', ""]")</f>
        <v>['pulse', 'underlook', 'use', 'udh', 'times', 'try', 'unreg', 'all', 'please', 'love', 'enlightenment', "]</v>
      </c>
      <c r="D861" s="3">
        <v>1.0</v>
      </c>
    </row>
    <row r="862" ht="15.75" customHeight="1">
      <c r="A862" s="1">
        <v>860.0</v>
      </c>
      <c r="B862" s="3" t="s">
        <v>863</v>
      </c>
      <c r="C862" s="3" t="str">
        <f>IFERROR(__xludf.DUMMYFUNCTION("GOOGLETRANSLATE(B862,""id"",""en"")"),"['contents',' reset ',' application ',' Telkomsel ',' enter ',' Wait ',' hour ',' pay ',' account ',' virtual ',' mbanking ',' bca ',' Disappointed ',' already ',' Telkomsel ',' pulse ',' visits', 'entry', 'balance', 'truncated', ""]")</f>
        <v>['contents',' reset ',' application ',' Telkomsel ',' enter ',' Wait ',' hour ',' pay ',' account ',' virtual ',' mbanking ',' bca ',' Disappointed ',' already ',' Telkomsel ',' pulse ',' visits', 'entry', 'balance', 'truncated', "]</v>
      </c>
      <c r="D862" s="3">
        <v>1.0</v>
      </c>
    </row>
    <row r="863" ht="15.75" customHeight="1">
      <c r="A863" s="1">
        <v>861.0</v>
      </c>
      <c r="B863" s="3" t="s">
        <v>864</v>
      </c>
      <c r="C863" s="3" t="str">
        <f>IFERROR(__xludf.DUMMYFUNCTION("GOOGLETRANSLATE(B863,""id"",""en"")"),"['skrg', 'Telkomsel', 'KNPA', 'SIH', 'go bankrupt', 'direct', 'closed', 'org', 'lossiii', 'city', 'translucent', 'barr', ' Shame ',' ama ',' provider ',' lrbih ',' cheap ',' good ',' closed ',' gan ',' BUMN ',' ']")</f>
        <v>['skrg', 'Telkomsel', 'KNPA', 'SIH', 'go bankrupt', 'direct', 'closed', 'org', 'lossiii', 'city', 'translucent', 'barr', ' Shame ',' ama ',' provider ',' lrbih ',' cheap ',' good ',' closed ',' gan ',' BUMN ',' ']</v>
      </c>
      <c r="D863" s="3">
        <v>1.0</v>
      </c>
    </row>
    <row r="864" ht="15.75" customHeight="1">
      <c r="A864" s="1">
        <v>862.0</v>
      </c>
      <c r="B864" s="3" t="s">
        <v>865</v>
      </c>
      <c r="C864" s="3" t="str">
        <f>IFERROR(__xludf.DUMMYFUNCTION("GOOGLETRANSLATE(B864,""id"",""en"")"),"['User', 'subscribe', 'package', 'quota', 'expensive', 'customer', 'mahalin', 'user', 'cheap', 'disappointed', '']")</f>
        <v>['User', 'subscribe', 'package', 'quota', 'expensive', 'customer', 'mahalin', 'user', 'cheap', 'disappointed', '']</v>
      </c>
      <c r="D864" s="3">
        <v>1.0</v>
      </c>
    </row>
    <row r="865" ht="15.75" customHeight="1">
      <c r="A865" s="1">
        <v>863.0</v>
      </c>
      <c r="B865" s="3" t="s">
        <v>866</v>
      </c>
      <c r="C865" s="3" t="str">
        <f>IFERROR(__xludf.DUMMYFUNCTION("GOOGLETRANSLATE(B865,""id"",""en"")"),"['Thank you', 'promo', 'promo', 'interesting', 'application', 'Telkomsel', 'honest', 'really', 'help', 'busy', 'a day', 'example', ' Online ',' Sell ',' Online ',' Etc. ',' Thank you ',' Telkomsel ']")</f>
        <v>['Thank you', 'promo', 'promo', 'interesting', 'application', 'Telkomsel', 'honest', 'really', 'help', 'busy', 'a day', 'example', ' Online ',' Sell ',' Online ',' Etc. ',' Thank you ',' Telkomsel ']</v>
      </c>
      <c r="D865" s="3">
        <v>5.0</v>
      </c>
    </row>
    <row r="866" ht="15.75" customHeight="1">
      <c r="A866" s="1">
        <v>864.0</v>
      </c>
      <c r="B866" s="3" t="s">
        <v>867</v>
      </c>
      <c r="C866" s="3" t="str">
        <f>IFERROR(__xludf.DUMMYFUNCTION("GOOGLETRANSLATE(B866,""id"",""en"")"),"['Kasi', 'Bintang', 'because', 'The network', 'ugly', 'really', 'I'll be', 'Rantapao', 'suggestion', 'Tink', 'Donk', ' Jarigan ',' Next to ',' ']")</f>
        <v>['Kasi', 'Bintang', 'because', 'The network', 'ugly', 'really', 'I'll be', 'Rantapao', 'suggestion', 'Tink', 'Donk', ' Jarigan ',' Next to ',' ']</v>
      </c>
      <c r="D866" s="3">
        <v>1.0</v>
      </c>
    </row>
    <row r="867" ht="15.75" customHeight="1">
      <c r="A867" s="1">
        <v>865.0</v>
      </c>
      <c r="B867" s="3" t="s">
        <v>868</v>
      </c>
      <c r="C867" s="3" t="str">
        <f>IFERROR(__xludf.DUMMYFUNCTION("GOOGLETRANSLATE(B867,""id"",""en"")"),"['Update', 'Application', 'connection', 'Gaada', 'Change', 'Slow', 'Severe', 'Use', 'Telkomsel', 'Network', 'Stable', 'Stable', ' signal ',' Telkomsel ',' network ',' good ',' here ',' bad ',' access', 'web', 'sometimes',' slow ', ""]")</f>
        <v>['Update', 'Application', 'connection', 'Gaada', 'Change', 'Slow', 'Severe', 'Use', 'Telkomsel', 'Network', 'Stable', 'Stable', ' signal ',' Telkomsel ',' network ',' good ',' here ',' bad ',' access', 'web', 'sometimes',' slow ', "]</v>
      </c>
      <c r="D867" s="3">
        <v>1.0</v>
      </c>
    </row>
    <row r="868" ht="15.75" customHeight="1">
      <c r="A868" s="1">
        <v>866.0</v>
      </c>
      <c r="B868" s="3" t="s">
        <v>869</v>
      </c>
      <c r="C868" s="3" t="str">
        <f>IFERROR(__xludf.DUMMYFUNCTION("GOOGLETRANSLATE(B868,""id"",""en"")"),"['crazy', 'expensive', 'package', 'kapok', 'sympathy', 'family', 'off', 'sympathy', 'fares',' here ',' expensive ',' normal ',' Stable ',' network ',' Sometimes', 'ilang', '']")</f>
        <v>['crazy', 'expensive', 'package', 'kapok', 'sympathy', 'family', 'off', 'sympathy', 'fares',' here ',' expensive ',' normal ',' Stable ',' network ',' Sometimes', 'ilang', '']</v>
      </c>
      <c r="D868" s="3">
        <v>1.0</v>
      </c>
    </row>
    <row r="869" ht="15.75" customHeight="1">
      <c r="A869" s="1">
        <v>867.0</v>
      </c>
      <c r="B869" s="3" t="s">
        <v>870</v>
      </c>
      <c r="C869" s="3" t="str">
        <f>IFERROR(__xludf.DUMMYFUNCTION("GOOGLETRANSLATE(B869,""id"",""en"")"),"['network', 'leg', 'severe', 'night', 'lag', 'network', 'play', 'game', 'stable', 'toling', 'fix', 'Telkomsel', ' The area ',' Palembang ',' expensive ',' network ',' slow ',' slow ',' disappointed ',' Nian ',' Telkomsel ']")</f>
        <v>['network', 'leg', 'severe', 'night', 'lag', 'network', 'play', 'game', 'stable', 'toling', 'fix', 'Telkomsel', ' The area ',' Palembang ',' expensive ',' network ',' slow ',' slow ',' disappointed ',' Nian ',' Telkomsel ']</v>
      </c>
      <c r="D869" s="3">
        <v>1.0</v>
      </c>
    </row>
    <row r="870" ht="15.75" customHeight="1">
      <c r="A870" s="1">
        <v>868.0</v>
      </c>
      <c r="B870" s="3" t="s">
        <v>871</v>
      </c>
      <c r="C870" s="3" t="str">
        <f>IFERROR(__xludf.DUMMYFUNCTION("GOOGLETRANSLATE(B870,""id"",""en"")"),"['Open', 'Application', 'Telkomsel', 'Loading', 'Kerangs',' Muter ',' Updated ',' Good ',' Buy ',' Package ',' Phone ',' SKR ',' App ',' Error ',' Mulu ',' Rich ',' Gini ',' Telkomsel ',' Left Binggal ',' Customer ']")</f>
        <v>['Open', 'Application', 'Telkomsel', 'Loading', 'Kerangs',' Muter ',' Updated ',' Good ',' Buy ',' Package ',' Phone ',' SKR ',' App ',' Error ',' Mulu ',' Rich ',' Gini ',' Telkomsel ',' Left Binggal ',' Customer ']</v>
      </c>
      <c r="D870" s="3">
        <v>5.0</v>
      </c>
    </row>
    <row r="871" ht="15.75" customHeight="1">
      <c r="A871" s="1">
        <v>869.0</v>
      </c>
      <c r="B871" s="3" t="s">
        <v>872</v>
      </c>
      <c r="C871" s="3" t="str">
        <f>IFERROR(__xludf.DUMMYFUNCTION("GOOGLETRANSLATE(B871,""id"",""en"")"),"['promo', 'expensive', 'network', 'ugly', 'lalot', 'promo', 'offer', 'expensive', 'expensive', 'customer', 'convenient', 'application', ' Said it ',' Increase ',' Quality ',' Customer ',' Telkomsel ']")</f>
        <v>['promo', 'expensive', 'network', 'ugly', 'lalot', 'promo', 'offer', 'expensive', 'expensive', 'customer', 'convenient', 'application', ' Said it ',' Increase ',' Quality ',' Customer ',' Telkomsel ']</v>
      </c>
      <c r="D871" s="3">
        <v>1.0</v>
      </c>
    </row>
    <row r="872" ht="15.75" customHeight="1">
      <c r="A872" s="1">
        <v>870.0</v>
      </c>
      <c r="B872" s="3" t="s">
        <v>873</v>
      </c>
      <c r="C872" s="3" t="str">
        <f>IFERROR(__xludf.DUMMYFUNCTION("GOOGLETRANSLATE(B872,""id"",""en"")"),"['company', 'savage', 'robbing', 'money', 'people', 'pretext', 'sell', 'services',' communication ',' promo ',' activity ',' promo ',' aimed ',' trapping ',' consumer ',' drain ',' nominal ',' pulse ',' card ',' SIM ',' proper ',' sued ',' criminal ',' ci"&amp;"vil ',' a day ' , 'many years', 'change', 'robbers', 'money', 'real', '']")</f>
        <v>['company', 'savage', 'robbing', 'money', 'people', 'pretext', 'sell', 'services',' communication ',' promo ',' activity ',' promo ',' aimed ',' trapping ',' consumer ',' drain ',' nominal ',' pulse ',' card ',' SIM ',' proper ',' sued ',' criminal ',' civil ',' a day ' , 'many years', 'change', 'robbers', 'money', 'real', '']</v>
      </c>
      <c r="D872" s="3">
        <v>1.0</v>
      </c>
    </row>
    <row r="873" ht="15.75" customHeight="1">
      <c r="A873" s="1">
        <v>871.0</v>
      </c>
      <c r="B873" s="3" t="s">
        <v>874</v>
      </c>
      <c r="C873" s="3" t="str">
        <f>IFERROR(__xludf.DUMMYFUNCTION("GOOGLETRANSLATE(B873,""id"",""en"")"),"['steady', 'please', 'fix', 'signal', 'signal', 'difficult', 'lock', 'internet', 'hamlet', 'sasak', 'village', 'Santaban', ' Kec ',' Sajingan ',' Kab ',' Sambas', 'Prov', 'West Kalimantar', ""]")</f>
        <v>['steady', 'please', 'fix', 'signal', 'signal', 'difficult', 'lock', 'internet', 'hamlet', 'sasak', 'village', 'Santaban', ' Kec ',' Sajingan ',' Kab ',' Sambas', 'Prov', 'West Kalimantar', "]</v>
      </c>
      <c r="D873" s="3">
        <v>5.0</v>
      </c>
    </row>
    <row r="874" ht="15.75" customHeight="1">
      <c r="A874" s="1">
        <v>872.0</v>
      </c>
      <c r="B874" s="3" t="s">
        <v>875</v>
      </c>
      <c r="C874" s="3" t="str">
        <f>IFERROR(__xludf.DUMMYFUNCTION("GOOGLETRANSLATE(B874,""id"",""en"")"),"['Dear', 'admin', 'signal', 'reinforced', 'Mind', 'price', 'quota', 'expensive', 'signal', 'ilang', 'number', 'Telkomselku', ' "", 'Registered', 'Account', 'Bank', 'Etc.', 'already', 'Change', 'Provider', 'Mind', 'Service', 'Decreases', 'Telkomsel', 'can'"&amp;" , 'responding', 'fix', 'trimakasih', ""]")</f>
        <v>['Dear', 'admin', 'signal', 'reinforced', 'Mind', 'price', 'quota', 'expensive', 'signal', 'ilang', 'number', 'Telkomselku', ' ", 'Registered', 'Account', 'Bank', 'Etc.', 'already', 'Change', 'Provider', 'Mind', 'Service', 'Decreases', 'Telkomsel', 'can' , 'responding', 'fix', 'trimakasih', "]</v>
      </c>
      <c r="D874" s="3">
        <v>1.0</v>
      </c>
    </row>
    <row r="875" ht="15.75" customHeight="1">
      <c r="A875" s="1">
        <v>873.0</v>
      </c>
      <c r="B875" s="3" t="s">
        <v>876</v>
      </c>
      <c r="C875" s="3" t="str">
        <f>IFERROR(__xludf.DUMMYFUNCTION("GOOGLETRANSLATE(B875,""id"",""en"")"),"['buy', 'package', 'heart', 'heart', 'mode', 'theft', 'pulse', 'a second', 'forget', 'die', 'data', 'call', ' that's', 'sucked', 'pulse', 'no']")</f>
        <v>['buy', 'package', 'heart', 'heart', 'mode', 'theft', 'pulse', 'a second', 'forget', 'die', 'data', 'call', ' that's', 'sucked', 'pulse', 'no']</v>
      </c>
      <c r="D875" s="3">
        <v>1.0</v>
      </c>
    </row>
    <row r="876" ht="15.75" customHeight="1">
      <c r="A876" s="1">
        <v>874.0</v>
      </c>
      <c r="B876" s="3" t="s">
        <v>877</v>
      </c>
      <c r="C876" s="3" t="str">
        <f>IFERROR(__xludf.DUMMYFUNCTION("GOOGLETRANSLATE(B876,""id"",""en"")"),"['already', 'commercial', 'help', 'community', 'price', 'package', 'affordable', 'reduce', 'quality', ""]")</f>
        <v>['already', 'commercial', 'help', 'community', 'price', 'package', 'affordable', 'reduce', 'quality', "]</v>
      </c>
      <c r="D876" s="3">
        <v>5.0</v>
      </c>
    </row>
    <row r="877" ht="15.75" customHeight="1">
      <c r="A877" s="1">
        <v>875.0</v>
      </c>
      <c r="B877" s="3" t="s">
        <v>878</v>
      </c>
      <c r="C877" s="3" t="str">
        <f>IFERROR(__xludf.DUMMYFUNCTION("GOOGLETRANSLATE(B877,""id"",""en"")"),"['already', 'update', 'playstore', 'application', 'mytelkomnyet', 'update', 'right', 'click', 'rentruan', 'playstore', 'update', 'circle', ' Satan ',' Love ',' Bintang ',' Saranin ',' Bintang ']")</f>
        <v>['already', 'update', 'playstore', 'application', 'mytelkomnyet', 'update', 'right', 'click', 'rentruan', 'playstore', 'update', 'circle', ' Satan ',' Love ',' Bintang ',' Saranin ',' Bintang ']</v>
      </c>
      <c r="D877" s="3">
        <v>1.0</v>
      </c>
    </row>
    <row r="878" ht="15.75" customHeight="1">
      <c r="A878" s="1">
        <v>876.0</v>
      </c>
      <c r="B878" s="3" t="s">
        <v>879</v>
      </c>
      <c r="C878" s="3" t="str">
        <f>IFERROR(__xludf.DUMMYFUNCTION("GOOGLETRANSLATE(B878,""id"",""en"")"),"['Severe', 'Telkomsel', 'Gara', 'Following', 'Recommendation', 'Telkomsel', 'Card', 'Prepaid', 'Cave', 'Jdi', 'AKTIP', 'Ngapa', ' In ',' Please ',' Balikin ',' Bner ',' Harm ',' ']")</f>
        <v>['Severe', 'Telkomsel', 'Gara', 'Following', 'Recommendation', 'Telkomsel', 'Card', 'Prepaid', 'Cave', 'Jdi', 'AKTIP', 'Ngapa', ' In ',' Please ',' Balikin ',' Bner ',' Harm ',' ']</v>
      </c>
      <c r="D878" s="3">
        <v>1.0</v>
      </c>
    </row>
    <row r="879" ht="15.75" customHeight="1">
      <c r="A879" s="1">
        <v>877.0</v>
      </c>
      <c r="B879" s="3" t="s">
        <v>880</v>
      </c>
      <c r="C879" s="3" t="str">
        <f>IFERROR(__xludf.DUMMYFUNCTION("GOOGLETRANSLATE(B879,""id"",""en"")"),"['Points', 'Exchange', 'TPI', 'Sometimes', 'Emotion', 'Sendri', 'Hope', 'Egaa', 'Want','A ',' work ',' business ',' TPI ',' Pundi ',' Hepy ',' Kya ',' Advertising ',' Products', 'Warung', 'PDAH', 'Data', 'Manipulation', 'User', 'Use', 'WFI' , 'Telkomsel',"&amp;" 'pst', 'weve', 'hope', 'fake', 'beg', 'home', 'TPI', 'valid', 'tlng', 'check', 'user', ' mkash ']")</f>
        <v>['Points', 'Exchange', 'TPI', 'Sometimes', 'Emotion', 'Sendri', 'Hope', 'Egaa', 'Want','A ',' work ',' business ',' TPI ',' Pundi ',' Hepy ',' Kya ',' Advertising ',' Products', 'Warung', 'PDAH', 'Data', 'Manipulation', 'User', 'Use', 'WFI' , 'Telkomsel', 'pst', 'weve', 'hope', 'fake', 'beg', 'home', 'TPI', 'valid', 'tlng', 'check', 'user', ' mkash ']</v>
      </c>
      <c r="D879" s="3">
        <v>4.0</v>
      </c>
    </row>
    <row r="880" ht="15.75" customHeight="1">
      <c r="A880" s="1">
        <v>878.0</v>
      </c>
      <c r="B880" s="3" t="s">
        <v>881</v>
      </c>
      <c r="C880" s="3" t="str">
        <f>IFERROR(__xludf.DUMMYFUNCTION("GOOGLETRANSLATE(B880,""id"",""en"")"),"['Display', 'Application', 'MyTelkomsel', 'Changed', 'Change', 'Confused', 'Ribet', 'Display', 'Sekrang', 'Uriyasa', 'Change', 'Change', ' Change ',' Mulu ',' bored ',' that's', 'mantengin', 'in', 'application', 'info', 'quota', 'pulse', 'promo', 'package"&amp;"', 'already' , 'price', 'quota', 'sell', 'think', 'stay', 'package', 'friendly', 'kek', 'no', 'variant', 'quota', 'strange', ' Strange ',' buy ',' quota ',' a month ']")</f>
        <v>['Display', 'Application', 'MyTelkomsel', 'Changed', 'Change', 'Confused', 'Ribet', 'Display', 'Sekrang', 'Uriyasa', 'Change', 'Change', ' Change ',' Mulu ',' bored ',' that's', 'mantengin', 'in', 'application', 'info', 'quota', 'pulse', 'promo', 'package', 'already' , 'price', 'quota', 'sell', 'think', 'stay', 'package', 'friendly', 'kek', 'no', 'variant', 'quota', 'strange', ' Strange ',' buy ',' quota ',' a month ']</v>
      </c>
      <c r="D880" s="3">
        <v>1.0</v>
      </c>
    </row>
    <row r="881" ht="15.75" customHeight="1">
      <c r="A881" s="1">
        <v>879.0</v>
      </c>
      <c r="B881" s="3" t="s">
        <v>882</v>
      </c>
      <c r="C881" s="3" t="str">
        <f>IFERROR(__xludf.DUMMYFUNCTION("GOOGLETRANSLATE(B881,""id"",""en"")"),"['Pelaya', 'bad', 'morning', 'contents',' pulse ',' balance ',' pulse ',' balance ',' right ',' afternoon ',' left ',' all ',' Data ',' apply ',' data ',' front ',' really ',' sad ', ""]")</f>
        <v>['Pelaya', 'bad', 'morning', 'contents',' pulse ',' balance ',' pulse ',' balance ',' right ',' afternoon ',' left ',' all ',' Data ',' apply ',' data ',' front ',' really ',' sad ', "]</v>
      </c>
      <c r="D881" s="3">
        <v>1.0</v>
      </c>
    </row>
    <row r="882" ht="15.75" customHeight="1">
      <c r="A882" s="1">
        <v>880.0</v>
      </c>
      <c r="B882" s="3" t="s">
        <v>883</v>
      </c>
      <c r="C882" s="3" t="str">
        <f>IFERROR(__xludf.DUMMYFUNCTION("GOOGLETRANSLATE(B882,""id"",""en"")"),"['wrong', 'users', 'Telkomsel', 'disappointed', 'package', 'Telkomsel', 'expensive', 'please', 'perman', 'package', 'Telkomsel', ""]")</f>
        <v>['wrong', 'users', 'Telkomsel', 'disappointed', 'package', 'Telkomsel', 'expensive', 'please', 'perman', 'package', 'Telkomsel', "]</v>
      </c>
      <c r="D882" s="3">
        <v>2.0</v>
      </c>
    </row>
    <row r="883" ht="15.75" customHeight="1">
      <c r="A883" s="1">
        <v>881.0</v>
      </c>
      <c r="B883" s="3" t="s">
        <v>884</v>
      </c>
      <c r="C883" s="3" t="str">
        <f>IFERROR(__xludf.DUMMYFUNCTION("GOOGLETRANSLATE(B883,""id"",""en"")"),"['Disappointed', 'Carrying', 'Network', 'signal', 'slow', 'price', 'expensive', 'size', 'network', 'promo', 'expensive', 'network', ' Stable ',' Please ',' Stabilize ',' Thank ',' Love ']")</f>
        <v>['Disappointed', 'Carrying', 'Network', 'signal', 'slow', 'price', 'expensive', 'size', 'network', 'promo', 'expensive', 'network', ' Stable ',' Please ',' Stabilize ',' Thank ',' Love ']</v>
      </c>
      <c r="D883" s="3">
        <v>2.0</v>
      </c>
    </row>
    <row r="884" ht="15.75" customHeight="1">
      <c r="A884" s="1">
        <v>882.0</v>
      </c>
      <c r="B884" s="3" t="s">
        <v>885</v>
      </c>
      <c r="C884" s="3" t="str">
        <f>IFERROR(__xludf.DUMMYFUNCTION("GOOGLETRANSLATE(B884,""id"",""en"")"),"['network', 'Telkomsel', 'good', 'ehh', 'severe', 'taikk', 'rates',' expensive ',' lgii ',' please ',' fix ',' crash ',' kek ',' dules', 'network', 'Telkomsel', 'ride', 'rates',' network ',' fix ',' city ',' jogja ',' ajaa ',' ugly ',' network ' , 'Taikk'"&amp;"]")</f>
        <v>['network', 'Telkomsel', 'good', 'ehh', 'severe', 'taikk', 'rates',' expensive ',' lgii ',' please ',' fix ',' crash ',' kek ',' dules', 'network', 'Telkomsel', 'ride', 'rates',' network ',' fix ',' city ',' jogja ',' ajaa ',' ugly ',' network ' , 'Taikk']</v>
      </c>
      <c r="D884" s="3">
        <v>1.0</v>
      </c>
    </row>
    <row r="885" ht="15.75" customHeight="1">
      <c r="A885" s="1">
        <v>883.0</v>
      </c>
      <c r="B885" s="3" t="s">
        <v>886</v>
      </c>
      <c r="C885" s="3" t="str">
        <f>IFERROR(__xludf.DUMMYFUNCTION("GOOGLETRANSLATE(B885,""id"",""en"")"),"['Sorry', 'Reduce', 'App', 'Service', 'Internet', 'Reasons',' Signal ',' Internet ',' Good ',' City ',' Village ',' reliable ',' quota ',' internet ',' expensive ',' operator ',' third ',' package ',' quota ',' stingy ',' operator ',' hope ',' repair ',' "&amp;"related ' , 'Service', 'Internet']")</f>
        <v>['Sorry', 'Reduce', 'App', 'Service', 'Internet', 'Reasons',' Signal ',' Internet ',' Good ',' City ',' Village ',' reliable ',' quota ',' internet ',' expensive ',' operator ',' third ',' package ',' quota ',' stingy ',' operator ',' hope ',' repair ',' related ' , 'Service', 'Internet']</v>
      </c>
      <c r="D885" s="3">
        <v>3.0</v>
      </c>
    </row>
    <row r="886" ht="15.75" customHeight="1">
      <c r="A886" s="1">
        <v>884.0</v>
      </c>
      <c r="B886" s="3" t="s">
        <v>887</v>
      </c>
      <c r="C886" s="3" t="str">
        <f>IFERROR(__xludf.DUMMYFUNCTION("GOOGLETRANSLATE(B886,""id"",""en"")"),"['Lemottttttttttttttttttttttt', 'Bettttttth', 'Bnjirrrrrr', 'Singnal', 'Adaaaaa', 'tautah', 'AIRI', 'NJIRRRRRRRRRRRRRR', 'Please', 'improved', 'as soon as',' nyaa ',' Tidaaa ',' wants', 'loss',' customers', 'Telkommmmmmmmmmmmmmmmmmmsel', 'loyal', 'youaaaa"&amp;"aa', '']")</f>
        <v>['Lemottttttttttttttttttttttt', 'Bettttttth', 'Bnjirrrrrr', 'Singnal', 'Adaaaaa', 'tautah', 'AIRI', 'NJIRRRRRRRRRRRRRR', 'Please', 'improved', 'as soon as',' nyaa ',' Tidaaa ',' wants', 'loss',' customers', 'Telkommmmmmmmmmmmmmmmmmmsel', 'loyal', 'youaaaaaa', '']</v>
      </c>
      <c r="D886" s="3">
        <v>1.0</v>
      </c>
    </row>
    <row r="887" ht="15.75" customHeight="1">
      <c r="A887" s="1">
        <v>885.0</v>
      </c>
      <c r="B887" s="3" t="s">
        <v>888</v>
      </c>
      <c r="C887" s="3" t="str">
        <f>IFERROR(__xludf.DUMMYFUNCTION("GOOGLETRANSLATE(B887,""id"",""en"")"),"['Love', 'star', 'sincere', 'TLP', 'Telkomsel', 'until', 'run out', 'rb', 'until', 'phone', 'crazy', 'search', ' Fortunately, 'bankrupt', 'people', 'that's', 'really', 'Telkomsel', 'skrg', 'search', 'fortunate', ""]")</f>
        <v>['Love', 'star', 'sincere', 'TLP', 'Telkomsel', 'until', 'run out', 'rb', 'until', 'phone', 'crazy', 'search', ' Fortunately, 'bankrupt', 'people', 'that's', 'really', 'Telkomsel', 'skrg', 'search', 'fortunate', "]</v>
      </c>
      <c r="D887" s="3">
        <v>1.0</v>
      </c>
    </row>
    <row r="888" ht="15.75" customHeight="1">
      <c r="A888" s="1">
        <v>886.0</v>
      </c>
      <c r="B888" s="3" t="s">
        <v>889</v>
      </c>
      <c r="C888" s="3" t="str">
        <f>IFERROR(__xludf.DUMMYFUNCTION("GOOGLETRANSLATE(B888,""id"",""en"")"),"['', 'Activein', 'combo', 'date', 'notification', 'SBBI', 'Congratulations',' Package ',' Combo ',' Sakti ',' MNT ',' Tsel ',' SMS ',' Tsel ',' subscription ',' Disney ',' Hotstar ',' On ',' apply ',' date ',' pkl ',' WIB ',' check ',' status', 'stop', 's"&amp;"ubscribe', 'Telkomsel', 'apps',' hub ',' info ',' printed ',' mnt ',' tsel ',' mnrt ',' understanding ',' can ',' mnt ',' free ',' Nelp ',' tsel ',' really ',' klu ',' morning ',' nelp ',' number ',' tsel ',' bbrp ',' minute ',' despair ',' trnyata ', 'BN"&amp;"S', 'run out', 'Mhn', 'explanation']")</f>
        <v>['', 'Activein', 'combo', 'date', 'notification', 'SBBI', 'Congratulations',' Package ',' Combo ',' Sakti ',' MNT ',' Tsel ',' SMS ',' Tsel ',' subscription ',' Disney ',' Hotstar ',' On ',' apply ',' date ',' pkl ',' WIB ',' check ',' status', 'stop', 'subscribe', 'Telkomsel', 'apps',' hub ',' info ',' printed ',' mnt ',' tsel ',' mnrt ',' understanding ',' can ',' mnt ',' free ',' Nelp ',' tsel ',' really ',' klu ',' morning ',' nelp ',' number ',' tsel ',' bbrp ',' minute ',' despair ',' trnyata ', 'BNS', 'run out', 'Mhn', 'explanation']</v>
      </c>
      <c r="D888" s="3">
        <v>4.0</v>
      </c>
    </row>
    <row r="889" ht="15.75" customHeight="1">
      <c r="A889" s="1">
        <v>887.0</v>
      </c>
      <c r="B889" s="3" t="s">
        <v>890</v>
      </c>
      <c r="C889" s="3" t="str">
        <f>IFERROR(__xludf.DUMMYFUNCTION("GOOGLETRANSLATE(B889,""id"",""en"")"),"['Please', 'repaired', 'activated', 'package', 'quota', 'cheerful', 'right', 'internet', 'cut', 'pulse', 'main', 'taste', ' list ',' package ',' get ',' package ',' requirements', 'provisions',' cheerful ',' how ',' app ',' description ',' quota ',' main "&amp;"',' use ' , 'Thanks', 'response', '']")</f>
        <v>['Please', 'repaired', 'activated', 'package', 'quota', 'cheerful', 'right', 'internet', 'cut', 'pulse', 'main', 'taste', ' list ',' package ',' get ',' package ',' requirements', 'provisions',' cheerful ',' how ',' app ',' description ',' quota ',' main ',' use ' , 'Thanks', 'response', '']</v>
      </c>
      <c r="D889" s="3">
        <v>3.0</v>
      </c>
    </row>
    <row r="890" ht="15.75" customHeight="1">
      <c r="A890" s="1">
        <v>888.0</v>
      </c>
      <c r="B890" s="3" t="s">
        <v>891</v>
      </c>
      <c r="C890" s="3" t="str">
        <f>IFERROR(__xludf.DUMMYFUNCTION("GOOGLETRANSLATE(B890,""id"",""en"")"),"['', 'signal', 'full', 'quality', 'slow', 'level', 'BUMN', 'class',' abal ',' expensive ',' quality ',' guaranteed ',' severe ',' ugly ',' this', 'real', 'not', 'fake']")</f>
        <v>['', 'signal', 'full', 'quality', 'slow', 'level', 'BUMN', 'class',' abal ',' expensive ',' quality ',' guaranteed ',' severe ',' ugly ',' this', 'real', 'not', 'fake']</v>
      </c>
      <c r="D890" s="3">
        <v>1.0</v>
      </c>
    </row>
    <row r="891" ht="15.75" customHeight="1">
      <c r="A891" s="1">
        <v>889.0</v>
      </c>
      <c r="B891" s="3" t="s">
        <v>892</v>
      </c>
      <c r="C891" s="3" t="str">
        <f>IFERROR(__xludf.DUMMYFUNCTION("GOOGLETRANSLATE(B891,""id"",""en"")"),"['Telkomsel', 'Dear', 'please', 'network', 'telephone', 'internet', 'disrupted', 'village', 'bapangi', 'sub-district', 'pancondaid', 'district', ' Sidrap ',' repaired ',' pity ',' child ',' school ',' apparatus', 'village', '']")</f>
        <v>['Telkomsel', 'Dear', 'please', 'network', 'telephone', 'internet', 'disrupted', 'village', 'bapangi', 'sub-district', 'pancondaid', 'district', ' Sidrap ',' repaired ',' pity ',' child ',' school ',' apparatus', 'village', '']</v>
      </c>
      <c r="D891" s="3">
        <v>3.0</v>
      </c>
    </row>
    <row r="892" ht="15.75" customHeight="1">
      <c r="A892" s="1">
        <v>890.0</v>
      </c>
      <c r="B892" s="3" t="s">
        <v>893</v>
      </c>
      <c r="C892" s="3" t="str">
        <f>IFERROR(__xludf.DUMMYFUNCTION("GOOGLETRANSLATE(B892,""id"",""en"")"),"['Dear', 'Telkomsel', 'Please', 'Upgrade', 'Service', 'Consumer', 'Satisfied', 'Servicenya', 'View', 'Caste', 'Provided', ' served ',' fair ',' input ',' Please ',' provide ',' package ',' quota ',' according to ',' expensive ',' quota ',' main ',' bonus'"&amp;", 'promo' , 'Please', 'Increase', 'good', 'community', 'buy it', ""]")</f>
        <v>['Dear', 'Telkomsel', 'Please', 'Upgrade', 'Service', 'Consumer', 'Satisfied', 'Servicenya', 'View', 'Caste', 'Provided', ' served ',' fair ',' input ',' Please ',' provide ',' package ',' quota ',' according to ',' expensive ',' quota ',' main ',' bonus', 'promo' , 'Please', 'Increase', 'good', 'community', 'buy it', "]</v>
      </c>
      <c r="D892" s="3">
        <v>1.0</v>
      </c>
    </row>
    <row r="893" ht="15.75" customHeight="1">
      <c r="A893" s="1">
        <v>891.0</v>
      </c>
      <c r="B893" s="3" t="s">
        <v>894</v>
      </c>
      <c r="C893" s="3" t="str">
        <f>IFERROR(__xludf.DUMMYFUNCTION("GOOGLETRANSLATE(B893,""id"",""en"")"),"['out', 'update', 'application', 'Telkomsel', 'check', 'expensive', 'really', 'price', 'package', 'kyotanya', 'right', 'check', ' Ricek ',' content ',' reset ',' quota ',' promo ',' happy ',' bet ',' fill in ',' pulse ',' right ',' ama ',' promokan ',' sm"&amp;"ooth ' , 'internet', 'GB', 'Normal', 'Seneng', 'because', 'husband', 'buy', 'pulses',' release ',' promokan ',' tks', 'Telkomsel', ' Buy ',' GB ',' CMN ',' Hold ',' Sunday ',' Times', 'Content', 'Hopefully', 'GB', 'Hold', 'Aga', ""]")</f>
        <v>['out', 'update', 'application', 'Telkomsel', 'check', 'expensive', 'really', 'price', 'package', 'kyotanya', 'right', 'check', ' Ricek ',' content ',' reset ',' quota ',' promo ',' happy ',' bet ',' fill in ',' pulse ',' right ',' ama ',' promokan ',' smooth ' , 'internet', 'GB', 'Normal', 'Seneng', 'because', 'husband', 'buy', 'pulses',' release ',' promokan ',' tks', 'Telkomsel', ' Buy ',' GB ',' CMN ',' Hold ',' Sunday ',' Times', 'Content', 'Hopefully', 'GB', 'Hold', 'Aga', "]</v>
      </c>
      <c r="D893" s="3">
        <v>5.0</v>
      </c>
    </row>
    <row r="894" ht="15.75" customHeight="1">
      <c r="A894" s="1">
        <v>892.0</v>
      </c>
      <c r="B894" s="3" t="s">
        <v>895</v>
      </c>
      <c r="C894" s="3" t="str">
        <f>IFERROR(__xludf.DUMMYFUNCTION("GOOGLETRANSLATE(B894,""id"",""en"")"),"['update', 'knp', 'balance', 'Linkaja', 'missing', 'told', 'download', 'activation', 'kmn', 'leftover', 'balance', 'Linkaja', ' Disappointed ',' Telkomsel ',' ']")</f>
        <v>['update', 'knp', 'balance', 'Linkaja', 'missing', 'told', 'download', 'activation', 'kmn', 'leftover', 'balance', 'Linkaja', ' Disappointed ',' Telkomsel ',' ']</v>
      </c>
      <c r="D894" s="3">
        <v>1.0</v>
      </c>
    </row>
    <row r="895" ht="15.75" customHeight="1">
      <c r="A895" s="1">
        <v>893.0</v>
      </c>
      <c r="B895" s="3" t="s">
        <v>896</v>
      </c>
      <c r="C895" s="3" t="str">
        <f>IFERROR(__xludf.DUMMYFUNCTION("GOOGLETRANSLATE(B895,""id"",""en"")"),"['Disappointed', 'number', 'yrs',' use ',' blocked ',' activated ',' buy ',' number ',' use ',' list ',' banking ',' tratata ',' NMR ',' Registered ',' PDHL ',' buy ',' number ',' network ',' slow ',' package ',' internet ',' expensive ',' according to ',"&amp;"' Udh ' , 'expensive', 'good', 'network', 'customers', 'Telkomsel', 'disappointed', 'jerk', 'Telkomsel', ""]")</f>
        <v>['Disappointed', 'number', 'yrs',' use ',' blocked ',' activated ',' buy ',' number ',' use ',' list ',' banking ',' tratata ',' NMR ',' Registered ',' PDHL ',' buy ',' number ',' network ',' slow ',' package ',' internet ',' expensive ',' according to ',' Udh ' , 'expensive', 'good', 'network', 'customers', 'Telkomsel', 'disappointed', 'jerk', 'Telkomsel', "]</v>
      </c>
      <c r="D895" s="3">
        <v>1.0</v>
      </c>
    </row>
    <row r="896" ht="15.75" customHeight="1">
      <c r="A896" s="1">
        <v>894.0</v>
      </c>
      <c r="B896" s="3" t="s">
        <v>897</v>
      </c>
      <c r="C896" s="3" t="str">
        <f>IFERROR(__xludf.DUMMYFUNCTION("GOOGLETRANSLATE(B896,""id"",""en"")"),"['Package', 'Card', 'Hello', 'Unlimited', 'Disight', 'Unlimited', 'Eat', 'Quota', 'Main', 'Dlu', 'TRS', 'Udh', ' run out ',' FUP ',' access', 'application', 'unlimited', 'UDH', 'HBS', 'UDH', 'Lemot', 'Abis',' plg ',' unlimited ',' Nua ' , 'Open', 'Open', "&amp;"'Video', 'Disney', 'MaxStream', 'Bro', 'Network', 'Error', 'MGKN', 'Speed', 'Low', 'User', ' Card ',' Hello ',' LBH ',' DRI ',' Sekeewa ',' Package ',' Card ',' Hello ',' Move ',' Package ',' Hello ',' Kick ',' Udh ' ]")</f>
        <v>['Package', 'Card', 'Hello', 'Unlimited', 'Disight', 'Unlimited', 'Eat', 'Quota', 'Main', 'Dlu', 'TRS', 'Udh', ' run out ',' FUP ',' access', 'application', 'unlimited', 'UDH', 'HBS', 'UDH', 'Lemot', 'Abis',' plg ',' unlimited ',' Nua ' , 'Open', 'Open', 'Video', 'Disney', 'MaxStream', 'Bro', 'Network', 'Error', 'MGKN', 'Speed', 'Low', 'User', ' Card ',' Hello ',' LBH ',' DRI ',' Sekeewa ',' Package ',' Card ',' Hello ',' Move ',' Package ',' Hello ',' Kick ',' Udh ' ]</v>
      </c>
      <c r="D896" s="3">
        <v>1.0</v>
      </c>
    </row>
    <row r="897" ht="15.75" customHeight="1">
      <c r="A897" s="1">
        <v>895.0</v>
      </c>
      <c r="B897" s="3" t="s">
        <v>898</v>
      </c>
      <c r="C897" s="3" t="str">
        <f>IFERROR(__xludf.DUMMYFUNCTION("GOOGLETRANSLATE(B897,""id"",""en"")"),"['', 'fill in', 'plsa', 'min', 'rb', 'skrng', 'max', 'rb', 'takt', 'telkomsel', 'serng', 'sucked', 'plsa ',' bhkn ',' bsa ',' prnh ',' smpe ',' rb ',' pdhl ',' pkt ',' msh ',' bnyak ',' kalopun ',' pkt ',' hbis', 'Knp', 'kyk', 'sided', 'sucked', 'pulse', "&amp;"'package', 'run out', 'already', 'masang', 'at home', 'sempet', 'sucked', 'pulsa ',' Ngungkong ',' nyedot ',' rb ',' send ',' photo ',' already ',' call ',' wait ',' work ',' sprti ',' already ',' jls', 'chaotic', '']")</f>
        <v>['', 'fill in', 'plsa', 'min', 'rb', 'skrng', 'max', 'rb', 'takt', 'telkomsel', 'serng', 'sucked', 'plsa ',' bhkn ',' bsa ',' prnh ',' smpe ',' rb ',' pdhl ',' pkt ',' msh ',' bnyak ',' kalopun ',' pkt ',' hbis', 'Knp', 'kyk', 'sided', 'sucked', 'pulse', 'package', 'run out', 'already', 'masang', 'at home', 'sempet', 'sucked', 'pulsa ',' Ngungkong ',' nyedot ',' rb ',' send ',' photo ',' already ',' call ',' wait ',' work ',' sprti ',' already ',' jls', 'chaotic', '']</v>
      </c>
      <c r="D897" s="3">
        <v>2.0</v>
      </c>
    </row>
    <row r="898" ht="15.75" customHeight="1">
      <c r="A898" s="1">
        <v>896.0</v>
      </c>
      <c r="B898" s="3" t="s">
        <v>899</v>
      </c>
      <c r="C898" s="3" t="str">
        <f>IFERROR(__xludf.DUMMYFUNCTION("GOOGLETRANSLATE(B898,""id"",""en"")"),"['Disappointed', 'Exchange', 'Points',' Exchange ',' Points', 'Credit', 'Take', 'Buy', 'Data', 'mah', 'pretentious',' Lure ',' Iming ',' Gatherin ',' Points', 'Voucher', 'Robbing', '']")</f>
        <v>['Disappointed', 'Exchange', 'Points',' Exchange ',' Points', 'Credit', 'Take', 'Buy', 'Data', 'mah', 'pretentious',' Lure ',' Iming ',' Gatherin ',' Points', 'Voucher', 'Robbing', '']</v>
      </c>
      <c r="D898" s="3">
        <v>1.0</v>
      </c>
    </row>
    <row r="899" ht="15.75" customHeight="1">
      <c r="A899" s="1">
        <v>897.0</v>
      </c>
      <c r="B899" s="3" t="s">
        <v>900</v>
      </c>
      <c r="C899" s="3" t="str">
        <f>IFERROR(__xludf.DUMMYFUNCTION("GOOGLETRANSLATE(B899,""id"",""en"")"),"['Try', 'Upadate', 'Signal', 'Destroyed', 'Trlkomsel', 'UDH', 'Package', 'Expensive', 'Price', 'Package', 'Rich', 'Official', ' signal ',' irritated ',' TELKOMSEL ',' company ',' biggest ',' Indonesia ',' rich ',' gini ',' telkomsel ',' here ',' severe ',"&amp;"' good ' , 'Mapah', 'bokbrok']")</f>
        <v>['Try', 'Upadate', 'Signal', 'Destroyed', 'Trlkomsel', 'UDH', 'Package', 'Expensive', 'Price', 'Package', 'Rich', 'Official', ' signal ',' irritated ',' TELKOMSEL ',' company ',' biggest ',' Indonesia ',' rich ',' gini ',' telkomsel ',' here ',' severe ',' good ' , 'Mapah', 'bokbrok']</v>
      </c>
      <c r="D899" s="3">
        <v>1.0</v>
      </c>
    </row>
    <row r="900" ht="15.75" customHeight="1">
      <c r="A900" s="1">
        <v>898.0</v>
      </c>
      <c r="B900" s="3" t="s">
        <v>901</v>
      </c>
      <c r="C900" s="3" t="str">
        <f>IFERROR(__xludf.DUMMYFUNCTION("GOOGLETRANSLATE(B900,""id"",""en"")"),"['Telkomsel', 'poor', 'buy', 'quota', 'learning', 'quota', 'main', 'quota', 'main', 'run out', 'pulses',' Mustot ',' parahh ', ""]")</f>
        <v>['Telkomsel', 'poor', 'buy', 'quota', 'learning', 'quota', 'main', 'quota', 'main', 'run out', 'pulses',' Mustot ',' parahh ', "]</v>
      </c>
      <c r="D900" s="3">
        <v>1.0</v>
      </c>
    </row>
    <row r="901" ht="15.75" customHeight="1">
      <c r="A901" s="1">
        <v>899.0</v>
      </c>
      <c r="B901" s="3" t="s">
        <v>902</v>
      </c>
      <c r="C901" s="3" t="str">
        <f>IFERROR(__xludf.DUMMYFUNCTION("GOOGLETRANSLATE(B901,""id"",""en"")"),"['rude', 'asphalt', 'relieved', 'Telkomsel', 'paid', 'hundreds',' lied to ',' elite ',' global ',' video ',' launch ',' satellite ',' artificial ',' lie ',' already ',' copy ',' paste ',' already ',' so ',' change ',' logo ',' doang ',' reflect ',' packag"&amp;"e ',' expensive ' , 'make a loss', '']")</f>
        <v>['rude', 'asphalt', 'relieved', 'Telkomsel', 'paid', 'hundreds',' lied to ',' elite ',' global ',' video ',' launch ',' satellite ',' artificial ',' lie ',' already ',' copy ',' paste ',' already ',' so ',' change ',' logo ',' doang ',' reflect ',' package ',' expensive ' , 'make a loss', '']</v>
      </c>
      <c r="D901" s="3">
        <v>1.0</v>
      </c>
    </row>
    <row r="902" ht="15.75" customHeight="1">
      <c r="A902" s="1">
        <v>900.0</v>
      </c>
      <c r="B902" s="3" t="s">
        <v>903</v>
      </c>
      <c r="C902" s="3" t="str">
        <f>IFERROR(__xludf.DUMMYFUNCTION("GOOGLETRANSLATE(B902,""id"",""en"")"),"['Price', 'expensive', 'network', 'buy', 'package', 'change', 'Change', 'price', 'according to', 'doubt', 'confused']")</f>
        <v>['Price', 'expensive', 'network', 'buy', 'package', 'change', 'Change', 'price', 'according to', 'doubt', 'confused']</v>
      </c>
      <c r="D902" s="3">
        <v>2.0</v>
      </c>
    </row>
    <row r="903" ht="15.75" customHeight="1">
      <c r="A903" s="1">
        <v>901.0</v>
      </c>
      <c r="B903" s="3" t="s">
        <v>904</v>
      </c>
      <c r="C903" s="3" t="str">
        <f>IFERROR(__xludf.DUMMYFUNCTION("GOOGLETRANSLATE(B903,""id"",""en"")"),"['buy', 'package', 'emergency', 'bill', 'via', 'SMS', 'package', 'quota', 'unlimited', 'restricted', 'quota', 'MyTelkomsel', ' strange ',' Telkomsel ',' quota ',' GB ',' lie ',' daily ',' check ',' stopped ',' network ',' lemooooot ',' abandoned ', ""]")</f>
        <v>['buy', 'package', 'emergency', 'bill', 'via', 'SMS', 'package', 'quota', 'unlimited', 'restricted', 'quota', 'MyTelkomsel', ' strange ',' Telkomsel ',' quota ',' GB ',' lie ',' daily ',' check ',' stopped ',' network ',' lemooooot ',' abandoned ', "]</v>
      </c>
      <c r="D903" s="3">
        <v>1.0</v>
      </c>
    </row>
    <row r="904" ht="15.75" customHeight="1">
      <c r="A904" s="1">
        <v>902.0</v>
      </c>
      <c r="B904" s="3" t="s">
        <v>905</v>
      </c>
      <c r="C904" s="3" t="str">
        <f>IFERROR(__xludf.DUMMYFUNCTION("GOOGLETRANSLATE(B904,""id"",""en"")"),"['program', 'Daily', 'check', 'can', 'promo', 'told', 'pay', 'behind', 'actually', 'promo', 'cutting', 'Telkomsel', ' Package ',' Rp ',' MyTelkomsel ',' Rp ',' user ',' charged ',' tariff ',' normal ',' check ',' mytsel ',' app ',' hope ',' contents' , 'r"&amp;"eset', 'pulse', 'payment', '']")</f>
        <v>['program', 'Daily', 'check', 'can', 'promo', 'told', 'pay', 'behind', 'actually', 'promo', 'cutting', 'Telkomsel', ' Package ',' Rp ',' MyTelkomsel ',' Rp ',' user ',' charged ',' tariff ',' normal ',' check ',' mytsel ',' app ',' hope ',' contents' , 'reset', 'pulse', 'payment', '']</v>
      </c>
      <c r="D904" s="3">
        <v>1.0</v>
      </c>
    </row>
    <row r="905" ht="15.75" customHeight="1">
      <c r="A905" s="1">
        <v>903.0</v>
      </c>
      <c r="B905" s="3" t="s">
        <v>906</v>
      </c>
      <c r="C905" s="3" t="str">
        <f>IFERROR(__xludf.DUMMYFUNCTION("GOOGLETRANSLATE(B905,""id"",""en"")"),"['skrng', 'unlimited', 'target', 'unlimited', 'like', 'unlimited', 'unlimited', 'barrier', 'nnya', 'kasi', 'star', 'unlimited', ' Kasi ',' Full ',' Bintang ',' ']")</f>
        <v>['skrng', 'unlimited', 'target', 'unlimited', 'like', 'unlimited', 'unlimited', 'barrier', 'nnya', 'kasi', 'star', 'unlimited', ' Kasi ',' Full ',' Bintang ',' ']</v>
      </c>
      <c r="D905" s="3">
        <v>3.0</v>
      </c>
    </row>
    <row r="906" ht="15.75" customHeight="1">
      <c r="A906" s="1">
        <v>904.0</v>
      </c>
      <c r="B906" s="3" t="s">
        <v>907</v>
      </c>
      <c r="C906" s="3" t="str">
        <f>IFERROR(__xludf.DUMMYFUNCTION("GOOGLETRANSLATE(B906,""id"",""en"")"),"['Knp', 'application', 'mytelkomsel', 'kgk', 'looks',' pulse ',' his writing ',' unable ',' load ',' already ',' press', 'button', ' Retry ',' kgk ',' already ',' install ',' reset ',' the application ',' tetep ',' kgk ',' please ',' repay ', ""]")</f>
        <v>['Knp', 'application', 'mytelkomsel', 'kgk', 'looks',' pulse ',' his writing ',' unable ',' load ',' already ',' press', 'button', ' Retry ',' kgk ',' already ',' install ',' reset ',' the application ',' tetep ',' kgk ',' please ',' repay ', "]</v>
      </c>
      <c r="D906" s="3">
        <v>2.0</v>
      </c>
    </row>
    <row r="907" ht="15.75" customHeight="1">
      <c r="A907" s="1">
        <v>905.0</v>
      </c>
      <c r="B907" s="3" t="s">
        <v>908</v>
      </c>
      <c r="C907" s="3" t="str">
        <f>IFERROR(__xludf.DUMMYFUNCTION("GOOGLETRANSLATE(B907,""id"",""en"")"),"['Price', 'Package', 'Star', 'Quality', 'Singnal', 'Star', 'Slow', 'Slow', 'LEG', 'IHHH', 'Ngeselinn', 'Allah', ' Want ',' Hanting ',' Gara ',' Telkomsel ']")</f>
        <v>['Price', 'Package', 'Star', 'Quality', 'Singnal', 'Star', 'Slow', 'Slow', 'LEG', 'IHHH', 'Ngeselinn', 'Allah', ' Want ',' Hanting ',' Gara ',' Telkomsel ']</v>
      </c>
      <c r="D907" s="3">
        <v>1.0</v>
      </c>
    </row>
    <row r="908" ht="15.75" customHeight="1">
      <c r="A908" s="1">
        <v>906.0</v>
      </c>
      <c r="B908" s="3" t="s">
        <v>909</v>
      </c>
      <c r="C908" s="3" t="str">
        <f>IFERROR(__xludf.DUMMYFUNCTION("GOOGLETRANSLATE(B908,""id"",""en"")"),"['Disappointed', 'Here', 'JLS', 'Telkomsel', 'Update', 'Bad', 'Network', 'Please', 'Repaired', 'Subscriptions',' Hmpir ',' Thn ',' Please, 'reviewed', 'reset', 'trims', '']")</f>
        <v>['Disappointed', 'Here', 'JLS', 'Telkomsel', 'Update', 'Bad', 'Network', 'Please', 'Repaired', 'Subscriptions',' Hmpir ',' Thn ',' Please, 'reviewed', 'reset', 'trims', '']</v>
      </c>
      <c r="D908" s="3">
        <v>3.0</v>
      </c>
    </row>
    <row r="909" ht="15.75" customHeight="1">
      <c r="A909" s="1">
        <v>907.0</v>
      </c>
      <c r="B909" s="3" t="s">
        <v>910</v>
      </c>
      <c r="C909" s="3" t="str">
        <f>IFERROR(__xludf.DUMMYFUNCTION("GOOGLETRANSLATE(B909,""id"",""en"")"),"['', 'gifts',' people ',' points', 'people', 'points',' people ',' contents', 'pulses',' people ',' contents', 'pulses',' people ',' Rich ',' Rich ',' Rich ',' Point ',' Motor ',' Palgi ',' Car ', ""]")</f>
        <v>['', 'gifts',' people ',' points', 'people', 'points',' people ',' contents', 'pulses',' people ',' contents', 'pulses',' people ',' Rich ',' Rich ',' Rich ',' Point ',' Motor ',' Palgi ',' Car ', "]</v>
      </c>
      <c r="D909" s="3">
        <v>5.0</v>
      </c>
    </row>
    <row r="910" ht="15.75" customHeight="1">
      <c r="A910" s="1">
        <v>908.0</v>
      </c>
      <c r="B910" s="3" t="s">
        <v>911</v>
      </c>
      <c r="C910" s="3" t="str">
        <f>IFERROR(__xludf.DUMMYFUNCTION("GOOGLETRANSLATE(B910,""id"",""en"")"),"['How', 'Telkomsel', 'buy', 'package', 'unlimited', 'rb', 'description', 'quota', 'main', 'run out', 'speed', 'connection', ' Customize ',' KB ',' knapa ',' quota ',' main ',' run out ',' tired ',' connection ',' kb ',' please ',' fix ',' speed ',' connec"&amp;"tion ' , 'KB', 'speed', 'until', 'KB', 'already', 'difficult', 'play', 'game', 'leg', 'severe', 'what', 'siii', ' ']")</f>
        <v>['How', 'Telkomsel', 'buy', 'package', 'unlimited', 'rb', 'description', 'quota', 'main', 'run out', 'speed', 'connection', ' Customize ',' KB ',' knapa ',' quota ',' main ',' run out ',' tired ',' connection ',' kb ',' please ',' fix ',' speed ',' connection ' , 'KB', 'speed', 'until', 'KB', 'already', 'difficult', 'play', 'game', 'leg', 'severe', 'what', 'siii', ' ']</v>
      </c>
      <c r="D910" s="3">
        <v>1.0</v>
      </c>
    </row>
    <row r="911" ht="15.75" customHeight="1">
      <c r="A911" s="1">
        <v>909.0</v>
      </c>
      <c r="B911" s="3" t="s">
        <v>912</v>
      </c>
      <c r="C911" s="3" t="str">
        <f>IFERROR(__xludf.DUMMYFUNCTION("GOOGLETRANSLATE(B911,""id"",""en"")"),"['super', 'super', 'expensive', 'network', 'idiot', 'super', 'slow', 'different', 'card', 'different', 'promo', 'promo', ' buy ',' poor ',' read ',' fix ',' fares', 'expensive', 'network', 'eyes',' read ',' bkn ',' cmn ',' pke ',' see ' , 'Money', 'idiot'"&amp;", ""]")</f>
        <v>['super', 'super', 'expensive', 'network', 'idiot', 'super', 'slow', 'different', 'card', 'different', 'promo', 'promo', ' buy ',' poor ',' read ',' fix ',' fares', 'expensive', 'network', 'eyes',' read ',' bkn ',' cmn ',' pke ',' see ' , 'Money', 'idiot', "]</v>
      </c>
      <c r="D911" s="3">
        <v>1.0</v>
      </c>
    </row>
    <row r="912" ht="15.75" customHeight="1">
      <c r="A912" s="1">
        <v>910.0</v>
      </c>
      <c r="B912" s="3" t="s">
        <v>913</v>
      </c>
      <c r="C912" s="3" t="str">
        <f>IFERROR(__xludf.DUMMYFUNCTION("GOOGLETRANSLATE(B912,""id"",""en"")"),"['', 'signal', 'bad', 'not yet', 'network', 'good', 'fast', 'telkom', 'beg', 'effective', 'fast', 'network', 'so ',' hope ',' motion ',' fast ',' Telkomsel ',' ']")</f>
        <v>['', 'signal', 'bad', 'not yet', 'network', 'good', 'fast', 'telkom', 'beg', 'effective', 'fast', 'network', 'so ',' hope ',' motion ',' fast ',' Telkomsel ',' ']</v>
      </c>
      <c r="D912" s="3">
        <v>4.0</v>
      </c>
    </row>
    <row r="913" ht="15.75" customHeight="1">
      <c r="A913" s="1">
        <v>911.0</v>
      </c>
      <c r="B913" s="3" t="s">
        <v>914</v>
      </c>
      <c r="C913" s="3" t="str">
        <f>IFERROR(__xludf.DUMMYFUNCTION("GOOGLETRANSLATE(B913,""id"",""en"")"),"['signal', 'full', 'Nge', 'lag', 'expensive', 'barengi', 'quality', 'expensive', 'doang', 'network', 'slow', 'kyk', ' Conch ']")</f>
        <v>['signal', 'full', 'Nge', 'lag', 'expensive', 'barengi', 'quality', 'expensive', 'doang', 'network', 'slow', 'kyk', ' Conch ']</v>
      </c>
      <c r="D913" s="3">
        <v>1.0</v>
      </c>
    </row>
    <row r="914" ht="15.75" customHeight="1">
      <c r="A914" s="1">
        <v>912.0</v>
      </c>
      <c r="B914" s="3" t="s">
        <v>915</v>
      </c>
      <c r="C914" s="3" t="str">
        <f>IFERROR(__xludf.DUMMYFUNCTION("GOOGLETRANSLATE(B914,""id"",""en"")"),"['disrupted', 'network', 'Telkomsel', 'a week', 'network', 'stable', 'bad', 'Please', 'Telkomsel', 'network', 'fix', 'promo', ' Hold ',' Special ',' West Kalimantar ',' Kab ',' Landak ',' ']")</f>
        <v>['disrupted', 'network', 'Telkomsel', 'a week', 'network', 'stable', 'bad', 'Please', 'Telkomsel', 'network', 'fix', 'promo', ' Hold ',' Special ',' West Kalimantar ',' Kab ',' Landak ',' ']</v>
      </c>
      <c r="D914" s="3">
        <v>1.0</v>
      </c>
    </row>
    <row r="915" ht="15.75" customHeight="1">
      <c r="A915" s="1">
        <v>913.0</v>
      </c>
      <c r="B915" s="3" t="s">
        <v>916</v>
      </c>
      <c r="C915" s="3" t="str">
        <f>IFERROR(__xludf.DUMMYFUNCTION("GOOGLETRANSLATE(B915,""id"",""en"")"),"['Makai', 'application', 'cheap', 'bell', 'quota', 'expensive', 'signal', 'broad', 'network', 'bad', 'Telkomsel', 'check', ' The problem ',' signal ',' network ',' disruption ',' menglami ',' city ',' rural ',' network ',' ugly ',' condition ',' covid ','"&amp;" required ',' online ' , 'check out', 'application', 'Telkomsel', 'ideak', 'cexin', 'ida', ""]")</f>
        <v>['Makai', 'application', 'cheap', 'bell', 'quota', 'expensive', 'signal', 'broad', 'network', 'bad', 'Telkomsel', 'check', ' The problem ',' signal ',' network ',' disruption ',' menglami ',' city ',' rural ',' network ',' ugly ',' condition ',' covid ',' required ',' online ' , 'check out', 'application', 'Telkomsel', 'ideak', 'cexin', 'ida', "]</v>
      </c>
      <c r="D915" s="3">
        <v>1.0</v>
      </c>
    </row>
    <row r="916" ht="15.75" customHeight="1">
      <c r="A916" s="1">
        <v>914.0</v>
      </c>
      <c r="B916" s="3" t="s">
        <v>917</v>
      </c>
      <c r="C916" s="3" t="str">
        <f>IFERROR(__xludf.DUMMYFUNCTION("GOOGLETRANSLATE(B916,""id"",""en"")"),"['Severe', 'package', 'data', 'cave', 'pulse', 'sucked', 'check', 'run out', 'use', 'quota', 'umpteenth', 'time', ' Credit ',' Cave ',' Sumpot ',' Cave ',' Change ',' Card ',' Indosat ', ""]")</f>
        <v>['Severe', 'package', 'data', 'cave', 'pulse', 'sucked', 'check', 'run out', 'use', 'quota', 'umpteenth', 'time', ' Credit ',' Cave ',' Sumpot ',' Cave ',' Change ',' Card ',' Indosat ', "]</v>
      </c>
      <c r="D916" s="3">
        <v>1.0</v>
      </c>
    </row>
    <row r="917" ht="15.75" customHeight="1">
      <c r="A917" s="1">
        <v>915.0</v>
      </c>
      <c r="B917" s="3" t="s">
        <v>918</v>
      </c>
      <c r="C917" s="3" t="str">
        <f>IFERROR(__xludf.DUMMYFUNCTION("GOOGLETRANSLATE(B917,""id"",""en"")"),"['Wonder', 'Credit', 'Reduced', 'SMS', 'Wear', 'Access',' Internet ',' Non ',' Package ',' Quota ',' Msh ',' Active ',' Please ',' Dope ']")</f>
        <v>['Wonder', 'Credit', 'Reduced', 'SMS', 'Wear', 'Access',' Internet ',' Non ',' Package ',' Quota ',' Msh ',' Active ',' Please ',' Dope ']</v>
      </c>
      <c r="D917" s="3">
        <v>1.0</v>
      </c>
    </row>
    <row r="918" ht="15.75" customHeight="1">
      <c r="A918" s="1">
        <v>916.0</v>
      </c>
      <c r="B918" s="3" t="s">
        <v>919</v>
      </c>
      <c r="C918" s="3" t="str">
        <f>IFERROR(__xludf.DUMMYFUNCTION("GOOGLETRANSLATE(B918,""id"",""en"")"),"['network', 'Telkomsel', 'in', 'outside', 'room', 'satisfying', 'super', 'slow', 'signal', 'change', 'aggravation', 'MUCH', ' Complaints', 'user', 'expected', 'motivation', 'provider', 'Telkomsel', 'service', 'maximizing', 'buy', 'Telkomsel', 'profit', 'w"&amp;"orth', 'post' ]")</f>
        <v>['network', 'Telkomsel', 'in', 'outside', 'room', 'satisfying', 'super', 'slow', 'signal', 'change', 'aggravation', 'MUCH', ' Complaints', 'user', 'expected', 'motivation', 'provider', 'Telkomsel', 'service', 'maximizing', 'buy', 'Telkomsel', 'profit', 'worth', 'post' ]</v>
      </c>
      <c r="D918" s="3">
        <v>3.0</v>
      </c>
    </row>
    <row r="919" ht="15.75" customHeight="1">
      <c r="A919" s="1">
        <v>917.0</v>
      </c>
      <c r="B919" s="3" t="s">
        <v>920</v>
      </c>
      <c r="C919" s="3" t="str">
        <f>IFERROR(__xludf.DUMMYFUNCTION("GOOGLETRANSLATE(B919,""id"",""en"")"),"['Since', 'Announces', 'Telkomsel', 'Tower', 'Bela', 'Belain', 'Go', 'Signal', 'Good', 'Disappointed', ""]")</f>
        <v>['Since', 'Announces', 'Telkomsel', 'Tower', 'Bela', 'Belain', 'Go', 'Signal', 'Good', 'Disappointed', "]</v>
      </c>
      <c r="D919" s="3">
        <v>1.0</v>
      </c>
    </row>
    <row r="920" ht="15.75" customHeight="1">
      <c r="A920" s="1">
        <v>918.0</v>
      </c>
      <c r="B920" s="3" t="s">
        <v>921</v>
      </c>
      <c r="C920" s="3" t="str">
        <f>IFERROR(__xludf.DUMMYFUNCTION("GOOGLETRANSLATE(B920,""id"",""en"")"),"['customer', 'loyal', 'tsel', 'the network', 'threat', 'tmbah', 'Worth', 'Worth', 'really', 'appeal', 'inverted', 'the network', ' hopefully', '']")</f>
        <v>['customer', 'loyal', 'tsel', 'the network', 'threat', 'tmbah', 'Worth', 'Worth', 'really', 'appeal', 'inverted', 'the network', ' hopefully', '']</v>
      </c>
      <c r="D920" s="3">
        <v>1.0</v>
      </c>
    </row>
    <row r="921" ht="15.75" customHeight="1">
      <c r="A921" s="1">
        <v>919.0</v>
      </c>
      <c r="B921" s="3" t="s">
        <v>922</v>
      </c>
      <c r="C921" s="3" t="str">
        <f>IFERROR(__xludf.DUMMYFUNCTION("GOOGLETRANSLATE(B921,""id"",""en"")"),"['Please', 'donk', 'Telkomsel', 'ride', 'price', 'donk', 'update', 'network', 'ugly', 'price', 'expensive', 'network', ' ugly ',' shy ',' high school ',' card ',' fix ',' network ',' ']")</f>
        <v>['Please', 'donk', 'Telkomsel', 'ride', 'price', 'donk', 'update', 'network', 'ugly', 'price', 'expensive', 'network', ' ugly ',' shy ',' high school ',' card ',' fix ',' network ',' ']</v>
      </c>
      <c r="D921" s="3">
        <v>1.0</v>
      </c>
    </row>
    <row r="922" ht="15.75" customHeight="1">
      <c r="A922" s="1">
        <v>920.0</v>
      </c>
      <c r="B922" s="3" t="s">
        <v>923</v>
      </c>
      <c r="C922" s="3" t="str">
        <f>IFERROR(__xludf.DUMMYFUNCTION("GOOGLETRANSLATE(B922,""id"",""en"")"),"['Developing', 'Tekkomsel', 'Sya', 'buy', 'quota', 'and then', 'right', 'network', 'prime', 'next door', 'problem', 'quota', ' Internet ',' expensive ',' Perdana ',' Telkomsel ',' escape ',' Doang ', ""]")</f>
        <v>['Developing', 'Tekkomsel', 'Sya', 'buy', 'quota', 'and then', 'right', 'network', 'prime', 'next door', 'problem', 'quota', ' Internet ',' expensive ',' Perdana ',' Telkomsel ',' escape ',' Doang ', "]</v>
      </c>
      <c r="D922" s="3">
        <v>1.0</v>
      </c>
    </row>
    <row r="923" ht="15.75" customHeight="1">
      <c r="A923" s="1">
        <v>921.0</v>
      </c>
      <c r="B923" s="3" t="s">
        <v>924</v>
      </c>
      <c r="C923" s="3" t="str">
        <f>IFERROR(__xludf.DUMMYFUNCTION("GOOGLETRANSLATE(B923,""id"",""en"")"),"['Gosh', 'signal', 'deteriorating', 'play', 'game', 'task', 'online', 'rain', 'lightning', 'network', 'Telkomsel', 'deteriorate', ' Please, 'Telkomsel', 'fix', 'network', 'deteriorating', 'run', 'application', 'online', 'etc.', 'upset', 'network', 'Telkom"&amp;"sel', 'deteriorating' , '']")</f>
        <v>['Gosh', 'signal', 'deteriorating', 'play', 'game', 'task', 'online', 'rain', 'lightning', 'network', 'Telkomsel', 'deteriorate', ' Please, 'Telkomsel', 'fix', 'network', 'deteriorating', 'run', 'application', 'online', 'etc.', 'upset', 'network', 'Telkomsel', 'deteriorating' , '']</v>
      </c>
      <c r="D923" s="3">
        <v>2.0</v>
      </c>
    </row>
    <row r="924" ht="15.75" customHeight="1">
      <c r="A924" s="1">
        <v>922.0</v>
      </c>
      <c r="B924" s="3" t="s">
        <v>925</v>
      </c>
      <c r="C924" s="3" t="str">
        <f>IFERROR(__xludf.DUMMYFUNCTION("GOOGLETRANSLATE(B924,""id"",""en"")"),"['signal', 'knapa', 'Telkomsel', 'kayak', 'signal', 'doang', 'beg', 'KPD', 'Telkomsel', 'fix', 'signal', 'good', ' Domiciled ',' Pacitan ']")</f>
        <v>['signal', 'knapa', 'Telkomsel', 'kayak', 'signal', 'doang', 'beg', 'KPD', 'Telkomsel', 'fix', 'signal', 'good', ' Domiciled ',' Pacitan ']</v>
      </c>
      <c r="D924" s="3">
        <v>5.0</v>
      </c>
    </row>
    <row r="925" ht="15.75" customHeight="1">
      <c r="A925" s="1">
        <v>923.0</v>
      </c>
      <c r="B925" s="3" t="s">
        <v>926</v>
      </c>
      <c r="C925" s="3" t="str">
        <f>IFERROR(__xludf.DUMMYFUNCTION("GOOGLETRANSLATE(B925,""id"",""en"")"),"['', 'like', 'quota', 'Multimedian', 'Mending', 'limit', 'itung', 'sodaqoh', 'Telkomsel', 'bgtu', 'smkin', 'at the forefront', 'smkin ',' Forward ',' Success', 'Try', 'Sharing', 'users',' Telkomsel ',' BNAR ',' Need ',' Trima ',' ksih ',' Hope ',' make ',"&amp;" 'consideration', '']")</f>
        <v>['', 'like', 'quota', 'Multimedian', 'Mending', 'limit', 'itung', 'sodaqoh', 'Telkomsel', 'bgtu', 'smkin', 'at the forefront', 'smkin ',' Forward ',' Success', 'Try', 'Sharing', 'users',' Telkomsel ',' BNAR ',' Need ',' Trima ',' ksih ',' Hope ',' make ', 'consideration', '']</v>
      </c>
      <c r="D925" s="3">
        <v>5.0</v>
      </c>
    </row>
    <row r="926" ht="15.75" customHeight="1">
      <c r="A926" s="1">
        <v>924.0</v>
      </c>
      <c r="B926" s="3" t="s">
        <v>927</v>
      </c>
      <c r="C926" s="3" t="str">
        <f>IFERROR(__xludf.DUMMYFUNCTION("GOOGLETRANSLATE(B926,""id"",""en"")"),"['Dear', 'Telkomsel', 'Quality', 'Signal', 'Region', 'Kecamatan', 'Cikande', 'Regency', 'Serang', 'Please', 'Increase', 'Comfort', ' Users', 'loyal', 'hello', 'Telkomsel', 'thank', 'love', ""]")</f>
        <v>['Dear', 'Telkomsel', 'Quality', 'Signal', 'Region', 'Kecamatan', 'Cikande', 'Regency', 'Serang', 'Please', 'Increase', 'Comfort', ' Users', 'loyal', 'hello', 'Telkomsel', 'thank', 'love', "]</v>
      </c>
      <c r="D926" s="3">
        <v>3.0</v>
      </c>
    </row>
    <row r="927" ht="15.75" customHeight="1">
      <c r="A927" s="1">
        <v>925.0</v>
      </c>
      <c r="B927" s="3" t="s">
        <v>928</v>
      </c>
      <c r="C927" s="3" t="str">
        <f>IFERROR(__xludf.DUMMYFUNCTION("GOOGLETRANSLATE(B927,""id"",""en"")"),"['Severe', 'Telkomsel', 'ugly', 'price', 'package', 'network', 'slow', 'buy', 'package', 'pulse', 'right', 'pulse', ' package ',' unlimited ',' slow ',' really ',' internet ',' sells', 'pakek', 'package', 'unlimited', 'message', 'enter', 'just', 'already'"&amp;" , 'Ramal', 'Telkomsel', 'go bankrupt', 'gini', 'moved', 'card', 'edit', 'morning', 'buy', 'package', 'night', 'thousand', ' Posts', 'Package', 'Hate', 'Telkom', '']")</f>
        <v>['Severe', 'Telkomsel', 'ugly', 'price', 'package', 'network', 'slow', 'buy', 'package', 'pulse', 'right', 'pulse', ' package ',' unlimited ',' slow ',' really ',' internet ',' sells', 'pakek', 'package', 'unlimited', 'message', 'enter', 'just', 'already' , 'Ramal', 'Telkomsel', 'go bankrupt', 'gini', 'moved', 'card', 'edit', 'morning', 'buy', 'package', 'night', 'thousand', ' Posts', 'Package', 'Hate', 'Telkom', '']</v>
      </c>
      <c r="D927" s="3">
        <v>1.0</v>
      </c>
    </row>
    <row r="928" ht="15.75" customHeight="1">
      <c r="A928" s="1">
        <v>926.0</v>
      </c>
      <c r="B928" s="3" t="s">
        <v>929</v>
      </c>
      <c r="C928" s="3" t="str">
        <f>IFERROR(__xludf.DUMMYFUNCTION("GOOGLETRANSLATE(B928,""id"",""en"")"),"['Dahlah', 'Males',' Change ',' card ',' SIM ',' Darling ',' Card ',' Telkom ',' already ',' Telkomsel ',' signal ',' ugly ',' really ',' promo ',' supreasedear ',' consistent ',' month ',' jdi ',' run out ',' package ',' buy ', ""]")</f>
        <v>['Dahlah', 'Males',' Change ',' card ',' SIM ',' Darling ',' Card ',' Telkom ',' already ',' Telkomsel ',' signal ',' ugly ',' really ',' promo ',' supreasedear ',' consistent ',' month ',' jdi ',' run out ',' package ',' buy ', "]</v>
      </c>
      <c r="D928" s="3">
        <v>1.0</v>
      </c>
    </row>
    <row r="929" ht="15.75" customHeight="1">
      <c r="A929" s="1">
        <v>927.0</v>
      </c>
      <c r="B929" s="3" t="s">
        <v>930</v>
      </c>
      <c r="C929" s="3" t="str">
        <f>IFERROR(__xludf.DUMMYFUNCTION("GOOGLETRANSLATE(B929,""id"",""en"")"),"['Telkomsel', 'Seakin', 'expensive', 'moves',' oprator ',' signal ',' pseudo ',' slow ',' according to ',' expensive ',' package ',' Telkomsel ',' Leet ',' slow ',' Televan ',' ']")</f>
        <v>['Telkomsel', 'Seakin', 'expensive', 'moves',' oprator ',' signal ',' pseudo ',' slow ',' according to ',' expensive ',' package ',' Telkomsel ',' Leet ',' slow ',' Televan ',' ']</v>
      </c>
      <c r="D929" s="3">
        <v>1.0</v>
      </c>
    </row>
    <row r="930" ht="15.75" customHeight="1">
      <c r="A930" s="1">
        <v>928.0</v>
      </c>
      <c r="B930" s="3" t="s">
        <v>931</v>
      </c>
      <c r="C930" s="3" t="str">
        <f>IFERROR(__xludf.DUMMYFUNCTION("GOOGLETRANSLATE(B930,""id"",""en"")"),"['astagfirullah', 'signal', 'ugly', 'ugly', 'sometimes',' signal ',' likes', 'missing', 'total', 'Telkomsel', 'stay', 'city', ' signal ']")</f>
        <v>['astagfirullah', 'signal', 'ugly', 'ugly', 'sometimes',' signal ',' likes', 'missing', 'total', 'Telkomsel', 'stay', 'city', ' signal ']</v>
      </c>
      <c r="D930" s="3">
        <v>1.0</v>
      </c>
    </row>
    <row r="931" ht="15.75" customHeight="1">
      <c r="A931" s="1">
        <v>929.0</v>
      </c>
      <c r="B931" s="3" t="s">
        <v>932</v>
      </c>
      <c r="C931" s="3" t="str">
        <f>IFERROR(__xludf.DUMMYFUNCTION("GOOGLETRANSLATE(B931,""id"",""en"")"),"['Basic', 'strange', 'right', 'strange', 'deliberate', 'try', 'buy', 'package', 'maen', 'game', 'kepake', 'giga', ' nyedot ',' quota ',' main ',' how ',' maskud ',' surprised ',' intentionally ',' quota ',' internet ',' filled ',' slow ',' forgiveness', '"&amp;"entered' , 'Game', 'Loading', 'really', 'wonder', '']")</f>
        <v>['Basic', 'strange', 'right', 'strange', 'deliberate', 'try', 'buy', 'package', 'maen', 'game', 'kepake', 'giga', ' nyedot ',' quota ',' main ',' how ',' maskud ',' surprised ',' intentionally ',' quota ',' internet ',' filled ',' slow ',' forgiveness', 'entered' , 'Game', 'Loading', 'really', 'wonder', '']</v>
      </c>
      <c r="D931" s="3">
        <v>1.0</v>
      </c>
    </row>
    <row r="932" ht="15.75" customHeight="1">
      <c r="A932" s="1">
        <v>930.0</v>
      </c>
      <c r="B932" s="3" t="s">
        <v>933</v>
      </c>
      <c r="C932" s="3" t="str">
        <f>IFERROR(__xludf.DUMMYFUNCTION("GOOGLETRANSLATE(B932,""id"",""en"")"),"['Thanks',' product ',' Telkomsel ',' apply ',' card ',' sms', 'package', 'cheap', 'check', 'registered', 'package', 'vendor', ' in the region ',' Papua ',' agreed ',' Berahli ',' Package ',' Telkomsel ',' SMS ',' Data ',' expensive ',' appeal ', ""]")</f>
        <v>['Thanks',' product ',' Telkomsel ',' apply ',' card ',' sms', 'package', 'cheap', 'check', 'registered', 'package', 'vendor', ' in the region ',' Papua ',' agreed ',' Berahli ',' Package ',' Telkomsel ',' SMS ',' Data ',' expensive ',' appeal ', "]</v>
      </c>
      <c r="D932" s="3">
        <v>1.0</v>
      </c>
    </row>
    <row r="933" ht="15.75" customHeight="1">
      <c r="A933" s="1">
        <v>931.0</v>
      </c>
      <c r="B933" s="3" t="s">
        <v>934</v>
      </c>
      <c r="C933" s="3" t="str">
        <f>IFERROR(__xludf.DUMMYFUNCTION("GOOGLETRANSLATE(B933,""id"",""en"")"),"['', 'level', 'network', 'bst', 'pairs',' region ',' remote ',' network ',' good ',' city ',' city ',' good ',' island ',' village ',' difficulty ',' network ',' population ',' village ',' darling ',' network ',' sometimes', 'network', 'lost', 'mounting',"&amp;" 'transmitter', 'Territory', 'remote', 'island', 'outerest']")</f>
        <v>['', 'level', 'network', 'bst', 'pairs',' region ',' remote ',' network ',' good ',' city ',' city ',' good ',' island ',' village ',' difficulty ',' network ',' population ',' village ',' darling ',' network ',' sometimes', 'network', 'lost', 'mounting', 'transmitter', 'Territory', 'remote', 'island', 'outerest']</v>
      </c>
      <c r="D933" s="3">
        <v>4.0</v>
      </c>
    </row>
    <row r="934" ht="15.75" customHeight="1">
      <c r="A934" s="1">
        <v>932.0</v>
      </c>
      <c r="B934" s="3" t="s">
        <v>935</v>
      </c>
      <c r="C934" s="3" t="str">
        <f>IFERROR(__xludf.DUMMYFUNCTION("GOOGLETRANSLATE(B934,""id"",""en"")"),"['Duuhhh', 'Telkomsel', 'slow', 'please', 'fix', 'price', 'kouta', 'nyah', 'expensive', 'speed', 'network', 'good', ' Disappointed ',' Speed ​​',' Network ',' Telkomsel ']")</f>
        <v>['Duuhhh', 'Telkomsel', 'slow', 'please', 'fix', 'price', 'kouta', 'nyah', 'expensive', 'speed', 'network', 'good', ' Disappointed ',' Speed ​​',' Network ',' Telkomsel ']</v>
      </c>
      <c r="D934" s="3">
        <v>1.0</v>
      </c>
    </row>
    <row r="935" ht="15.75" customHeight="1">
      <c r="A935" s="1">
        <v>933.0</v>
      </c>
      <c r="B935" s="3" t="s">
        <v>936</v>
      </c>
      <c r="C935" s="3" t="str">
        <f>IFERROR(__xludf.DUMMYFUNCTION("GOOGLETRANSLATE(B935,""id"",""en"")"),"['', 'fill', 'credit', 'Rp', 'check', 'Telkomsel', 'direct', 'reduced', 'truncated', 'Rp', 'check', 'subscribe', 'anything ',' Holdness', 'SMS', 'LAST', 'Last', 'Transaction', 'Telkomsel', 'printed', 'transaction', 'charge', 'open', 'application', ""]")</f>
        <v>['', 'fill', 'credit', 'Rp', 'check', 'Telkomsel', 'direct', 'reduced', 'truncated', 'Rp', 'check', 'subscribe', 'anything ',' Holdness', 'SMS', 'LAST', 'Last', 'Transaction', 'Telkomsel', 'printed', 'transaction', 'charge', 'open', 'application', "]</v>
      </c>
      <c r="D935" s="3">
        <v>1.0</v>
      </c>
    </row>
    <row r="936" ht="15.75" customHeight="1">
      <c r="A936" s="1">
        <v>934.0</v>
      </c>
      <c r="B936" s="3" t="s">
        <v>937</v>
      </c>
      <c r="C936" s="3" t="str">
        <f>IFERROR(__xludf.DUMMYFUNCTION("GOOGLETRANSLATE(B936,""id"",""en"")"),"['Sometimes',' slow ',' quota ',' multimedia ',' Must ',' Wait ',' pulse ',' use ',' pulse ',' pulse ',' first ',' suck ',' The quota ',' already ',' that's', 'skrg', 'network', 'ilang', 'ilang', 'disappointed', 'really', '']")</f>
        <v>['Sometimes',' slow ',' quota ',' multimedia ',' Must ',' Wait ',' pulse ',' use ',' pulse ',' pulse ',' first ',' suck ',' The quota ',' already ',' that's', 'skrg', 'network', 'ilang', 'ilang', 'disappointed', 'really', '']</v>
      </c>
      <c r="D936" s="3">
        <v>1.0</v>
      </c>
    </row>
    <row r="937" ht="15.75" customHeight="1">
      <c r="A937" s="1">
        <v>935.0</v>
      </c>
      <c r="B937" s="3" t="s">
        <v>938</v>
      </c>
      <c r="C937" s="3" t="str">
        <f>IFERROR(__xludf.DUMMYFUNCTION("GOOGLETRANSLATE(B937,""id"",""en"")"),"['Package', 'Data', 'Combo', 'Sakti', 'Unlimited', 'Package', 'Multimedian', 'Chat', 'Sosmed', 'Game', 'YouTube', 'No', ' Covering ',' Twitter ',' Please ',' Twitter ',' Entered ',' Package ',' Multimedia ',' Thank "", 'Love']")</f>
        <v>['Package', 'Data', 'Combo', 'Sakti', 'Unlimited', 'Package', 'Multimedian', 'Chat', 'Sosmed', 'Game', 'YouTube', 'No', ' Covering ',' Twitter ',' Please ',' Twitter ',' Entered ',' Package ',' Multimedia ',' Thank ", 'Love']</v>
      </c>
      <c r="D937" s="3">
        <v>1.0</v>
      </c>
    </row>
    <row r="938" ht="15.75" customHeight="1">
      <c r="A938" s="1">
        <v>936.0</v>
      </c>
      <c r="B938" s="3" t="s">
        <v>939</v>
      </c>
      <c r="C938" s="3" t="str">
        <f>IFERROR(__xludf.DUMMYFUNCTION("GOOGLETRANSLATE(B938,""id"",""en"")"),"['Please', 'Fix', 'Speed', 'Internet', 'Village', 'Jesape', 'Hamlet', 'Getty', 'Kec', 'Ledo', 'Kab', 'Bengkayang', ' Prov ',' Kalimantan ',' West ',' especially ',' Ledo ',' Change ',' price ',' quota ',' expensive ',' complaints', 'respond', ""]")</f>
        <v>['Please', 'Fix', 'Speed', 'Internet', 'Village', 'Jesape', 'Hamlet', 'Getty', 'Kec', 'Ledo', 'Kab', 'Bengkayang', ' Prov ',' Kalimantan ',' West ',' especially ',' Ledo ',' Change ',' price ',' quota ',' expensive ',' complaints', 'respond', "]</v>
      </c>
      <c r="D938" s="3">
        <v>3.0</v>
      </c>
    </row>
    <row r="939" ht="15.75" customHeight="1">
      <c r="A939" s="1">
        <v>937.0</v>
      </c>
      <c r="B939" s="3" t="s">
        <v>940</v>
      </c>
      <c r="C939" s="3" t="str">
        <f>IFERROR(__xludf.DUMMYFUNCTION("GOOGLETRANSLATE(B939,""id"",""en"")"),"['how', 'menu', 'shopping', 'combo', 'Sakti', 'GB', 'printed', 'pulse', 'buy', 'read', 'conditions',' provisions', ' rb ',' UDH ',' PPN ',' NOP ',' Notif ',' leftover ',' pulse ',' logical ',' emg ',' leftover ',' pulse ',' dibwh ',' rb ' , 'conditions', "&amp;"'provisions', 'as clearly']")</f>
        <v>['how', 'menu', 'shopping', 'combo', 'Sakti', 'GB', 'printed', 'pulse', 'buy', 'read', 'conditions',' provisions', ' rb ',' UDH ',' PPN ',' NOP ',' Notif ',' leftover ',' pulse ',' logical ',' emg ',' leftover ',' pulse ',' dibwh ',' rb ' , 'conditions', 'provisions', 'as clearly']</v>
      </c>
      <c r="D939" s="3">
        <v>4.0</v>
      </c>
    </row>
    <row r="940" ht="15.75" customHeight="1">
      <c r="A940" s="1">
        <v>938.0</v>
      </c>
      <c r="B940" s="3" t="s">
        <v>941</v>
      </c>
      <c r="C940" s="3" t="str">
        <f>IFERROR(__xludf.DUMMYFUNCTION("GOOGLETRANSLATE(B940,""id"",""en"")"),"['SMS', 'pulse', 'emergency', 'emang', 'rb', 'strange', 'cut', 'contents',' pulse ',' times', 'sms',' pulse ',' emergency ',' strange ',' Rb ',' already ',' rich ',' loanful ',' other ',' good ',' obstacle ',' just ']")</f>
        <v>['SMS', 'pulse', 'emergency', 'emang', 'rb', 'strange', 'cut', 'contents',' pulse ',' times', 'sms',' pulse ',' emergency ',' strange ',' Rb ',' already ',' rich ',' loanful ',' other ',' good ',' obstacle ',' just ']</v>
      </c>
      <c r="D940" s="3">
        <v>4.0</v>
      </c>
    </row>
    <row r="941" ht="15.75" customHeight="1">
      <c r="A941" s="1">
        <v>939.0</v>
      </c>
      <c r="B941" s="3" t="s">
        <v>942</v>
      </c>
      <c r="C941" s="3" t="str">
        <f>IFERROR(__xludf.DUMMYFUNCTION("GOOGLETRANSLATE(B941,""id"",""en"")"),"['Yesterday', 'enter', 'Telkomsel', 'right', 'contact', 'cs',' response ',' fast ',' time ',' contact ',' login ',' Thanks', ' ']")</f>
        <v>['Yesterday', 'enter', 'Telkomsel', 'right', 'contact', 'cs',' response ',' fast ',' time ',' contact ',' login ',' Thanks', ' ']</v>
      </c>
      <c r="D941" s="3">
        <v>5.0</v>
      </c>
    </row>
    <row r="942" ht="15.75" customHeight="1">
      <c r="A942" s="1">
        <v>940.0</v>
      </c>
      <c r="B942" s="3" t="s">
        <v>943</v>
      </c>
      <c r="C942" s="3" t="str">
        <f>IFERROR(__xludf.DUMMYFUNCTION("GOOGLETRANSLATE(B942,""id"",""en"")"),"['buy', 'package', 'emergency', 'Confirmed', 'need', 'bought', 'Please', 'Fix', 'Harm', 'Due', 'Buy', 'Package', ' Emergency ',' a week ',' event ',' buy ',' quota ',' handy ',' please ',' Telkomsel ',' overcome ',' buy ',' package ',' emergency ',' edit "&amp;"' , 'UDH', 'Benerin', 'Kasi', 'Bintang', ""]")</f>
        <v>['buy', 'package', 'emergency', 'Confirmed', 'need', 'bought', 'Please', 'Fix', 'Harm', 'Due', 'Buy', 'Package', ' Emergency ',' a week ',' event ',' buy ',' quota ',' handy ',' please ',' Telkomsel ',' overcome ',' buy ',' package ',' emergency ',' edit ' , 'UDH', 'Benerin', 'Kasi', 'Bintang', "]</v>
      </c>
      <c r="D942" s="3">
        <v>5.0</v>
      </c>
    </row>
    <row r="943" ht="15.75" customHeight="1">
      <c r="A943" s="1">
        <v>941.0</v>
      </c>
      <c r="B943" s="3" t="s">
        <v>944</v>
      </c>
      <c r="C943" s="3" t="str">
        <f>IFERROR(__xludf.DUMMYFUNCTION("GOOGLETRANSLATE(B943,""id"",""en"")"),"['', 'program', 'application', 'missing', 'price', 'package', 'expensive', 'promo', 'number', 'use', 'network', 'slow', 'pool ',' promo ',' pay ',' emergency ',' sms', 'application', 'aka']")</f>
        <v>['', 'program', 'application', 'missing', 'price', 'package', 'expensive', 'promo', 'number', 'use', 'network', 'slow', 'pool ',' promo ',' pay ',' emergency ',' sms', 'application', 'aka']</v>
      </c>
      <c r="D943" s="3">
        <v>1.0</v>
      </c>
    </row>
    <row r="944" ht="15.75" customHeight="1">
      <c r="A944" s="1">
        <v>942.0</v>
      </c>
      <c r="B944" s="3" t="s">
        <v>945</v>
      </c>
      <c r="C944" s="3" t="str">
        <f>IFERROR(__xludf.DUMMYFUNCTION("GOOGLETRANSLATE(B944,""id"",""en"")"),"['Package', 'Boster', 'I', 'Lost', 'Jir', 'right', 'update', 'Package', 'Unlimited', 'Limit', 'Unlimited', 'name', ' unlimited ',' ituk ',' quota ',' limit ',' package ',' main ',' run out ',' card ',' laen ',' can ',' cheap ',' mhal ', ""]")</f>
        <v>['Package', 'Boster', 'I', 'Lost', 'Jir', 'right', 'update', 'Package', 'Unlimited', 'Limit', 'Unlimited', 'name', ' unlimited ',' ituk ',' quota ',' limit ',' package ',' main ',' run out ',' card ',' laen ',' can ',' cheap ',' mhal ', "]</v>
      </c>
      <c r="D944" s="3">
        <v>1.0</v>
      </c>
    </row>
    <row r="945" ht="15.75" customHeight="1">
      <c r="A945" s="1">
        <v>943.0</v>
      </c>
      <c r="B945" s="3" t="s">
        <v>946</v>
      </c>
      <c r="C945" s="3" t="str">
        <f>IFERROR(__xludf.DUMMYFUNCTION("GOOGLETRANSLATE(B945,""id"",""en"")"),"['Disappointed', 'PDHL', 'Buy', 'Package', 'Games',' Max ',' TPI ',' Voucher ',' Enter ',' UDH ',' Enter ',' Package ',' the data ',' doang ',' beg 'repaired', 'tasty', 'buy', 'package', 'lgi', 'was', '']")</f>
        <v>['Disappointed', 'PDHL', 'Buy', 'Package', 'Games',' Max ',' TPI ',' Voucher ',' Enter ',' UDH ',' Enter ',' Package ',' the data ',' doang ',' beg 'repaired', 'tasty', 'buy', 'package', 'lgi', 'was', '']</v>
      </c>
      <c r="D945" s="3">
        <v>2.0</v>
      </c>
    </row>
    <row r="946" ht="15.75" customHeight="1">
      <c r="A946" s="1">
        <v>944.0</v>
      </c>
      <c r="B946" s="3" t="s">
        <v>947</v>
      </c>
      <c r="C946" s="3" t="str">
        <f>IFERROR(__xludf.DUMMYFUNCTION("GOOGLETRANSLATE(B946,""id"",""en"")"),"['Good', 'Control', 'Credit', 'Control', 'Credit', 'Cutting', 'Service', 'Please', 'Consider', '']")</f>
        <v>['Good', 'Control', 'Credit', 'Control', 'Credit', 'Cutting', 'Service', 'Please', 'Consider', '']</v>
      </c>
      <c r="D946" s="3">
        <v>4.0</v>
      </c>
    </row>
    <row r="947" ht="15.75" customHeight="1">
      <c r="A947" s="1">
        <v>945.0</v>
      </c>
      <c r="B947" s="3" t="s">
        <v>948</v>
      </c>
      <c r="C947" s="3" t="str">
        <f>IFERROR(__xludf.DUMMYFUNCTION("GOOGLETRANSLATE(B947,""id"",""en"")"),"['disappointed', 'application', 'told', 'check', 'ehh', 'already', 'a month', 'check', 'look', 'where', 'check', 'hide', ' already ',' times', 'I', 'experience', 'get', 'PHP', 'Mulu', 'I', 'Damn']")</f>
        <v>['disappointed', 'application', 'told', 'check', 'ehh', 'already', 'a month', 'check', 'look', 'where', 'check', 'hide', ' already ',' times', 'I', 'experience', 'get', 'PHP', 'Mulu', 'I', 'Damn']</v>
      </c>
      <c r="D947" s="3">
        <v>1.0</v>
      </c>
    </row>
    <row r="948" ht="15.75" customHeight="1">
      <c r="A948" s="1">
        <v>946.0</v>
      </c>
      <c r="B948" s="3" t="s">
        <v>949</v>
      </c>
      <c r="C948" s="3" t="str">
        <f>IFERROR(__xludf.DUMMYFUNCTION("GOOGLETRANSLATE(B948,""id"",""en"")"),"['thank', 'love', 'package', 'internet', 'cheap', 'promo', 'cheap', 'violated', 'loyal', 'Telkomsel', ""]")</f>
        <v>['thank', 'love', 'package', 'internet', 'cheap', 'promo', 'cheap', 'violated', 'loyal', 'Telkomsel', "]</v>
      </c>
      <c r="D948" s="3">
        <v>3.0</v>
      </c>
    </row>
    <row r="949" ht="15.75" customHeight="1">
      <c r="A949" s="1">
        <v>947.0</v>
      </c>
      <c r="B949" s="3" t="s">
        <v>950</v>
      </c>
      <c r="C949" s="3" t="str">
        <f>IFERROR(__xludf.DUMMYFUNCTION("GOOGLETRANSLATE(B949,""id"",""en"")"),"['Disappointed', 'pulse', 'run out', 'quota', 'run out', 'package', 'data', 'turn on', 'hope', 'Telkomsel', 'solution', 'friend', ' have']")</f>
        <v>['Disappointed', 'pulse', 'run out', 'quota', 'run out', 'package', 'data', 'turn on', 'hope', 'Telkomsel', 'solution', 'friend', ' have']</v>
      </c>
      <c r="D949" s="3">
        <v>1.0</v>
      </c>
    </row>
    <row r="950" ht="15.75" customHeight="1">
      <c r="A950" s="1">
        <v>948.0</v>
      </c>
      <c r="B950" s="3" t="s">
        <v>951</v>
      </c>
      <c r="C950" s="3" t="str">
        <f>IFERROR(__xludf.DUMMYFUNCTION("GOOGLETRANSLATE(B950,""id"",""en"")"),"['Sis',' Admin ',' Card ',' Telkomsel ',' Registered ',' Hello ',' Pulihin ',' Telkomsel ',' Prepaid ',' GMNA ',' Missed ',' Bintang ',' Thanks']")</f>
        <v>['Sis',' Admin ',' Card ',' Telkomsel ',' Registered ',' Hello ',' Pulihin ',' Telkomsel ',' Prepaid ',' GMNA ',' Missed ',' Bintang ',' Thanks']</v>
      </c>
      <c r="D950" s="3">
        <v>3.0</v>
      </c>
    </row>
    <row r="951" ht="15.75" customHeight="1">
      <c r="A951" s="1">
        <v>949.0</v>
      </c>
      <c r="B951" s="3" t="s">
        <v>952</v>
      </c>
      <c r="C951" s="3" t="str">
        <f>IFERROR(__xludf.DUMMYFUNCTION("GOOGLETRANSLATE(B951,""id"",""en"")"),"['like', 'Cutting', 'Credit', 'Customer', 'Telkomsel', 'Take', 'Untung', 'Cutting', 'Credit', 'Customer', 'Recommendation', 'Maling', ' Tie ',' Basic ',' Anying ',' Closed ',' Telkomsel ',' Severe ',' Network ',' Domicile ',' City ',' Network ',' Disconne"&amp;"ct ',' Corruption ', ""]")</f>
        <v>['like', 'Cutting', 'Credit', 'Customer', 'Telkomsel', 'Take', 'Untung', 'Cutting', 'Credit', 'Customer', 'Recommendation', 'Maling', ' Tie ',' Basic ',' Anying ',' Closed ',' Telkomsel ',' Severe ',' Network ',' Domicile ',' City ',' Network ',' Disconnect ',' Corruption ', "]</v>
      </c>
      <c r="D951" s="3">
        <v>1.0</v>
      </c>
    </row>
    <row r="952" ht="15.75" customHeight="1">
      <c r="A952" s="1">
        <v>950.0</v>
      </c>
      <c r="B952" s="3" t="s">
        <v>953</v>
      </c>
      <c r="C952" s="3" t="str">
        <f>IFERROR(__xludf.DUMMYFUNCTION("GOOGLETRANSLATE(B952,""id"",""en"")"),"['package', 'data', 'expensive', 'quality', 'network', 'internet', 'ugly', 'really', 'village', 'Please', 'note', 'area', ' Regions', 'City', 'Setia', 'Telkomsel', 'Provider', 'Thank you', ""]")</f>
        <v>['package', 'data', 'expensive', 'quality', 'network', 'internet', 'ugly', 'really', 'village', 'Please', 'note', 'area', ' Regions', 'City', 'Setia', 'Telkomsel', 'Provider', 'Thank you', "]</v>
      </c>
      <c r="D952" s="3">
        <v>5.0</v>
      </c>
    </row>
    <row r="953" ht="15.75" customHeight="1">
      <c r="A953" s="1">
        <v>951.0</v>
      </c>
      <c r="B953" s="3" t="s">
        <v>954</v>
      </c>
      <c r="C953" s="3" t="str">
        <f>IFERROR(__xludf.DUMMYFUNCTION("GOOGLETRANSLATE(B953,""id"",""en"")"),"['GMNA', 'Package', 'Network', 'Good', 'Hard', 'Connection', 'Internet', 'Sometimes', 'Overnight', 'Cross', 'Network', ""]")</f>
        <v>['GMNA', 'Package', 'Network', 'Good', 'Hard', 'Connection', 'Internet', 'Sometimes', 'Overnight', 'Cross', 'Network', "]</v>
      </c>
      <c r="D953" s="3">
        <v>1.0</v>
      </c>
    </row>
    <row r="954" ht="15.75" customHeight="1">
      <c r="A954" s="1">
        <v>952.0</v>
      </c>
      <c r="B954" s="3" t="s">
        <v>955</v>
      </c>
      <c r="C954" s="3" t="str">
        <f>IFERROR(__xludf.DUMMYFUNCTION("GOOGLETRANSLATE(B954,""id"",""en"")"),"['Choice', 'quota', 'package', 'quota', 'lap', 'tiktok', 'already', 'no', 'please', 'hang out', 'already', ' Tiktok ',' already ',' buy ',' prime ',' kek ',' gini ']")</f>
        <v>['Choice', 'quota', 'package', 'quota', 'lap', 'tiktok', 'already', 'no', 'please', 'hang out', 'already', ' Tiktok ',' already ',' buy ',' prime ',' kek ',' gini ']</v>
      </c>
      <c r="D954" s="3">
        <v>2.0</v>
      </c>
    </row>
    <row r="955" ht="15.75" customHeight="1">
      <c r="A955" s="1">
        <v>953.0</v>
      </c>
      <c r="B955" s="3" t="s">
        <v>956</v>
      </c>
      <c r="C955" s="3" t="str">
        <f>IFERROR(__xludf.DUMMYFUNCTION("GOOGLETRANSLATE(B955,""id"",""en"")"),"['access', 'repairs', 'Please', 'Tell Press', 'App', 'Via', 'SMS', 'User']")</f>
        <v>['access', 'repairs', 'Please', 'Tell Press', 'App', 'Via', 'SMS', 'User']</v>
      </c>
      <c r="D955" s="3">
        <v>5.0</v>
      </c>
    </row>
    <row r="956" ht="15.75" customHeight="1">
      <c r="A956" s="1">
        <v>954.0</v>
      </c>
      <c r="B956" s="3" t="s">
        <v>957</v>
      </c>
      <c r="C956" s="3" t="str">
        <f>IFERROR(__xludf.DUMMYFUNCTION("GOOGLETRANSLATE(B956,""id"",""en"")"),"['Adin', 'Package', 'Emergency', 'Emergency', 'Delete', 'Dizziness',' Dinaikin ',' Ride ',' Price ',' Nestle ',' Nut- ',' Darling ',' The rest of ',' pulses', 'Entar', 'Inedible', 'Internet', 'Data', 'Active', 'Reduced', 'Content', 'Package', 'Longest', '"&amp;"Inside', 'Nambah' , 'ehh', 'ehh', 'ehh', ""]")</f>
        <v>['Adin', 'Package', 'Emergency', 'Emergency', 'Delete', 'Dizziness',' Dinaikin ',' Ride ',' Price ',' Nestle ',' Nut- ',' Darling ',' The rest of ',' pulses', 'Entar', 'Inedible', 'Internet', 'Data', 'Active', 'Reduced', 'Content', 'Package', 'Longest', 'Inside', 'Nambah' , 'ehh', 'ehh', 'ehh', "]</v>
      </c>
      <c r="D956" s="3">
        <v>1.0</v>
      </c>
    </row>
    <row r="957" ht="15.75" customHeight="1">
      <c r="A957" s="1">
        <v>955.0</v>
      </c>
      <c r="B957" s="3" t="s">
        <v>958</v>
      </c>
      <c r="C957" s="3" t="str">
        <f>IFERROR(__xludf.DUMMYFUNCTION("GOOGLETRANSLATE(B957,""id"",""en"")"),"['times',' disappointed ',' wear ',' Telkomsel ',' buy ',' quota ',' wait ',' quota ',' enter ',' right ',' chek ',' dhaily ',' Dipented ',' please ',' Telkomsel ',' repaired ',' bug ',' bug ']")</f>
        <v>['times',' disappointed ',' wear ',' Telkomsel ',' buy ',' quota ',' wait ',' quota ',' enter ',' right ',' chek ',' dhaily ',' Dipented ',' please ',' Telkomsel ',' repaired ',' bug ',' bug ']</v>
      </c>
      <c r="D957" s="3">
        <v>1.0</v>
      </c>
    </row>
    <row r="958" ht="15.75" customHeight="1">
      <c r="A958" s="1">
        <v>956.0</v>
      </c>
      <c r="B958" s="3" t="s">
        <v>959</v>
      </c>
      <c r="C958" s="3" t="str">
        <f>IFERROR(__xludf.DUMMYFUNCTION("GOOGLETRANSLATE(B958,""id"",""en"")"),"['Please', 'Telkomsel', 'Region', 'Region', 'Kec', 'Leuwidamar', 'Kab', 'Lebak', 'Prov', 'Banten', 'here', 'comfortable', ' use ',' play ',' game ',' ping ',' stable ',' price ',' package ',' expensive ',' comfortable ',' please ',' fix ']")</f>
        <v>['Please', 'Telkomsel', 'Region', 'Region', 'Kec', 'Leuwidamar', 'Kab', 'Lebak', 'Prov', 'Banten', 'here', 'comfortable', ' use ',' play ',' game ',' ping ',' stable ',' price ',' package ',' expensive ',' comfortable ',' please ',' fix ']</v>
      </c>
      <c r="D958" s="3">
        <v>1.0</v>
      </c>
    </row>
    <row r="959" ht="15.75" customHeight="1">
      <c r="A959" s="1">
        <v>957.0</v>
      </c>
      <c r="B959" s="3" t="s">
        <v>960</v>
      </c>
      <c r="C959" s="3" t="str">
        <f>IFERROR(__xludf.DUMMYFUNCTION("GOOGLETRANSLATE(B959,""id"",""en"")"),"['contents',' pulse ',' sudden ',' pulse ',' abis', 'it open', 'minute', 'pulse', 'contents',' value ',' pulse ',' disappear ',' Remaining ',' Disappointed ',' ']")</f>
        <v>['contents',' pulse ',' sudden ',' pulse ',' abis', 'it open', 'minute', 'pulse', 'contents',' value ',' pulse ',' disappear ',' Remaining ',' Disappointed ',' ']</v>
      </c>
      <c r="D959" s="3">
        <v>2.0</v>
      </c>
    </row>
    <row r="960" ht="15.75" customHeight="1">
      <c r="A960" s="1">
        <v>958.0</v>
      </c>
      <c r="B960" s="3" t="s">
        <v>961</v>
      </c>
      <c r="C960" s="3" t="str">
        <f>IFERROR(__xludf.DUMMYFUNCTION("GOOGLETRANSLATE(B960,""id"",""en"")"),"['expensive', 'wasteful', 'provider', 'already', 'get', 'money', 'Telkomsel', 'Hello', 'Kick', 'get', 'move', 'post', ' Pay ',' regret ',' cave ',' Matiin ',' card ']")</f>
        <v>['expensive', 'wasteful', 'provider', 'already', 'get', 'money', 'Telkomsel', 'Hello', 'Kick', 'get', 'move', 'post', ' Pay ',' regret ',' cave ',' Matiin ',' card ']</v>
      </c>
      <c r="D960" s="3">
        <v>1.0</v>
      </c>
    </row>
    <row r="961" ht="15.75" customHeight="1">
      <c r="A961" s="1">
        <v>959.0</v>
      </c>
      <c r="B961" s="3" t="s">
        <v>962</v>
      </c>
      <c r="C961" s="3" t="str">
        <f>IFERROR(__xludf.DUMMYFUNCTION("GOOGLETRANSLATE(B961,""id"",""en"")"),"['Feature', 'link', 'help', 'download', 'APK', 'Ribet', ""]")</f>
        <v>['Feature', 'link', 'help', 'download', 'APK', 'Ribet', "]</v>
      </c>
      <c r="D961" s="3">
        <v>1.0</v>
      </c>
    </row>
    <row r="962" ht="15.75" customHeight="1">
      <c r="A962" s="1">
        <v>960.0</v>
      </c>
      <c r="B962" s="3" t="s">
        <v>963</v>
      </c>
      <c r="C962" s="3" t="str">
        <f>IFERROR(__xludf.DUMMYFUNCTION("GOOGLETRANSLATE(B962,""id"",""en"")"),"['', 'emang', 'fast', 'Hajj', 'all', 'price', 'kouta', 'expensive', 'bat', 'oath', 'mrnding', 'cave', 'APK ', 'make a loss', '']")</f>
        <v>['', 'emang', 'fast', 'Hajj', 'all', 'price', 'kouta', 'expensive', 'bat', 'oath', 'mrnding', 'cave', 'APK ', 'make a loss', '']</v>
      </c>
      <c r="D962" s="3">
        <v>1.0</v>
      </c>
    </row>
    <row r="963" ht="15.75" customHeight="1">
      <c r="A963" s="1">
        <v>961.0</v>
      </c>
      <c r="B963" s="3" t="s">
        <v>964</v>
      </c>
      <c r="C963" s="3" t="str">
        <f>IFERROR(__xludf.DUMMYFUNCTION("GOOGLETRANSLATE(B963,""id"",""en"")"),"['Package', 'Internet', 'Maling', 'Credit', 'Regular', 'Suck', 'Credit', 'Credit', 'Out', 'Make', 'Axis',' Menu ',' CONCLI ',' Credit ',' Males', 'ISI', 'Credit', '']")</f>
        <v>['Package', 'Internet', 'Maling', 'Credit', 'Regular', 'Suck', 'Credit', 'Credit', 'Out', 'Make', 'Axis',' Menu ',' CONCLI ',' Credit ',' Males', 'ISI', 'Credit', '']</v>
      </c>
      <c r="D963" s="3">
        <v>1.0</v>
      </c>
    </row>
    <row r="964" ht="15.75" customHeight="1">
      <c r="A964" s="1">
        <v>962.0</v>
      </c>
      <c r="B964" s="3" t="s">
        <v>965</v>
      </c>
      <c r="C964" s="3" t="str">
        <f>IFERROR(__xludf.DUMMYFUNCTION("GOOGLETRANSLATE(B964,""id"",""en"")"),"['UPgread', 'version', 'the latest', 'promo', 'me', 'buy', 'missing', 'where', 'price', 'package', 'internet', 'expensive', ' GB ',' RbU ',' GB ',' Rbu ',' I ',' Make ',' Telkomsel ',' Kareanana ',' Package ',' Reason ',' Package ',' internet ',' Cheap ' "&amp;", 'Kulitas', 'good', 'I', 'like', 'version', '']")</f>
        <v>['UPgread', 'version', 'the latest', 'promo', 'me', 'buy', 'missing', 'where', 'price', 'package', 'internet', 'expensive', ' GB ',' RbU ',' GB ',' Rbu ',' I ',' Make ',' Telkomsel ',' Kareanana ',' Package ',' Reason ',' Package ',' internet ',' Cheap ' , 'Kulitas', 'good', 'I', 'like', 'version', '']</v>
      </c>
      <c r="D964" s="3">
        <v>1.0</v>
      </c>
    </row>
    <row r="965" ht="15.75" customHeight="1">
      <c r="A965" s="1">
        <v>963.0</v>
      </c>
      <c r="B965" s="3" t="s">
        <v>966</v>
      </c>
      <c r="C965" s="3" t="str">
        <f>IFERROR(__xludf.DUMMYFUNCTION("GOOGLETRANSLATE(B965,""id"",""en"")"),"['ugly', 'opened', 'right', 'check', 'quota', 'disappointing', 'application', 'jammed', 'opened', 'gini', 'download', 'waste', ' Discard ',' Package ',' Data ',' Exchange ',' Point ',' Check ',' Looks', 'Result', 'Understanding', 'Very', 'Disepointed', 'C"&amp;"ontents',' balance ' , 'pulses', 'Rb', 'just', 'GB', 'I mean']")</f>
        <v>['ugly', 'opened', 'right', 'check', 'quota', 'disappointing', 'application', 'jammed', 'opened', 'gini', 'download', 'waste', ' Discard ',' Package ',' Data ',' Exchange ',' Point ',' Check ',' Looks', 'Result', 'Understanding', 'Very', 'Disepointed', 'Contents',' balance ' , 'pulses', 'Rb', 'just', 'GB', 'I mean']</v>
      </c>
      <c r="D965" s="3">
        <v>1.0</v>
      </c>
    </row>
    <row r="966" ht="15.75" customHeight="1">
      <c r="A966" s="1">
        <v>964.0</v>
      </c>
      <c r="B966" s="3" t="s">
        <v>967</v>
      </c>
      <c r="C966" s="3" t="str">
        <f>IFERROR(__xludf.DUMMYFUNCTION("GOOGLETRANSLATE(B966,""id"",""en"")"),"['App', 'updated', 'updated', 'enter', 'right', 'open', 'App', 'update', 'update', 'what', ""]")</f>
        <v>['App', 'updated', 'updated', 'enter', 'right', 'open', 'App', 'update', 'update', 'what', "]</v>
      </c>
      <c r="D966" s="3">
        <v>1.0</v>
      </c>
    </row>
    <row r="967" ht="15.75" customHeight="1">
      <c r="A967" s="1">
        <v>965.0</v>
      </c>
      <c r="B967" s="3" t="s">
        <v>968</v>
      </c>
      <c r="C967" s="3" t="str">
        <f>IFERROR(__xludf.DUMMYFUNCTION("GOOGLETRANSLATE(B967,""id"",""en"")"),"['Disappointed', 'quota', 'reduced', 'quota', 'treated', 'please', 'Telkomsel', 'like', 'so', 'look for', 'money', ""]")</f>
        <v>['Disappointed', 'quota', 'reduced', 'quota', 'treated', 'please', 'Telkomsel', 'like', 'so', 'look for', 'money', "]</v>
      </c>
      <c r="D967" s="3">
        <v>1.0</v>
      </c>
    </row>
    <row r="968" ht="15.75" customHeight="1">
      <c r="A968" s="1">
        <v>966.0</v>
      </c>
      <c r="B968" s="3" t="s">
        <v>969</v>
      </c>
      <c r="C968" s="3" t="str">
        <f>IFERROR(__xludf.DUMMYFUNCTION("GOOGLETRANSLATE(B968,""id"",""en"")"),"['Daily', 'Chekin', 'Ter', 'Date', 'Blum', 'Out', 'Tar', 'Admin', 'comment', 'Please', 'Sorry', 'Basi']")</f>
        <v>['Daily', 'Chekin', 'Ter', 'Date', 'Blum', 'Out', 'Tar', 'Admin', 'comment', 'Please', 'Sorry', 'Basi']</v>
      </c>
      <c r="D968" s="3">
        <v>1.0</v>
      </c>
    </row>
    <row r="969" ht="15.75" customHeight="1">
      <c r="A969" s="1">
        <v>967.0</v>
      </c>
      <c r="B969" s="3" t="s">
        <v>970</v>
      </c>
      <c r="C969" s="3" t="str">
        <f>IFERROR(__xludf.DUMMYFUNCTION("GOOGLETRANSLATE(B969,""id"",""en"")"),"['Severe', 'replace', 'logo', 'knp', 'quota', 'expensive', 'price', 'based', 'loyalty', 'knp', 'pdhal', 'buy', ' BUMN ',' Build ',' Negri ',' Indonesia ', ""]")</f>
        <v>['Severe', 'replace', 'logo', 'knp', 'quota', 'expensive', 'price', 'based', 'loyalty', 'knp', 'pdhal', 'buy', ' BUMN ',' Build ',' Negri ',' Indonesia ', "]</v>
      </c>
      <c r="D969" s="3">
        <v>1.0</v>
      </c>
    </row>
    <row r="970" ht="15.75" customHeight="1">
      <c r="A970" s="1">
        <v>968.0</v>
      </c>
      <c r="B970" s="3" t="s">
        <v>971</v>
      </c>
      <c r="C970" s="3" t="str">
        <f>IFERROR(__xludf.DUMMYFUNCTION("GOOGLETRANSLATE(B970,""id"",""en"")"),"['complicated', 'entered', 'buy', 'quota', 'then', 'was corrected', 'apps',' Telkomsel ',' already ',' download ',' login ',' enter ',' Register ',' use ',' Jga ',' GMNA ',' Telkomsel ', ""]")</f>
        <v>['complicated', 'entered', 'buy', 'quota', 'then', 'was corrected', 'apps',' Telkomsel ',' already ',' download ',' login ',' enter ',' Register ',' use ',' Jga ',' GMNA ',' Telkomsel ', "]</v>
      </c>
      <c r="D970" s="3">
        <v>1.0</v>
      </c>
    </row>
    <row r="971" ht="15.75" customHeight="1">
      <c r="A971" s="1">
        <v>969.0</v>
      </c>
      <c r="B971" s="3" t="s">
        <v>972</v>
      </c>
      <c r="C971" s="3" t="str">
        <f>IFERROR(__xludf.DUMMYFUNCTION("GOOGLETRANSLATE(B971,""id"",""en"")"),"['buy', 'package', 'internet', 'TLP', 'Telkomsel', 'Minute', 'TPI', 'right', 'buy', 'Package', 'call', 'minutes',' minutes', 'missing', 'anjirr', 'disappointed', 'really', '']")</f>
        <v>['buy', 'package', 'internet', 'TLP', 'Telkomsel', 'Minute', 'TPI', 'right', 'buy', 'Package', 'call', 'minutes',' minutes', 'missing', 'anjirr', 'disappointed', 'really', '']</v>
      </c>
      <c r="D971" s="3">
        <v>1.0</v>
      </c>
    </row>
    <row r="972" ht="15.75" customHeight="1">
      <c r="A972" s="1">
        <v>970.0</v>
      </c>
      <c r="B972" s="3" t="s">
        <v>973</v>
      </c>
      <c r="C972" s="3" t="str">
        <f>IFERROR(__xludf.DUMMYFUNCTION("GOOGLETRANSLATE(B972,""id"",""en"")"),"['list', 'package', 'intrnet', 'sya', 'telkomsel', 'different', 'pdhal', 'high school', 'user', 'telkomsel', 'list', 'package', ' different', '']")</f>
        <v>['list', 'package', 'intrnet', 'sya', 'telkomsel', 'different', 'pdhal', 'high school', 'user', 'telkomsel', 'list', 'package', ' different', '']</v>
      </c>
      <c r="D972" s="3">
        <v>1.0</v>
      </c>
    </row>
    <row r="973" ht="15.75" customHeight="1">
      <c r="A973" s="1">
        <v>971.0</v>
      </c>
      <c r="B973" s="3" t="s">
        <v>974</v>
      </c>
      <c r="C973" s="3" t="str">
        <f>IFERROR(__xludf.DUMMYFUNCTION("GOOGLETRANSLATE(B973,""id"",""en"")"),"['The network', 'okay', 'min', 'skrng', 'sucked', 'pulse', 'tdi', 'right', 'check', 'lgi', 'ilang', 'kmn', ' pulse ',' just ',' really ',' min ',' Please ',' fix ',' min ',' already ',' believe ',' Telkomsel ',' disappointed ',' consumer ', ""]")</f>
        <v>['The network', 'okay', 'min', 'skrng', 'sucked', 'pulse', 'tdi', 'right', 'check', 'lgi', 'ilang', 'kmn', ' pulse ',' just ',' really ',' min ',' Please ',' fix ',' min ',' already ',' believe ',' Telkomsel ',' disappointed ',' consumer ', "]</v>
      </c>
      <c r="D973" s="3">
        <v>1.0</v>
      </c>
    </row>
    <row r="974" ht="15.75" customHeight="1">
      <c r="A974" s="1">
        <v>972.0</v>
      </c>
      <c r="B974" s="3" t="s">
        <v>975</v>
      </c>
      <c r="C974" s="3" t="str">
        <f>IFERROR(__xludf.DUMMYFUNCTION("GOOGLETRANSLATE(B974,""id"",""en"")"),"['Please', 'signal', 'emotions',' play ',' game ',' feel ',' torment ',' hell ',' send ',' notification ',' repair ',' buy ',' Comfort ',' Consumer ',' ']")</f>
        <v>['Please', 'signal', 'emotions',' play ',' game ',' feel ',' torment ',' hell ',' send ',' notification ',' repair ',' buy ',' Comfort ',' Consumer ',' ']</v>
      </c>
      <c r="D974" s="3">
        <v>1.0</v>
      </c>
    </row>
    <row r="975" ht="15.75" customHeight="1">
      <c r="A975" s="1">
        <v>973.0</v>
      </c>
      <c r="B975" s="3" t="s">
        <v>976</v>
      </c>
      <c r="C975" s="3" t="str">
        <f>IFERROR(__xludf.DUMMYFUNCTION("GOOGLETRANSLATE(B975,""id"",""en"")"),"['Network', 'rich', 'play', 'game', 'Impossible', 'connection', 'missing', 'the weather', 'bright', 'kah', 'fix', 'lose', ' Propaidider ',' next door ',' wkwkwkwk ']")</f>
        <v>['Network', 'rich', 'play', 'game', 'Impossible', 'connection', 'missing', 'the weather', 'bright', 'kah', 'fix', 'lose', ' Propaidider ',' next door ',' wkwkwkwk ']</v>
      </c>
      <c r="D975" s="3">
        <v>1.0</v>
      </c>
    </row>
    <row r="976" ht="15.75" customHeight="1">
      <c r="A976" s="1">
        <v>974.0</v>
      </c>
      <c r="B976" s="3" t="s">
        <v>977</v>
      </c>
      <c r="C976" s="3" t="str">
        <f>IFERROR(__xludf.DUMMYFUNCTION("GOOGLETRANSLATE(B976,""id"",""en"")"),"['Phone', 'Please', 'Sorry', 'Request', 'Process', 'Please', 'Love', 'Response', 'Telkomsel', 'Fix']")</f>
        <v>['Phone', 'Please', 'Sorry', 'Request', 'Process', 'Please', 'Love', 'Response', 'Telkomsel', 'Fix']</v>
      </c>
      <c r="D976" s="3">
        <v>1.0</v>
      </c>
    </row>
    <row r="977" ht="15.75" customHeight="1">
      <c r="A977" s="1">
        <v>975.0</v>
      </c>
      <c r="B977" s="3" t="s">
        <v>978</v>
      </c>
      <c r="C977" s="3" t="str">
        <f>IFERROR(__xludf.DUMMYFUNCTION("GOOGLETRANSLATE(B977,""id"",""en"")"),"['signal', 'full', 'right', 'use', 'play', 'ngelag', 'mulu', 'suggest', 'use', 'card', 'Telkomsel', 'my apk', ' Kayak ',' bad ']")</f>
        <v>['signal', 'full', 'right', 'use', 'play', 'ngelag', 'mulu', 'suggest', 'use', 'card', 'Telkomsel', 'my apk', ' Kayak ',' bad ']</v>
      </c>
      <c r="D977" s="3">
        <v>1.0</v>
      </c>
    </row>
    <row r="978" ht="15.75" customHeight="1">
      <c r="A978" s="1">
        <v>976.0</v>
      </c>
      <c r="B978" s="3" t="s">
        <v>979</v>
      </c>
      <c r="C978" s="3" t="str">
        <f>IFERROR(__xludf.DUMMYFUNCTION("GOOGLETRANSLATE(B978,""id"",""en"")"),"['signal', 'train', 'ugly', 'tool', 'heavy', 'operational', 'ugly', 'motor', 'ugly', 'developer', 'customer', 'complain', ' Response ',' fix ',' signal ',' emang ',' broken ',' mechanical ',' program ',' ']")</f>
        <v>['signal', 'train', 'ugly', 'tool', 'heavy', 'operational', 'ugly', 'motor', 'ugly', 'developer', 'customer', 'complain', ' Response ',' fix ',' signal ',' emang ',' broken ',' mechanical ',' program ',' ']</v>
      </c>
      <c r="D978" s="3">
        <v>1.0</v>
      </c>
    </row>
    <row r="979" ht="15.75" customHeight="1">
      <c r="A979" s="1">
        <v>977.0</v>
      </c>
      <c r="B979" s="3" t="s">
        <v>980</v>
      </c>
      <c r="C979" s="3" t="str">
        <f>IFERROR(__xludf.DUMMYFUNCTION("GOOGLETRANSLATE(B979,""id"",""en"")"),"['Disappointed', 'Telkomsel', 'Purchase', 'City', 'overcome it', 'Download', 'Telkomsel']")</f>
        <v>['Disappointed', 'Telkomsel', 'Purchase', 'City', 'overcome it', 'Download', 'Telkomsel']</v>
      </c>
      <c r="D979" s="3">
        <v>1.0</v>
      </c>
    </row>
    <row r="980" ht="15.75" customHeight="1">
      <c r="A980" s="1">
        <v>978.0</v>
      </c>
      <c r="B980" s="3" t="s">
        <v>981</v>
      </c>
      <c r="C980" s="3" t="str">
        <f>IFERROR(__xludf.DUMMYFUNCTION("GOOGLETRANSLATE(B980,""id"",""en"")"),"['Package', 'Combo', 'Sakti', 'Unlimited', 'Available', 'Please', 'Package', 'Combo', 'Sakti', 'Unlimited', 'Help', 'Student', ' Save ',' expenses', 'Costs',' quota ']")</f>
        <v>['Package', 'Combo', 'Sakti', 'Unlimited', 'Available', 'Please', 'Package', 'Combo', 'Sakti', 'Unlimited', 'Help', 'Student', ' Save ',' expenses', 'Costs',' quota ']</v>
      </c>
      <c r="D980" s="3">
        <v>1.0</v>
      </c>
    </row>
    <row r="981" ht="15.75" customHeight="1">
      <c r="A981" s="1">
        <v>979.0</v>
      </c>
      <c r="B981" s="3" t="s">
        <v>982</v>
      </c>
      <c r="C981" s="3" t="str">
        <f>IFERROR(__xludf.DUMMYFUNCTION("GOOGLETRANSLATE(B981,""id"",""en"")"),"['Package', 'used', 'package', 'active', 'plus', 'package', 'bought', 'reduced', 'detrimental', 'consumer', 'Telkomsel', 'number']")</f>
        <v>['Package', 'used', 'package', 'active', 'plus', 'package', 'bought', 'reduced', 'detrimental', 'consumer', 'Telkomsel', 'number']</v>
      </c>
      <c r="D981" s="3">
        <v>1.0</v>
      </c>
    </row>
    <row r="982" ht="15.75" customHeight="1">
      <c r="A982" s="1">
        <v>980.0</v>
      </c>
      <c r="B982" s="3" t="s">
        <v>983</v>
      </c>
      <c r="C982" s="3" t="str">
        <f>IFERROR(__xludf.DUMMYFUNCTION("GOOGLETRANSLATE(B982,""id"",""en"")"),"['Good', 'Please', 'Enhanced', 'Addin', 'Menu', 'Charging', 'Voucher', 'Package', 'Internet', 'APK', 'Live', 'Scan', ' Enables', 'Consumer', '']")</f>
        <v>['Good', 'Please', 'Enhanced', 'Addin', 'Menu', 'Charging', 'Voucher', 'Package', 'Internet', 'APK', 'Live', 'Scan', ' Enables', 'Consumer', '']</v>
      </c>
      <c r="D982" s="3">
        <v>5.0</v>
      </c>
    </row>
    <row r="983" ht="15.75" customHeight="1">
      <c r="A983" s="1">
        <v>981.0</v>
      </c>
      <c r="B983" s="3" t="s">
        <v>984</v>
      </c>
      <c r="C983" s="3" t="str">
        <f>IFERROR(__xludf.DUMMYFUNCTION("GOOGLETRANSLATE(B983,""id"",""en"")"),"['no', 'entry', 'sense', 'price', 'package', 'signal', 'like', 'down', 'yaudah', 'deh', 'star', 'star', ' select']")</f>
        <v>['no', 'entry', 'sense', 'price', 'package', 'signal', 'like', 'down', 'yaudah', 'deh', 'star', 'star', ' select']</v>
      </c>
      <c r="D983" s="3">
        <v>1.0</v>
      </c>
    </row>
    <row r="984" ht="15.75" customHeight="1">
      <c r="A984" s="1">
        <v>982.0</v>
      </c>
      <c r="B984" s="3" t="s">
        <v>985</v>
      </c>
      <c r="C984" s="3" t="str">
        <f>IFERROR(__xludf.DUMMYFUNCTION("GOOGLETRANSLATE(B984,""id"",""en"")"),"['Error', 'process', 'enter', 'application', 'bad', 'application', 'APK', 'owner', 'network', 'bad', ""]")</f>
        <v>['Error', 'process', 'enter', 'application', 'bad', 'application', 'APK', 'owner', 'network', 'bad', "]</v>
      </c>
      <c r="D984" s="3">
        <v>1.0</v>
      </c>
    </row>
    <row r="985" ht="15.75" customHeight="1">
      <c r="A985" s="1">
        <v>983.0</v>
      </c>
      <c r="B985" s="3" t="s">
        <v>986</v>
      </c>
      <c r="C985" s="3" t="str">
        <f>IFERROR(__xludf.DUMMYFUNCTION("GOOGLETRANSLATE(B985,""id"",""en"")"),"['application', 'good', 'makes it easy', 'loss',' beta ',' surprised ',' pulse ',' missing ',' pulse ',' check ',' stay ',' subscribe ',' package ',' anything ',' loss', 'betaaaaa']")</f>
        <v>['application', 'good', 'makes it easy', 'loss',' beta ',' surprised ',' pulse ',' missing ',' pulse ',' check ',' stay ',' subscribe ',' package ',' anything ',' loss', 'betaaaaa']</v>
      </c>
      <c r="D985" s="3">
        <v>1.0</v>
      </c>
    </row>
    <row r="986" ht="15.75" customHeight="1">
      <c r="A986" s="1">
        <v>984.0</v>
      </c>
      <c r="B986" s="3" t="s">
        <v>987</v>
      </c>
      <c r="C986" s="3" t="str">
        <f>IFERROR(__xludf.DUMMYFUNCTION("GOOGLETRANSLATE(B986,""id"",""en"")"),"['update', 'difficult', 'enter', 'APS', 'repeated', 'told', 'Load', 'reset', 'unfortunate', 'easy', 'open', 'Telkomsel', ' check ',' quota ',' difficult ',' tuk ',' open ',' application ',' easy ',' telkomsel ',' difficult ',' tuk ',' entry ',' ']")</f>
        <v>['update', 'difficult', 'enter', 'APS', 'repeated', 'told', 'Load', 'reset', 'unfortunate', 'easy', 'open', 'Telkomsel', ' check ',' quota ',' difficult ',' tuk ',' open ',' application ',' easy ',' telkomsel ',' difficult ',' tuk ',' entry ',' ']</v>
      </c>
      <c r="D986" s="3">
        <v>3.0</v>
      </c>
    </row>
    <row r="987" ht="15.75" customHeight="1">
      <c r="A987" s="1">
        <v>985.0</v>
      </c>
      <c r="B987" s="3" t="s">
        <v>988</v>
      </c>
      <c r="C987" s="3" t="str">
        <f>IFERROR(__xludf.DUMMYFUNCTION("GOOGLETRANSLATE(B987,""id"",""en"")"),"['Install', 'apk', 'Telkomsel', 'opened', 'package', 'cheap', 'appeal', 'apk', 'telkomsel', 'uninstall', 'tetep', 'regret', ' Download ',' application ',' ']")</f>
        <v>['Install', 'apk', 'Telkomsel', 'opened', 'package', 'cheap', 'appeal', 'apk', 'telkomsel', 'uninstall', 'tetep', 'regret', ' Download ',' application ',' ']</v>
      </c>
      <c r="D987" s="3">
        <v>1.0</v>
      </c>
    </row>
    <row r="988" ht="15.75" customHeight="1">
      <c r="A988" s="1">
        <v>986.0</v>
      </c>
      <c r="B988" s="3" t="s">
        <v>989</v>
      </c>
      <c r="C988" s="3" t="str">
        <f>IFERROR(__xludf.DUMMYFUNCTION("GOOGLETRANSLATE(B988,""id"",""en"")"),"['Disappointed', 'Disappointed', 'APK', 'TLKMSL', 'Lemot', 'Subscriptions',' Package ',' Combo ',' Sakti ',' Lost ',' Buy ',' Jugu ',' Buy ',' already ',' ADALIAL ',' Card ',' Telkomsel ',' Mending ',' Change ',' Card ',' Easy ',' Access', 'Cheap', 'Card'"&amp;", 'Tlp' , 'CET', 'NET', 'Search', 'Card', 'Communication', '']")</f>
        <v>['Disappointed', 'Disappointed', 'APK', 'TLKMSL', 'Lemot', 'Subscriptions',' Package ',' Combo ',' Sakti ',' Lost ',' Buy ',' Jugu ',' Buy ',' already ',' ADALIAL ',' Card ',' Telkomsel ',' Mending ',' Change ',' Card ',' Easy ',' Access', 'Cheap', 'Card', 'Tlp' , 'CET', 'NET', 'Search', 'Card', 'Communication', '']</v>
      </c>
      <c r="D988" s="3">
        <v>1.0</v>
      </c>
    </row>
    <row r="989" ht="15.75" customHeight="1">
      <c r="A989" s="1">
        <v>987.0</v>
      </c>
      <c r="B989" s="3" t="s">
        <v>990</v>
      </c>
      <c r="C989" s="3" t="str">
        <f>IFERROR(__xludf.DUMMYFUNCTION("GOOGLETRANSLATE(B989,""id"",""en"")"),"['oath', 'Season', 'really', 'Telkomsel', 'contents',' credit ',' pulse ',' cut ',' debt ',' Telkomsel ',' packagein ',' expensive ',' lost ',' package ',' buy ',' oath ',' gedek ',' really ',' see ',' Telkomsel ',' times', 'many', 'times',' fix it ',' re"&amp;"ally ' , '']")</f>
        <v>['oath', 'Season', 'really', 'Telkomsel', 'contents',' credit ',' pulse ',' cut ',' debt ',' Telkomsel ',' packagein ',' expensive ',' lost ',' package ',' buy ',' oath ',' gedek ',' really ',' see ',' Telkomsel ',' times', 'many', 'times',' fix it ',' really ' , '']</v>
      </c>
      <c r="D989" s="3">
        <v>1.0</v>
      </c>
    </row>
    <row r="990" ht="15.75" customHeight="1">
      <c r="A990" s="1">
        <v>988.0</v>
      </c>
      <c r="B990" s="3" t="s">
        <v>991</v>
      </c>
      <c r="C990" s="3" t="str">
        <f>IFERROR(__xludf.DUMMYFUNCTION("GOOGLETRANSLATE(B990,""id"",""en"")"),"['Update', 'open', 'Uninstall', 'Install', 'reset', 'Login', 'Responsibility', 'Reduced', 'Update', 'Transaction', 'Link', 'Moving', ' Application ',' Link ',' Transaction ',' Success', 'Auto', 'Home', 'Telkomsel', 'Display', 'Payment', 'Transaction', 'Pa"&amp;"ying', 'Success',' Paying ' , 'Link', 'hope', 'repaired', 'simple', '']")</f>
        <v>['Update', 'open', 'Uninstall', 'Install', 'reset', 'Login', 'Responsibility', 'Reduced', 'Update', 'Transaction', 'Link', 'Moving', ' Application ',' Link ',' Transaction ',' Success', 'Auto', 'Home', 'Telkomsel', 'Display', 'Payment', 'Transaction', 'Paying', 'Success',' Paying ' , 'Link', 'hope', 'repaired', 'simple', '']</v>
      </c>
      <c r="D990" s="3">
        <v>2.0</v>
      </c>
    </row>
    <row r="991" ht="15.75" customHeight="1">
      <c r="A991" s="1">
        <v>989.0</v>
      </c>
      <c r="B991" s="3" t="s">
        <v>992</v>
      </c>
      <c r="C991" s="3" t="str">
        <f>IFERROR(__xludf.DUMMYFUNCTION("GOOGLETRANSLATE(B991,""id"",""en"")"),"['quota', 'unlimited', 'a month', 'application', 'difficult', 'opened', 'loading', 'loading', 'trs']")</f>
        <v>['quota', 'unlimited', 'a month', 'application', 'difficult', 'opened', 'loading', 'loading', 'trs']</v>
      </c>
      <c r="D991" s="3">
        <v>1.0</v>
      </c>
    </row>
    <row r="992" ht="15.75" customHeight="1">
      <c r="A992" s="1">
        <v>990.0</v>
      </c>
      <c r="B992" s="3" t="s">
        <v>993</v>
      </c>
      <c r="C992" s="3" t="str">
        <f>IFERROR(__xludf.DUMMYFUNCTION("GOOGLETRANSLATE(B992,""id"",""en"")"),"['Please', 'Min', 'Love', 'Promo', 'Kayak', 'Card', 'Sakti', 'Min', 'GB', 'GB', 'Pandemic', 'Kayak', ' Gini ',' It's hard ',' really ',' CARU ',' money ',' my work ',' employees', 'home', 'eat', 'my salary', 'per month', 'Nda', 'according to' , 'Expenditu"&amp;"res', 'Entar', 'UDH', 'DPAT', 'PROMO', 'NNTI', 'Addin', 'Deh', 'Bintang', 'Review', '']")</f>
        <v>['Please', 'Min', 'Love', 'Promo', 'Kayak', 'Card', 'Sakti', 'Min', 'GB', 'GB', 'Pandemic', 'Kayak', ' Gini ',' It's hard ',' really ',' CARU ',' money ',' my work ',' employees', 'home', 'eat', 'my salary', 'per month', 'Nda', 'according to' , 'Expenditures', 'Entar', 'UDH', 'DPAT', 'PROMO', 'NNTI', 'Addin', 'Deh', 'Bintang', 'Review', '']</v>
      </c>
      <c r="D992" s="3">
        <v>5.0</v>
      </c>
    </row>
    <row r="993" ht="15.75" customHeight="1">
      <c r="A993" s="1">
        <v>991.0</v>
      </c>
      <c r="B993" s="3" t="s">
        <v>994</v>
      </c>
      <c r="C993" s="3" t="str">
        <f>IFERROR(__xludf.DUMMYFUNCTION("GOOGLETRANSLATE(B993,""id"",""en"")"),"['process',' open ',' closed ',' application ',' operation ',' slow ',' really ',' appears', 'warning', 'connection', 'fail', 'package', ' Data ',' signal ',' consumption ',' power ',' battery ',' wasteful ',' really ',' game ',' pub ',' seboros', 'beg', "&amp;"'repair', 'bug' , 'Update', 'Sepe', '']")</f>
        <v>['process',' open ',' closed ',' application ',' operation ',' slow ',' really ',' appears', 'warning', 'connection', 'fail', 'package', ' Data ',' signal ',' consumption ',' power ',' battery ',' wasteful ',' really ',' game ',' pub ',' seboros', 'beg', 'repair', 'bug' , 'Update', 'Sepe', '']</v>
      </c>
      <c r="D993" s="3">
        <v>1.0</v>
      </c>
    </row>
    <row r="994" ht="15.75" customHeight="1">
      <c r="A994" s="1">
        <v>992.0</v>
      </c>
      <c r="B994" s="3" t="s">
        <v>995</v>
      </c>
      <c r="C994" s="3" t="str">
        <f>IFERROR(__xludf.DUMMYFUNCTION("GOOGLETRANSLATE(B994,""id"",""en"")"),"['How', 'access',' View ',' Promo ',' Shopping ',' QOAta ',' internet ',' buy ',' pulse ',' must ',' buy ',' right ',' Promo ',' MyTelkomsel ']")</f>
        <v>['How', 'access',' View ',' Promo ',' Shopping ',' QOAta ',' internet ',' buy ',' pulse ',' must ',' buy ',' right ',' Promo ',' MyTelkomsel ']</v>
      </c>
      <c r="D994" s="3">
        <v>4.0</v>
      </c>
    </row>
    <row r="995" ht="15.75" customHeight="1">
      <c r="A995" s="1">
        <v>993.0</v>
      </c>
      <c r="B995" s="3" t="s">
        <v>996</v>
      </c>
      <c r="C995" s="3" t="str">
        <f>IFERROR(__xludf.DUMMYFUNCTION("GOOGLETRANSLATE(B995,""id"",""en"")"),"['Not bad', 'good', 'infox', 'darling', 'obstacles',' signal ',' errors', 'disappointed', 'package', 'muahhaall', 'service', 'down', ' application ',' ugly ',' really ',' told ',' update ',' muter ',' waste ',' the application ',' ']")</f>
        <v>['Not bad', 'good', 'infox', 'darling', 'obstacles',' signal ',' errors', 'disappointed', 'package', 'muahhaall', 'service', 'down', ' application ',' ugly ',' really ',' told ',' update ',' muter ',' waste ',' the application ',' ']</v>
      </c>
      <c r="D995" s="3">
        <v>4.0</v>
      </c>
    </row>
    <row r="996" ht="15.75" customHeight="1">
      <c r="A996" s="1">
        <v>994.0</v>
      </c>
      <c r="B996" s="3" t="s">
        <v>997</v>
      </c>
      <c r="C996" s="3" t="str">
        <f>IFERROR(__xludf.DUMMYFUNCTION("GOOGLETRANSLATE(B996,""id"",""en"")"),"['multimedia', 'watch', 'local', 'quota', 'dipake', 'GB', 'charred', 'because', 'use', 'please', 'fix', 'divide', ' package ',' name ',' strange ',' tip ',' quota ',' used ',' buy ',' package ',' expensive ',' quota ',' use ']")</f>
        <v>['multimedia', 'watch', 'local', 'quota', 'dipake', 'GB', 'charred', 'because', 'use', 'please', 'fix', 'divide', ' package ',' name ',' strange ',' tip ',' quota ',' used ',' buy ',' package ',' expensive ',' quota ',' use ']</v>
      </c>
      <c r="D996" s="3">
        <v>2.0</v>
      </c>
    </row>
    <row r="997" ht="15.75" customHeight="1">
      <c r="A997" s="1">
        <v>995.0</v>
      </c>
      <c r="B997" s="3" t="s">
        <v>998</v>
      </c>
      <c r="C997" s="3" t="str">
        <f>IFERROR(__xludf.DUMMYFUNCTION("GOOGLETRANSLATE(B997,""id"",""en"")"),"['buy', 'package', 'internet', 'check', 'balance', 'leftover', 'go', 'menu', 'purchase', 'package', 'promo', 'apps',' Charging ',' balance ',' enter ',' promo ',' lost ',' purchase ',' janc ', ""]")</f>
        <v>['buy', 'package', 'internet', 'check', 'balance', 'leftover', 'go', 'menu', 'purchase', 'package', 'promo', 'apps',' Charging ',' balance ',' enter ',' promo ',' lost ',' purchase ',' janc ', "]</v>
      </c>
      <c r="D997" s="3">
        <v>1.0</v>
      </c>
    </row>
    <row r="998" ht="15.75" customHeight="1">
      <c r="A998" s="1">
        <v>996.0</v>
      </c>
      <c r="B998" s="3" t="s">
        <v>999</v>
      </c>
      <c r="C998" s="3" t="str">
        <f>IFERROR(__xludf.DUMMYFUNCTION("GOOGLETRANSLATE(B998,""id"",""en"")"),"['pride', 'heart', 'introduces',' Telkomsel ',' friend ',' brother ',' the application ',' slow ',' abis', 'use', 'RAM', 'Please', ' The solution is 'admin']")</f>
        <v>['pride', 'heart', 'introduces',' Telkomsel ',' friend ',' brother ',' the application ',' slow ',' abis', 'use', 'RAM', 'Please', ' The solution is 'admin']</v>
      </c>
      <c r="D998" s="3">
        <v>3.0</v>
      </c>
    </row>
    <row r="999" ht="15.75" customHeight="1">
      <c r="A999" s="1">
        <v>997.0</v>
      </c>
      <c r="B999" s="3" t="s">
        <v>1000</v>
      </c>
      <c r="C999" s="3" t="str">
        <f>IFERROR(__xludf.DUMMYFUNCTION("GOOGLETRANSLATE(B999,""id"",""en"")"),"['Please', 'Donk', 'Covid', 'Gini', 'Hold', 'Exchange', 'Coins',' Internet ',' Pay ',' Exchange ',' Coin ',' Internet ',' cost']")</f>
        <v>['Please', 'Donk', 'Covid', 'Gini', 'Hold', 'Exchange', 'Coins',' Internet ',' Pay ',' Exchange ',' Coin ',' Internet ',' cost']</v>
      </c>
      <c r="D999" s="3">
        <v>4.0</v>
      </c>
    </row>
    <row r="1000" ht="15.75" customHeight="1">
      <c r="A1000" s="1">
        <v>998.0</v>
      </c>
      <c r="B1000" s="3" t="s">
        <v>1001</v>
      </c>
      <c r="C1000" s="3" t="str">
        <f>IFERROR(__xludf.DUMMYFUNCTION("GOOGLETRANSLATE(B1000,""id"",""en"")"),"['Package', 'Telkomsel', 'already', 'expensive', 'signal', 'strong', 'cloudy', 'already', 'severe', 'signal', 'rain', 'cloud', ' it works', 'kalok', 'fix', 'doang', 'price', 'expensive', 'lead', 'back', 'expensive', 'signal', 'seasonal', ""]")</f>
        <v>['Package', 'Telkomsel', 'already', 'expensive', 'signal', 'strong', 'cloudy', 'already', 'severe', 'signal', 'rain', 'cloud', ' it works', 'kalok', 'fix', 'doang', 'price', 'expensive', 'lead', 'back', 'expensive', 'signal', 'seasonal', "]</v>
      </c>
      <c r="D1000" s="3">
        <v>1.0</v>
      </c>
    </row>
    <row r="1001" ht="15.75" customHeight="1">
      <c r="A1001" s="1">
        <v>999.0</v>
      </c>
      <c r="B1001" s="3" t="s">
        <v>1002</v>
      </c>
      <c r="C1001" s="3" t="str">
        <f>IFERROR(__xludf.DUMMYFUNCTION("GOOGLETRANSLATE(B1001,""id"",""en"")"),"['check', 'complete', 'until', 'can', 'claimed', 'udh', 'limit', 'warning', 'scorched', 'udh', 'check', 'mulu', ' Can ',' Claim ',' ']")</f>
        <v>['check', 'complete', 'until', 'can', 'claimed', 'udh', 'limit', 'warning', 'scorched', 'udh', 'check', 'mulu', ' Can ',' Claim ',' ']</v>
      </c>
      <c r="D1001" s="3">
        <v>1.0</v>
      </c>
    </row>
    <row r="1002" ht="15.75" customHeight="1">
      <c r="A1002" s="1">
        <v>1000.0</v>
      </c>
      <c r="B1002" s="3" t="s">
        <v>1003</v>
      </c>
      <c r="C1002" s="3" t="str">
        <f>IFERROR(__xludf.DUMMYFUNCTION("GOOGLETRANSLATE(B1002,""id"",""en"")"),"['Telkomsel', 'Dear', 'Customer', 'Telkomsel', 'Network', 'Region', 'Kerinci', 'Jambi', 'Hamlet', 'Tanjung', 'Land', 'Kerincin', ' a week ',' experience ',' slow ',' delay ',' network ',' open ',' sosoal ',' media ',' game ',' online ',' experience ',' re"&amp;"quest ',' time ' , 'Out', 'please', 'Telkomsel', 'Dear', 'Please', 'Fix', 'Region', 'Thank you', ""]")</f>
        <v>['Telkomsel', 'Dear', 'Customer', 'Telkomsel', 'Network', 'Region', 'Kerinci', 'Jambi', 'Hamlet', 'Tanjung', 'Land', 'Kerincin', ' a week ',' experience ',' slow ',' delay ',' network ',' open ',' sosoal ',' media ',' game ',' online ',' experience ',' request ',' time ' , 'Out', 'please', 'Telkomsel', 'Dear', 'Please', 'Fix', 'Region', 'Thank you', "]</v>
      </c>
      <c r="D1002" s="3">
        <v>1.0</v>
      </c>
    </row>
    <row r="1003" ht="15.75" customHeight="1">
      <c r="A1003" s="1">
        <v>1001.0</v>
      </c>
      <c r="B1003" s="3" t="s">
        <v>1004</v>
      </c>
      <c r="C1003" s="3" t="str">
        <f>IFERROR(__xludf.DUMMYFUNCTION("GOOGLETRANSLATE(B1003,""id"",""en"")"),"['Provider', 'Service', 'Real', 'Embarrassing', 'Price', 'Package', 'Expensive', 'Network', 'Region', 'Loading', 'Loading']")</f>
        <v>['Provider', 'Service', 'Real', 'Embarrassing', 'Price', 'Package', 'Expensive', 'Network', 'Region', 'Loading', 'Loading']</v>
      </c>
      <c r="D1003" s="3">
        <v>1.0</v>
      </c>
    </row>
    <row r="1004" ht="15.75" customHeight="1">
      <c r="A1004" s="1">
        <v>1002.0</v>
      </c>
      <c r="B1004" s="3" t="s">
        <v>1005</v>
      </c>
      <c r="C1004" s="3" t="str">
        <f>IFERROR(__xludf.DUMMYFUNCTION("GOOGLETRANSLATE(B1004,""id"",""en"")"),"['price', 'package', 'expensive', 'expensive', 'buy', 'package', 'buy', 'printed', 'purchase', 'product', 'what', 'cuk', ' Telkomsel ',' shortcomings', 'money', 'until', 'package', 'cheap', 'expensive', 'folding']")</f>
        <v>['price', 'package', 'expensive', 'expensive', 'buy', 'package', 'buy', 'printed', 'purchase', 'product', 'what', 'cuk', ' Telkomsel ',' shortcomings', 'money', 'until', 'package', 'cheap', 'expensive', 'folding']</v>
      </c>
      <c r="D1004" s="3">
        <v>1.0</v>
      </c>
    </row>
    <row r="1005" ht="15.75" customHeight="1">
      <c r="A1005" s="1">
        <v>1003.0</v>
      </c>
      <c r="B1005" s="3" t="s">
        <v>1006</v>
      </c>
      <c r="C1005" s="3" t="str">
        <f>IFERROR(__xludf.DUMMYFUNCTION("GOOGLETRANSLATE(B1005,""id"",""en"")"),"['Is there' 'package', 'run out', 'active', 'package', 'run out', 'pulses',' key ',' operator ',' axis', 'eat', 'pulses',' Sometimes', 'package', 'run out', 'overslept', 'right', 'active', 'package', 'run out', 'miss',' suck ',' pulse ',' limit ',' a spli"&amp;"t ' , 'seconds', 'try', 'Faham', 'thank you']")</f>
        <v>['Is there' 'package', 'run out', 'active', 'package', 'run out', 'pulses',' key ',' operator ',' axis', 'eat', 'pulses',' Sometimes', 'package', 'run out', 'overslept', 'right', 'active', 'package', 'run out', 'miss',' suck ',' pulse ',' limit ',' a split ' , 'seconds', 'try', 'Faham', 'thank you']</v>
      </c>
      <c r="D1005" s="3">
        <v>1.0</v>
      </c>
    </row>
    <row r="1006" ht="15.75" customHeight="1">
      <c r="A1006" s="1">
        <v>1004.0</v>
      </c>
      <c r="B1006" s="3" t="s">
        <v>1007</v>
      </c>
      <c r="C1006" s="3" t="str">
        <f>IFERROR(__xludf.DUMMYFUNCTION("GOOGLETRANSLATE(B1006,""id"",""en"")"),"['Abis',' update ',' KNPA ',' MLH ',' told ',' update ',' update ',' gabisa ',' open ',' apk ',' please ',' mlh ',' add ',' susaah ',' update ',' enteredkkkk ']")</f>
        <v>['Abis',' update ',' KNPA ',' MLH ',' told ',' update ',' update ',' gabisa ',' open ',' apk ',' please ',' mlh ',' add ',' susaah ',' update ',' enteredkkkk ']</v>
      </c>
      <c r="D1006" s="3">
        <v>1.0</v>
      </c>
    </row>
    <row r="1007" ht="15.75" customHeight="1">
      <c r="A1007" s="1">
        <v>1005.0</v>
      </c>
      <c r="B1007" s="3" t="s">
        <v>1008</v>
      </c>
      <c r="C1007" s="3" t="str">
        <f>IFERROR(__xludf.DUMMYFUNCTION("GOOGLETRANSLATE(B1007,""id"",""en"")"),"['Telkomsel', 'Please', 'Package', 'Cheap', 'Region', 'Sulawesi', 'Difficult', 'Search', 'Network', 'High', 'Package', 'Telkomsel', ' Please, 'Telkomsel', 'work', 'Samanya', '']")</f>
        <v>['Telkomsel', 'Please', 'Package', 'Cheap', 'Region', 'Sulawesi', 'Difficult', 'Search', 'Network', 'High', 'Package', 'Telkomsel', ' Please, 'Telkomsel', 'work', 'Samanya', '']</v>
      </c>
      <c r="D1007" s="3">
        <v>1.0</v>
      </c>
    </row>
    <row r="1008" ht="15.75" customHeight="1">
      <c r="A1008" s="1">
        <v>1006.0</v>
      </c>
      <c r="B1008" s="3" t="s">
        <v>1009</v>
      </c>
      <c r="C1008" s="3" t="str">
        <f>IFERROR(__xludf.DUMMYFUNCTION("GOOGLETRANSLATE(B1008,""id"",""en"")"),"['Package', 'Combo', 'UNL', 'RB', 'bought', 'KNP', 'TPI', 'Changed', 'Paketannya', 'According to', 'Needs',' Sediain ',' package ',' internet ',' donk ',' divided ',' gtu ',' quota ',' jdi ',' males', 'package', 'sympathy']")</f>
        <v>['Package', 'Combo', 'UNL', 'RB', 'bought', 'KNP', 'TPI', 'Changed', 'Paketannya', 'According to', 'Needs',' Sediain ',' package ',' internet ',' donk ',' divided ',' gtu ',' quota ',' jdi ',' males', 'package', 'sympathy']</v>
      </c>
      <c r="D1008" s="3">
        <v>1.0</v>
      </c>
    </row>
    <row r="1009" ht="15.75" customHeight="1">
      <c r="A1009" s="1">
        <v>1007.0</v>
      </c>
      <c r="B1009" s="3" t="s">
        <v>1010</v>
      </c>
      <c r="C1009" s="3" t="str">
        <f>IFERROR(__xludf.DUMMYFUNCTION("GOOGLETRANSLATE(B1009,""id"",""en"")"),"['Signal', 'ugly', 'Please', 'Consistent', 'Repair', 'Package', 'Bonus',' Quality ',' Network ',' Strengthen ',' User ',' Faithful ',' Telkomsel ',' Switch ']")</f>
        <v>['Signal', 'ugly', 'Please', 'Consistent', 'Repair', 'Package', 'Bonus',' Quality ',' Network ',' Strengthen ',' User ',' Faithful ',' Telkomsel ',' Switch ']</v>
      </c>
      <c r="D1009" s="3">
        <v>1.0</v>
      </c>
    </row>
    <row r="1010" ht="15.75" customHeight="1">
      <c r="A1010" s="1">
        <v>1008.0</v>
      </c>
      <c r="B1010" s="3" t="s">
        <v>1011</v>
      </c>
      <c r="C1010" s="3" t="str">
        <f>IFERROR(__xludf.DUMMYFUNCTION("GOOGLETRANSLATE(B1010,""id"",""en"")"),"['Sorry', 'really', 'love', 'star', 'application', 'Telkomsel', 'slow', 'really', 'loading', 'network', 'internet', 'good', ' Try ',' Following ',' Suggestions', 'Developer', 'Contact', 'Telkomsel', 'Find', 'Sad', 'Very', 'Want', 'Uninstall']")</f>
        <v>['Sorry', 'really', 'love', 'star', 'application', 'Telkomsel', 'slow', 'really', 'loading', 'network', 'internet', 'good', ' Try ',' Following ',' Suggestions', 'Developer', 'Contact', 'Telkomsel', 'Find', 'Sad', 'Very', 'Want', 'Uninstall']</v>
      </c>
      <c r="D1010" s="3">
        <v>1.0</v>
      </c>
    </row>
    <row r="1011" ht="15.75" customHeight="1">
      <c r="A1011" s="1">
        <v>1009.0</v>
      </c>
      <c r="B1011" s="3" t="s">
        <v>1012</v>
      </c>
      <c r="C1011" s="3" t="str">
        <f>IFERROR(__xludf.DUMMYFUNCTION("GOOGLETRANSLATE(B1011,""id"",""en"")"),"['price', 'promo', 'package', 'internet', 'Mahalll', 'need', 'package', 'internet', 'learn', 'online', 'buy it', '']")</f>
        <v>['price', 'promo', 'package', 'internet', 'Mahalll', 'need', 'package', 'internet', 'learn', 'online', 'buy it', '']</v>
      </c>
      <c r="D1011" s="3">
        <v>2.0</v>
      </c>
    </row>
    <row r="1012" ht="15.75" customHeight="1">
      <c r="A1012" s="1">
        <v>1010.0</v>
      </c>
      <c r="B1012" s="3" t="s">
        <v>1013</v>
      </c>
      <c r="C1012" s="3" t="str">
        <f>IFERROR(__xludf.DUMMYFUNCTION("GOOGLETRANSLATE(B1012,""id"",""en"")"),"['Package', 'expensive', 'Unlimitied', 'Limit', 'Unlimitied', 'Game', 'TPI', 'Open', 'Game', 'Hard', 'Bngt', 'Loading', ' Mulu ',' KLU ',' Package ',' Unlimitied ',' Change ',' Package ',' Bonus', 'Sosmed', ""]")</f>
        <v>['Package', 'expensive', 'Unlimitied', 'Limit', 'Unlimitied', 'Game', 'TPI', 'Open', 'Game', 'Hard', 'Bngt', 'Loading', ' Mulu ',' KLU ',' Package ',' Unlimitied ',' Change ',' Package ',' Bonus', 'Sosmed', "]</v>
      </c>
      <c r="D1012" s="3">
        <v>1.0</v>
      </c>
    </row>
    <row r="1013" ht="15.75" customHeight="1">
      <c r="A1013" s="1">
        <v>1011.0</v>
      </c>
      <c r="B1013" s="3" t="s">
        <v>1014</v>
      </c>
      <c r="C1013" s="3" t="str">
        <f>IFERROR(__xludf.DUMMYFUNCTION("GOOGLETRANSLATE(B1013,""id"",""en"")"),"['times',' update ',' version ',' newest ',' Certain ',' Dayli ',' check ',' automatic ',' missing ',' fix it ',' error ',' repeated ',' time ',' bee to ',' please ',' fix ',' ']")</f>
        <v>['times',' update ',' version ',' newest ',' Certain ',' Dayli ',' check ',' automatic ',' missing ',' fix it ',' error ',' repeated ',' time ',' bee to ',' please ',' fix ',' ']</v>
      </c>
      <c r="D1013" s="3">
        <v>1.0</v>
      </c>
    </row>
    <row r="1014" ht="15.75" customHeight="1">
      <c r="A1014" s="1">
        <v>1012.0</v>
      </c>
      <c r="B1014" s="3" t="s">
        <v>1015</v>
      </c>
      <c r="C1014" s="3" t="str">
        <f>IFERROR(__xludf.DUMMYFUNCTION("GOOGLETRANSLATE(B1014,""id"",""en"")"),"['Please', 'network', 'Telkomsel', 'fix', 'rich', 'super', 'fast', 'loading', 'slow', 'really', 'watch', 'YouTube', ' Telfon ',' Ajja ',' Broken ',' Severe ',' Telkomsel ',' Asik ',' Game ',' Looss', 'Network']")</f>
        <v>['Please', 'network', 'Telkomsel', 'fix', 'rich', 'super', 'fast', 'loading', 'slow', 'really', 'watch', 'YouTube', ' Telfon ',' Ajja ',' Broken ',' Severe ',' Telkomsel ',' Asik ',' Game ',' Looss', 'Network']</v>
      </c>
      <c r="D1014" s="3">
        <v>1.0</v>
      </c>
    </row>
    <row r="1015" ht="15.75" customHeight="1">
      <c r="A1015" s="1">
        <v>1013.0</v>
      </c>
      <c r="B1015" s="3" t="s">
        <v>1016</v>
      </c>
      <c r="C1015" s="3" t="str">
        <f>IFERROR(__xludf.DUMMYFUNCTION("GOOGLETRANSLATE(B1015,""id"",""en"")"),"['KOQ', 'Package', 'Combo', 'Sakti', 'Unlimited', 'GB', 'Available', 'Package', 'OMG', 'GB', 'expensive', 'cell', ' How ',' please ',' Donk ',' deleted ',' Customer ',' loyal ',' Ahhh ',' Ribet ',' cell ', ""]")</f>
        <v>['KOQ', 'Package', 'Combo', 'Sakti', 'Unlimited', 'GB', 'Available', 'Package', 'OMG', 'GB', 'expensive', 'cell', ' How ',' please ',' Donk ',' deleted ',' Customer ',' loyal ',' Ahhh ',' Ribet ',' cell ', "]</v>
      </c>
      <c r="D1015" s="3">
        <v>1.0</v>
      </c>
    </row>
    <row r="1016" ht="15.75" customHeight="1">
      <c r="A1016" s="1">
        <v>1014.0</v>
      </c>
      <c r="B1016" s="3" t="s">
        <v>1017</v>
      </c>
      <c r="C1016" s="3" t="str">
        <f>IFERROR(__xludf.DUMMYFUNCTION("GOOGLETRANSLATE(B1016,""id"",""en"")"),"['Application', 'Severe', 'Hard', 'Loading', 'Page', 'Appears',' Posts', 'Please', 'Check', 'Internet', 'Connection', 'Network', ' Stable ',' Load ',' reset ',' hope ',' repaired ']")</f>
        <v>['Application', 'Severe', 'Hard', 'Loading', 'Page', 'Appears',' Posts', 'Please', 'Check', 'Internet', 'Connection', 'Network', ' Stable ',' Load ',' reset ',' hope ',' repaired ']</v>
      </c>
      <c r="D1016" s="3">
        <v>1.0</v>
      </c>
    </row>
    <row r="1017" ht="15.75" customHeight="1">
      <c r="A1017" s="1">
        <v>1015.0</v>
      </c>
      <c r="B1017" s="3" t="s">
        <v>1018</v>
      </c>
      <c r="C1017" s="3" t="str">
        <f>IFERROR(__xludf.DUMMYFUNCTION("GOOGLETRANSLATE(B1017,""id"",""en"")"),"['Lower', 'star', 'here', 'Telkomsel', 'strange', 'already', 'network', 'Sometimes',' slow ',' stable ',' package ',' data ',' expensive ',' yesterday ',' package ',' data ',' unlimited ',' GB ',' GB ',' GB ',' a month ',' provides', 'quota', 'unlimited',"&amp;" 'thinking' , 'mature', 'mature', 'disappointing', 'customer', 'package', 'unlimited', 'package', 'love', 'cheap', 'gini', 'switch', ""]")</f>
        <v>['Lower', 'star', 'here', 'Telkomsel', 'strange', 'already', 'network', 'Sometimes',' slow ',' stable ',' package ',' data ',' expensive ',' yesterday ',' package ',' data ',' unlimited ',' GB ',' GB ',' GB ',' a month ',' provides', 'quota', 'unlimited', 'thinking' , 'mature', 'mature', 'disappointing', 'customer', 'package', 'unlimited', 'package', 'love', 'cheap', 'gini', 'switch', "]</v>
      </c>
      <c r="D1017" s="3">
        <v>1.0</v>
      </c>
    </row>
    <row r="1018" ht="15.75" customHeight="1">
      <c r="A1018" s="1">
        <v>1016.0</v>
      </c>
      <c r="B1018" s="3" t="s">
        <v>1019</v>
      </c>
      <c r="C1018" s="3" t="str">
        <f>IFERROR(__xludf.DUMMYFUNCTION("GOOGLETRANSLATE(B1018,""id"",""en"")"),"['Telkomsel', 'combo', 'saktinya', 'skrang', 'package', 'pling', 'cheap', 'rb', 'rare', 'make', 'nnti', 'kyak', ' Yesterday ',' Combo ',' Sakti ',' RB ',' Boro ',' Rb ',' ']")</f>
        <v>['Telkomsel', 'combo', 'saktinya', 'skrang', 'package', 'pling', 'cheap', 'rb', 'rare', 'make', 'nnti', 'kyak', ' Yesterday ',' Combo ',' Sakti ',' RB ',' Boro ',' Rb ',' ']</v>
      </c>
      <c r="D1018" s="3">
        <v>1.0</v>
      </c>
    </row>
    <row r="1019" ht="15.75" customHeight="1">
      <c r="A1019" s="1">
        <v>1017.0</v>
      </c>
      <c r="B1019" s="3" t="s">
        <v>1020</v>
      </c>
      <c r="C1019" s="3" t="str">
        <f>IFERROR(__xludf.DUMMYFUNCTION("GOOGLETRANSLATE(B1019,""id"",""en"")"),"['wonder', 'package', 'network', 'good', 'open', 'internet', 'tlkomsel', 'here', 'disappointing', 'replace', 'card', 'good', ' disappointing']")</f>
        <v>['wonder', 'package', 'network', 'good', 'open', 'internet', 'tlkomsel', 'here', 'disappointing', 'replace', 'card', 'good', ' disappointing']</v>
      </c>
      <c r="D1019" s="3">
        <v>1.0</v>
      </c>
    </row>
    <row r="1020" ht="15.75" customHeight="1">
      <c r="A1020" s="1">
        <v>1018.0</v>
      </c>
      <c r="B1020" s="3" t="s">
        <v>1021</v>
      </c>
      <c r="C1020" s="3" t="str">
        <f>IFERROR(__xludf.DUMMYFUNCTION("GOOGLETRANSLATE(B1020,""id"",""en"")"),"['Telkomsel', 'network', 'slow', 'alias',' slow ',' package ',' card ',' hello ',' mbok ',' package ',' multi ',' media ',' Delete ',' Change ',' Package ',' Boong ',' Package ',' Powder ',' ']")</f>
        <v>['Telkomsel', 'network', 'slow', 'alias',' slow ',' package ',' card ',' hello ',' mbok ',' package ',' multi ',' media ',' Delete ',' Change ',' Package ',' Boong ',' Package ',' Powder ',' ']</v>
      </c>
      <c r="D1020" s="3">
        <v>3.0</v>
      </c>
    </row>
    <row r="1021" ht="15.75" customHeight="1">
      <c r="A1021" s="1">
        <v>1019.0</v>
      </c>
      <c r="B1021" s="3" t="s">
        <v>1022</v>
      </c>
      <c r="C1021" s="3" t="str">
        <f>IFERROR(__xludf.DUMMYFUNCTION("GOOGLETRANSLATE(B1021,""id"",""en"")"),"['Applikasih', 'Good', 'Help', 'TPI', 'Dlam', 'Exchange', 'Points',' Choice ',' Menu ',' Free ',' Internet ',' Try ',' Choice ',' menu ',' Pnink ',' Points', 'free', 'Call', 'SMS', 'Jaaa', ""]")</f>
        <v>['Applikasih', 'Good', 'Help', 'TPI', 'Dlam', 'Exchange', 'Points',' Choice ',' Menu ',' Free ',' Internet ',' Try ',' Choice ',' menu ',' Pnink ',' Points', 'free', 'Call', 'SMS', 'Jaaa', "]</v>
      </c>
      <c r="D1021" s="3">
        <v>5.0</v>
      </c>
    </row>
    <row r="1022" ht="15.75" customHeight="1">
      <c r="A1022" s="1">
        <v>1020.0</v>
      </c>
      <c r="B1022" s="3" t="s">
        <v>1023</v>
      </c>
      <c r="C1022" s="3" t="str">
        <f>IFERROR(__xludf.DUMMYFUNCTION("GOOGLETRANSLATE(B1022,""id"",""en"")"),"['disappointing', 'yaa', 'play', 'game', 'severe', 'really', 'network', 'ugly', 'package', 'gausah', 'sell', 'price', ' Expensive ',' LIAT ',' STORY ',' Pending ',' Unlimited ',' Disappointing ',' ']")</f>
        <v>['disappointing', 'yaa', 'play', 'game', 'severe', 'really', 'network', 'ugly', 'package', 'gausah', 'sell', 'price', ' Expensive ',' LIAT ',' STORY ',' Pending ',' Unlimited ',' Disappointing ',' ']</v>
      </c>
      <c r="D1022" s="3">
        <v>1.0</v>
      </c>
    </row>
    <row r="1023" ht="15.75" customHeight="1">
      <c r="A1023" s="1">
        <v>1021.0</v>
      </c>
      <c r="B1023" s="3" t="s">
        <v>1024</v>
      </c>
      <c r="C1023" s="3" t="str">
        <f>IFERROR(__xludf.DUMMYFUNCTION("GOOGLETRANSLATE(B1023,""id"",""en"")"),"['Telkomsel', 'Bad', 'Telkomsel', 'Sushes',' My place ',' Network ',' Not bad ',' Good ',' Appeal ',' Telkomsel ',' Sorry ',' Telkomsel ',' Move ',' Heart ',' Bye ',' Telkomsel ',' ']")</f>
        <v>['Telkomsel', 'Bad', 'Telkomsel', 'Sushes',' My place ',' Network ',' Not bad ',' Good ',' Appeal ',' Telkomsel ',' Sorry ',' Telkomsel ',' Move ',' Heart ',' Bye ',' Telkomsel ',' ']</v>
      </c>
      <c r="D1023" s="3">
        <v>1.0</v>
      </c>
    </row>
    <row r="1024" ht="15.75" customHeight="1">
      <c r="A1024" s="1">
        <v>1022.0</v>
      </c>
      <c r="B1024" s="3" t="s">
        <v>1025</v>
      </c>
      <c r="C1024" s="3" t="str">
        <f>IFERROR(__xludf.DUMMYFUNCTION("GOOGLETRANSLATE(B1024,""id"",""en"")"),"['oath', 'gedek', 'really', 'buy', 'credit', 'blm', 'appain', 'already', 'sumps',' pulse ',' data ',' turn on ',' Take ',' GPP ',' Take ',' Rb ',' Take ',' Fill ',' Paketan ',' People ',' Want ',' Maki ',' Telkomsel ']")</f>
        <v>['oath', 'gedek', 'really', 'buy', 'credit', 'blm', 'appain', 'already', 'sumps',' pulse ',' data ',' turn on ',' Take ',' GPP ',' Take ',' Rb ',' Take ',' Fill ',' Paketan ',' People ',' Want ',' Maki ',' Telkomsel ']</v>
      </c>
      <c r="D1024" s="3">
        <v>1.0</v>
      </c>
    </row>
    <row r="1025" ht="15.75" customHeight="1">
      <c r="A1025" s="1">
        <v>1023.0</v>
      </c>
      <c r="B1025" s="3" t="s">
        <v>1026</v>
      </c>
      <c r="C1025" s="3" t="str">
        <f>IFERROR(__xludf.DUMMYFUNCTION("GOOGLETRANSLATE(B1025,""id"",""en"")"),"['yrs',' pakek ',' Telkomsel ',' expensive ',' expensive ',' tetep ',' buy ',' please ',' crash ',' heyry ',' his nine ',' already ',' Bli ',' expensive ',' bolt ',' internet ',' slow ',' expensive ',' smooth ',' buy ',' expensive ',' TPI ',' slow ',' off"&amp;"icer ',' check ' , 'location', 'Keliferah', 'fix', 'tower', 'Sikyal', 'Faham', 'condition', 'field']")</f>
        <v>['yrs',' pakek ',' Telkomsel ',' expensive ',' expensive ',' tetep ',' buy ',' please ',' crash ',' heyry ',' his nine ',' already ',' Bli ',' expensive ',' bolt ',' internet ',' slow ',' expensive ',' smooth ',' buy ',' expensive ',' TPI ',' slow ',' officer ',' check ' , 'location', 'Keliferah', 'fix', 'tower', 'Sikyal', 'Faham', 'condition', 'field']</v>
      </c>
      <c r="D1025" s="3">
        <v>5.0</v>
      </c>
    </row>
    <row r="1026" ht="15.75" customHeight="1">
      <c r="A1026" s="1">
        <v>1024.0</v>
      </c>
      <c r="B1026" s="3" t="s">
        <v>1027</v>
      </c>
      <c r="C1026" s="3" t="str">
        <f>IFERROR(__xludf.DUMMYFUNCTION("GOOGLETRANSLATE(B1026,""id"",""en"")"),"['Season', 'Network', 'Different', 'Super', 'Leet', 'Kek', 'Keong', 'Night', 'The network', 'Astaghfirullah', 'Nyesek', 'please', ' Please ',' noticed ',' Telkomsel ',' comfort ',' happy ',' happy ',' repaired ',' love ',' star ',' deh ']")</f>
        <v>['Season', 'Network', 'Different', 'Super', 'Leet', 'Kek', 'Keong', 'Night', 'The network', 'Astaghfirullah', 'Nyesek', 'please', ' Please ',' noticed ',' Telkomsel ',' comfort ',' happy ',' happy ',' repaired ',' love ',' star ',' deh ']</v>
      </c>
      <c r="D1026" s="3">
        <v>1.0</v>
      </c>
    </row>
    <row r="1027" ht="15.75" customHeight="1">
      <c r="A1027" s="1">
        <v>1025.0</v>
      </c>
      <c r="B1027" s="3" t="s">
        <v>1028</v>
      </c>
      <c r="C1027" s="3" t="str">
        <f>IFERROR(__xludf.DUMMYFUNCTION("GOOGLETRANSLATE(B1027,""id"",""en"")"),"['buy', 'Telkomsel', 'Sakti', 'Tricurur', 'package', 'cheap', 'quota', 'MaahhaaAlll', 'quota', 'a little', 'price', 'exorbitant', ' happy ',' heart ',' ngural ',' star ',' edit ',' review ',' ratings', 'negative', '']")</f>
        <v>['buy', 'Telkomsel', 'Sakti', 'Tricurur', 'package', 'cheap', 'quota', 'MaahhaaAlll', 'quota', 'a little', 'price', 'exorbitant', ' happy ',' heart ',' ngural ',' star ',' edit ',' review ',' ratings', 'negative', '']</v>
      </c>
      <c r="D1027" s="3">
        <v>1.0</v>
      </c>
    </row>
    <row r="1028" ht="15.75" customHeight="1">
      <c r="A1028" s="1">
        <v>1026.0</v>
      </c>
      <c r="B1028" s="3" t="s">
        <v>1029</v>
      </c>
      <c r="C1028" s="3" t="str">
        <f>IFERROR(__xludf.DUMMYFUNCTION("GOOGLETRANSLATE(B1028,""id"",""en"")"),"['check', 'menu', 'claim', 'gift', 'app', 'bad', 'really', 'transfer', 'pulse', 'get', 'cost', 'bad', ' App ',' ']")</f>
        <v>['check', 'menu', 'claim', 'gift', 'app', 'bad', 'really', 'transfer', 'pulse', 'get', 'cost', 'bad', ' App ',' ']</v>
      </c>
      <c r="D1028" s="3">
        <v>4.0</v>
      </c>
    </row>
    <row r="1029" ht="15.75" customHeight="1">
      <c r="A1029" s="1">
        <v>1027.0</v>
      </c>
      <c r="B1029" s="3" t="s">
        <v>1030</v>
      </c>
      <c r="C1029" s="3" t="str">
        <f>IFERROR(__xludf.DUMMYFUNCTION("GOOGLETRANSLATE(B1029,""id"",""en"")"),"['Signal', 'Severe', 'Dipalembang', 'Promotions',' Wrong ',' Sok ',' Signal ',' Severe ',' Task ',' Online ',' FAIL ',' GARA ',' Gara ',' signal ',' Telkomsel ',' good ',' chaotic ',' task ',' online ',' chaotic ',' gara ',' signal ',' Telkomsel ',' bad '"&amp;", ""]")</f>
        <v>['Signal', 'Severe', 'Dipalembang', 'Promotions',' Wrong ',' Sok ',' Signal ',' Severe ',' Task ',' Online ',' FAIL ',' GARA ',' Gara ',' signal ',' Telkomsel ',' good ',' chaotic ',' task ',' online ',' chaotic ',' gara ',' signal ',' Telkomsel ',' bad ', "]</v>
      </c>
      <c r="D1029" s="3">
        <v>1.0</v>
      </c>
    </row>
    <row r="1030" ht="15.75" customHeight="1">
      <c r="A1030" s="1">
        <v>1028.0</v>
      </c>
      <c r="B1030" s="3" t="s">
        <v>1031</v>
      </c>
      <c r="C1030" s="3" t="str">
        <f>IFERROR(__xludf.DUMMYFUNCTION("GOOGLETRANSLATE(B1030,""id"",""en"")"),"['Update', 'Telkomsel', 'Eat', 'Memory', 'GIMANAA', 'Ngeselin', 'right', 'Check', 'quota', 'a little', 'update', 'fix', ' annoying ']")</f>
        <v>['Update', 'Telkomsel', 'Eat', 'Memory', 'GIMANAA', 'Ngeselin', 'right', 'Check', 'quota', 'a little', 'update', 'fix', ' annoying ']</v>
      </c>
      <c r="D1030" s="3">
        <v>1.0</v>
      </c>
    </row>
    <row r="1031" ht="15.75" customHeight="1">
      <c r="A1031" s="1">
        <v>1029.0</v>
      </c>
      <c r="B1031" s="3" t="s">
        <v>1032</v>
      </c>
      <c r="C1031" s="3" t="str">
        <f>IFERROR(__xludf.DUMMYFUNCTION("GOOGLETRANSLATE(B1031,""id"",""en"")"),"['Sometimes', 'pulses', 'sumps', 'quota', 'play', 'sometimes', 'lag', 'price', 'quota', 'change', 'change', 'pig']")</f>
        <v>['Sometimes', 'pulses', 'sumps', 'quota', 'play', 'sometimes', 'lag', 'price', 'quota', 'change', 'change', 'pig']</v>
      </c>
      <c r="D1031" s="3">
        <v>1.0</v>
      </c>
    </row>
    <row r="1032" ht="15.75" customHeight="1">
      <c r="A1032" s="1">
        <v>1030.0</v>
      </c>
      <c r="B1032" s="3" t="s">
        <v>1033</v>
      </c>
      <c r="C1032" s="3" t="str">
        <f>IFERROR(__xludf.DUMMYFUNCTION("GOOGLETRANSLATE(B1032,""id"",""en"")"),"['Fix', 'quality', 'signal', 'already', 'package', 'expensive', 'network', 'rich', 'provider', 'cheap', 'provider', 'Telkomsel', ' Experience ',' bad ',' natural ',' fired ',' Gara ',' quality ',' network ',' ugly ',' ']")</f>
        <v>['Fix', 'quality', 'signal', 'already', 'package', 'expensive', 'network', 'rich', 'provider', 'cheap', 'provider', 'Telkomsel', ' Experience ',' bad ',' natural ',' fired ',' Gara ',' quality ',' network ',' ugly ',' ']</v>
      </c>
      <c r="D1032" s="3">
        <v>1.0</v>
      </c>
    </row>
    <row r="1033" ht="15.75" customHeight="1">
      <c r="A1033" s="1">
        <v>1031.0</v>
      </c>
      <c r="B1033" s="3" t="s">
        <v>1034</v>
      </c>
      <c r="C1033" s="3" t="str">
        <f>IFERROR(__xludf.DUMMYFUNCTION("GOOGLETRANSLATE(B1033,""id"",""en"")"),"['Application', 'Not bad', 'Good', 'Network', 'Region', 'ugly', 'Disappointed', 'Lemot', 'Network', 'Rich', 'Edge', ""]")</f>
        <v>['Application', 'Not bad', 'Good', 'Network', 'Region', 'ugly', 'Disappointed', 'Lemot', 'Network', 'Rich', 'Edge', "]</v>
      </c>
      <c r="D1033" s="3">
        <v>3.0</v>
      </c>
    </row>
    <row r="1034" ht="15.75" customHeight="1">
      <c r="A1034" s="1">
        <v>1032.0</v>
      </c>
      <c r="B1034" s="3" t="s">
        <v>1035</v>
      </c>
      <c r="C1034" s="3" t="str">
        <f>IFERROR(__xludf.DUMMYFUNCTION("GOOGLETRANSLATE(B1034,""id"",""en"")"),"['all-round', 'expensive', 'update', 'memory', 'full', 'loading', 'bnget', 'open', 'apk', 'need', 'patience', 'really', ' Oath ',' Storage ',' Gede ',' Banger ',' wak ', ""]")</f>
        <v>['all-round', 'expensive', 'update', 'memory', 'full', 'loading', 'bnget', 'open', 'apk', 'need', 'patience', 'really', ' Oath ',' Storage ',' Gede ',' Banger ',' wak ', "]</v>
      </c>
      <c r="D1034" s="3">
        <v>1.0</v>
      </c>
    </row>
    <row r="1035" ht="15.75" customHeight="1">
      <c r="A1035" s="1">
        <v>1033.0</v>
      </c>
      <c r="B1035" s="3" t="s">
        <v>1036</v>
      </c>
      <c r="C1035" s="3" t="str">
        <f>IFERROR(__xludf.DUMMYFUNCTION("GOOGLETRANSLATE(B1035,""id"",""en"")"),"['Sangt', 'Satisfying', 'NOT', 'Telkomsel', 'The name', 'reaches',' remote ',' remote ',' lie ',' really ',' MSA ',' Derah ',' ugly ',' really ',' pullover ',' remote ',' Heloow ',' friend ',' friend ',' Come ',' Change ',' Provoder ',' expensive ',' real"&amp;"ly ',' package ' , 'Iyeuhhhhhwwww']")</f>
        <v>['Sangt', 'Satisfying', 'NOT', 'Telkomsel', 'The name', 'reaches',' remote ',' remote ',' lie ',' really ',' MSA ',' Derah ',' ugly ',' really ',' pullover ',' remote ',' Heloow ',' friend ',' friend ',' Come ',' Change ',' Provoder ',' expensive ',' really ',' package ' , 'Iyeuhhhhhwwww']</v>
      </c>
      <c r="D1035" s="3">
        <v>1.0</v>
      </c>
    </row>
    <row r="1036" ht="15.75" customHeight="1">
      <c r="A1036" s="1">
        <v>1034.0</v>
      </c>
      <c r="B1036" s="3" t="s">
        <v>1037</v>
      </c>
      <c r="C1036" s="3" t="str">
        <f>IFERROR(__xludf.DUMMYFUNCTION("GOOGLETRANSLATE(B1036,""id"",""en"")"),"['Updated', 'Application', 'MyTelkomsel', 'Dipratting', 'Difficult', 'Caskek', 'Credit', 'Package', 'Data', 'Sebel', 'Already', 'Package', ' expensive ',' chaotic ',' network ',' dilapidated ',' ']")</f>
        <v>['Updated', 'Application', 'MyTelkomsel', 'Dipratting', 'Difficult', 'Caskek', 'Credit', 'Package', 'Data', 'Sebel', 'Already', 'Package', ' expensive ',' chaotic ',' network ',' dilapidated ',' ']</v>
      </c>
      <c r="D1036" s="3">
        <v>1.0</v>
      </c>
    </row>
    <row r="1037" ht="15.75" customHeight="1">
      <c r="A1037" s="1">
        <v>1035.0</v>
      </c>
      <c r="B1037" s="3" t="s">
        <v>1038</v>
      </c>
      <c r="C1037" s="3" t="str">
        <f>IFERROR(__xludf.DUMMYFUNCTION("GOOGLETRANSLATE(B1037,""id"",""en"")"),"['application', 'help', 'users',' Telkomsel ',' compatible ',' smartphone ',' spec ',' low ',' told ',' lite ',' facilities', 'Lite', ' Ngeluh ',' troubled ',' Please ',' his explanation ']")</f>
        <v>['application', 'help', 'users',' Telkomsel ',' compatible ',' smartphone ',' spec ',' low ',' told ',' lite ',' facilities', 'Lite', ' Ngeluh ',' troubled ',' Please ',' his explanation ']</v>
      </c>
      <c r="D1037" s="3">
        <v>1.0</v>
      </c>
    </row>
    <row r="1038" ht="15.75" customHeight="1">
      <c r="A1038" s="1">
        <v>1036.0</v>
      </c>
      <c r="B1038" s="3" t="s">
        <v>1039</v>
      </c>
      <c r="C1038" s="3" t="str">
        <f>IFERROR(__xludf.DUMMYFUNCTION("GOOGLETRANSLATE(B1038,""id"",""en"")"),"['knpa', 'skrang', 'package', 'combo', 'saktinya', 'down', 'drastic', 'cost', 'purchase', 'drastic', 'telkomsel', 'already', ' Not ',' rich ',' already ',' no ',' Baguss', 'buy', 'package']")</f>
        <v>['knpa', 'skrang', 'package', 'combo', 'saktinya', 'down', 'drastic', 'cost', 'purchase', 'drastic', 'telkomsel', 'already', ' Not ',' rich ',' already ',' no ',' Baguss', 'buy', 'package']</v>
      </c>
      <c r="D1038" s="3">
        <v>1.0</v>
      </c>
    </row>
    <row r="1039" ht="15.75" customHeight="1">
      <c r="A1039" s="1">
        <v>1037.0</v>
      </c>
      <c r="B1039" s="3" t="s">
        <v>1040</v>
      </c>
      <c r="C1039" s="3" t="str">
        <f>IFERROR(__xludf.DUMMYFUNCTION("GOOGLETRANSLATE(B1039,""id"",""en"")"),"['Please', 'Maap', 'Network', 'Telkomsel', 'Nge', 'lag', 'Padah', 'Network', 'Good', 'Tetep', 'Nge', 'lag', ' Please ',' Benerin ']")</f>
        <v>['Please', 'Maap', 'Network', 'Telkomsel', 'Nge', 'lag', 'Padah', 'Network', 'Good', 'Tetep', 'Nge', 'lag', ' Please ',' Benerin ']</v>
      </c>
      <c r="D1039" s="3">
        <v>3.0</v>
      </c>
    </row>
    <row r="1040" ht="15.75" customHeight="1">
      <c r="A1040" s="1">
        <v>1038.0</v>
      </c>
      <c r="B1040" s="3" t="s">
        <v>1041</v>
      </c>
      <c r="C1040" s="3" t="str">
        <f>IFERROR(__xludf.DUMMYFUNCTION("GOOGLETRANSLATE(B1040,""id"",""en"")"),"['Where', 'complain', 'Veronika', 'Application', 'Robot', 'APK', 'Error', 'Veronika', 'Robot', 'Chat', 'Online', 'Direct', ' ']")</f>
        <v>['Where', 'complain', 'Veronika', 'Application', 'Robot', 'APK', 'Error', 'Veronika', 'Robot', 'Chat', 'Online', 'Direct', ' ']</v>
      </c>
      <c r="D1040" s="3">
        <v>2.0</v>
      </c>
    </row>
    <row r="1041" ht="15.75" customHeight="1">
      <c r="A1041" s="1">
        <v>1039.0</v>
      </c>
      <c r="B1041" s="3" t="s">
        <v>1042</v>
      </c>
      <c r="C1041" s="3" t="str">
        <f>IFERROR(__xludf.DUMMYFUNCTION("GOOGLETRANSLATE(B1041,""id"",""en"")"),"['quota', 'internet', 'expensive', 'open', 'the application', 'slow', 'thorough', 'buy', 'package', 'package', 'cheat', 'the title', ' Giga ',' giga ',' watch ',' film ',' rare ',' watch ',' film ', ""]")</f>
        <v>['quota', 'internet', 'expensive', 'open', 'the application', 'slow', 'thorough', 'buy', 'package', 'package', 'cheat', 'the title', ' Giga ',' giga ',' watch ',' film ',' rare ',' watch ',' film ', "]</v>
      </c>
      <c r="D1041" s="3">
        <v>2.0</v>
      </c>
    </row>
    <row r="1042" ht="15.75" customHeight="1">
      <c r="A1042" s="1">
        <v>1040.0</v>
      </c>
      <c r="B1042" s="3" t="s">
        <v>1043</v>
      </c>
      <c r="C1042" s="3" t="str">
        <f>IFERROR(__xludf.DUMMYFUNCTION("GOOGLETRANSLATE(B1042,""id"",""en"")"),"['Anjaaay', 'sweet', 'quota', 'watch', 'vidio', 'useful', 'buy', 'package', 'GB', 'local', 'inet', 'GB', ' Watch ',' GB ',' quota ',' watch ',' moral ',' useful ',' buy ',' quota ',' GB ',' Telkomsel ',' Bacott ',' Switch ']")</f>
        <v>['Anjaaay', 'sweet', 'quota', 'watch', 'vidio', 'useful', 'buy', 'package', 'GB', 'local', 'inet', 'GB', ' Watch ',' GB ',' quota ',' watch ',' moral ',' useful ',' buy ',' quota ',' GB ',' Telkomsel ',' Bacott ',' Switch ']</v>
      </c>
      <c r="D1042" s="3">
        <v>3.0</v>
      </c>
    </row>
    <row r="1043" ht="15.75" customHeight="1">
      <c r="A1043" s="1">
        <v>1041.0</v>
      </c>
      <c r="B1043" s="3" t="s">
        <v>1044</v>
      </c>
      <c r="C1043" s="3" t="str">
        <f>IFERROR(__xludf.DUMMYFUNCTION("GOOGLETRANSLATE(B1043,""id"",""en"")"),"['expensive', 'senik', 'love', 'star', 'zero', 'cave', 'love', 'auto', 'change', 'move', 'network', 'next door', ' Hasn't ',' Manjaain ',' Customer ',' Fill ',' Pulse ',' Expensive ',' Brain ',' Think ',' Orng ',' Rich ',' Package ',' Expensive ']")</f>
        <v>['expensive', 'senik', 'love', 'star', 'zero', 'cave', 'love', 'auto', 'change', 'move', 'network', 'next door', ' Hasn't ',' Manjaain ',' Customer ',' Fill ',' Pulse ',' Expensive ',' Brain ',' Think ',' Orng ',' Rich ',' Package ',' Expensive ']</v>
      </c>
      <c r="D1043" s="3">
        <v>1.0</v>
      </c>
    </row>
    <row r="1044" ht="15.75" customHeight="1">
      <c r="A1044" s="1">
        <v>1042.0</v>
      </c>
      <c r="B1044" s="3" t="s">
        <v>1045</v>
      </c>
      <c r="C1044" s="3" t="str">
        <f>IFERROR(__xludf.DUMMYFUNCTION("GOOGLETRANSLATE(B1044,""id"",""en"")"),"['Flores',' Nusa ',' southeast ',' east ',' customers', 'Telkomsel', 'loyal', 'hope', 'chance', 'gift', 'redemption', 'point', ' Switch ',' times', 'fill', 'credit', 'gift', 'Telkomsel', 'thank you']")</f>
        <v>['Flores',' Nusa ',' southeast ',' east ',' customers', 'Telkomsel', 'loyal', 'hope', 'chance', 'gift', 'redemption', 'point', ' Switch ',' times', 'fill', 'credit', 'gift', 'Telkomsel', 'thank you']</v>
      </c>
      <c r="D1044" s="3">
        <v>5.0</v>
      </c>
    </row>
    <row r="1045" ht="15.75" customHeight="1">
      <c r="A1045" s="1">
        <v>1043.0</v>
      </c>
      <c r="B1045" s="3" t="s">
        <v>1046</v>
      </c>
      <c r="C1045" s="3" t="str">
        <f>IFERROR(__xludf.DUMMYFUNCTION("GOOGLETRANSLATE(B1045,""id"",""en"")"),"['Price', 'Ngebug', 'thousand', 'thousand', 'thousand', 'thousand', 'thousand', 'sometimes',' please ',' repair ',' position ',' emergency ',' danger ',' ngalamin ',' hope ',' nggk ',' person ',' hit ',' kyak ',' gni ',' read ',' comment ',' potsitive ','"&amp;" negative ',' negative ' , 'read', '']")</f>
        <v>['Price', 'Ngebug', 'thousand', 'thousand', 'thousand', 'thousand', 'thousand', 'sometimes',' please ',' repair ',' position ',' emergency ',' danger ',' ngalamin ',' hope ',' nggk ',' person ',' hit ',' kyak ',' gni ',' read ',' comment ',' potsitive ',' negative ',' negative ' , 'read', '']</v>
      </c>
      <c r="D1045" s="3">
        <v>1.0</v>
      </c>
    </row>
    <row r="1046" ht="15.75" customHeight="1">
      <c r="A1046" s="1">
        <v>1044.0</v>
      </c>
      <c r="B1046" s="3" t="s">
        <v>1047</v>
      </c>
      <c r="C1046" s="3" t="str">
        <f>IFERROR(__xludf.DUMMYFUNCTION("GOOGLETRANSLATE(B1046,""id"",""en"")"),"['times',' login ',' enter ',' application ',' UDH ',' Disappointed ',' heavy ',' UDH ',' use ',' application ',' not ',' install ',' Akunya ',' Delete ',' Loading ',' Guardtttt ',' ']")</f>
        <v>['times',' login ',' enter ',' application ',' UDH ',' Disappointed ',' heavy ',' UDH ',' use ',' application ',' not ',' install ',' Akunya ',' Delete ',' Loading ',' Guardtttt ',' ']</v>
      </c>
      <c r="D1046" s="3">
        <v>1.0</v>
      </c>
    </row>
    <row r="1047" ht="15.75" customHeight="1">
      <c r="A1047" s="1">
        <v>1045.0</v>
      </c>
      <c r="B1047" s="3" t="s">
        <v>1048</v>
      </c>
      <c r="C1047" s="3" t="str">
        <f>IFERROR(__xludf.DUMMYFUNCTION("GOOGLETRANSLATE(B1047,""id"",""en"")"),"['APK', 'rotten', 'error', 'fast', 'broken', 'apk', 'trash', 'sampek', 'sekrang', 'erro', 'klau', 'open', ' APK ',' Benerin ',' WOI ',' Fortiness', 'Gede', 'Most', 'Nipu', 'APK', 'BANGKE', 'Rotten', 'jerks', ""]")</f>
        <v>['APK', 'rotten', 'error', 'fast', 'broken', 'apk', 'trash', 'sampek', 'sekrang', 'erro', 'klau', 'open', ' APK ',' Benerin ',' WOI ',' Fortiness', 'Gede', 'Most', 'Nipu', 'APK', 'BANGKE', 'Rotten', 'jerks', "]</v>
      </c>
      <c r="D1047" s="3">
        <v>1.0</v>
      </c>
    </row>
    <row r="1048" ht="15.75" customHeight="1">
      <c r="A1048" s="1">
        <v>1046.0</v>
      </c>
      <c r="B1048" s="3" t="s">
        <v>1049</v>
      </c>
      <c r="C1048" s="3" t="str">
        <f>IFERROR(__xludf.DUMMYFUNCTION("GOOGLETRANSLATE(B1048,""id"",""en"")"),"['Buy', 'Package', 'Combo', 'Sakti', 'Unlimited', 'RB', 'Written', 'Subscriptions',' Disney ',' Hotstar ',' Package ',' Active ',' Watch ',' Disney ',' Hotstar ',' Please ',' Assisted ',' Settlement ',' Automatic ',' Subscribe ',' Buy ',' Package ',' Comb"&amp;"o ',' Sakti ',' Unlimited ' ]")</f>
        <v>['Buy', 'Package', 'Combo', 'Sakti', 'Unlimited', 'RB', 'Written', 'Subscriptions',' Disney ',' Hotstar ',' Package ',' Active ',' Watch ',' Disney ',' Hotstar ',' Please ',' Assisted ',' Settlement ',' Automatic ',' Subscribe ',' Buy ',' Package ',' Combo ',' Sakti ',' Unlimited ' ]</v>
      </c>
      <c r="D1048" s="3">
        <v>1.0</v>
      </c>
    </row>
    <row r="1049" ht="15.75" customHeight="1">
      <c r="A1049" s="1">
        <v>1047.0</v>
      </c>
      <c r="B1049" s="3" t="s">
        <v>1050</v>
      </c>
      <c r="C1049" s="3" t="str">
        <f>IFERROR(__xludf.DUMMYFUNCTION("GOOGLETRANSLATE(B1049,""id"",""en"")"),"['Star', 'response', 'good', 'love', 'signal', 'move', 'slow', 'please', 'fix', 'smooth', 'network', 'thank you', ' ']")</f>
        <v>['Star', 'response', 'good', 'love', 'signal', 'move', 'slow', 'please', 'fix', 'smooth', 'network', 'thank you', ' ']</v>
      </c>
      <c r="D1049" s="3">
        <v>4.0</v>
      </c>
    </row>
    <row r="1050" ht="15.75" customHeight="1">
      <c r="A1050" s="1">
        <v>1048.0</v>
      </c>
      <c r="B1050" s="3" t="s">
        <v>1051</v>
      </c>
      <c r="C1050" s="3" t="str">
        <f>IFERROR(__xludf.DUMMYFUNCTION("GOOGLETRANSLATE(B1050,""id"",""en"")"),"['Please', 'Points',' Exchange ',' Direct ',' Data ',' Pay ',' Points', 'exchanged', 'Direct', 'Points',' Pay ',' buwat ',' right ',' trapped ',' run out ',' kuwota ',' duwit ']")</f>
        <v>['Please', 'Points',' Exchange ',' Direct ',' Data ',' Pay ',' Points', 'exchanged', 'Direct', 'Points',' Pay ',' buwat ',' right ',' trapped ',' run out ',' kuwota ',' duwit ']</v>
      </c>
      <c r="D1050" s="3">
        <v>5.0</v>
      </c>
    </row>
    <row r="1051" ht="15.75" customHeight="1">
      <c r="A1051" s="1">
        <v>1049.0</v>
      </c>
      <c r="B1051" s="3" t="s">
        <v>1052</v>
      </c>
      <c r="C1051" s="3" t="str">
        <f>IFERROR(__xludf.DUMMYFUNCTION("GOOGLETRANSLATE(B1051,""id"",""en"")"),"['Telkomsel', 'Take', 'Provider', 'Best', 'Wrong', 'Karna', 'Package', 'Competitive', 'Price', 'Application', 'Slow', 'Hear', ' Users', 'complaints',' Telkomsel ',' signal ',' evenly ',' stable ',' survey ',' signal ',' evenly ',' example ',' dam ',' Batu"&amp;"tegi ',' Tanggamus' , 'users', 'Telkomsel', 'signal', 'bad', 'bad', 'speed', 'bad', 'hope', 'complaints', 'eyes']")</f>
        <v>['Telkomsel', 'Take', 'Provider', 'Best', 'Wrong', 'Karna', 'Package', 'Competitive', 'Price', 'Application', 'Slow', 'Hear', ' Users', 'complaints',' Telkomsel ',' signal ',' evenly ',' stable ',' survey ',' signal ',' evenly ',' example ',' dam ',' Batutegi ',' Tanggamus' , 'users', 'Telkomsel', 'signal', 'bad', 'bad', 'speed', 'bad', 'hope', 'complaints', 'eyes']</v>
      </c>
      <c r="D1051" s="3">
        <v>1.0</v>
      </c>
    </row>
    <row r="1052" ht="15.75" customHeight="1">
      <c r="A1052" s="1">
        <v>1050.0</v>
      </c>
      <c r="B1052" s="3" t="s">
        <v>1053</v>
      </c>
      <c r="C1052" s="3" t="str">
        <f>IFERROR(__xludf.DUMMYFUNCTION("GOOGLETRANSLATE(B1052,""id"",""en"")"),"['Hello', 'Telkomsel', 'buy', 'Package', 'Cheerful', 'Cut', 'Credit', 'Package', 'Reduced', 'Please', 'Accounts',' Harmed ',' thank you']")</f>
        <v>['Hello', 'Telkomsel', 'buy', 'Package', 'Cheerful', 'Cut', 'Credit', 'Package', 'Reduced', 'Please', 'Accounts',' Harmed ',' thank you']</v>
      </c>
      <c r="D1052" s="3">
        <v>1.0</v>
      </c>
    </row>
    <row r="1053" ht="15.75" customHeight="1">
      <c r="A1053" s="1">
        <v>1051.0</v>
      </c>
      <c r="B1053" s="3" t="s">
        <v>1054</v>
      </c>
      <c r="C1053" s="3" t="str">
        <f>IFERROR(__xludf.DUMMYFUNCTION("GOOGLETRANSLATE(B1053,""id"",""en"")"),"['cave', 'surprised', 'people', 'Indonesia', 'surprised', 'surprised', 'Telkomsel', 'expensive', 'network', 'trusss',' continuous', 'praying', ' Telkomsel ',' Indinesia ',' Lost ',' Telkomsel ',' Left Behind ',' Great ',' Seakkk ',' Great ']")</f>
        <v>['cave', 'surprised', 'people', 'Indonesia', 'surprised', 'surprised', 'Telkomsel', 'expensive', 'network', 'trusss',' continuous', 'praying', ' Telkomsel ',' Indinesia ',' Lost ',' Telkomsel ',' Left Behind ',' Great ',' Seakkk ',' Great ']</v>
      </c>
      <c r="D1053" s="3">
        <v>1.0</v>
      </c>
    </row>
    <row r="1054" ht="15.75" customHeight="1">
      <c r="A1054" s="1">
        <v>1052.0</v>
      </c>
      <c r="B1054" s="3" t="s">
        <v>1055</v>
      </c>
      <c r="C1054" s="3" t="str">
        <f>IFERROR(__xludf.DUMMYFUNCTION("GOOGLETRANSLATE(B1054,""id"",""en"")"),"['', 'signal', 'Telkomsel', 'ugly', 'internet', 'Bojonegoro', 'Tanjung', 'Harjo', 'Hamlet', 'Coral', 'Network', 'Frequency', 'stands ',' influential ',' network ',' Telkomsel ',' sorry ', ""]")</f>
        <v>['', 'signal', 'Telkomsel', 'ugly', 'internet', 'Bojonegoro', 'Tanjung', 'Harjo', 'Hamlet', 'Coral', 'Network', 'Frequency', 'stands ',' influential ',' network ',' Telkomsel ',' sorry ', "]</v>
      </c>
      <c r="D1054" s="3">
        <v>2.0</v>
      </c>
    </row>
    <row r="1055" ht="15.75" customHeight="1">
      <c r="A1055" s="1">
        <v>1053.0</v>
      </c>
      <c r="B1055" s="3" t="s">
        <v>1056</v>
      </c>
      <c r="C1055" s="3" t="str">
        <f>IFERROR(__xludf.DUMMYFUNCTION("GOOGLETRANSLATE(B1055,""id"",""en"")"),"['Sorry', 'treated', 'Update', 'Insha', 'Allah', 'Experience', 'Bad', 'Telkomsel', 'Money', 'Top', 'Sudden', 'Lost', ' "", 'transaction', 'purchase', 'package', 'GB', 'a week', 'results', 'screenshot', 'send', 'via', 'gmail', 'top', 'shipment' , 'people',"&amp;" 'people', 'sympathetic', 'say']")</f>
        <v>['Sorry', 'treated', 'Update', 'Insha', 'Allah', 'Experience', 'Bad', 'Telkomsel', 'Money', 'Top', 'Sudden', 'Lost', ' ", 'transaction', 'purchase', 'package', 'GB', 'a week', 'results', 'screenshot', 'send', 'via', 'gmail', 'top', 'shipment' , 'people', 'people', 'sympathetic', 'say']</v>
      </c>
      <c r="D1055" s="3">
        <v>5.0</v>
      </c>
    </row>
    <row r="1056" ht="15.75" customHeight="1">
      <c r="A1056" s="1">
        <v>1054.0</v>
      </c>
      <c r="B1056" s="3" t="s">
        <v>1057</v>
      </c>
      <c r="C1056" s="3" t="str">
        <f>IFERROR(__xludf.DUMMYFUNCTION("GOOGLETRANSLATE(B1056,""id"",""en"")"),"['contents',' pulse ',' via ',' May ',' Telkomsel ',' payment ',' via ',' Shoope ',' pay ',' balance ',' shope ',' truncated ',' pulses', 'in', 'chat', 'via', 'responded', 'chat', 'telkomsel', 'where', 'report', 'graparii', 'pulse', 'thousand', 'silver' ,"&amp;" 'Mending', 'check', 'quota', 'Telkomsel', 'garbage', 'garbage', 'trash']")</f>
        <v>['contents',' pulse ',' via ',' May ',' Telkomsel ',' payment ',' via ',' Shoope ',' pay ',' balance ',' shope ',' truncated ',' pulses', 'in', 'chat', 'via', 'responded', 'chat', 'telkomsel', 'where', 'report', 'graparii', 'pulse', 'thousand', 'silver' , 'Mending', 'check', 'quota', 'Telkomsel', 'garbage', 'garbage', 'trash']</v>
      </c>
      <c r="D1056" s="3">
        <v>1.0</v>
      </c>
    </row>
    <row r="1057" ht="15.75" customHeight="1">
      <c r="A1057" s="1">
        <v>1055.0</v>
      </c>
      <c r="B1057" s="3" t="s">
        <v>1058</v>
      </c>
      <c r="C1057" s="3" t="str">
        <f>IFERROR(__xludf.DUMMYFUNCTION("GOOGLETRANSLATE(B1057,""id"",""en"")"),"['likes',' weve ',' initu ',' card ',' fast ',' really ',' bub ',' internet ',' telkom ',' then ',' install ',' MyTelkomsel ',' ',' Diekeun ',' Lho ',' APK ',' emg ',' shortcomings', 'smga', 'in the future', ""]")</f>
        <v>['likes',' weve ',' initu ',' card ',' fast ',' really ',' bub ',' internet ',' telkom ',' then ',' install ',' MyTelkomsel ',' ',' Diekeun ',' Lho ',' APK ',' emg ',' shortcomings', 'smga', 'in the future', "]</v>
      </c>
      <c r="D1057" s="3">
        <v>4.0</v>
      </c>
    </row>
    <row r="1058" ht="15.75" customHeight="1">
      <c r="A1058" s="1">
        <v>1056.0</v>
      </c>
      <c r="B1058" s="3" t="s">
        <v>1059</v>
      </c>
      <c r="C1058" s="3" t="str">
        <f>IFERROR(__xludf.DUMMYFUNCTION("GOOGLETRANSLATE(B1058,""id"",""en"")"),"['Telkomsel', 'Hi', 'work', 'Telkom', 'cell', 'Please', 'buy', 'quota', 'internet', 'bought', 'truss',' saved ',' ajaa ',' quota ',' use ',' use ',' signal ',' severe ',' provider ',' advantages', 'quota', 'buy', 'taken', 'Bethldku', 'the package' , 'trus"&amp;"s', 'buy', 'quota', 'leftover', 'quota', 'yesterday', 'sold', 'sirkahi', 'family', 'truly', 'Telkomsel', 'rubbish']")</f>
        <v>['Telkomsel', 'Hi', 'work', 'Telkom', 'cell', 'Please', 'buy', 'quota', 'internet', 'bought', 'truss',' saved ',' ajaa ',' quota ',' use ',' use ',' signal ',' severe ',' provider ',' advantages', 'quota', 'buy', 'taken', 'Bethldku', 'the package' , 'truss', 'buy', 'quota', 'leftover', 'quota', 'yesterday', 'sold', 'sirkahi', 'family', 'truly', 'Telkomsel', 'rubbish']</v>
      </c>
      <c r="D1058" s="3">
        <v>1.0</v>
      </c>
    </row>
    <row r="1059" ht="15.75" customHeight="1">
      <c r="A1059" s="1">
        <v>1057.0</v>
      </c>
      <c r="B1059" s="3" t="s">
        <v>1060</v>
      </c>
      <c r="C1059" s="3" t="str">
        <f>IFERROR(__xludf.DUMMYFUNCTION("GOOGLETRANSLATE(B1059,""id"",""en"")"),"['Come', 'expensive', 'purchase', 'package', 'data', 'package', 'buy', 'buy', 'Different', 'package', 'expensive', 'darling', ' Data ',' BNYK ',' On ',' Abis', 'Loss']")</f>
        <v>['Come', 'expensive', 'purchase', 'package', 'data', 'package', 'buy', 'buy', 'Different', 'package', 'expensive', 'darling', ' Data ',' BNYK ',' On ',' Abis', 'Loss']</v>
      </c>
      <c r="D1059" s="3">
        <v>1.0</v>
      </c>
    </row>
    <row r="1060" ht="15.75" customHeight="1">
      <c r="A1060" s="1">
        <v>1058.0</v>
      </c>
      <c r="B1060" s="3" t="s">
        <v>1061</v>
      </c>
      <c r="C1060" s="3" t="str">
        <f>IFERROR(__xludf.DUMMYFUNCTION("GOOGLETRANSLATE(B1060,""id"",""en"")"),"['AXIS', 'NET', 'Features',' Free ',' Open ',' Application ',' Package ',' Apps', 'Telkomsel', 'Package', 'Open', 'Application', ' pulse ',' suck ',' knowledge ',' pulse ',' victim ',' please ',' understand ',' fix ',' admin ',' telkomsel ',' please ',' m"&amp;"essage ',' CEO ' , 'Telkomsel', 'Dear']")</f>
        <v>['AXIS', 'NET', 'Features',' Free ',' Open ',' Application ',' Package ',' Apps', 'Telkomsel', 'Package', 'Open', 'Application', ' pulse ',' suck ',' knowledge ',' pulse ',' victim ',' please ',' understand ',' fix ',' admin ',' telkomsel ',' please ',' message ',' CEO ' , 'Telkomsel', 'Dear']</v>
      </c>
      <c r="D1060" s="3">
        <v>1.0</v>
      </c>
    </row>
    <row r="1061" ht="15.75" customHeight="1">
      <c r="A1061" s="1">
        <v>1059.0</v>
      </c>
      <c r="B1061" s="3" t="s">
        <v>1062</v>
      </c>
      <c r="C1061" s="3" t="str">
        <f>IFERROR(__xludf.DUMMYFUNCTION("GOOGLETRANSLATE(B1061,""id"",""en"")"),"['Disappointed', 'Response', 'Buy', 'Package', 'Process',' APK ',' Deliberate ',' Matiin ',' Pulse ',' Tetep ',' Abis', 'Brain', ' Atik ',' apk ',' Telkomsel ',' Gara ',' buy ',' package ',' process', 'pulse', 'ilang', 'disappointed']")</f>
        <v>['Disappointed', 'Response', 'Buy', 'Package', 'Process',' APK ',' Deliberate ',' Matiin ',' Pulse ',' Tetep ',' Abis', 'Brain', ' Atik ',' apk ',' Telkomsel ',' Gara ',' buy ',' package ',' process', 'pulse', 'ilang', 'disappointed']</v>
      </c>
      <c r="D1061" s="3">
        <v>1.0</v>
      </c>
    </row>
    <row r="1062" ht="15.75" customHeight="1">
      <c r="A1062" s="1">
        <v>1060.0</v>
      </c>
      <c r="B1062" s="3" t="s">
        <v>1063</v>
      </c>
      <c r="C1062" s="3" t="str">
        <f>IFERROR(__xludf.DUMMYFUNCTION("GOOGLETRANSLATE(B1062,""id"",""en"")"),"['Package', 'Data', 'On', 'Package', 'Quota', 'Out', 'Credit', 'Discussed', 'Telkomsel', 'Telkomsel', 'Eat', 'Money', ' Haram ',' Karna ',' sincere ',' piece ',' pulse ',' internet ',' as expensive ',' repent ',' your business', 'blessing', ""]")</f>
        <v>['Package', 'Data', 'On', 'Package', 'Quota', 'Out', 'Credit', 'Discussed', 'Telkomsel', 'Telkomsel', 'Eat', 'Money', ' Haram ',' Karna ',' sincere ',' piece ',' pulse ',' internet ',' as expensive ',' repent ',' your business', 'blessing', "]</v>
      </c>
      <c r="D1062" s="3">
        <v>1.0</v>
      </c>
    </row>
    <row r="1063" ht="15.75" customHeight="1">
      <c r="A1063" s="1">
        <v>1061.0</v>
      </c>
      <c r="B1063" s="3" t="s">
        <v>1064</v>
      </c>
      <c r="C1063" s="3" t="str">
        <f>IFERROR(__xludf.DUMMYFUNCTION("GOOGLETRANSLATE(B1063,""id"",""en"")"),"['clock', 'claims', 'gift', 'help', 'help', 'choice', 'help', 'check', 'claim', 'understand', 'application', 'telkom']")</f>
        <v>['clock', 'claims', 'gift', 'help', 'help', 'choice', 'help', 'check', 'claim', 'understand', 'application', 'telkom']</v>
      </c>
      <c r="D1063" s="3">
        <v>1.0</v>
      </c>
    </row>
    <row r="1064" ht="15.75" customHeight="1">
      <c r="A1064" s="1">
        <v>1062.0</v>
      </c>
      <c r="B1064" s="3" t="s">
        <v>1065</v>
      </c>
      <c r="C1064" s="3" t="str">
        <f>IFERROR(__xludf.DUMMYFUNCTION("GOOGLETRANSLATE(B1064,""id"",""en"")"),"['Hang', 'That's',' Telkomsel ',' Points', 'Must', 'Issible', 'Mending', 'Direct', 'Option', 'Type', 'Points',' exchanged ',' The world ',' sophisticated ',' application ',' ngrepotine ',' ']")</f>
        <v>['Hang', 'That's',' Telkomsel ',' Points', 'Must', 'Issible', 'Mending', 'Direct', 'Option', 'Type', 'Points',' exchanged ',' The world ',' sophisticated ',' application ',' ngrepotine ',' ']</v>
      </c>
      <c r="D1064" s="3">
        <v>2.0</v>
      </c>
    </row>
    <row r="1065" ht="15.75" customHeight="1">
      <c r="A1065" s="1">
        <v>1063.0</v>
      </c>
      <c r="B1065" s="3" t="s">
        <v>1066</v>
      </c>
      <c r="C1065" s="3" t="str">
        <f>IFERROR(__xludf.DUMMYFUNCTION("GOOGLETRANSLATE(B1065,""id"",""en"")"),"['Disappointed', 'Telkomsel', 'at the same time', 'check', 'daily', 'koq', 'missing', 'prize', 'claimed', 'following', 'rules',' hrus', ' check ',' prize ',' missing ',' Telkomsel ',' cheater ',' network ',' slow ',' Telkomsel ',' cheater ',' cheater ',' "&amp;"cheater ']")</f>
        <v>['Disappointed', 'Telkomsel', 'at the same time', 'check', 'daily', 'koq', 'missing', 'prize', 'claimed', 'following', 'rules',' hrus', ' check ',' prize ',' missing ',' Telkomsel ',' cheater ',' network ',' slow ',' Telkomsel ',' cheater ',' cheater ',' cheater ']</v>
      </c>
      <c r="D1065" s="3">
        <v>1.0</v>
      </c>
    </row>
    <row r="1066" ht="15.75" customHeight="1">
      <c r="A1066" s="1">
        <v>1064.0</v>
      </c>
      <c r="B1066" s="3" t="s">
        <v>1067</v>
      </c>
      <c r="C1066" s="3" t="str">
        <f>IFERROR(__xludf.DUMMYFUNCTION("GOOGLETRANSLATE(B1066,""id"",""en"")"),"['difficult', 'buy', 'package', 'internet', 'night', 'since' upgraded ',' number ',' difficult ',' internet ',' change ',' delicious ',' Over ',' Upgrade ',' SMS ',' Telkomsel ',' DTang ',' Buy ',' Package ',' Internet ',' Unlimited ',' Buy ',' Package ',"&amp;"' EXPERY ' , 'reply', 'automatic', 'improve', 'quality', 'try', 'activity', 'service', 'try', 'clock', 'bls',' please ',' repair ',' Telkomsel ',' ']")</f>
        <v>['difficult', 'buy', 'package', 'internet', 'night', 'since' upgraded ',' number ',' difficult ',' internet ',' change ',' delicious ',' Over ',' Upgrade ',' SMS ',' Telkomsel ',' DTang ',' Buy ',' Package ',' Internet ',' Unlimited ',' Buy ',' Package ',' EXPERY ' , 'reply', 'automatic', 'improve', 'quality', 'try', 'activity', 'service', 'try', 'clock', 'bls',' please ',' repair ',' Telkomsel ',' ']</v>
      </c>
      <c r="D1066" s="3">
        <v>1.0</v>
      </c>
    </row>
    <row r="1067" ht="15.75" customHeight="1">
      <c r="A1067" s="1">
        <v>1065.0</v>
      </c>
      <c r="B1067" s="3" t="s">
        <v>1068</v>
      </c>
      <c r="C1067" s="3" t="str">
        <f>IFERROR(__xludf.DUMMYFUNCTION("GOOGLETRANSLATE(B1067,""id"",""en"")"),"['application', 'ugly', 'heavy', 'really', 'loading', 'open', 'game', 'heavy', 'fast', 'the application', 'please', 'repaired', ' classmates', 'Telkomsel', 'Application', 'Kayak', 'garbage', '']")</f>
        <v>['application', 'ugly', 'heavy', 'really', 'loading', 'open', 'game', 'heavy', 'fast', 'the application', 'please', 'repaired', ' classmates', 'Telkomsel', 'Application', 'Kayak', 'garbage', '']</v>
      </c>
      <c r="D1067" s="3">
        <v>1.0</v>
      </c>
    </row>
    <row r="1068" ht="15.75" customHeight="1">
      <c r="A1068" s="1">
        <v>1066.0</v>
      </c>
      <c r="B1068" s="3" t="s">
        <v>1069</v>
      </c>
      <c r="C1068" s="3" t="str">
        <f>IFERROR(__xludf.DUMMYFUNCTION("GOOGLETRANSLATE(B1068,""id"",""en"")"),"['The application', 'satisfying', 'contents',' pulse ',' application ',' MyTelkomsel ',' payment ',' shopeepay ',' pulses', 'entered', 'disappointed', 'Please', ' Enhanced ',' application ',' card ',' pulses', 'enter', 'payment', 'shopeepay', ""]")</f>
        <v>['The application', 'satisfying', 'contents',' pulse ',' application ',' MyTelkomsel ',' payment ',' shopeepay ',' pulses', 'entered', 'disappointed', 'Please', ' Enhanced ',' application ',' card ',' pulses', 'enter', 'payment', 'shopeepay', "]</v>
      </c>
      <c r="D1068" s="3">
        <v>1.0</v>
      </c>
    </row>
    <row r="1069" ht="15.75" customHeight="1">
      <c r="A1069" s="1">
        <v>1067.0</v>
      </c>
      <c r="B1069" s="3" t="s">
        <v>1070</v>
      </c>
      <c r="C1069" s="3" t="str">
        <f>IFERROR(__xludf.DUMMYFUNCTION("GOOGLETRANSLATE(B1069,""id"",""en"")"),"['Bug', 'buy', 'Package', 'night', 'SUCCESS', 'Look', 'Embossed', 'Credit', 'Take', 'Package', 'Download', 'Film']")</f>
        <v>['Bug', 'buy', 'Package', 'night', 'SUCCESS', 'Look', 'Embossed', 'Credit', 'Take', 'Package', 'Download', 'Film']</v>
      </c>
      <c r="D1069" s="3">
        <v>1.0</v>
      </c>
    </row>
    <row r="1070" ht="15.75" customHeight="1">
      <c r="A1070" s="1">
        <v>1068.0</v>
      </c>
      <c r="B1070" s="3" t="s">
        <v>1071</v>
      </c>
      <c r="C1070" s="3" t="str">
        <f>IFERROR(__xludf.DUMMYFUNCTION("GOOGLETRANSLATE(B1070,""id"",""en"")"),"['Knp', 'buy', 'Package', 'Combo', 'Sakti', 'Credit', 'Adequate', 'Here', 'Pelaya', 'Telkomsel', 'Satisfying', 'Yaa', ' ']")</f>
        <v>['Knp', 'buy', 'Package', 'Combo', 'Sakti', 'Credit', 'Adequate', 'Here', 'Pelaya', 'Telkomsel', 'Satisfying', 'Yaa', ' ']</v>
      </c>
      <c r="D1070" s="3">
        <v>1.0</v>
      </c>
    </row>
    <row r="1071" ht="15.75" customHeight="1">
      <c r="A1071" s="1">
        <v>1069.0</v>
      </c>
      <c r="B1071" s="3" t="s">
        <v>1072</v>
      </c>
      <c r="C1071" s="3" t="str">
        <f>IFERROR(__xludf.DUMMYFUNCTION("GOOGLETRANSLATE(B1071,""id"",""en"")"),"['gift', 'check', 'Klim', 'menu', 'gift', 'direct', 'missing', 'gift', 'klim', 'application', 'setting', 'cheat', ' Deliberately ',' Klim ',' Enter ',' Application ',' Menu ',' Gift ',' Posts', 'Check', 'Tomorrow', 'Application', 'Nipu', 'Gift', 'Klim' , "&amp;"'menu', 'gift', 'missing', 'believe', 'Telkomsel', 'application', 'MyTelkomsel', 'cheating', 'gift', 'check', 'daily', ""]")</f>
        <v>['gift', 'check', 'Klim', 'menu', 'gift', 'direct', 'missing', 'gift', 'klim', 'application', 'setting', 'cheat', ' Deliberately ',' Klim ',' Enter ',' Application ',' Menu ',' Gift ',' Posts', 'Check', 'Tomorrow', 'Application', 'Nipu', 'Gift', 'Klim' , 'menu', 'gift', 'missing', 'believe', 'Telkomsel', 'application', 'MyTelkomsel', 'cheating', 'gift', 'check', 'daily', "]</v>
      </c>
      <c r="D1071" s="3">
        <v>1.0</v>
      </c>
    </row>
    <row r="1072" ht="15.75" customHeight="1">
      <c r="A1072" s="1">
        <v>1070.0</v>
      </c>
      <c r="B1072" s="3" t="s">
        <v>1073</v>
      </c>
      <c r="C1072" s="3" t="str">
        <f>IFERROR(__xludf.DUMMYFUNCTION("GOOGLETRANSLATE(B1072,""id"",""en"")"),"['buy', 'package', 'method', 'payment', 'link', 'balance', 'link', 'already', 'reduced', 'package', 'internet', 'enter', ' SMS ',' Please ',' Activation ',' Service ',' I mean ']")</f>
        <v>['buy', 'package', 'method', 'payment', 'link', 'balance', 'link', 'already', 'reduced', 'package', 'internet', 'enter', ' SMS ',' Please ',' Activation ',' Service ',' I mean ']</v>
      </c>
      <c r="D1072" s="3">
        <v>3.0</v>
      </c>
    </row>
    <row r="1073" ht="15.75" customHeight="1">
      <c r="A1073" s="1">
        <v>1071.0</v>
      </c>
      <c r="B1073" s="3" t="s">
        <v>1074</v>
      </c>
      <c r="C1073" s="3" t="str">
        <f>IFERROR(__xludf.DUMMYFUNCTION("GOOGLETRANSLATE(B1073,""id"",""en"")"),"['Telkomsel', 'makes it difficult', 'customers',' pulse ',' activation ',' package ',' internet ',' night ',' a month ',' nominal ',' thousand ',' activation ',' hours', 'morning', 'need', 'wait']")</f>
        <v>['Telkomsel', 'makes it difficult', 'customers',' pulse ',' activation ',' package ',' internet ',' night ',' a month ',' nominal ',' thousand ',' activation ',' hours', 'morning', 'need', 'wait']</v>
      </c>
      <c r="D1073" s="3">
        <v>1.0</v>
      </c>
    </row>
    <row r="1074" ht="15.75" customHeight="1">
      <c r="A1074" s="1">
        <v>1072.0</v>
      </c>
      <c r="B1074" s="3" t="s">
        <v>1075</v>
      </c>
      <c r="C1074" s="3" t="str">
        <f>IFERROR(__xludf.DUMMYFUNCTION("GOOGLETRANSLATE(B1074,""id"",""en"")"),"['', 'smooth', 'purchase', 'GB', 'a week', 'updated', 'error', 'teler', 'What's',' name ',' update ',' a week ',' times ',' update ',' work ',' really ',' sorry ',' apk ',' out ',' mending ',' buy ',' direct ',' expensive ',' little ',' gpp ', 'smooth', '"&amp;"completed', 'told', 'ask', 'Veronika', 'lie', 'solution', 'sorry', 'unistall', '']")</f>
        <v>['', 'smooth', 'purchase', 'GB', 'a week', 'updated', 'error', 'teler', 'What's',' name ',' update ',' a week ',' times ',' update ',' work ',' really ',' sorry ',' apk ',' out ',' mending ',' buy ',' direct ',' expensive ',' little ',' gpp ', 'smooth', 'completed', 'told', 'ask', 'Veronika', 'lie', 'solution', 'sorry', 'unistall', '']</v>
      </c>
      <c r="D1074" s="3">
        <v>1.0</v>
      </c>
    </row>
    <row r="1075" ht="15.75" customHeight="1">
      <c r="A1075" s="1">
        <v>1073.0</v>
      </c>
      <c r="B1075" s="3" t="s">
        <v>1076</v>
      </c>
      <c r="C1075" s="3" t="str">
        <f>IFERROR(__xludf.DUMMYFUNCTION("GOOGLETRANSLATE(B1075,""id"",""en"")"),"['Purchase', 'package', 'night', 'told', 'waiting', 'clock', 'people', 'it's needed', 'reason', 'improvement', 'quality', 'annoying', ' ']")</f>
        <v>['Purchase', 'package', 'night', 'told', 'waiting', 'clock', 'people', 'it's needed', 'reason', 'improvement', 'quality', 'annoying', ' ']</v>
      </c>
      <c r="D1075" s="3">
        <v>1.0</v>
      </c>
    </row>
    <row r="1076" ht="15.75" customHeight="1">
      <c r="A1076" s="1">
        <v>1074.0</v>
      </c>
      <c r="B1076" s="3" t="s">
        <v>1077</v>
      </c>
      <c r="C1076" s="3" t="str">
        <f>IFERROR(__xludf.DUMMYFUNCTION("GOOGLETRANSLATE(B1076,""id"",""en"")"),"['Please', 'Telkomsel', 'Disappointed', 'Very', 'Card', 'Handphone', 'The Network', 'Appears',' Setounting ',' HP ',' Tsel ',' Doang ',' its network ',' HSPA ',' Gnya ',' strange ',' really ',' trs', 'just' just 'contact', 'call', 'center', 'connected', '"&amp;"strange', 'waste' , 'mah', 'paraaaaaaaaaaaaaaaah', '']")</f>
        <v>['Please', 'Telkomsel', 'Disappointed', 'Very', 'Card', 'Handphone', 'The Network', 'Appears',' Setounting ',' HP ',' Tsel ',' Doang ',' its network ',' HSPA ',' Gnya ',' strange ',' really ',' trs', 'just' just 'contact', 'call', 'center', 'connected', 'strange', 'waste' , 'mah', 'paraaaaaaaaaaaaaaaah', '']</v>
      </c>
      <c r="D1076" s="3">
        <v>1.0</v>
      </c>
    </row>
    <row r="1077" ht="15.75" customHeight="1">
      <c r="A1077" s="1">
        <v>1075.0</v>
      </c>
      <c r="B1077" s="3" t="s">
        <v>1078</v>
      </c>
      <c r="C1077" s="3" t="str">
        <f>IFERROR(__xludf.DUMMYFUNCTION("GOOGLETRANSLATE(B1077,""id"",""en"")"),"['Ngerti', 'procedure', 'package', 'nelfon', 'unlimited', 'take', 'package', 'nelfon', 'pulse', 'run out', 'drained', 'package', ' bought ',' like ',' vain ',' vain ',' buy ',' package ',' nelfon ',' really ',' survive ',' person ',' old ',' makai ',' pri"&amp;"me ' ]")</f>
        <v>['Ngerti', 'procedure', 'package', 'nelfon', 'unlimited', 'take', 'package', 'nelfon', 'pulse', 'run out', 'drained', 'package', ' bought ',' like ',' vain ',' vain ',' buy ',' package ',' nelfon ',' really ',' survive ',' person ',' old ',' makai ',' prime ' ]</v>
      </c>
      <c r="D1077" s="3">
        <v>1.0</v>
      </c>
    </row>
    <row r="1078" ht="15.75" customHeight="1">
      <c r="A1078" s="1">
        <v>1076.0</v>
      </c>
      <c r="B1078" s="3" t="s">
        <v>1079</v>
      </c>
      <c r="C1078" s="3" t="str">
        <f>IFERROR(__xludf.DUMMYFUNCTION("GOOGLETRANSLATE(B1078,""id"",""en"")"),"['', 'Gara', 'update', 'App', 'opened', 'App', 'opened', 'run', 'update', 'newest', 'knp', 'tlg', 'option ',' Update ',' apps', 'times',' Cancel ',' etc. ',' ']")</f>
        <v>['', 'Gara', 'update', 'App', 'opened', 'App', 'opened', 'run', 'update', 'newest', 'knp', 'tlg', 'option ',' Update ',' apps', 'times',' Cancel ',' etc. ',' ']</v>
      </c>
      <c r="D1078" s="3">
        <v>2.0</v>
      </c>
    </row>
    <row r="1079" ht="15.75" customHeight="1">
      <c r="A1079" s="1">
        <v>1077.0</v>
      </c>
      <c r="B1079" s="3" t="s">
        <v>1080</v>
      </c>
      <c r="C1079" s="3" t="str">
        <f>IFERROR(__xludf.DUMMYFUNCTION("GOOGLETRANSLATE(B1079,""id"",""en"")"),"['Daily', 'check', 'late', 'error', 'star', 'Hopefully', 'ahead', 'bonus',' daily ',' check ',' fill ',' bonus', ' quota ',' monetery ',' example ',' discount ',' omitted ',' replace ',' bonus', 'quota', 'monetary']")</f>
        <v>['Daily', 'check', 'late', 'error', 'star', 'Hopefully', 'ahead', 'bonus',' daily ',' check ',' fill ',' bonus', ' quota ',' monetery ',' example ',' discount ',' omitted ',' replace ',' bonus', 'quota', 'monetary']</v>
      </c>
      <c r="D1079" s="3">
        <v>4.0</v>
      </c>
    </row>
    <row r="1080" ht="15.75" customHeight="1">
      <c r="A1080" s="1">
        <v>1078.0</v>
      </c>
      <c r="B1080" s="3" t="s">
        <v>1081</v>
      </c>
      <c r="C1080" s="3" t="str">
        <f>IFERROR(__xludf.DUMMYFUNCTION("GOOGLETRANSLATE(B1080,""id"",""en"")"),"['update', 'Semkain', 'Nge', 'lag', 'error', 'other', 'payment', 'method', 'gabisa', 'use', 'right', 'pay', ' Balance ',' Telkomsel ',' Gabisa ',' error ',' Sometimes', 'right', 'Genting', 'bother', 'hope', 'fix', 'in the future', 'Appnya', ""]")</f>
        <v>['update', 'Semkain', 'Nge', 'lag', 'error', 'other', 'payment', 'method', 'gabisa', 'use', 'right', 'pay', ' Balance ',' Telkomsel ',' Gabisa ',' error ',' Sometimes', 'right', 'Genting', 'bother', 'hope', 'fix', 'in the future', 'Appnya', "]</v>
      </c>
      <c r="D1080" s="3">
        <v>2.0</v>
      </c>
    </row>
    <row r="1081" ht="15.75" customHeight="1">
      <c r="A1081" s="1">
        <v>1079.0</v>
      </c>
      <c r="B1081" s="3" t="s">
        <v>1082</v>
      </c>
      <c r="C1081" s="3" t="str">
        <f>IFERROR(__xludf.DUMMYFUNCTION("GOOGLETRANSLATE(B1081,""id"",""en"")"),"['Telkomsel', 'expensive', 'signal', 'gajelas',' weak ',' please ',' pay attention ',' fix ',' business', 'signal', 'right', 'accept', ' Service ',' signal ',' good ',' buy ',' package ',' data ',' Telkomsel ',' fix ',' credibility ',' threatened ']")</f>
        <v>['Telkomsel', 'expensive', 'signal', 'gajelas',' weak ',' please ',' pay attention ',' fix ',' business', 'signal', 'right', 'accept', ' Service ',' signal ',' good ',' buy ',' package ',' data ',' Telkomsel ',' fix ',' credibility ',' threatened ']</v>
      </c>
      <c r="D1081" s="3">
        <v>1.0</v>
      </c>
    </row>
    <row r="1082" ht="15.75" customHeight="1">
      <c r="A1082" s="1">
        <v>1080.0</v>
      </c>
      <c r="B1082" s="3" t="s">
        <v>1083</v>
      </c>
      <c r="C1082" s="3" t="str">
        <f>IFERROR(__xludf.DUMMYFUNCTION("GOOGLETRANSLATE(B1082,""id"",""en"")"),"['Disappointed', 'sympathy', 'buy', 'pulse', 'until', 'thousand', 'package', 'slow', 'really', 'watch', 'browser', 'sampe', ' Buy ',' Indosat ',' Comparison ',' Indosat ',' Watch ',' Think ',' Troubled ',' Already ',' Report ',' Tetep ',' Dead ',' Fill ',"&amp;"' Credit ' , 'numbers', 'minimal', 'thousand', 'gini', 'move', 'org', 'provider', 'think', 'senior', 'sympathy']")</f>
        <v>['Disappointed', 'sympathy', 'buy', 'pulse', 'until', 'thousand', 'package', 'slow', 'really', 'watch', 'browser', 'sampe', ' Buy ',' Indosat ',' Comparison ',' Indosat ',' Watch ',' Think ',' Troubled ',' Already ',' Report ',' Tetep ',' Dead ',' Fill ',' Credit ' , 'numbers', 'minimal', 'thousand', 'gini', 'move', 'org', 'provider', 'think', 'senior', 'sympathy']</v>
      </c>
      <c r="D1082" s="3">
        <v>1.0</v>
      </c>
    </row>
    <row r="1083" ht="15.75" customHeight="1">
      <c r="A1083" s="1">
        <v>1081.0</v>
      </c>
      <c r="B1083" s="3" t="s">
        <v>1084</v>
      </c>
      <c r="C1083" s="3" t="str">
        <f>IFERROR(__xludf.DUMMYFUNCTION("GOOGLETRANSLATE(B1083,""id"",""en"")"),"['Help', 'If', 'balance', 'credit', 'locked', 'arranged', 'his marketer', 'personal', 'balance', 'pulse', 'use', 'call', ' smsan ',' telephone ',' sms', 'kouta', 'internet', 'finished', 'sucked', 'pulse', 'darling', 'pulse', 'kepake', 'internet', 'pdhl' ,"&amp;" 'Credit', 'telponan', 'smsan', 'savings', 'contents', 'kouta', 'trmkgh', '']")</f>
        <v>['Help', 'If', 'balance', 'credit', 'locked', 'arranged', 'his marketer', 'personal', 'balance', 'pulse', 'use', 'call', ' smsan ',' telephone ',' sms', 'kouta', 'internet', 'finished', 'sucked', 'pulse', 'darling', 'pulse', 'kepake', 'internet', 'pdhl' , 'Credit', 'telponan', 'smsan', 'savings', 'contents', 'kouta', 'trmkgh', '']</v>
      </c>
      <c r="D1083" s="3">
        <v>4.0</v>
      </c>
    </row>
    <row r="1084" ht="15.75" customHeight="1">
      <c r="A1084" s="1">
        <v>1082.0</v>
      </c>
      <c r="B1084" s="3" t="s">
        <v>1085</v>
      </c>
      <c r="C1084" s="3" t="str">
        <f>IFERROR(__xludf.DUMMYFUNCTION("GOOGLETRANSLATE(B1084,""id"",""en"")"),"['Hello', 'Telkomsel', 'Try', 'Login', 'Link', 'Enter', 'right', 'press', 'reset', 'please']")</f>
        <v>['Hello', 'Telkomsel', 'Try', 'Login', 'Link', 'Enter', 'right', 'press', 'reset', 'please']</v>
      </c>
      <c r="D1084" s="3">
        <v>1.0</v>
      </c>
    </row>
    <row r="1085" ht="15.75" customHeight="1">
      <c r="A1085" s="1">
        <v>1083.0</v>
      </c>
      <c r="B1085" s="3" t="s">
        <v>1086</v>
      </c>
      <c r="C1085" s="3" t="str">
        <f>IFERROR(__xludf.DUMMYFUNCTION("GOOGLETRANSLATE(B1085,""id"",""en"")"),"['Sorry', 'love', 'rating', 'low', 'because', 'understand', 'description', 'inside', 'contents',' printed ',' example ',' pulse ',' monetary ',' functions', 'buy', 'package', 'Telkomsel', 'try', 'buy', 'package', 'pulse', 'truncated', 'buy', 'please', 'so"&amp;"rry' , 'I ask', 'wrong', 'understand', 'beg "",' corrected ',' because 'countless', 'users',""]")</f>
        <v>['Sorry', 'love', 'rating', 'low', 'because', 'understand', 'description', 'inside', 'contents',' printed ',' example ',' pulse ',' monetary ',' functions', 'buy', 'package', 'Telkomsel', 'try', 'buy', 'package', 'pulse', 'truncated', 'buy', 'please', 'sorry' , 'I ask', 'wrong', 'understand', 'beg ",' corrected ',' because 'countless', 'users',"]</v>
      </c>
      <c r="D1085" s="3">
        <v>1.0</v>
      </c>
    </row>
    <row r="1086" ht="15.75" customHeight="1">
      <c r="A1086" s="1">
        <v>1084.0</v>
      </c>
      <c r="B1086" s="3" t="s">
        <v>1087</v>
      </c>
      <c r="C1086" s="3" t="str">
        <f>IFERROR(__xludf.DUMMYFUNCTION("GOOGLETRANSLATE(B1086,""id"",""en"")"),"['Alhamdulillah', 'resposive', 'operator', 'via', 'email', 'chat', 'veronica', 'work', 'hours',' signal ',' GSM ',' data ',' super ',' slow ',' response ',' skrng ',' super ',' consistent ',' thank ',' love ']")</f>
        <v>['Alhamdulillah', 'resposive', 'operator', 'via', 'email', 'chat', 'veronica', 'work', 'hours',' signal ',' GSM ',' data ',' super ',' slow ',' response ',' skrng ',' super ',' consistent ',' thank ',' love ']</v>
      </c>
      <c r="D1086" s="3">
        <v>5.0</v>
      </c>
    </row>
    <row r="1087" ht="15.75" customHeight="1">
      <c r="A1087" s="1">
        <v>1085.0</v>
      </c>
      <c r="B1087" s="3" t="s">
        <v>1088</v>
      </c>
      <c r="C1087" s="3" t="str">
        <f>IFERROR(__xludf.DUMMYFUNCTION("GOOGLETRANSLATE(B1087,""id"",""en"")"),"['Telkomsel', 'Application', 'Update', 'Quality', 'The Network', 'Application', 'Price', 'Package', 'Update', 'Mulu', 'Satisfied', 'Customer', ' Bid ',' TPI ',' Thinkening ',' Kepuadan ',' Pelangan ',' Thank you ', ""]")</f>
        <v>['Telkomsel', 'Application', 'Update', 'Quality', 'The Network', 'Application', 'Price', 'Package', 'Update', 'Mulu', 'Satisfied', 'Customer', ' Bid ',' TPI ',' Thinkening ',' Kepuadan ',' Pelangan ',' Thank you ', "]</v>
      </c>
      <c r="D1087" s="3">
        <v>3.0</v>
      </c>
    </row>
    <row r="1088" ht="15.75" customHeight="1">
      <c r="A1088" s="1">
        <v>1086.0</v>
      </c>
      <c r="B1088" s="3" t="s">
        <v>1089</v>
      </c>
      <c r="C1088" s="3" t="str">
        <f>IFERROR(__xludf.DUMMYFUNCTION("GOOGLETRANSLATE(B1088,""id"",""en"")"),"['min', 'please', 'what', 'Yutub', 'smooth', 'download', 'smooth', 'smooth', 'open', 'application', 'telkom', 'fail', ' Mulu ',' strange ',' really ',' Maap ',' uninstall ',' deh ',' cave ',' processor ',' sd ',' open ', ""]")</f>
        <v>['min', 'please', 'what', 'Yutub', 'smooth', 'download', 'smooth', 'smooth', 'open', 'application', 'telkom', 'fail', ' Mulu ',' strange ',' really ',' Maap ',' uninstall ',' deh ',' cave ',' processor ',' sd ',' open ', "]</v>
      </c>
      <c r="D1088" s="3">
        <v>1.0</v>
      </c>
    </row>
    <row r="1089" ht="15.75" customHeight="1">
      <c r="A1089" s="1">
        <v>1087.0</v>
      </c>
      <c r="B1089" s="3" t="s">
        <v>1090</v>
      </c>
      <c r="C1089" s="3" t="str">
        <f>IFERROR(__xludf.DUMMYFUNCTION("GOOGLETRANSLATE(B1089,""id"",""en"")"),"['No', 'mood', 'bang', 'use', 'Telkomsel', 'package', 'expensive', 'already', 'that's',' quota ',' divided ',' signal ',' ugly ',' Telkomsel ',' Jamin ',' Customer ',' Change ',' Network ', ""]")</f>
        <v>['No', 'mood', 'bang', 'use', 'Telkomsel', 'package', 'expensive', 'already', 'that's',' quota ',' divided ',' signal ',' ugly ',' Telkomsel ',' Jamin ',' Customer ',' Change ',' Network ', "]</v>
      </c>
      <c r="D1089" s="3">
        <v>1.0</v>
      </c>
    </row>
    <row r="1090" ht="15.75" customHeight="1">
      <c r="A1090" s="1">
        <v>1088.0</v>
      </c>
      <c r="B1090" s="3" t="s">
        <v>1091</v>
      </c>
      <c r="C1090" s="3" t="str">
        <f>IFERROR(__xludf.DUMMYFUNCTION("GOOGLETRANSLATE(B1090,""id"",""en"")"),"['Please', 'Help', 'Update', 'Try', 'Delete', 'Try', 'Download', 'Reset', 'Download', ""]")</f>
        <v>['Please', 'Help', 'Update', 'Try', 'Delete', 'Try', 'Download', 'Reset', 'Download', "]</v>
      </c>
      <c r="D1090" s="3">
        <v>5.0</v>
      </c>
    </row>
    <row r="1091" ht="15.75" customHeight="1">
      <c r="A1091" s="1">
        <v>1089.0</v>
      </c>
      <c r="B1091" s="3" t="s">
        <v>1092</v>
      </c>
      <c r="C1091" s="3" t="str">
        <f>IFERROR(__xludf.DUMMYFUNCTION("GOOGLETRANSLATE(B1091,""id"",""en"")"),"['uda', 'comfortable', 'package', 'GB', 'mala', 'ilang', 'GB', 'signal', 'lag', 'dead', 'lights',' Siignal ',' Follow out ',' Dead ',' Namba ',' Mahaal ',' Service ',' Ancur ',' Gaak ', ""]")</f>
        <v>['uda', 'comfortable', 'package', 'GB', 'mala', 'ilang', 'GB', 'signal', 'lag', 'dead', 'lights',' Siignal ',' Follow out ',' Dead ',' Namba ',' Mahaal ',' Service ',' Ancur ',' Gaak ', "]</v>
      </c>
      <c r="D1091" s="3">
        <v>1.0</v>
      </c>
    </row>
    <row r="1092" ht="15.75" customHeight="1">
      <c r="A1092" s="1">
        <v>1090.0</v>
      </c>
      <c r="B1092" s="3" t="s">
        <v>1093</v>
      </c>
      <c r="C1092" s="3" t="str">
        <f>IFERROR(__xludf.DUMMYFUNCTION("GOOGLETRANSLATE(B1092,""id"",""en"")"),"['Telkomsel', 'pulse', 'pakek', 'call', 'sms',' reduced ',' package ',' GB ',' overnight ',' cook ',' pulse ',' taken ',' Kelen ',' lick ',' how ', ""]")</f>
        <v>['Telkomsel', 'pulse', 'pakek', 'call', 'sms',' reduced ',' package ',' GB ',' overnight ',' cook ',' pulse ',' taken ',' Kelen ',' lick ',' how ', "]</v>
      </c>
      <c r="D1092" s="3">
        <v>1.0</v>
      </c>
    </row>
    <row r="1093" ht="15.75" customHeight="1">
      <c r="A1093" s="1">
        <v>1091.0</v>
      </c>
      <c r="B1093" s="3" t="s">
        <v>1094</v>
      </c>
      <c r="C1093" s="3" t="str">
        <f>IFERROR(__xludf.DUMMYFUNCTION("GOOGLETRANSLATE(B1093,""id"",""en"")"),"['mantaff', 'pokonya', '']")</f>
        <v>['mantaff', 'pokonya', '']</v>
      </c>
      <c r="D1093" s="3">
        <v>1.0</v>
      </c>
    </row>
    <row r="1094" ht="15.75" customHeight="1">
      <c r="A1094" s="1">
        <v>1092.0</v>
      </c>
      <c r="B1094" s="3" t="s">
        <v>1095</v>
      </c>
      <c r="C1094" s="3" t="str">
        <f>IFERROR(__xludf.DUMMYFUNCTION("GOOGLETRANSLATE(B1094,""id"",""en"")"),"['Assalamualaikum', 'Where', 'quota', 'family', 'please', 'returned', 'quota', 'family', 'delete', 'internet', 'night', 'staying up', ' At night ',' thank you ', ""]")</f>
        <v>['Assalamualaikum', 'Where', 'quota', 'family', 'please', 'returned', 'quota', 'family', 'delete', 'internet', 'night', 'staying up', ' At night ',' thank you ', "]</v>
      </c>
      <c r="D1094" s="3">
        <v>1.0</v>
      </c>
    </row>
    <row r="1095" ht="15.75" customHeight="1">
      <c r="A1095" s="1">
        <v>1093.0</v>
      </c>
      <c r="B1095" s="3" t="s">
        <v>1096</v>
      </c>
      <c r="C1095" s="3" t="str">
        <f>IFERROR(__xludf.DUMMYFUNCTION("GOOGLETRANSLATE(B1095,""id"",""en"")"),"['Disappointed', 'really', 'deh', 'Telkomsel', 'package', 'subscribe', 'buy', 'imperial', 'times',' use ',' Telkomsel ',' strange ',' Like ',' like ',' his heart ',' change ',' Regulation ',' Fucek ',' Telkomsel ',' Sad ', ""]")</f>
        <v>['Disappointed', 'really', 'deh', 'Telkomsel', 'package', 'subscribe', 'buy', 'imperial', 'times',' use ',' Telkomsel ',' strange ',' Like ',' like ',' his heart ',' change ',' Regulation ',' Fucek ',' Telkomsel ',' Sad ', "]</v>
      </c>
      <c r="D1095" s="3">
        <v>1.0</v>
      </c>
    </row>
    <row r="1096" ht="15.75" customHeight="1">
      <c r="A1096" s="1">
        <v>1094.0</v>
      </c>
      <c r="B1096" s="3" t="s">
        <v>1097</v>
      </c>
      <c r="C1096" s="3" t="str">
        <f>IFERROR(__xludf.DUMMYFUNCTION("GOOGLETRANSLATE(B1096,""id"",""en"")"),"['Telkomsel', 'Rampok', 'Credit', 'UDH', 'Buy', 'Package', 'get', 'Non', 'Non', 'Package', 'Television', ' Covering ',' Sell ',' Package ',' Description ',' Purchase ',' Package ',' Look ',' Gap ',' Weakness', 'Consumer', 'Tipu', 'Power', 'Description' , "&amp;"'']")</f>
        <v>['Telkomsel', 'Rampok', 'Credit', 'UDH', 'Buy', 'Package', 'get', 'Non', 'Non', 'Package', 'Television', ' Covering ',' Sell ',' Package ',' Description ',' Purchase ',' Package ',' Look ',' Gap ',' Weakness', 'Consumer', 'Tipu', 'Power', 'Description' , '']</v>
      </c>
      <c r="D1096" s="3">
        <v>1.0</v>
      </c>
    </row>
    <row r="1097" ht="15.75" customHeight="1">
      <c r="A1097" s="1">
        <v>1095.0</v>
      </c>
      <c r="B1097" s="3" t="s">
        <v>1098</v>
      </c>
      <c r="C1097" s="3" t="str">
        <f>IFERROR(__xludf.DUMMYFUNCTION("GOOGLETRANSLATE(B1097,""id"",""en"")"),"['', 'Abis',' update ',' right ',' open ',' told ',' update ',' lgi ',' bsa ',' open ',' app ',' right ',' click ',' Update ',' Play ',' Store ',' UDH ',' Update ',' Stay ',' Open ',' right ',' Open ',' told ',' Update ',' GMN ', '']")</f>
        <v>['', 'Abis',' update ',' right ',' open ',' told ',' update ',' lgi ',' bsa ',' open ',' app ',' right ',' click ',' Update ',' Play ',' Store ',' UDH ',' Update ',' Stay ',' Open ',' right ',' Open ',' told ',' Update ',' GMN ', '']</v>
      </c>
      <c r="D1097" s="3">
        <v>2.0</v>
      </c>
    </row>
    <row r="1098" ht="15.75" customHeight="1">
      <c r="A1098" s="1">
        <v>1096.0</v>
      </c>
      <c r="B1098" s="3" t="s">
        <v>1099</v>
      </c>
      <c r="C1098" s="3" t="str">
        <f>IFERROR(__xludf.DUMMYFUNCTION("GOOGLETRANSLATE(B1098,""id"",""en"")"),"['Update', 'Gaada', 'Shopping', 'Quota', 'Thinking', 'Internet', 'Monthly', 'Application', 'Buy', 'Quota', 'Satt', ""]")</f>
        <v>['Update', 'Gaada', 'Shopping', 'Quota', 'Thinking', 'Internet', 'Monthly', 'Application', 'Buy', 'Quota', 'Satt', "]</v>
      </c>
      <c r="D1098" s="3">
        <v>1.0</v>
      </c>
    </row>
    <row r="1099" ht="15.75" customHeight="1">
      <c r="A1099" s="1">
        <v>1097.0</v>
      </c>
      <c r="B1099" s="3" t="s">
        <v>1100</v>
      </c>
      <c r="C1099" s="3" t="str">
        <f>IFERROR(__xludf.DUMMYFUNCTION("GOOGLETRANSLATE(B1099,""id"",""en"")"),"['Telkomsel', 'Event', 'Event', 'Fix', 'Network', 'Region', 'Speed', 'KB', 'Nyampe', 'KB', 'Change', 'Card', ' just ',' just ',' Telkomsel ',' good ',' network ',' full ',' speed ',' just ',' kb ']")</f>
        <v>['Telkomsel', 'Event', 'Event', 'Fix', 'Network', 'Region', 'Speed', 'KB', 'Nyampe', 'KB', 'Change', 'Card', ' just ',' just ',' Telkomsel ',' good ',' network ',' full ',' speed ',' just ',' kb ']</v>
      </c>
      <c r="D1099" s="3">
        <v>1.0</v>
      </c>
    </row>
    <row r="1100" ht="15.75" customHeight="1">
      <c r="A1100" s="1">
        <v>1098.0</v>
      </c>
      <c r="B1100" s="3" t="s">
        <v>1101</v>
      </c>
      <c r="C1100" s="3" t="str">
        <f>IFERROR(__xludf.DUMMYFUNCTION("GOOGLETRANSLATE(B1100,""id"",""en"")"),"['Sya', 'stop', 'subscription', 'package', 'emergency', 'exposed', 'bill', 'quota', 'anything', 'kak', 'tlong', 'fix', ' Tlong ',' Kasih ',' stop ',' subscribe ',' package ',' emergency ',' stressed ',' pulse ',' easy ',' sucked ',' right ',' pulse ',' su"&amp;"cked ' , 'quota', 'anything', 'please', 'kak']")</f>
        <v>['Sya', 'stop', 'subscription', 'package', 'emergency', 'exposed', 'bill', 'quota', 'anything', 'kak', 'tlong', 'fix', ' Tlong ',' Kasih ',' stop ',' subscribe ',' package ',' emergency ',' stressed ',' pulse ',' easy ',' sucked ',' right ',' pulse ',' sucked ' , 'quota', 'anything', 'please', 'kak']</v>
      </c>
      <c r="D1100" s="3">
        <v>1.0</v>
      </c>
    </row>
    <row r="1101" ht="15.75" customHeight="1">
      <c r="A1101" s="1">
        <v>1099.0</v>
      </c>
      <c r="B1101" s="3" t="s">
        <v>1102</v>
      </c>
      <c r="C1101" s="3" t="str">
        <f>IFERROR(__xludf.DUMMYFUNCTION("GOOGLETRANSLATE(B1101,""id"",""en"")"),"['Login', 'complicated', 'in the future', 'made', 'persuhit', 'entry', 'account', 'different', 'application', 'confimm', 'via', 'sms',' use ',' browser ',' how ',' cellphone ',' old ',' NGK ',' browser ',' change ',' card ',' cellphone ',' browser ',' int"&amp;"erest ',' user ' , 'use', 'application', 'account', 'different', 'use', 'different', 'interests',' boss', 'system', 'make it difficult', 'function', ' different', '']")</f>
        <v>['Login', 'complicated', 'in the future', 'made', 'persuhit', 'entry', 'account', 'different', 'application', 'confimm', 'via', 'sms',' use ',' browser ',' how ',' cellphone ',' old ',' NGK ',' browser ',' change ',' card ',' cellphone ',' browser ',' interest ',' user ' , 'use', 'application', 'account', 'different', 'use', 'different', 'interests',' boss', 'system', 'make it difficult', 'function', ' different', '']</v>
      </c>
      <c r="D1101" s="3">
        <v>2.0</v>
      </c>
    </row>
    <row r="1102" ht="15.75" customHeight="1">
      <c r="A1102" s="1">
        <v>1100.0</v>
      </c>
      <c r="B1102" s="3" t="s">
        <v>1103</v>
      </c>
      <c r="C1102" s="3" t="str">
        <f>IFERROR(__xludf.DUMMYFUNCTION("GOOGLETRANSLATE(B1102,""id"",""en"")"),"['Disappointed', 'buy', 'quota', 'Telkomsel', 'package', 'active', 'pulses',' sumps', 'signal', 'ugly', 'package', 'please', ' Fix ',' Sodara ']")</f>
        <v>['Disappointed', 'buy', 'quota', 'Telkomsel', 'package', 'active', 'pulses',' sumps', 'signal', 'ugly', 'package', 'please', ' Fix ',' Sodara ']</v>
      </c>
      <c r="D1102" s="3">
        <v>1.0</v>
      </c>
    </row>
    <row r="1103" ht="15.75" customHeight="1">
      <c r="A1103" s="1">
        <v>1101.0</v>
      </c>
      <c r="B1103" s="3" t="s">
        <v>1104</v>
      </c>
      <c r="C1103" s="3" t="str">
        <f>IFERROR(__xludf.DUMMYFUNCTION("GOOGLETRANSLATE(B1103,""id"",""en"")"),"['Telkomsel', 'believe', 'all', 'entry', 'sense', 'Jga', 'Need', 'Playananan', 'Yng', 'pulses',' expensive ',' price ',' Package ',' affordable ',' application ',' ugly ',' service ',' Professional ',' Feedback ',' Feedback ', ""]")</f>
        <v>['Telkomsel', 'believe', 'all', 'entry', 'sense', 'Jga', 'Need', 'Playananan', 'Yng', 'pulses',' expensive ',' price ',' Package ',' affordable ',' application ',' ugly ',' service ',' Professional ',' Feedback ',' Feedback ', "]</v>
      </c>
      <c r="D1103" s="3">
        <v>1.0</v>
      </c>
    </row>
    <row r="1104" ht="15.75" customHeight="1">
      <c r="A1104" s="1">
        <v>1102.0</v>
      </c>
      <c r="B1104" s="3" t="s">
        <v>1105</v>
      </c>
      <c r="C1104" s="3" t="str">
        <f>IFERROR(__xludf.DUMMYFUNCTION("GOOGLETRANSLATE(B1104,""id"",""en"")"),"['Satisfied', 'active', 'quota', 'active', 'card', 'according to', 'card', 'scorched', 'active', 'quota', 'detrimental']")</f>
        <v>['Satisfied', 'active', 'quota', 'active', 'card', 'according to', 'card', 'scorched', 'active', 'quota', 'detrimental']</v>
      </c>
      <c r="D1104" s="3">
        <v>1.0</v>
      </c>
    </row>
    <row r="1105" ht="15.75" customHeight="1">
      <c r="A1105" s="1">
        <v>1103.0</v>
      </c>
      <c r="B1105" s="3" t="s">
        <v>1106</v>
      </c>
      <c r="C1105" s="3" t="str">
        <f>IFERROR(__xludf.DUMMYFUNCTION("GOOGLETRANSLATE(B1105,""id"",""en"")"),"['Please', 'fix', 'signal', 'full', 'network', 'slow', 'lag', 'severe', 'please', 'quota', 'game', 'signal', ' Good ',' lag ',' right ',' quota ',' internet ',' good ',' why ',' boong ',' buy ',' internet ',' game ',' please ',' fix ' ]")</f>
        <v>['Please', 'fix', 'signal', 'full', 'network', 'slow', 'lag', 'severe', 'please', 'quota', 'game', 'signal', ' Good ',' lag ',' right ',' quota ',' internet ',' good ',' why ',' boong ',' buy ',' internet ',' game ',' please ',' fix ' ]</v>
      </c>
      <c r="D1105" s="3">
        <v>1.0</v>
      </c>
    </row>
    <row r="1106" ht="15.75" customHeight="1">
      <c r="A1106" s="1">
        <v>1104.0</v>
      </c>
      <c r="B1106" s="3" t="s">
        <v>1107</v>
      </c>
      <c r="C1106" s="3" t="str">
        <f>IFERROR(__xludf.DUMMYFUNCTION("GOOGLETRANSLATE(B1106,""id"",""en"")"),"['suggestion', 'Send', 'Gift', 'unlimited', 'limit', 'maximum', 'SMS', 'accepted', 'receiver', 'gift', 'list', 'price', ' Mention ',' quota ',' accepted ',' thank ',' love ', ""]")</f>
        <v>['suggestion', 'Send', 'Gift', 'unlimited', 'limit', 'maximum', 'SMS', 'accepted', 'receiver', 'gift', 'list', 'price', ' Mention ',' quota ',' accepted ',' thank ',' love ', "]</v>
      </c>
      <c r="D1106" s="3">
        <v>3.0</v>
      </c>
    </row>
    <row r="1107" ht="15.75" customHeight="1">
      <c r="A1107" s="1">
        <v>1105.0</v>
      </c>
      <c r="B1107" s="3" t="s">
        <v>1108</v>
      </c>
      <c r="C1107" s="3" t="str">
        <f>IFERROR(__xludf.DUMMYFUNCTION("GOOGLETRANSLATE(B1107,""id"",""en"")"),"['', 'quota', 'game', 'etc.', 'Play', 'Doang', 'disconnected', 'Dissconnect', 'quota', 'internet', 'GB', 'signal', 'bad ',' really ',' kdang ',' kdang ',' tlong ',' telkomsel ',' quota ',' games', 'maximum', 'GB', 'bln', 'used', 'GB', 'Sebulan', 'msalah',"&amp;" 'msalah', 'signal', 'ugly', 'ACAAT', 'internet', 'GB', 'quota', 'Game', 'GB', 'Game', 'Mobile ',' Legend ',' Dlu ',' Free ',' Fire ']")</f>
        <v>['', 'quota', 'game', 'etc.', 'Play', 'Doang', 'disconnected', 'Dissconnect', 'quota', 'internet', 'GB', 'signal', 'bad ',' really ',' kdang ',' kdang ',' tlong ',' telkomsel ',' quota ',' games', 'maximum', 'GB', 'bln', 'used', 'GB', 'Sebulan', 'msalah', 'msalah', 'signal', 'ugly', 'ACAAT', 'internet', 'GB', 'quota', 'Game', 'GB', 'Game', 'Mobile ',' Legend ',' Dlu ',' Free ',' Fire ']</v>
      </c>
      <c r="D1107" s="3">
        <v>2.0</v>
      </c>
    </row>
    <row r="1108" ht="15.75" customHeight="1">
      <c r="A1108" s="1">
        <v>1106.0</v>
      </c>
      <c r="B1108" s="3" t="s">
        <v>1109</v>
      </c>
      <c r="C1108" s="3" t="str">
        <f>IFERROR(__xludf.DUMMYFUNCTION("GOOGLETRANSLATE(B1108,""id"",""en"")"),"['Hello', 'Team', 'Telkomsel', 'Sorry', 'Application', 'Disappointing', 'Application', 'Application', 'Download', 'Function', 'Notif', 'Google', ' Has', 'stopped', 'sudden', 'Black', 'out', 'please', 'repaired', 'thank', 'love']")</f>
        <v>['Hello', 'Team', 'Telkomsel', 'Sorry', 'Application', 'Disappointing', 'Application', 'Application', 'Download', 'Function', 'Notif', 'Google', ' Has', 'stopped', 'sudden', 'Black', 'out', 'please', 'repaired', 'thank', 'love']</v>
      </c>
      <c r="D1108" s="3">
        <v>1.0</v>
      </c>
    </row>
    <row r="1109" ht="15.75" customHeight="1">
      <c r="A1109" s="1">
        <v>1107.0</v>
      </c>
      <c r="B1109" s="3" t="s">
        <v>1110</v>
      </c>
      <c r="C1109" s="3" t="str">
        <f>IFERROR(__xludf.DUMMYFUNCTION("GOOGLETRANSLATE(B1109,""id"",""en"")"),"['MFF', 'Sis',' update ',' package ',' cheap ',' GB ',' Skrang ',' difficult ',' features', 'buy', 'Package', 'Allah', ' Please ',' Sis', 'Update', 'Jngn', 'Change', 'Kirain', 'Updae', 'Package', 'Cheap', 'How', 'Adasama', 'Update', 'Buy' , 'Package', 'UD"&amp;"H', 'DPAT', 'skrang', 'Gara', 'update']")</f>
        <v>['MFF', 'Sis',' update ',' package ',' cheap ',' GB ',' Skrang ',' difficult ',' features', 'buy', 'Package', 'Allah', ' Please ',' Sis', 'Update', 'Jngn', 'Change', 'Kirain', 'Updae', 'Package', 'Cheap', 'How', 'Adasama', 'Update', 'Buy' , 'Package', 'UDH', 'DPAT', 'skrang', 'Gara', 'update']</v>
      </c>
      <c r="D1109" s="3">
        <v>5.0</v>
      </c>
    </row>
    <row r="1110" ht="15.75" customHeight="1">
      <c r="A1110" s="1">
        <v>1108.0</v>
      </c>
      <c r="B1110" s="3" t="s">
        <v>1111</v>
      </c>
      <c r="C1110" s="3" t="str">
        <f>IFERROR(__xludf.DUMMYFUNCTION("GOOGLETRANSLATE(B1110,""id"",""en"")"),"['Network', 'Internet', 'Telkomsel', 'Village', 'Beringin', 'Lestari', 'Subdistrict', 'Tapung', 'Hilir', 'Kabupaten', 'Kampar', 'Province', ' Riau ',' Leet ',' Please ',' Repair ',' Telkomsel ',' Thank ',' Love ']")</f>
        <v>['Network', 'Internet', 'Telkomsel', 'Village', 'Beringin', 'Lestari', 'Subdistrict', 'Tapung', 'Hilir', 'Kabupaten', 'Kampar', 'Province', ' Riau ',' Leet ',' Please ',' Repair ',' Telkomsel ',' Thank ',' Love ']</v>
      </c>
      <c r="D1110" s="3">
        <v>4.0</v>
      </c>
    </row>
    <row r="1111" ht="15.75" customHeight="1">
      <c r="A1111" s="1">
        <v>1109.0</v>
      </c>
      <c r="B1111" s="3" t="s">
        <v>1112</v>
      </c>
      <c r="C1111" s="3" t="str">
        <f>IFERROR(__xludf.DUMMYFUNCTION("GOOGLETRANSLATE(B1111,""id"",""en"")"),"['already', 'expensive', 'stingy', 'quota', 'internet', 'eat', 'pulse', 'closed', 'ngak', 'or', 'selling', 'country', ' Indonesia']")</f>
        <v>['already', 'expensive', 'stingy', 'quota', 'internet', 'eat', 'pulse', 'closed', 'ngak', 'or', 'selling', 'country', ' Indonesia']</v>
      </c>
      <c r="D1111" s="3">
        <v>1.0</v>
      </c>
    </row>
    <row r="1112" ht="15.75" customHeight="1">
      <c r="A1112" s="1">
        <v>1110.0</v>
      </c>
      <c r="B1112" s="3" t="s">
        <v>1113</v>
      </c>
      <c r="C1112" s="3" t="str">
        <f>IFERROR(__xludf.DUMMYFUNCTION("GOOGLETRANSLATE(B1112,""id"",""en"")"),"['mudan', 'fast', 'satisfied', 'he used it', 'work', 'jdi', 'lbih', 'fast', 'child', 'child', 'lbih', 'easy', ' fast ',' do it ',' network ',' slow ',' proposal ',' suggestion ',' package ',' discount ',' pandemic ',' condition ',' economy ',' child ',' s"&amp;"chool ' , 'online', 'needs',' increases', 'in the past', 'pandemic', 'work', 'difficult', 'economy', 'family', 'according to', 'revenue', ' love', '']")</f>
        <v>['mudan', 'fast', 'satisfied', 'he used it', 'work', 'jdi', 'lbih', 'fast', 'child', 'child', 'lbih', 'easy', ' fast ',' do it ',' network ',' slow ',' proposal ',' suggestion ',' package ',' discount ',' pandemic ',' condition ',' economy ',' child ',' school ' , 'online', 'needs',' increases', 'in the past', 'pandemic', 'work', 'difficult', 'economy', 'family', 'according to', 'revenue', ' love', '']</v>
      </c>
      <c r="D1112" s="3">
        <v>5.0</v>
      </c>
    </row>
    <row r="1113" ht="15.75" customHeight="1">
      <c r="A1113" s="1">
        <v>1111.0</v>
      </c>
      <c r="B1113" s="3" t="s">
        <v>1114</v>
      </c>
      <c r="C1113" s="3" t="str">
        <f>IFERROR(__xludf.DUMMYFUNCTION("GOOGLETRANSLATE(B1113,""id"",""en"")"),"['propider', 'buy', 'package', 'situ', 'printed', 'GB', 'RB', 'right', 'choose', 'buy', 'rb', 'fraud', ' ',' UDH ',' Cape ',' buy ',' pulse ',' RB ',' counter ',' Jln ',' feet ',' hrs', 'buy', 'pulse', 'rb' , 'Money', 'Rb', 'People', 'Difficult', 'Lgian',"&amp;" 'Propider', 'Plat', 'Red', 'Embarrassing', 'Malunya', 'Cheap', 'Propider', ' Ubtang ',' Negri ',' People ',' Forced ',' Paying ',' Increases', 'SGLA', 'ZOLIM']")</f>
        <v>['propider', 'buy', 'package', 'situ', 'printed', 'GB', 'RB', 'right', 'choose', 'buy', 'rb', 'fraud', ' ',' UDH ',' Cape ',' buy ',' pulse ',' RB ',' counter ',' Jln ',' feet ',' hrs', 'buy', 'pulse', 'rb' , 'Money', 'Rb', 'People', 'Difficult', 'Lgian', 'Propider', 'Plat', 'Red', 'Embarrassing', 'Malunya', 'Cheap', 'Propider', ' Ubtang ',' Negri ',' People ',' Forced ',' Paying ',' Increases', 'SGLA', 'ZOLIM']</v>
      </c>
      <c r="D1113" s="3">
        <v>1.0</v>
      </c>
    </row>
    <row r="1114" ht="15.75" customHeight="1">
      <c r="A1114" s="1">
        <v>1112.0</v>
      </c>
      <c r="B1114" s="3" t="s">
        <v>1115</v>
      </c>
      <c r="C1114" s="3" t="str">
        <f>IFERROR(__xludf.DUMMYFUNCTION("GOOGLETRANSLATE(B1114,""id"",""en"")"),"['Disappointed', 'application', 'error', 'buy', 'package', 'purchase', 'failed', 'as a result', 'try', 'buy', 'strange', 'purchase', ' Package ',' Internet ',' SUCCESS ',' HIMPENS ',' Credit ',' Reduced ',' Package ',' Sia ',' Please ',' Repaired ',' Cons"&amp;"traints', 'Purchase', 'Package' , '']")</f>
        <v>['Disappointed', 'application', 'error', 'buy', 'package', 'purchase', 'failed', 'as a result', 'try', 'buy', 'strange', 'purchase', ' Package ',' Internet ',' SUCCESS ',' HIMPENS ',' Credit ',' Reduced ',' Package ',' Sia ',' Please ',' Repaired ',' Constraints', 'Purchase', 'Package' , '']</v>
      </c>
      <c r="D1114" s="3">
        <v>2.0</v>
      </c>
    </row>
    <row r="1115" ht="15.75" customHeight="1">
      <c r="A1115" s="1">
        <v>1113.0</v>
      </c>
      <c r="B1115" s="3" t="s">
        <v>1116</v>
      </c>
      <c r="C1115" s="3" t="str">
        <f>IFERROR(__xludf.DUMMYFUNCTION("GOOGLETRANSLATE(B1115,""id"",""en"")"),"['expensive', 'price', 'package', 'data', 'offer', 'customer', 'different', 'detrimental', 'complaint', 'many', 'times',' Tetep ',' Change ',' taste ', ""]")</f>
        <v>['expensive', 'price', 'package', 'data', 'offer', 'customer', 'different', 'detrimental', 'complaint', 'many', 'times',' Tetep ',' Change ',' taste ', "]</v>
      </c>
      <c r="D1115" s="3">
        <v>1.0</v>
      </c>
    </row>
    <row r="1116" ht="15.75" customHeight="1">
      <c r="A1116" s="1">
        <v>1114.0</v>
      </c>
      <c r="B1116" s="3" t="s">
        <v>1117</v>
      </c>
      <c r="C1116" s="3" t="str">
        <f>IFERROR(__xludf.DUMMYFUNCTION("GOOGLETRANSLATE(B1116,""id"",""en"")"),"['package', 'expensive', 'pulse', 'missing', 'notification', 'notif', 'pairs',' package ',' phone ',' sms', 'internet', 'contents',' rb ',' person ',' phone ',' pulse ',' lost ',' stay ',' phone ',' person ',' pulse ',' lost ',' package ',' phone ',' free"&amp;" ' , 'operator']")</f>
        <v>['package', 'expensive', 'pulse', 'missing', 'notification', 'notif', 'pairs',' package ',' phone ',' sms', 'internet', 'contents',' rb ',' person ',' phone ',' pulse ',' lost ',' stay ',' phone ',' person ',' pulse ',' lost ',' package ',' phone ',' free ' , 'operator']</v>
      </c>
      <c r="D1116" s="3">
        <v>1.0</v>
      </c>
    </row>
    <row r="1117" ht="15.75" customHeight="1">
      <c r="A1117" s="1">
        <v>1115.0</v>
      </c>
      <c r="B1117" s="3" t="s">
        <v>1118</v>
      </c>
      <c r="C1117" s="3" t="str">
        <f>IFERROR(__xludf.DUMMYFUNCTION("GOOGLETRANSLATE(B1117,""id"",""en"")"),"['signal', 'ugly', 'price', 'tetep', 'expensive', 'quality', 'bad', 'tsel', 'in the past', 'pandemic', 'kayak', 'gini', ' reasoned ',' maintenance ',' effective ',' hah ',' price ',' quota ',' expensive ',' usually ',' nurunin ',' quality ',' as good ',' "&amp;"forehead ',' disappointed ' , '']")</f>
        <v>['signal', 'ugly', 'price', 'tetep', 'expensive', 'quality', 'bad', 'tsel', 'in the past', 'pandemic', 'kayak', 'gini', ' reasoned ',' maintenance ',' effective ',' hah ',' price ',' quota ',' expensive ',' usually ',' nurunin ',' quality ',' as good ',' forehead ',' disappointed ' , '']</v>
      </c>
      <c r="D1117" s="3">
        <v>1.0</v>
      </c>
    </row>
    <row r="1118" ht="15.75" customHeight="1">
      <c r="A1118" s="1">
        <v>1116.0</v>
      </c>
      <c r="B1118" s="3" t="s">
        <v>1119</v>
      </c>
      <c r="C1118" s="3" t="str">
        <f>IFERROR(__xludf.DUMMYFUNCTION("GOOGLETRANSLATE(B1118,""id"",""en"")"),"['Network', 'Telkomsel', 'Bad', 'Buffering', 'Severe', 'Watch', 'Loading', 'Main', 'Game', 'Ngebug', 'Please', 'Telkomsel', ' Increase ',' Quality ',' The Network ',' Gnya ',' Edge ',' Edit ',' The Network ',' Improved ',' Thank you ']")</f>
        <v>['Network', 'Telkomsel', 'Bad', 'Buffering', 'Severe', 'Watch', 'Loading', 'Main', 'Game', 'Ngebug', 'Please', 'Telkomsel', ' Increase ',' Quality ',' The Network ',' Gnya ',' Edge ',' Edit ',' The Network ',' Improved ',' Thank you ']</v>
      </c>
      <c r="D1118" s="3">
        <v>1.0</v>
      </c>
    </row>
    <row r="1119" ht="15.75" customHeight="1">
      <c r="A1119" s="1">
        <v>1117.0</v>
      </c>
      <c r="B1119" s="3" t="s">
        <v>1120</v>
      </c>
      <c r="C1119" s="3" t="str">
        <f>IFERROR(__xludf.DUMMYFUNCTION("GOOGLETRANSLATE(B1119,""id"",""en"")"),"['Download', 'APK', 'Entar', 'Shocked', 'Loe', 'Look', 'Use', 'Data', 'Karna', 'Login', 'APK', 'Deres',' Very ',' usage ',' data ',' check ',' data ',' network ',' Telkomsel ',' Sangangkin ',' Severe ',' Network ',' Dead ',' Lights', 'Network' , 'Telkomse"&amp;"l', 'smooth', 'ehh', 'dead', 'lights',' direct ',' missing ',' network ',' network ',' use ',' axis', 'card', ' expensive ',' kayak ',' gini ',' garbage ',' Telkomsel ',' ']")</f>
        <v>['Download', 'APK', 'Entar', 'Shocked', 'Loe', 'Look', 'Use', 'Data', 'Karna', 'Login', 'APK', 'Deres',' Very ',' usage ',' data ',' check ',' data ',' network ',' Telkomsel ',' Sangangkin ',' Severe ',' Network ',' Dead ',' Lights', 'Network' , 'Telkomsel', 'smooth', 'ehh', 'dead', 'lights',' direct ',' missing ',' network ',' network ',' use ',' axis', 'card', ' expensive ',' kayak ',' gini ',' garbage ',' Telkomsel ',' ']</v>
      </c>
      <c r="D1119" s="3">
        <v>1.0</v>
      </c>
    </row>
    <row r="1120" ht="15.75" customHeight="1">
      <c r="A1120" s="1">
        <v>1118.0</v>
      </c>
      <c r="B1120" s="3" t="s">
        <v>1121</v>
      </c>
      <c r="C1120" s="3" t="str">
        <f>IFERROR(__xludf.DUMMYFUNCTION("GOOGLETRANSLATE(B1120,""id"",""en"")"),"['why', 'price', 'package', 'internet', 'gontain', 'change', 'cheap', 'expensive', 'tomorrow', 'lgi', 'price', 'change', ' cards', 'smart', 'friend', 'cheap', 'affordable', 'less',' retting ',' uninstall ',' my apk ',' ']")</f>
        <v>['why', 'price', 'package', 'internet', 'gontain', 'change', 'cheap', 'expensive', 'tomorrow', 'lgi', 'price', 'change', ' cards', 'smart', 'friend', 'cheap', 'affordable', 'less',' retting ',' uninstall ',' my apk ',' ']</v>
      </c>
      <c r="D1120" s="3">
        <v>1.0</v>
      </c>
    </row>
    <row r="1121" ht="15.75" customHeight="1">
      <c r="A1121" s="1">
        <v>1119.0</v>
      </c>
      <c r="B1121" s="3" t="s">
        <v>1122</v>
      </c>
      <c r="C1121" s="3" t="str">
        <f>IFERROR(__xludf.DUMMYFUNCTION("GOOGLETRANSLATE(B1121,""id"",""en"")"),"['Disappointed', 'Telkomsel', 'already', 'expensive', 'network', 'good', 'emotion', 'network', 'Telkomsel', 'weak', 'lost', 'network', ' Telkomsel ',' user ',' emotion ',' Telkomsel ',' already ',' bankrupt ',' ']")</f>
        <v>['Disappointed', 'Telkomsel', 'already', 'expensive', 'network', 'good', 'emotion', 'network', 'Telkomsel', 'weak', 'lost', 'network', ' Telkomsel ',' user ',' emotion ',' Telkomsel ',' already ',' bankrupt ',' ']</v>
      </c>
      <c r="D1121" s="3">
        <v>1.0</v>
      </c>
    </row>
    <row r="1122" ht="15.75" customHeight="1">
      <c r="A1122" s="1">
        <v>1120.0</v>
      </c>
      <c r="B1122" s="3" t="s">
        <v>1123</v>
      </c>
      <c r="C1122" s="3" t="str">
        <f>IFERROR(__xludf.DUMMYFUNCTION("GOOGLETRANSLATE(B1122,""id"",""en"")"),"['buy', 'package', 'watch', 'maxstreem', 'hbo', 'koq', 'quota', 'data', 'main', 'sucked', 'quota', 'multimedia', ' Ryesel ',' Discard ',' Money ',' Buy ',' Package ',' Data ',' Use ',' Telkomsel ',' Raying ',' Really ',' Leet ',' Lemot ',' Network ' , 'ba"&amp;"d', '']")</f>
        <v>['buy', 'package', 'watch', 'maxstreem', 'hbo', 'koq', 'quota', 'data', 'main', 'sucked', 'quota', 'multimedia', ' Ryesel ',' Discard ',' Money ',' Buy ',' Package ',' Data ',' Use ',' Telkomsel ',' Raying ',' Really ',' Leet ',' Lemot ',' Network ' , 'bad', '']</v>
      </c>
      <c r="D1122" s="3">
        <v>1.0</v>
      </c>
    </row>
    <row r="1123" ht="15.75" customHeight="1">
      <c r="A1123" s="1">
        <v>1121.0</v>
      </c>
      <c r="B1123" s="3" t="s">
        <v>1124</v>
      </c>
      <c r="C1123" s="3" t="str">
        <f>IFERROR(__xludf.DUMMYFUNCTION("GOOGLETRANSLATE(B1123,""id"",""en"")"),"['Make', 'application', 'light', 'friendly', 'Min', 'for a while', 'enter', 'click', 'Link', 'Mobile', 'Bentar', 'Update', ' Bentar ',' evaluation ',' bored ',' click ',' star ',' just ',' Telkomsel ',' expensive ',' real ',' Ooredoo ',' exis', ""]")</f>
        <v>['Make', 'application', 'light', 'friendly', 'Min', 'for a while', 'enter', 'click', 'Link', 'Mobile', 'Bentar', 'Update', ' Bentar ',' evaluation ',' bored ',' click ',' star ',' just ',' Telkomsel ',' expensive ',' real ',' Ooredoo ',' exis', "]</v>
      </c>
      <c r="D1123" s="3">
        <v>2.0</v>
      </c>
    </row>
    <row r="1124" ht="15.75" customHeight="1">
      <c r="A1124" s="1">
        <v>1122.0</v>
      </c>
      <c r="B1124" s="3" t="s">
        <v>1125</v>
      </c>
      <c r="C1124" s="3" t="str">
        <f>IFERROR(__xludf.DUMMYFUNCTION("GOOGLETRANSLATE(B1124,""id"",""en"")"),"['buy', 'package', 'pulse', '']")</f>
        <v>['buy', 'package', 'pulse', '']</v>
      </c>
      <c r="D1124" s="3">
        <v>5.0</v>
      </c>
    </row>
    <row r="1125" ht="15.75" customHeight="1">
      <c r="A1125" s="1">
        <v>1123.0</v>
      </c>
      <c r="B1125" s="3" t="s">
        <v>1126</v>
      </c>
      <c r="C1125" s="3" t="str">
        <f>IFERROR(__xludf.DUMMYFUNCTION("GOOGLETRANSLATE(B1125,""id"",""en"")"),"['hope', 'network', 'internet', 'Expand', 'remote', 'plain', 'low', 'loading', 'AMD', 'Babakan', 'pompis',' its network ',' Stable ',' Like ',' Loading ',' Please ',' Repaired ',' Network ',' Internet ',' Thank you ']")</f>
        <v>['hope', 'network', 'internet', 'Expand', 'remote', 'plain', 'low', 'loading', 'AMD', 'Babakan', 'pompis',' its network ',' Stable ',' Like ',' Loading ',' Please ',' Repaired ',' Network ',' Internet ',' Thank you ']</v>
      </c>
      <c r="D1125" s="3">
        <v>5.0</v>
      </c>
    </row>
    <row r="1126" ht="15.75" customHeight="1">
      <c r="A1126" s="1">
        <v>1124.0</v>
      </c>
      <c r="B1126" s="3" t="s">
        <v>1127</v>
      </c>
      <c r="C1126" s="3" t="str">
        <f>IFERROR(__xludf.DUMMYFUNCTION("GOOGLETRANSLATE(B1126,""id"",""en"")"),"['crazyaaa', 'price', 'package', 'expensive', 'maen', 'looked', 'below', 'difficult', 'forgiveness',' already ',' contents', 'pulses',' Deliberately ',' buy ',' application ',' Taunya ',' right ',' see ',' price ', ""]")</f>
        <v>['crazyaaa', 'price', 'package', 'expensive', 'maen', 'looked', 'below', 'difficult', 'forgiveness',' already ',' contents', 'pulses',' Deliberately ',' buy ',' application ',' Taunya ',' right ',' see ',' price ', "]</v>
      </c>
      <c r="D1126" s="3">
        <v>1.0</v>
      </c>
    </row>
    <row r="1127" ht="15.75" customHeight="1">
      <c r="A1127" s="1">
        <v>1125.0</v>
      </c>
      <c r="B1127" s="3" t="s">
        <v>1128</v>
      </c>
      <c r="C1127" s="3" t="str">
        <f>IFERROR(__xludf.DUMMYFUNCTION("GOOGLETRANSLATE(B1127,""id"",""en"")"),"['signal', 'bad', 'open', 'nonto', 'difficult', 'please', 'repair', 'signal', 'signal', 'ugly', 'times',' Bali ',' expensive ',' signal ']")</f>
        <v>['signal', 'bad', 'open', 'nonto', 'difficult', 'please', 'repair', 'signal', 'signal', 'ugly', 'times',' Bali ',' expensive ',' signal ']</v>
      </c>
      <c r="D1127" s="3">
        <v>1.0</v>
      </c>
    </row>
    <row r="1128" ht="15.75" customHeight="1">
      <c r="A1128" s="1">
        <v>1126.0</v>
      </c>
      <c r="B1128" s="3" t="s">
        <v>1129</v>
      </c>
      <c r="C1128" s="3" t="str">
        <f>IFERROR(__xludf.DUMMYFUNCTION("GOOGLETRANSLATE(B1128,""id"",""en"")"),"['', 'pulse', 'RB', 'reduced', 'RB', 'pdhl', 'quota', 'GB', 'bonus',' pulse ',' lost ',' reduced ',' rb ',' Please ',' Enhanced ',' Security ',' Comfort ',' User ',' Provider ',' Please ',' Response ', ""]")</f>
        <v>['', 'pulse', 'RB', 'reduced', 'RB', 'pdhl', 'quota', 'GB', 'bonus',' pulse ',' lost ',' reduced ',' rb ',' Please ',' Enhanced ',' Security ',' Comfort ',' User ',' Provider ',' Please ',' Response ', "]</v>
      </c>
      <c r="D1128" s="3">
        <v>1.0</v>
      </c>
    </row>
    <row r="1129" ht="15.75" customHeight="1">
      <c r="A1129" s="1">
        <v>1127.0</v>
      </c>
      <c r="B1129" s="3" t="s">
        <v>1130</v>
      </c>
      <c r="C1129" s="3" t="str">
        <f>IFERROR(__xludf.DUMMYFUNCTION("GOOGLETRANSLATE(B1129,""id"",""en"")"),"['Telkomsel', 'Ribett', 'Package', 'Unlimate', 'Terms',' Package ',' Regular ',' Cutting ',' DUUH ',' Unlimate ',' Name ',' Klu ',' Limit ',' ']")</f>
        <v>['Telkomsel', 'Ribett', 'Package', 'Unlimate', 'Terms',' Package ',' Regular ',' Cutting ',' DUUH ',' Unlimate ',' Name ',' Klu ',' Limit ',' ']</v>
      </c>
      <c r="D1129" s="3">
        <v>2.0</v>
      </c>
    </row>
    <row r="1130" ht="15.75" customHeight="1">
      <c r="A1130" s="1">
        <v>1128.0</v>
      </c>
      <c r="B1130" s="3" t="s">
        <v>1131</v>
      </c>
      <c r="C1130" s="3" t="str">
        <f>IFERROR(__xludf.DUMMYFUNCTION("GOOGLETRANSLATE(B1130,""id"",""en"")"),"['Buy', 'Package', 'APK', 'Access',' FAILURE ',' Credit ',' Adequate ',' Get ',' Promo ',' Bangke ',' Telkomsel ',' Adin ',' Promo ',' Telkomsel ',' buy ',' ']")</f>
        <v>['Buy', 'Package', 'APK', 'Access',' FAILURE ',' Credit ',' Adequate ',' Get ',' Promo ',' Bangke ',' Telkomsel ',' Adin ',' Promo ',' Telkomsel ',' buy ',' ']</v>
      </c>
      <c r="D1130" s="3">
        <v>1.0</v>
      </c>
    </row>
    <row r="1131" ht="15.75" customHeight="1">
      <c r="A1131" s="1">
        <v>1129.0</v>
      </c>
      <c r="B1131" s="3" t="s">
        <v>1132</v>
      </c>
      <c r="C1131" s="3" t="str">
        <f>IFERROR(__xludf.DUMMYFUNCTION("GOOGLETRANSLATE(B1131,""id"",""en"")"),"['Min', 'ask', 'bbrp', 'buy', 'package', 'learn', 'min', 'pulse', 'all', 'internet', 'GB', 'quota', ' bljr ',' TPI ',' quota ',' package ',' study ',' bsa ',' udh ',' chat ',' dri ',' apk ',' tpi ',' slow ',' response ' , 'Blum', 'Jawaaa', 'Mhon', 'Min', "&amp;"'enlightenment', 'Thanks', 'Sorry', 'Love', 'star', 'because' package ',' he learned ',' emg ',' access', 'rich', 'chrone', 'youtube', 'gtu', 'syaa', 'learn', 'bsa', 'money', 'lgi', 'package', 'hem' , 'Mhon', 'Min', 'help', ""]")</f>
        <v>['Min', 'ask', 'bbrp', 'buy', 'package', 'learn', 'min', 'pulse', 'all', 'internet', 'GB', 'quota', ' bljr ',' TPI ',' quota ',' package ',' study ',' bsa ',' udh ',' chat ',' dri ',' apk ',' tpi ',' slow ',' response ' , 'Blum', 'Jawaaa', 'Mhon', 'Min', 'enlightenment', 'Thanks', 'Sorry', 'Love', 'star', 'because' package ',' he learned ',' emg ',' access', 'rich', 'chrone', 'youtube', 'gtu', 'syaa', 'learn', 'bsa', 'money', 'lgi', 'package', 'hem' , 'Mhon', 'Min', 'help', "]</v>
      </c>
      <c r="D1131" s="3">
        <v>1.0</v>
      </c>
    </row>
    <row r="1132" ht="15.75" customHeight="1">
      <c r="A1132" s="1">
        <v>1130.0</v>
      </c>
      <c r="B1132" s="3" t="s">
        <v>1133</v>
      </c>
      <c r="C1132" s="3" t="str">
        <f>IFERROR(__xludf.DUMMYFUNCTION("GOOGLETRANSLATE(B1132,""id"",""en"")"),"['The package', 'changed', 'Telkomsel', 'subscribe', 'package', 'changed', 'as strong', 'no', 'bsa', 'bought', 'history', 'purchase', ' Yesterday ',' Yesterday ',' feeling ']")</f>
        <v>['The package', 'changed', 'Telkomsel', 'subscribe', 'package', 'changed', 'as strong', 'no', 'bsa', 'bought', 'history', 'purchase', ' Yesterday ',' Yesterday ',' feeling ']</v>
      </c>
      <c r="D1132" s="3">
        <v>1.0</v>
      </c>
    </row>
    <row r="1133" ht="15.75" customHeight="1">
      <c r="A1133" s="1">
        <v>1131.0</v>
      </c>
      <c r="B1133" s="3" t="s">
        <v>1134</v>
      </c>
      <c r="C1133" s="3" t="str">
        <f>IFERROR(__xludf.DUMMYFUNCTION("GOOGLETRANSLATE(B1133,""id"",""en"")"),"['Tipun', 'Telkomsel', 'Lottery', 'Car', 'Vocher', 'Get', 'then', 'announcement', 'JLS', 'Disappointed', 'Customer', 'Telkomsel', ' Berahaun ',' Snaga ',' Love ',' Star ',' Enter ',' Dutch ']")</f>
        <v>['Tipun', 'Telkomsel', 'Lottery', 'Car', 'Vocher', 'Get', 'then', 'announcement', 'JLS', 'Disappointed', 'Customer', 'Telkomsel', ' Berahaun ',' Snaga ',' Love ',' Star ',' Enter ',' Dutch ']</v>
      </c>
      <c r="D1133" s="3">
        <v>5.0</v>
      </c>
    </row>
    <row r="1134" ht="15.75" customHeight="1">
      <c r="A1134" s="1">
        <v>1132.0</v>
      </c>
      <c r="B1134" s="3" t="s">
        <v>1135</v>
      </c>
      <c r="C1134" s="3" t="str">
        <f>IFERROR(__xludf.DUMMYFUNCTION("GOOGLETRANSLATE(B1134,""id"",""en"")"),"['APPS', 'HBIS', 'Update', 'Open', 'Menu', 'Display', 'Blank', 'White', 'Notif', 'Update', 'then' click ',' Mlah ',' msuk ',' Playstore ',' pesi ',' just 'just' update ',' knapa ',' gerangan ', ""]")</f>
        <v>['APPS', 'HBIS', 'Update', 'Open', 'Menu', 'Display', 'Blank', 'White', 'Notif', 'Update', 'then' click ',' Mlah ',' msuk ',' Playstore ',' pesi ',' just 'just' update ',' knapa ',' gerangan ', "]</v>
      </c>
      <c r="D1134" s="3">
        <v>1.0</v>
      </c>
    </row>
    <row r="1135" ht="15.75" customHeight="1">
      <c r="A1135" s="1">
        <v>1133.0</v>
      </c>
      <c r="B1135" s="3" t="s">
        <v>1136</v>
      </c>
      <c r="C1135" s="3" t="str">
        <f>IFERROR(__xludf.DUMMYFUNCTION("GOOGLETRANSLATE(B1135,""id"",""en"")"),"['network', 'Telkomsel', 'pekanbaru', 'slow', 'really', 'disappointed', 'customers',' telkomsel ',' already ',' really ',' knp ',' skrang ',' Disappointing ',' Please ',' Provider ',' Telkomsel ',' Fix ',' Network ',' ']")</f>
        <v>['network', 'Telkomsel', 'pekanbaru', 'slow', 'really', 'disappointed', 'customers',' telkomsel ',' already ',' really ',' knp ',' skrang ',' Disappointing ',' Please ',' Provider ',' Telkomsel ',' Fix ',' Network ',' ']</v>
      </c>
      <c r="D1135" s="3">
        <v>2.0</v>
      </c>
    </row>
    <row r="1136" ht="15.75" customHeight="1">
      <c r="A1136" s="1">
        <v>1134.0</v>
      </c>
      <c r="B1136" s="3" t="s">
        <v>1137</v>
      </c>
      <c r="C1136" s="3" t="str">
        <f>IFERROR(__xludf.DUMMYFUNCTION("GOOGLETRANSLATE(B1136,""id"",""en"")"),"['Package', 'Data', 'GB', 'Unlimited', 'GB', 'whole', 'KNP', 'Credit', 'Content', 'Tingl', 'Silver', 'Life', ' Data ',' eat ',' pulses', 'kah', 'should', 'data', 'internet', 'cave', 'eat', 'fix', '']")</f>
        <v>['Package', 'Data', 'GB', 'Unlimited', 'GB', 'whole', 'KNP', 'Credit', 'Content', 'Tingl', 'Silver', 'Life', ' Data ',' eat ',' pulses', 'kah', 'should', 'data', 'internet', 'cave', 'eat', 'fix', '']</v>
      </c>
      <c r="D1136" s="3">
        <v>1.0</v>
      </c>
    </row>
    <row r="1137" ht="15.75" customHeight="1">
      <c r="A1137" s="1">
        <v>1135.0</v>
      </c>
      <c r="B1137" s="3" t="s">
        <v>1138</v>
      </c>
      <c r="C1137" s="3" t="str">
        <f>IFERROR(__xludf.DUMMYFUNCTION("GOOGLETRANSLATE(B1137,""id"",""en"")"),"['Application', 'Error', 'Good', 'Ouch', 'Good', 'Ngaktivin', 'Auto', 'Daily', 'Check', 'Reminder', 'Boro', 'Diingetin', ' kagak ',' diingetin ',' already ',' check ',' reminder ',' tomorrow ',' repeated ',' strange ',' strange ',' ']")</f>
        <v>['Application', 'Error', 'Good', 'Ouch', 'Good', 'Ngaktivin', 'Auto', 'Daily', 'Check', 'Reminder', 'Boro', 'Diingetin', ' kagak ',' diingetin ',' already ',' check ',' reminder ',' tomorrow ',' repeated ',' strange ',' strange ',' ']</v>
      </c>
      <c r="D1137" s="3">
        <v>1.0</v>
      </c>
    </row>
    <row r="1138" ht="15.75" customHeight="1">
      <c r="A1138" s="1">
        <v>1136.0</v>
      </c>
      <c r="B1138" s="3" t="s">
        <v>1139</v>
      </c>
      <c r="C1138" s="3" t="str">
        <f>IFERROR(__xludf.DUMMYFUNCTION("GOOGLETRANSLATE(B1138,""id"",""en"")"),"['network', 'difficult', 'open', 'application', 'Telkomsel', 'SNDRI', 'difficult', 'pdhal', 'data', 'package', 'use', 'package', ' wasteful ',' purchase ',' package ',' expensive ',' package ',' already ',' buy ',' missing ',' error ',' application ',' so"&amp;"rry ',' disappointed ',' service ' , 'Telkomsel', '']")</f>
        <v>['network', 'difficult', 'open', 'application', 'Telkomsel', 'SNDRI', 'difficult', 'pdhal', 'data', 'package', 'use', 'package', ' wasteful ',' purchase ',' package ',' expensive ',' package ',' already ',' buy ',' missing ',' error ',' application ',' sorry ',' disappointed ',' service ' , 'Telkomsel', '']</v>
      </c>
      <c r="D1138" s="3">
        <v>1.0</v>
      </c>
    </row>
    <row r="1139" ht="15.75" customHeight="1">
      <c r="A1139" s="1">
        <v>1137.0</v>
      </c>
      <c r="B1139" s="3" t="s">
        <v>1140</v>
      </c>
      <c r="C1139" s="3" t="str">
        <f>IFERROR(__xludf.DUMMYFUNCTION("GOOGLETRANSLATE(B1139,""id"",""en"")"),"['Good', 'option', 'exchange', 'point', 'pandemic', 'restrictions',' home ',' point ',' exchange ',' pulse ',' package ',' data ',' Tks']")</f>
        <v>['Good', 'option', 'exchange', 'point', 'pandemic', 'restrictions',' home ',' point ',' exchange ',' pulse ',' package ',' data ',' Tks']</v>
      </c>
      <c r="D1139" s="3">
        <v>5.0</v>
      </c>
    </row>
    <row r="1140" ht="15.75" customHeight="1">
      <c r="A1140" s="1">
        <v>1138.0</v>
      </c>
      <c r="B1140" s="3" t="s">
        <v>1141</v>
      </c>
      <c r="C1140" s="3" t="str">
        <f>IFERROR(__xludf.DUMMYFUNCTION("GOOGLETRANSLATE(B1140,""id"",""en"")"),"['Buy', 'Package', 'Unlimited', 'GB', 'RB', 'Credit', 'Buy', 'Enter', 'Enter', 'Package', ""]")</f>
        <v>['Buy', 'Package', 'Unlimited', 'GB', 'RB', 'Credit', 'Buy', 'Enter', 'Enter', 'Package', "]</v>
      </c>
      <c r="D1140" s="3">
        <v>1.0</v>
      </c>
    </row>
    <row r="1141" ht="15.75" customHeight="1">
      <c r="A1141" s="1">
        <v>1139.0</v>
      </c>
      <c r="B1141" s="3" t="s">
        <v>1142</v>
      </c>
      <c r="C1141" s="3" t="str">
        <f>IFERROR(__xludf.DUMMYFUNCTION("GOOGLETRANSLATE(B1141,""id"",""en"")"),"['card', 'fill in', 'package', 'data', 'Telkomsel', 'cheap', 'card', 'sympathy', 'friend', 'fill', 'package', 'data', ' Cheap ',' Please ',' explanation ', ""]")</f>
        <v>['card', 'fill in', 'package', 'data', 'Telkomsel', 'cheap', 'card', 'sympathy', 'friend', 'fill', 'package', 'data', ' Cheap ',' Please ',' explanation ', "]</v>
      </c>
      <c r="D1141" s="3">
        <v>5.0</v>
      </c>
    </row>
    <row r="1142" ht="15.75" customHeight="1">
      <c r="A1142" s="1">
        <v>1140.0</v>
      </c>
      <c r="B1142" s="3" t="s">
        <v>1143</v>
      </c>
      <c r="C1142" s="3" t="str">
        <f>IFERROR(__xludf.DUMMYFUNCTION("GOOGLETRANSLATE(B1142,""id"",""en"")"),"['admin', 'buy', 'package', 'cheerful', 'no', 'limit', 'promo', 'September', 'pulse', 'sufficient', 'Please', 'response', ' Kasi ',' star ',' Thanks']")</f>
        <v>['admin', 'buy', 'package', 'cheerful', 'no', 'limit', 'promo', 'September', 'pulse', 'sufficient', 'Please', 'response', ' Kasi ',' star ',' Thanks']</v>
      </c>
      <c r="D1142" s="3">
        <v>2.0</v>
      </c>
    </row>
    <row r="1143" ht="15.75" customHeight="1">
      <c r="A1143" s="1">
        <v>1141.0</v>
      </c>
      <c r="B1143" s="3" t="s">
        <v>1144</v>
      </c>
      <c r="C1143" s="3" t="str">
        <f>IFERROR(__xludf.DUMMYFUNCTION("GOOGLETRANSLATE(B1143,""id"",""en"")"),"['Satisfied', 'pulse', 'like', 'run out', 'use', 'call', 'sms', 'leftover', 'pulse', 'already', 'run out', ""]")</f>
        <v>['Satisfied', 'pulse', 'like', 'run out', 'use', 'call', 'sms', 'leftover', 'pulse', 'already', 'run out', "]</v>
      </c>
      <c r="D1143" s="3">
        <v>5.0</v>
      </c>
    </row>
    <row r="1144" ht="15.75" customHeight="1">
      <c r="A1144" s="1">
        <v>1142.0</v>
      </c>
      <c r="B1144" s="3" t="s">
        <v>1145</v>
      </c>
      <c r="C1144" s="3" t="str">
        <f>IFERROR(__xludf.DUMMYFUNCTION("GOOGLETRANSLATE(B1144,""id"",""en"")"),"['apk', 'Telkomsel', 'ugly', 'because', 'clock', 'already', 'buy', 'package', 'clock', 'package', 'enter', 'udh', ' reset ',' push ',' tetep ',' time ',' UDH ',' please ',' fix ',' my apk ']")</f>
        <v>['apk', 'Telkomsel', 'ugly', 'because', 'clock', 'already', 'buy', 'package', 'clock', 'package', 'enter', 'udh', ' reset ',' push ',' tetep ',' time ',' UDH ',' please ',' fix ',' my apk ']</v>
      </c>
      <c r="D1144" s="3">
        <v>1.0</v>
      </c>
    </row>
    <row r="1145" ht="15.75" customHeight="1">
      <c r="A1145" s="1">
        <v>1143.0</v>
      </c>
      <c r="B1145" s="3" t="s">
        <v>1146</v>
      </c>
      <c r="C1145" s="3" t="str">
        <f>IFERROR(__xludf.DUMMYFUNCTION("GOOGLETRANSLATE(B1145,""id"",""en"")"),"['What', 'Telkomsel', 'buy', 'package', 'Deeplay', 'Melet', 'times',' package ',' internet ',' entry ',' as a result ',' pulses', ' Sucked ',' please ',' fix ',' ']")</f>
        <v>['What', 'Telkomsel', 'buy', 'package', 'Deeplay', 'Melet', 'times',' package ',' internet ',' entry ',' as a result ',' pulses', ' Sucked ',' please ',' fix ',' ']</v>
      </c>
      <c r="D1145" s="3">
        <v>1.0</v>
      </c>
    </row>
    <row r="1146" ht="15.75" customHeight="1">
      <c r="A1146" s="1">
        <v>1144.0</v>
      </c>
      <c r="B1146" s="3" t="s">
        <v>1147</v>
      </c>
      <c r="C1146" s="3" t="str">
        <f>IFERROR(__xludf.DUMMYFUNCTION("GOOGLETRANSLATE(B1146,""id"",""en"")"),"['quota', 'internet', 'expensive', 'confusing', 'buy', 'internet', 'broken', 'split', 'advanced', 'nation', 'internet', 'application', ' Prices', 'Customize', 'Economy', 'People', 'Mechecants',' People ',' Please ',' Muffs', 'People', 'People', 'Medium', "&amp;"'']")</f>
        <v>['quota', 'internet', 'expensive', 'confusing', 'buy', 'internet', 'broken', 'split', 'advanced', 'nation', 'internet', 'application', ' Prices', 'Customize', 'Economy', 'People', 'Mechecants',' People ',' Please ',' Muffs', 'People', 'People', 'Medium', '']</v>
      </c>
      <c r="D1146" s="3">
        <v>1.0</v>
      </c>
    </row>
    <row r="1147" ht="15.75" customHeight="1">
      <c r="A1147" s="1">
        <v>1145.0</v>
      </c>
      <c r="B1147" s="3" t="s">
        <v>1148</v>
      </c>
      <c r="C1147" s="3" t="str">
        <f>IFERROR(__xludf.DUMMYFUNCTION("GOOGLETRANSLATE(B1147,""id"",""en"")"),"['application', 'Telkomsel', 'makes it easy', 'check', 'leftover', 'pulse', 'package', 'internet', 'etc.', 'it's easy', 'promo', 'promo', ' interesting', '']")</f>
        <v>['application', 'Telkomsel', 'makes it easy', 'check', 'leftover', 'pulse', 'package', 'internet', 'etc.', 'it's easy', 'promo', 'promo', ' interesting', '']</v>
      </c>
      <c r="D1147" s="3">
        <v>5.0</v>
      </c>
    </row>
    <row r="1148" ht="15.75" customHeight="1">
      <c r="A1148" s="1">
        <v>1146.0</v>
      </c>
      <c r="B1148" s="3" t="s">
        <v>1149</v>
      </c>
      <c r="C1148" s="3" t="str">
        <f>IFERROR(__xludf.DUMMYFUNCTION("GOOGLETRANSLATE(B1148,""id"",""en"")"),"['Alhamdulillah', 'obstacles',' signal ',' area ',' Subang ',' city ',' signal ',' good ',' change ',' card ',' card ',' thank you ',' ']")</f>
        <v>['Alhamdulillah', 'obstacles',' signal ',' area ',' Subang ',' city ',' signal ',' good ',' change ',' card ',' card ',' thank you ',' ']</v>
      </c>
      <c r="D1148" s="3">
        <v>1.0</v>
      </c>
    </row>
    <row r="1149" ht="15.75" customHeight="1">
      <c r="A1149" s="1">
        <v>1147.0</v>
      </c>
      <c r="B1149" s="3" t="s">
        <v>1150</v>
      </c>
      <c r="C1149" s="3" t="str">
        <f>IFERROR(__xludf.DUMMYFUNCTION("GOOGLETRANSLATE(B1149,""id"",""en"")"),"['Telkomsel', 'how', 'price', 'expensive', 'quality', 'down', 'network', 'like', 'nge', 'lag', 'game', 'signal', ' Red ',' yellow ',' Mulu ',' annoyed ',' use ',' Telkomsel ']")</f>
        <v>['Telkomsel', 'how', 'price', 'expensive', 'quality', 'down', 'network', 'like', 'nge', 'lag', 'game', 'signal', ' Red ',' yellow ',' Mulu ',' annoyed ',' use ',' Telkomsel ']</v>
      </c>
      <c r="D1149" s="3">
        <v>1.0</v>
      </c>
    </row>
    <row r="1150" ht="15.75" customHeight="1">
      <c r="A1150" s="1">
        <v>1148.0</v>
      </c>
      <c r="B1150" s="3" t="s">
        <v>1151</v>
      </c>
      <c r="C1150" s="3" t="str">
        <f>IFERROR(__xludf.DUMMYFUNCTION("GOOGLETRANSLATE(B1150,""id"",""en"")"),"['', 'buy', 'given', 'Card', 'Telkomsel', 'Dikardus',' HP ',' Posts', 'Package', 'Bundling', 'Max', 'GB', 'Fill ',' pulse ',' packagein ',' writing ',' Please ',' sorry ',' purchase ',' product ',' disappointed ']")</f>
        <v>['', 'buy', 'given', 'Card', 'Telkomsel', 'Dikardus',' HP ',' Posts', 'Package', 'Bundling', 'Max', 'GB', 'Fill ',' pulse ',' packagein ',' writing ',' Please ',' sorry ',' purchase ',' product ',' disappointed ']</v>
      </c>
      <c r="D1150" s="3">
        <v>2.0</v>
      </c>
    </row>
    <row r="1151" ht="15.75" customHeight="1">
      <c r="A1151" s="1">
        <v>1149.0</v>
      </c>
      <c r="B1151" s="3" t="s">
        <v>1152</v>
      </c>
      <c r="C1151" s="3" t="str">
        <f>IFERROR(__xludf.DUMMYFUNCTION("GOOGLETRANSLATE(B1151,""id"",""en"")"),"['reduce', 'star', 'dizzy', 'nyampe', 'tens',' sms', 'telkomsel', 'dizzy', 'erase it', 'please', 'frequency', 'send', ' SMS ',' Bored ',' Males', 'Use', 'Telkomsel', 'Please', 'Fix']")</f>
        <v>['reduce', 'star', 'dizzy', 'nyampe', 'tens',' sms', 'telkomsel', 'dizzy', 'erase it', 'please', 'frequency', 'send', ' SMS ',' Bored ',' Males', 'Use', 'Telkomsel', 'Please', 'Fix']</v>
      </c>
      <c r="D1151" s="3">
        <v>3.0</v>
      </c>
    </row>
    <row r="1152" ht="15.75" customHeight="1">
      <c r="A1152" s="1">
        <v>1150.0</v>
      </c>
      <c r="B1152" s="3" t="s">
        <v>1153</v>
      </c>
      <c r="C1152" s="3" t="str">
        <f>IFERROR(__xludf.DUMMYFUNCTION("GOOGLETRANSLATE(B1152,""id"",""en"")"),"['signal', 'Telkomsel', 'area', 'bad', 'really', 'rich', 'right', 'buy', 'learning', 'disturbed', 'drama', 'signal', ' Males', 'Telkomsel', '']")</f>
        <v>['signal', 'Telkomsel', 'area', 'bad', 'really', 'rich', 'right', 'buy', 'learning', 'disturbed', 'drama', 'signal', ' Males', 'Telkomsel', '']</v>
      </c>
      <c r="D1152" s="3">
        <v>2.0</v>
      </c>
    </row>
    <row r="1153" ht="15.75" customHeight="1">
      <c r="A1153" s="1">
        <v>1151.0</v>
      </c>
      <c r="B1153" s="3" t="s">
        <v>1154</v>
      </c>
      <c r="C1153" s="3" t="str">
        <f>IFERROR(__xludf.DUMMYFUNCTION("GOOGLETRANSLATE(B1153,""id"",""en"")"),"['right', 'age', 'young', 'bench', 'until', 'Telkomsel', 'satisfaction', 'separate', 'customer', 'price', 'competitors',' competitors', ' Telkomsel ',' groups', 'Child', 'Young', '']")</f>
        <v>['right', 'age', 'young', 'bench', 'until', 'Telkomsel', 'satisfaction', 'separate', 'customer', 'price', 'competitors',' competitors', ' Telkomsel ',' groups', 'Child', 'Young', '']</v>
      </c>
      <c r="D1153" s="3">
        <v>5.0</v>
      </c>
    </row>
    <row r="1154" ht="15.75" customHeight="1">
      <c r="A1154" s="1">
        <v>1152.0</v>
      </c>
      <c r="B1154" s="3" t="s">
        <v>1155</v>
      </c>
      <c r="C1154" s="3" t="str">
        <f>IFERROR(__xludf.DUMMYFUNCTION("GOOGLETRANSLATE(B1154,""id"",""en"")"),"['Safety', 'combo', 'promo', 'internet', 'complete', 'package', 'quota', 'unlimited', 'game', 'gamer', 'play', 'game', ' Limits', 'hope', 'update', '']")</f>
        <v>['Safety', 'combo', 'promo', 'internet', 'complete', 'package', 'quota', 'unlimited', 'game', 'gamer', 'play', 'game', ' Limits', 'hope', 'update', '']</v>
      </c>
      <c r="D1154" s="3">
        <v>4.0</v>
      </c>
    </row>
    <row r="1155" ht="15.75" customHeight="1">
      <c r="A1155" s="1">
        <v>1153.0</v>
      </c>
      <c r="B1155" s="3" t="s">
        <v>1156</v>
      </c>
      <c r="C1155" s="3" t="str">
        <f>IFERROR(__xludf.DUMMYFUNCTION("GOOGLETRANSLATE(B1155,""id"",""en"")"),"['function', 'good', 'gave', 'promo', 'trap', 'mending', 'no', 'cast', 'promo', 'no', 'filled', 'pulses',' "", 'Promo', 'GB', 'No"",' Package ',' Main ',' Tetep ',' Pulse ',' Main ',' Out ', ""]")</f>
        <v>['function', 'good', 'gave', 'promo', 'trap', 'mending', 'no', 'cast', 'promo', 'no', 'filled', 'pulses',' ", 'Promo', 'GB', 'No",' Package ',' Main ',' Tetep ',' Pulse ',' Main ',' Out ', "]</v>
      </c>
      <c r="D1155" s="3">
        <v>3.0</v>
      </c>
    </row>
    <row r="1156" ht="15.75" customHeight="1">
      <c r="A1156" s="1">
        <v>1154.0</v>
      </c>
      <c r="B1156" s="3" t="s">
        <v>1157</v>
      </c>
      <c r="C1156" s="3" t="str">
        <f>IFERROR(__xludf.DUMMYFUNCTION("GOOGLETRANSLATE(B1156,""id"",""en"")"),"['morning', 'admin', 'Telkomsel', 'Dear', 'since' since 'week', 'net', 'slow', 'yesterday', 'network', 'normal', 'please', ' Donk ',' solution ']")</f>
        <v>['morning', 'admin', 'Telkomsel', 'Dear', 'since' since 'week', 'net', 'slow', 'yesterday', 'network', 'normal', 'please', ' Donk ',' solution ']</v>
      </c>
      <c r="D1156" s="3">
        <v>1.0</v>
      </c>
    </row>
    <row r="1157" ht="15.75" customHeight="1">
      <c r="A1157" s="1">
        <v>1155.0</v>
      </c>
      <c r="B1157" s="3" t="s">
        <v>1158</v>
      </c>
      <c r="C1157" s="3" t="str">
        <f>IFERROR(__xludf.DUMMYFUNCTION("GOOGLETRANSLATE(B1157,""id"",""en"")"),"['unfortunate', 'operator', 'in the region', 'Kabupaten', 'Morowali', 'Kec', 'Bumiraya', 'Network', 'Bad', 'Tower', 'Indosat', 'Semntara', ' Built ',' live ',' Wait ',' operated ',' network ',' Telkomsel ',' Dimorowali ',' Byk ',' Switch ',' Indosat ', """&amp;"]")</f>
        <v>['unfortunate', 'operator', 'in the region', 'Kabupaten', 'Morowali', 'Kec', 'Bumiraya', 'Network', 'Bad', 'Tower', 'Indosat', 'Semntara', ' Built ',' live ',' Wait ',' operated ',' network ',' Telkomsel ',' Dimorowali ',' Byk ',' Switch ',' Indosat ', "]</v>
      </c>
      <c r="D1157" s="3">
        <v>1.0</v>
      </c>
    </row>
    <row r="1158" ht="15.75" customHeight="1">
      <c r="A1158" s="1">
        <v>1156.0</v>
      </c>
      <c r="B1158" s="3" t="s">
        <v>1159</v>
      </c>
      <c r="C1158" s="3" t="str">
        <f>IFERROR(__xludf.DUMMYFUNCTION("GOOGLETRANSLATE(B1158,""id"",""en"")"),"['difficult', 'login', 'number', 'just', 'just', 'number', 'Different', 'upgrade', 'skarang', 'upgrade', 'fail', 'Mulu', ' Login ',' number ',' ']")</f>
        <v>['difficult', 'login', 'number', 'just', 'just', 'number', 'Different', 'upgrade', 'skarang', 'upgrade', 'fail', 'Mulu', ' Login ',' number ',' ']</v>
      </c>
      <c r="D1158" s="3">
        <v>1.0</v>
      </c>
    </row>
    <row r="1159" ht="15.75" customHeight="1">
      <c r="A1159" s="1">
        <v>1157.0</v>
      </c>
      <c r="B1159" s="3" t="s">
        <v>1160</v>
      </c>
      <c r="C1159" s="3" t="str">
        <f>IFERROR(__xludf.DUMMYFUNCTION("GOOGLETRANSLATE(B1159,""id"",""en"")"),"['Service', 'Satisfied', 'Bagud', 'Easy', 'Understand', 'App', 'Before', 'Costs',' Package ',' Purchase ',' Quota ',' Yolong ',' raise ',' customer ',' change ',' over ',' product ',' friendly ',' price ',' era ',' pandemic ',' good ',' please ',' friendl"&amp;"y ',' prihal ' , 'Price', 'Telkomsel', 'Package', 'Unlimited', 'Rb', 'Udh', '']")</f>
        <v>['Service', 'Satisfied', 'Bagud', 'Easy', 'Understand', 'App', 'Before', 'Costs',' Package ',' Purchase ',' Quota ',' Yolong ',' raise ',' customer ',' change ',' over ',' product ',' friendly ',' price ',' era ',' pandemic ',' good ',' please ',' friendly ',' prihal ' , 'Price', 'Telkomsel', 'Package', 'Unlimited', 'Rb', 'Udh', '']</v>
      </c>
      <c r="D1159" s="3">
        <v>4.0</v>
      </c>
    </row>
    <row r="1160" ht="15.75" customHeight="1">
      <c r="A1160" s="1">
        <v>1158.0</v>
      </c>
      <c r="B1160" s="3" t="s">
        <v>1161</v>
      </c>
      <c r="C1160" s="3" t="str">
        <f>IFERROR(__xludf.DUMMYFUNCTION("GOOGLETRANSLATE(B1160,""id"",""en"")"),"['application', 'Telkomsel', 'opened', 'ngelag', 'application', 'not', 'responding', 'urgency', 'open', 'application', 'run out', 'package', ' buy ',' package ',' please ',' repair ',' convenience ',' customer ',' thank ',' love ']")</f>
        <v>['application', 'Telkomsel', 'opened', 'ngelag', 'application', 'not', 'responding', 'urgency', 'open', 'application', 'run out', 'package', ' buy ',' package ',' please ',' repair ',' convenience ',' customer ',' thank ',' love ']</v>
      </c>
      <c r="D1160" s="3">
        <v>3.0</v>
      </c>
    </row>
    <row r="1161" ht="15.75" customHeight="1">
      <c r="A1161" s="1">
        <v>1159.0</v>
      </c>
      <c r="B1161" s="3" t="s">
        <v>1162</v>
      </c>
      <c r="C1161" s="3" t="str">
        <f>IFERROR(__xludf.DUMMYFUNCTION("GOOGLETRANSLATE(B1161,""id"",""en"")"),"['Sorry', 'Telkomsel', 'network', 'smooth', 'already', 'bln', 'leet', 'really', 'open', 'data', 'loading', ' Mulu ',' Satisfied ',' ']")</f>
        <v>['Sorry', 'Telkomsel', 'network', 'smooth', 'already', 'bln', 'leet', 'really', 'open', 'data', 'loading', ' Mulu ',' Satisfied ',' ']</v>
      </c>
      <c r="D1161" s="3">
        <v>3.0</v>
      </c>
    </row>
    <row r="1162" ht="15.75" customHeight="1">
      <c r="A1162" s="1">
        <v>1160.0</v>
      </c>
      <c r="B1162" s="3" t="s">
        <v>1163</v>
      </c>
      <c r="C1162" s="3" t="str">
        <f>IFERROR(__xludf.DUMMYFUNCTION("GOOGLETRANSLATE(B1162,""id"",""en"")"),"['Loading', 'slow', 'Sometimes',' ngilank ',' foresthings', 'mmng', 'add', 'capacity', 'knp', 'duhai', 'tsel', 'surrounding', ' network ',' tsel ',' technical ',' knp ',' hrs', 'app', 'tsel', 'one', 'hrs',' open ',' app ',' no ',' ']")</f>
        <v>['Loading', 'slow', 'Sometimes',' ngilank ',' foresthings', 'mmng', 'add', 'capacity', 'knp', 'duhai', 'tsel', 'surrounding', ' network ',' tsel ',' technical ',' knp ',' hrs', 'app', 'tsel', 'one', 'hrs',' open ',' app ',' no ',' ']</v>
      </c>
      <c r="D1162" s="3">
        <v>4.0</v>
      </c>
    </row>
    <row r="1163" ht="15.75" customHeight="1">
      <c r="A1163" s="1">
        <v>1161.0</v>
      </c>
      <c r="B1163" s="3" t="s">
        <v>1164</v>
      </c>
      <c r="C1163" s="3" t="str">
        <f>IFERROR(__xludf.DUMMYFUNCTION("GOOGLETRANSLATE(B1163,""id"",""en"")"),"['Telkomsel', 'take', 'money', 'per month', 'add it', 'sport', 'subscribe', 'quota', 'internet', 'needs',' discovered ',' complain ',' Graha ',' Telkomsel ',' Heart ',' Heart ',' User ',' Bill ',' Naturally ',' Check ',' Bill ', ""]")</f>
        <v>['Telkomsel', 'take', 'money', 'per month', 'add it', 'sport', 'subscribe', 'quota', 'internet', 'needs',' discovered ',' complain ',' Graha ',' Telkomsel ',' Heart ',' Heart ',' User ',' Bill ',' Naturally ',' Check ',' Bill ', "]</v>
      </c>
      <c r="D1163" s="3">
        <v>2.0</v>
      </c>
    </row>
    <row r="1164" ht="15.75" customHeight="1">
      <c r="A1164" s="1">
        <v>1162.0</v>
      </c>
      <c r="B1164" s="3" t="s">
        <v>1165</v>
      </c>
      <c r="C1164" s="3" t="str">
        <f>IFERROR(__xludf.DUMMYFUNCTION("GOOGLETRANSLATE(B1164,""id"",""en"")"),"['Telkomsel', 'signal', 'internet', 'ugly', 'price', 'expensive', 'service', 'ugly', 'padal', 'card', 'Hello', 'card', ' Hello ',' good ',' tetep ',' ugly ',' change ',' sell ',' Telkomsel ',' sukur ',' sukur ',' telkomsel ',' sell ',' signal ',' good ' ]")</f>
        <v>['Telkomsel', 'signal', 'internet', 'ugly', 'price', 'expensive', 'service', 'ugly', 'padal', 'card', 'Hello', 'card', ' Hello ',' good ',' tetep ',' ugly ',' change ',' sell ',' Telkomsel ',' sukur ',' sukur ',' telkomsel ',' sell ',' signal ',' good ' ]</v>
      </c>
      <c r="D1164" s="3">
        <v>1.0</v>
      </c>
    </row>
    <row r="1165" ht="15.75" customHeight="1">
      <c r="A1165" s="1">
        <v>1163.0</v>
      </c>
      <c r="B1165" s="3" t="s">
        <v>1166</v>
      </c>
      <c r="C1165" s="3" t="str">
        <f>IFERROR(__xludf.DUMMYFUNCTION("GOOGLETRANSLATE(B1165,""id"",""en"")"),"['Customer', 'Faithful', 'Windu', 'Promo', 'Save', 'Price', 'Expensive', 'Published', 'SPT', 'It's',' Combo ',' Sakti ',' Unlimited ',' Under ',' RB ',' menu ',' MyTelkomel ',' page ',' relatives', 'age', 'card', 'short', 'card', 'Please', 'Sorry' , 'poli"&amp;"cy', 'reversed', 'yaa', 'trimakasih', 'hope', 'mjd', 'attention', 'shg', 'please', 'sorry', 'please', 'feel', ' ']")</f>
        <v>['Customer', 'Faithful', 'Windu', 'Promo', 'Save', 'Price', 'Expensive', 'Published', 'SPT', 'It's',' Combo ',' Sakti ',' Unlimited ',' Under ',' RB ',' menu ',' MyTelkomel ',' page ',' relatives', 'age', 'card', 'short', 'card', 'Please', 'Sorry' , 'policy', 'reversed', 'yaa', 'trimakasih', 'hope', 'mjd', 'attention', 'shg', 'please', 'sorry', 'please', 'feel', ' ']</v>
      </c>
      <c r="D1165" s="3">
        <v>1.0</v>
      </c>
    </row>
    <row r="1166" ht="15.75" customHeight="1">
      <c r="A1166" s="1">
        <v>1164.0</v>
      </c>
      <c r="B1166" s="3" t="s">
        <v>1167</v>
      </c>
      <c r="C1166" s="3" t="str">
        <f>IFERROR(__xludf.DUMMYFUNCTION("GOOGLETRANSLATE(B1166,""id"",""en"")"),"['Dear', 'Telkomsel', 'Kalu', 'Kampung', 'Jarigan', 'Telkomsel', 'Card', 'Telkomsel', 'Uda', 'Package', 'expensive', 'Jarigan', ' slow ',' noon ',' night ',' stupid ',' org ',' corruption ',' lgi ']")</f>
        <v>['Dear', 'Telkomsel', 'Kalu', 'Kampung', 'Jarigan', 'Telkomsel', 'Card', 'Telkomsel', 'Uda', 'Package', 'expensive', 'Jarigan', ' slow ',' noon ',' night ',' stupid ',' org ',' corruption ',' lgi ']</v>
      </c>
      <c r="D1166" s="3">
        <v>1.0</v>
      </c>
    </row>
    <row r="1167" ht="15.75" customHeight="1">
      <c r="A1167" s="1">
        <v>1165.0</v>
      </c>
      <c r="B1167" s="3" t="s">
        <v>1168</v>
      </c>
      <c r="C1167" s="3" t="str">
        <f>IFERROR(__xludf.DUMMYFUNCTION("GOOGLETRANSLATE(B1167,""id"",""en"")"),"['price', 'package', 'internet', 'expensive', 'application', 'difficult', 'open', 'Telkomsel', 'lemooootttt', 'rich', 'listen', 'can', ' Lottery ',' Layi ',' Undi ',' Really ',' Check ',' Column ',' Winner ',' Tel ',' Closed ',' Digit ',' Cecant ',' Win '"&amp;",' Love ' , 'winner', 'contact', 'bro', '']")</f>
        <v>['price', 'package', 'internet', 'expensive', 'application', 'difficult', 'open', 'Telkomsel', 'lemooootttt', 'rich', 'listen', 'can', ' Lottery ',' Layi ',' Undi ',' Really ',' Check ',' Column ',' Winner ',' Tel ',' Closed ',' Digit ',' Cecant ',' Win ',' Love ' , 'winner', 'contact', 'bro', '']</v>
      </c>
      <c r="D1167" s="3">
        <v>2.0</v>
      </c>
    </row>
    <row r="1168" ht="15.75" customHeight="1">
      <c r="A1168" s="1">
        <v>1166.0</v>
      </c>
      <c r="B1168" s="3" t="s">
        <v>1169</v>
      </c>
      <c r="C1168" s="3" t="str">
        <f>IFERROR(__xludf.DUMMYFUNCTION("GOOGLETRANSLATE(B1168,""id"",""en"")"),"['Sorry', 'Telkomsen', 'expensive', 'package', 'promo', 'interesting', 'cook', 'exchange', 'Points',' pulses', 'GB', 'Kayak', ' Price ',' Volcer ',' Please ',' Fitra ',' Increase ',' Gini ',' Need ',' Kouta ',' Bimbousing ',' Haling ',' Pelangan ',' Servi"&amp;"ce ']")</f>
        <v>['Sorry', 'Telkomsen', 'expensive', 'package', 'promo', 'interesting', 'cook', 'exchange', 'Points',' pulses', 'GB', 'Kayak', ' Price ',' Volcer ',' Please ',' Fitra ',' Increase ',' Gini ',' Need ',' Kouta ',' Bimbousing ',' Haling ',' Pelangan ',' Service ']</v>
      </c>
      <c r="D1168" s="3">
        <v>1.0</v>
      </c>
    </row>
    <row r="1169" ht="15.75" customHeight="1">
      <c r="A1169" s="1">
        <v>1167.0</v>
      </c>
      <c r="B1169" s="3" t="s">
        <v>1170</v>
      </c>
      <c r="C1169" s="3" t="str">
        <f>IFERROR(__xludf.DUMMYFUNCTION("GOOGLETRANSLATE(B1169,""id"",""en"")"),"['Hi', 'severe', 'signal', 'already', 'expensive', 'ngelag', 'ngegame', 'open', 'browser', 'lose', 'next door', '']")</f>
        <v>['Hi', 'severe', 'signal', 'already', 'expensive', 'ngelag', 'ngegame', 'open', 'browser', 'lose', 'next door', '']</v>
      </c>
      <c r="D1169" s="3">
        <v>1.0</v>
      </c>
    </row>
    <row r="1170" ht="15.75" customHeight="1">
      <c r="A1170" s="1">
        <v>1168.0</v>
      </c>
      <c r="B1170" s="3" t="s">
        <v>1171</v>
      </c>
      <c r="C1170" s="3" t="str">
        <f>IFERROR(__xludf.DUMMYFUNCTION("GOOGLETRANSLATE(B1170,""id"",""en"")"),"['method', 'payment', 'direct', 'connected', 'account', 'fund', 'please', 'Telkomsel', 'repaired', ""]")</f>
        <v>['method', 'payment', 'direct', 'connected', 'account', 'fund', 'please', 'Telkomsel', 'repaired', "]</v>
      </c>
      <c r="D1170" s="3">
        <v>3.0</v>
      </c>
    </row>
    <row r="1171" ht="15.75" customHeight="1">
      <c r="A1171" s="1">
        <v>1169.0</v>
      </c>
      <c r="B1171" s="3" t="s">
        <v>1172</v>
      </c>
      <c r="C1171" s="3" t="str">
        <f>IFERROR(__xludf.DUMMYFUNCTION("GOOGLETRANSLATE(B1171,""id"",""en"")"),"['Enter', 'Vocher', 'times',' Enter ',' code ',' failed ',' Tell ',' Sorry ',' Service ',' Busy ',' Please ',' Wait ',' That's', 'Telkomsel', 'here', 'ugly', 'network']")</f>
        <v>['Enter', 'Vocher', 'times',' Enter ',' code ',' failed ',' Tell ',' Sorry ',' Service ',' Busy ',' Please ',' Wait ',' That's', 'Telkomsel', 'here', 'ugly', 'network']</v>
      </c>
      <c r="D1171" s="3">
        <v>1.0</v>
      </c>
    </row>
    <row r="1172" ht="15.75" customHeight="1">
      <c r="A1172" s="1">
        <v>1170.0</v>
      </c>
      <c r="B1172" s="3" t="s">
        <v>1173</v>
      </c>
      <c r="C1172" s="3" t="str">
        <f>IFERROR(__xludf.DUMMYFUNCTION("GOOGLETRANSLATE(B1172,""id"",""en"")"),"['Severe', 'Telkomsel', 'signal', 'function', 'signal', 'open', 'apk', 'shook', 'shook', 'head', 'just', 'price', ' expensive ',' zonk ',' speed ',' lose ',' Indosat ',' incident ',' person ',' talking ',' jej ',' signal ',' users', 'Telkomsel', 'moved' ,"&amp;" 'Indosat']")</f>
        <v>['Severe', 'Telkomsel', 'signal', 'function', 'signal', 'open', 'apk', 'shook', 'shook', 'head', 'just', 'price', ' expensive ',' zonk ',' speed ',' lose ',' Indosat ',' incident ',' person ',' talking ',' jej ',' signal ',' users', 'Telkomsel', 'moved' , 'Indosat']</v>
      </c>
      <c r="D1172" s="3">
        <v>1.0</v>
      </c>
    </row>
    <row r="1173" ht="15.75" customHeight="1">
      <c r="A1173" s="1">
        <v>1171.0</v>
      </c>
      <c r="B1173" s="3" t="s">
        <v>1174</v>
      </c>
      <c r="C1173" s="3" t="str">
        <f>IFERROR(__xludf.DUMMYFUNCTION("GOOGLETRANSLATE(B1173,""id"",""en"")"),"['Topic', 'related', 'Telkomsel', 'ask', 'network', 'Telkomsel', 'good', 'please', 'Restore', ""]")</f>
        <v>['Topic', 'related', 'Telkomsel', 'ask', 'network', 'Telkomsel', 'good', 'please', 'Restore', "]</v>
      </c>
      <c r="D1173" s="3">
        <v>2.0</v>
      </c>
    </row>
    <row r="1174" ht="15.75" customHeight="1">
      <c r="A1174" s="1">
        <v>1172.0</v>
      </c>
      <c r="B1174" s="3" t="s">
        <v>1175</v>
      </c>
      <c r="C1174" s="3" t="str">
        <f>IFERROR(__xludf.DUMMYFUNCTION("GOOGLETRANSLATE(B1174,""id"",""en"")"),"['Network', 'Good', 'Karna', 'Maintain', 'Increase', 'Quality', 'Network', 'Telkomsel', 'Telkomsel', 'Sprawl', 'Movers',' Land ',' Water ',' Indonesia ',' Need ',' Network ',' Telkomsel ',' Therapy ',' Expensive ',' Pemutical ',' Data ',' bya ',' PWRHTika"&amp;"n ',' Derived ',' Rates' , 'Zone', 'Indonesia', 'East', 'Indones', 'Telkomsel', 'Lost', 'Compete', 'Network', 'Krna', 'Own']")</f>
        <v>['Network', 'Good', 'Karna', 'Maintain', 'Increase', 'Quality', 'Network', 'Telkomsel', 'Telkomsel', 'Sprawl', 'Movers',' Land ',' Water ',' Indonesia ',' Need ',' Network ',' Telkomsel ',' Therapy ',' Expensive ',' Pemutical ',' Data ',' bya ',' PWRHTikan ',' Derived ',' Rates' , 'Zone', 'Indonesia', 'East', 'Indones', 'Telkomsel', 'Lost', 'Compete', 'Network', 'Krna', 'Own']</v>
      </c>
      <c r="D1174" s="3">
        <v>5.0</v>
      </c>
    </row>
    <row r="1175" ht="15.75" customHeight="1">
      <c r="A1175" s="1">
        <v>1173.0</v>
      </c>
      <c r="B1175" s="3" t="s">
        <v>1176</v>
      </c>
      <c r="C1175" s="3" t="str">
        <f>IFERROR(__xludf.DUMMYFUNCTION("GOOGLETRANSLATE(B1175,""id"",""en"")"),"['Excuse', 'KPD', 'Telkomsel', 'buy', 'quota', 'expensive', 'TPI', 'network', 'ugly', 'then', 'huh', 'please', ' Fix ',' KPD ',' Telkomsel ']")</f>
        <v>['Excuse', 'KPD', 'Telkomsel', 'buy', 'quota', 'expensive', 'TPI', 'network', 'ugly', 'then', 'huh', 'please', ' Fix ',' KPD ',' Telkomsel ']</v>
      </c>
      <c r="D1175" s="3">
        <v>2.0</v>
      </c>
    </row>
    <row r="1176" ht="15.75" customHeight="1">
      <c r="A1176" s="1">
        <v>1174.0</v>
      </c>
      <c r="B1176" s="3" t="s">
        <v>1177</v>
      </c>
      <c r="C1176" s="3" t="str">
        <f>IFERROR(__xludf.DUMMYFUNCTION("GOOGLETRANSLATE(B1176,""id"",""en"")"),"['hi', 'please', 'kah', 'pulse', 'used', 'use', 'internet', 'position', 'network', 'data', 'turn off', 'use', ' WiFi ',' please ',' explanation ',' Thanks', '']")</f>
        <v>['hi', 'please', 'kah', 'pulse', 'used', 'use', 'internet', 'position', 'network', 'data', 'turn off', 'use', ' WiFi ',' please ',' explanation ',' Thanks', '']</v>
      </c>
      <c r="D1176" s="3">
        <v>3.0</v>
      </c>
    </row>
    <row r="1177" ht="15.75" customHeight="1">
      <c r="A1177" s="1">
        <v>1175.0</v>
      </c>
      <c r="B1177" s="3" t="s">
        <v>1178</v>
      </c>
      <c r="C1177" s="3" t="str">
        <f>IFERROR(__xludf.DUMMYFUNCTION("GOOGLETRANSLATE(B1177,""id"",""en"")"),"['Ngecewain', 'signal', 'mabar', 'Sometimes',' already ',' mode ',' plane ',' recovered ',' ntar ',' minute ',' please ',' level ',' Min ',' user ',' Telkomsel ',' disappointed ',' thank ',' love ', ""]")</f>
        <v>['Ngecewain', 'signal', 'mabar', 'Sometimes',' already ',' mode ',' plane ',' recovered ',' ntar ',' minute ',' please ',' level ',' Min ',' user ',' Telkomsel ',' disappointed ',' thank ',' love ', "]</v>
      </c>
      <c r="D1177" s="3">
        <v>3.0</v>
      </c>
    </row>
    <row r="1178" ht="15.75" customHeight="1">
      <c r="A1178" s="1">
        <v>1176.0</v>
      </c>
      <c r="B1178" s="3" t="s">
        <v>1179</v>
      </c>
      <c r="C1178" s="3" t="str">
        <f>IFERROR(__xludf.DUMMYFUNCTION("GOOGLETRANSLATE(B1178,""id"",""en"")"),"['application', 'easy', 'cheap', 'price', 'quota', 'quality', 'access',' fast ',' save ',' useful ',' thank ',' love ',' Telkomsel ']")</f>
        <v>['application', 'easy', 'cheap', 'price', 'quota', 'quality', 'access',' fast ',' save ',' useful ',' thank ',' love ',' Telkomsel ']</v>
      </c>
      <c r="D1178" s="3">
        <v>5.0</v>
      </c>
    </row>
    <row r="1179" ht="15.75" customHeight="1">
      <c r="A1179" s="1">
        <v>1177.0</v>
      </c>
      <c r="B1179" s="3" t="s">
        <v>1180</v>
      </c>
      <c r="C1179" s="3" t="str">
        <f>IFERROR(__xludf.DUMMYFUNCTION("GOOGLETRANSLATE(B1179,""id"",""en"")"),"['price', 'package', 'expensive', 'quality', 'disappointing', 'night', 'ngellag', 'access', 'interprett', 'call', 'connected', 'no' His voice ',' person ',' moved ',' operator ',' Gini ',' employee ',' salary ',' work ',' Becus', 'System', 'NOT', 'Fix', '"&amp;"Relax' , 'work']")</f>
        <v>['price', 'package', 'expensive', 'quality', 'disappointing', 'night', 'ngellag', 'access', 'interprett', 'call', 'connected', 'no' His voice ',' person ',' moved ',' operator ',' Gini ',' employee ',' salary ',' work ',' Becus', 'System', 'NOT', 'Fix', 'Relax' , 'work']</v>
      </c>
      <c r="D1179" s="3">
        <v>1.0</v>
      </c>
    </row>
    <row r="1180" ht="15.75" customHeight="1">
      <c r="A1180" s="1">
        <v>1178.0</v>
      </c>
      <c r="B1180" s="3" t="s">
        <v>1181</v>
      </c>
      <c r="C1180" s="3" t="str">
        <f>IFERROR(__xludf.DUMMYFUNCTION("GOOGLETRANSLATE(B1180,""id"",""en"")"),"['Bad', 'really', 'oath', 'boro', 'boro', 'achieved', 'difficult', 'rich', 'iiii', 'sometimes',' sometimes', 'stool', ' average ',' tower ',' tower ',' rates', 'network', 'ngab', 'emotions',' network ',' already ',' mah ',' expensive ',' network ',' accor"&amp;"ding to ' , 'Rates', '']")</f>
        <v>['Bad', 'really', 'oath', 'boro', 'boro', 'achieved', 'difficult', 'rich', 'iiii', 'sometimes',' sometimes', 'stool', ' average ',' tower ',' tower ',' rates', 'network', 'ngab', 'emotions',' network ',' already ',' mah ',' expensive ',' network ',' according to ' , 'Rates', '']</v>
      </c>
      <c r="D1180" s="3">
        <v>1.0</v>
      </c>
    </row>
    <row r="1181" ht="15.75" customHeight="1">
      <c r="A1181" s="1">
        <v>1179.0</v>
      </c>
      <c r="B1181" s="3" t="s">
        <v>1182</v>
      </c>
      <c r="C1181" s="3" t="str">
        <f>IFERROR(__xludf.DUMMYFUNCTION("GOOGLETRANSLATE(B1181,""id"",""en"")"),"['Please', 'Launched', 'Application', 'Telkomsel', 'Package', 'Fox', 'Package', 'Corporate', 'Sometimes',' Embossed ',' Sinking ',' Package ',' application ',' complete ',' application ',' missing ',' please ',' consideration ',' Telkomsel ',' thank ',' l"&amp;"ove ',' help ',' walk ',' taught ',' online ' , 'Teacher', 'Indonesia', 'expect', 'Telkomsel', 'Greetings', 'Teacher', 'Fighting', 'Papua', ""]")</f>
        <v>['Please', 'Launched', 'Application', 'Telkomsel', 'Package', 'Fox', 'Package', 'Corporate', 'Sometimes',' Embossed ',' Sinking ',' Package ',' application ',' complete ',' application ',' missing ',' please ',' consideration ',' Telkomsel ',' thank ',' love ',' help ',' walk ',' taught ',' online ' , 'Teacher', 'Indonesia', 'expect', 'Telkomsel', 'Greetings', 'Teacher', 'Fighting', 'Papua', "]</v>
      </c>
      <c r="D1181" s="3">
        <v>5.0</v>
      </c>
    </row>
    <row r="1182" ht="15.75" customHeight="1">
      <c r="A1182" s="1">
        <v>1180.0</v>
      </c>
      <c r="B1182" s="3" t="s">
        <v>1183</v>
      </c>
      <c r="C1182" s="3" t="str">
        <f>IFERROR(__xludf.DUMMYFUNCTION("GOOGLETRANSLATE(B1182,""id"",""en"")"),"['Provider', 'pork', 'damn', 'fraud', 'sucked', 'pulse', 'klen', 'anjenk', 'udh', 'slow', 'behavior', 'Disney', ' Hotstar ',' a month ',' TPI ',' sucked ',' quota ',' main ',' pig ',' klen ',' take ',' package ',' Disney ',' a month ',' mah ' , 'hope', 'g"&amp;"o bankrupt', 'company', 'klian', 'provider', 'worst', 'worst', 'damn', 'devil']")</f>
        <v>['Provider', 'pork', 'damn', 'fraud', 'sucked', 'pulse', 'klen', 'anjenk', 'udh', 'slow', 'behavior', 'Disney', ' Hotstar ',' a month ',' TPI ',' sucked ',' quota ',' main ',' pig ',' klen ',' take ',' package ',' Disney ',' a month ',' mah ' , 'hope', 'go bankrupt', 'company', 'klian', 'provider', 'worst', 'worst', 'damn', 'devil']</v>
      </c>
      <c r="D1182" s="3">
        <v>1.0</v>
      </c>
    </row>
    <row r="1183" ht="15.75" customHeight="1">
      <c r="A1183" s="1">
        <v>1181.0</v>
      </c>
      <c r="B1183" s="3" t="s">
        <v>1184</v>
      </c>
      <c r="C1183" s="3" t="str">
        <f>IFERROR(__xludf.DUMMYFUNCTION("GOOGLETRANSLATE(B1183,""id"",""en"")"),"['application', 'Telkomsel', 'heavy', 'really', 'difficult', 'login', 'the application', 'good', 'buy', 'package', 'expensive', 'NOT' Here ',' Good ',' Bad ',' ']")</f>
        <v>['application', 'Telkomsel', 'heavy', 'really', 'difficult', 'login', 'the application', 'good', 'buy', 'package', 'expensive', 'NOT' Here ',' Good ',' Bad ',' ']</v>
      </c>
      <c r="D1183" s="3">
        <v>1.0</v>
      </c>
    </row>
    <row r="1184" ht="15.75" customHeight="1">
      <c r="A1184" s="1">
        <v>1182.0</v>
      </c>
      <c r="B1184" s="3" t="s">
        <v>1185</v>
      </c>
      <c r="C1184" s="3" t="str">
        <f>IFERROR(__xludf.DUMMYFUNCTION("GOOGLETRANSLATE(B1184,""id"",""en"")"),"['Bad', 'data', 'pulse', 'sumps', 'disappointing', 'Please', 'repaired', 'love', 'star', 'Thanks', ""]")</f>
        <v>['Bad', 'data', 'pulse', 'sumps', 'disappointing', 'Please', 'repaired', 'love', 'star', 'Thanks', "]</v>
      </c>
      <c r="D1184" s="3">
        <v>1.0</v>
      </c>
    </row>
    <row r="1185" ht="15.75" customHeight="1">
      <c r="A1185" s="1">
        <v>1183.0</v>
      </c>
      <c r="B1185" s="3" t="s">
        <v>1186</v>
      </c>
      <c r="C1185" s="3" t="str">
        <f>IFERROR(__xludf.DUMMYFUNCTION("GOOGLETRANSLATE(B1185,""id"",""en"")"),"['Satisfied', 'Network', 'Difficult', 'Ngegem', 'Like', 'Lag', 'Paketan', 'Expensive', 'Sultan', 'Really', 'Kek', 'Card', ' Convenience ',' the wearer ',' contents', 'pulses',' like ',' reduced ',' basically ',' satisfied ']")</f>
        <v>['Satisfied', 'Network', 'Difficult', 'Ngegem', 'Like', 'Lag', 'Paketan', 'Expensive', 'Sultan', 'Really', 'Kek', 'Card', ' Convenience ',' the wearer ',' contents', 'pulses',' like ',' reduced ',' basically ',' satisfied ']</v>
      </c>
      <c r="D1185" s="3">
        <v>1.0</v>
      </c>
    </row>
    <row r="1186" ht="15.75" customHeight="1">
      <c r="A1186" s="1">
        <v>1184.0</v>
      </c>
      <c r="B1186" s="3" t="s">
        <v>1187</v>
      </c>
      <c r="C1186" s="3" t="str">
        <f>IFERROR(__xludf.DUMMYFUNCTION("GOOGLETRANSLATE(B1186,""id"",""en"")"),"['card', 'next door', 'use', 'promo', 'GB', 'division', 'taik', 'tempted', 'card', 'Telkomsel', 'promo', 'magic', ' GB ',' division ',' lost ',' tempted ',' buy ',' Wait ',' sampek ',' extend ',' active ', ""]")</f>
        <v>['card', 'next door', 'use', 'promo', 'GB', 'division', 'taik', 'tempted', 'card', 'Telkomsel', 'promo', 'magic', ' GB ',' division ',' lost ',' tempted ',' buy ',' Wait ',' sampek ',' extend ',' active ', "]</v>
      </c>
      <c r="D1186" s="3">
        <v>5.0</v>
      </c>
    </row>
    <row r="1187" ht="15.75" customHeight="1">
      <c r="A1187" s="1">
        <v>1185.0</v>
      </c>
      <c r="B1187" s="3" t="s">
        <v>1188</v>
      </c>
      <c r="C1187" s="3" t="str">
        <f>IFERROR(__xludf.DUMMYFUNCTION("GOOGLETRANSLATE(B1187,""id"",""en"")"),"['Application', 'Telkomsel', 'makes it easier', 'overcome', 'need', 'application', 'easy', 'undeniary', 'user', 'group', 'child', 'child', ' parent']")</f>
        <v>['Application', 'Telkomsel', 'makes it easier', 'overcome', 'need', 'application', 'easy', 'undeniary', 'user', 'group', 'child', 'child', ' parent']</v>
      </c>
      <c r="D1187" s="3">
        <v>1.0</v>
      </c>
    </row>
    <row r="1188" ht="15.75" customHeight="1">
      <c r="A1188" s="1">
        <v>1186.0</v>
      </c>
      <c r="B1188" s="3" t="s">
        <v>1189</v>
      </c>
      <c r="C1188" s="3" t="str">
        <f>IFERROR(__xludf.DUMMYFUNCTION("GOOGLETRANSLATE(B1188,""id"",""en"")"),"['Over', 'use', 'Telkomsel', 'Prlayanan', 'Telkomsel', 'chaotic', 'yesterday', 'buy', 'package', 'lap', 'YouTube', 'pakek', ' Buy ',' Credit ',' RB ',' Cut ',' RB ',' Bill ',' Buy ',' RB ',' Daapa ',' In ',' already ',' Abis', 'then' , 'maxda', 'disappoin"&amp;"ted', 'customer', 'take', 'right', 'person', 'please', 'repaired', 'lelayanana', 'complaint', 'difficult', ' Ribet ',' Telkomsel ']")</f>
        <v>['Over', 'use', 'Telkomsel', 'Prlayanan', 'Telkomsel', 'chaotic', 'yesterday', 'buy', 'package', 'lap', 'YouTube', 'pakek', ' Buy ',' Credit ',' RB ',' Cut ',' RB ',' Bill ',' Buy ',' RB ',' Daapa ',' In ',' already ',' Abis', 'then' , 'maxda', 'disappointed', 'customer', 'take', 'right', 'person', 'please', 'repaired', 'lelayanana', 'complaint', 'difficult', ' Ribet ',' Telkomsel ']</v>
      </c>
      <c r="D1188" s="3">
        <v>1.0</v>
      </c>
    </row>
    <row r="1189" ht="15.75" customHeight="1">
      <c r="A1189" s="1">
        <v>1187.0</v>
      </c>
      <c r="B1189" s="3" t="s">
        <v>1190</v>
      </c>
      <c r="C1189" s="3" t="str">
        <f>IFERROR(__xludf.DUMMYFUNCTION("GOOGLETRANSLATE(B1189,""id"",""en"")"),"['Help', 'Contact', 'expensive', 'Doang', 'Quality', 'Weve', 'Benerin', 'Signal', 'Benerin', 'Hub', 'Direct', 'Do', ' Tepattered ',' tele ']")</f>
        <v>['Help', 'Contact', 'expensive', 'Doang', 'Quality', 'Weve', 'Benerin', 'Signal', 'Benerin', 'Hub', 'Direct', 'Do', ' Tepattered ',' tele ']</v>
      </c>
      <c r="D1189" s="3">
        <v>1.0</v>
      </c>
    </row>
    <row r="1190" ht="15.75" customHeight="1">
      <c r="A1190" s="1">
        <v>1188.0</v>
      </c>
      <c r="B1190" s="3" t="s">
        <v>1191</v>
      </c>
      <c r="C1190" s="3" t="str">
        <f>IFERROR(__xludf.DUMMYFUNCTION("GOOGLETRANSLATE(B1190,""id"",""en"")"),"['Telkomsel', 'quality', 'network', 'low', 'application', 'difficult', 'open', 'package', 'data', 'available', 'application', 'menu', ' Different ',' Really ',' Disappointed ',' ']")</f>
        <v>['Telkomsel', 'quality', 'network', 'low', 'application', 'difficult', 'open', 'package', 'data', 'available', 'application', 'menu', ' Different ',' Really ',' Disappointed ',' ']</v>
      </c>
      <c r="D1190" s="3">
        <v>1.0</v>
      </c>
    </row>
    <row r="1191" ht="15.75" customHeight="1">
      <c r="A1191" s="1">
        <v>1189.0</v>
      </c>
      <c r="B1191" s="3" t="s">
        <v>1192</v>
      </c>
      <c r="C1191" s="3" t="str">
        <f>IFERROR(__xludf.DUMMYFUNCTION("GOOGLETRANSLATE(B1191,""id"",""en"")"),"['contents',' balance ',' status', 'buy', 'quota', 'internet', 'at all', 'transaction', 'notification', 'sms',' success', 'strange', ' package ',' cheap ',' transaction ',' expensive ',' imagine ',' filled ',' pulse ',' big ',' abis', 'neg', 'telkomsel', "&amp;"'parahhhhhhh', '']")</f>
        <v>['contents',' balance ',' status', 'buy', 'quota', 'internet', 'at all', 'transaction', 'notification', 'sms',' success', 'strange', ' package ',' cheap ',' transaction ',' expensive ',' imagine ',' filled ',' pulse ',' big ',' abis', 'neg', 'telkomsel', 'parahhhhhhh', '']</v>
      </c>
      <c r="D1191" s="3">
        <v>1.0</v>
      </c>
    </row>
    <row r="1192" ht="15.75" customHeight="1">
      <c r="A1192" s="1">
        <v>1190.0</v>
      </c>
      <c r="B1192" s="3" t="s">
        <v>1193</v>
      </c>
      <c r="C1192" s="3" t="str">
        <f>IFERROR(__xludf.DUMMYFUNCTION("GOOGLETRANSLATE(B1192,""id"",""en"")"),"['signal', 'Telkomsel', 'ilang', 'play', 'see', 'tick', 'tok', 'see', 'youtube', 'open', 'play', 'Store', ' Surfing ',' Internet ',' Disconnect ',' Disconnect ',' Telkomsel ',' Permah ',' Pertima ',' loyal ',' Telkomsel ',' sympathy ']")</f>
        <v>['signal', 'Telkomsel', 'ilang', 'play', 'see', 'tick', 'tok', 'see', 'youtube', 'open', 'play', 'Store', ' Surfing ',' Internet ',' Disconnect ',' Disconnect ',' Telkomsel ',' Permah ',' Pertima ',' loyal ',' Telkomsel ',' sympathy ']</v>
      </c>
      <c r="D1192" s="3">
        <v>1.0</v>
      </c>
    </row>
    <row r="1193" ht="15.75" customHeight="1">
      <c r="A1193" s="1">
        <v>1191.0</v>
      </c>
      <c r="B1193" s="3" t="s">
        <v>1194</v>
      </c>
      <c r="C1193" s="3" t="str">
        <f>IFERROR(__xludf.DUMMYFUNCTION("GOOGLETRANSLATE(B1193,""id"",""en"")"),"['Telkomsel', 'severe', 'signal', 'down', 'signal', 'clock', 'signal', 'problematic', 'already', 'price', 'quotes',' expensive ',' Quality ',' Benerin ',' Pioner ',' Legitimate ',' Muluk ',' Stabilin ',' DLU ',' Network ', ""]")</f>
        <v>['Telkomsel', 'severe', 'signal', 'down', 'signal', 'clock', 'signal', 'problematic', 'already', 'price', 'quotes',' expensive ',' Quality ',' Benerin ',' Pioner ',' Legitimate ',' Muluk ',' Stabilin ',' DLU ',' Network ', "]</v>
      </c>
      <c r="D1193" s="3">
        <v>1.0</v>
      </c>
    </row>
    <row r="1194" ht="15.75" customHeight="1">
      <c r="A1194" s="1">
        <v>1192.0</v>
      </c>
      <c r="B1194" s="3" t="s">
        <v>1195</v>
      </c>
      <c r="C1194" s="3" t="str">
        <f>IFERROR(__xludf.DUMMYFUNCTION("GOOGLETRANSLATE(B1194,""id"",""en"")"),"['Gara', 'Gara', 'APK', 'Update', 'Scolded', 'Buy', 'Disney', 'Hostar', 'Paid', 'APK', 'Update', 'Scolded', ' Are ',' You ',' Happy ',' Developer ',' Telkomsel ', ""]")</f>
        <v>['Gara', 'Gara', 'APK', 'Update', 'Scolded', 'Buy', 'Disney', 'Hostar', 'Paid', 'APK', 'Update', 'Scolded', ' Are ',' You ',' Happy ',' Developer ',' Telkomsel ', "]</v>
      </c>
      <c r="D1194" s="3">
        <v>1.0</v>
      </c>
    </row>
    <row r="1195" ht="15.75" customHeight="1">
      <c r="A1195" s="1">
        <v>1193.0</v>
      </c>
      <c r="B1195" s="3" t="s">
        <v>1196</v>
      </c>
      <c r="C1195" s="3" t="str">
        <f>IFERROR(__xludf.DUMMYFUNCTION("GOOGLETRANSLATE(B1195,""id"",""en"")"),"['Try', 'MyTelkomsel', 'Check', 'Quota', 'Easy', 'Easy', 'Blm', 'Please', 'Download', 'Application', 'Like', 'Disappointed', ' ']")</f>
        <v>['Try', 'MyTelkomsel', 'Check', 'Quota', 'Easy', 'Easy', 'Blm', 'Please', 'Download', 'Application', 'Like', 'Disappointed', ' ']</v>
      </c>
      <c r="D1195" s="3">
        <v>5.0</v>
      </c>
    </row>
    <row r="1196" ht="15.75" customHeight="1">
      <c r="A1196" s="1">
        <v>1194.0</v>
      </c>
      <c r="B1196" s="3" t="s">
        <v>1197</v>
      </c>
      <c r="C1196" s="3" t="str">
        <f>IFERROR(__xludf.DUMMYFUNCTION("GOOGLETRANSLATE(B1196,""id"",""en"")"),"['Reduction', 'quota', 'customize', 'use', 'application', 'run', 'quota', 'main', 'sucked', 'use', 'division', 'quota', ' Price ',' populist ',' Telkomsel ',' Provider ',' biggest ',' petrified ',' ']")</f>
        <v>['Reduction', 'quota', 'customize', 'use', 'application', 'run', 'quota', 'main', 'sucked', 'use', 'division', 'quota', ' Price ',' populist ',' Telkomsel ',' Provider ',' biggest ',' petrified ',' ']</v>
      </c>
      <c r="D1196" s="3">
        <v>1.0</v>
      </c>
    </row>
    <row r="1197" ht="15.75" customHeight="1">
      <c r="A1197" s="1">
        <v>1195.0</v>
      </c>
      <c r="B1197" s="3" t="s">
        <v>1198</v>
      </c>
      <c r="C1197" s="3" t="str">
        <f>IFERROR(__xludf.DUMMYFUNCTION("GOOGLETRANSLATE(B1197,""id"",""en"")"),"['Price', 'Products', 'Telkomsel', 'Network', 'Troubled', 'PJJ', 'PPKM', 'Troubled', 'Performance', 'Support', 'Please', 'Explanation']")</f>
        <v>['Price', 'Products', 'Telkomsel', 'Network', 'Troubled', 'PJJ', 'PPKM', 'Troubled', 'Performance', 'Support', 'Please', 'Explanation']</v>
      </c>
      <c r="D1197" s="3">
        <v>3.0</v>
      </c>
    </row>
    <row r="1198" ht="15.75" customHeight="1">
      <c r="A1198" s="1">
        <v>1196.0</v>
      </c>
      <c r="B1198" s="3" t="s">
        <v>1199</v>
      </c>
      <c r="C1198" s="3" t="str">
        <f>IFERROR(__xludf.DUMMYFUNCTION("GOOGLETRANSLATE(B1198,""id"",""en"")"),"['', 'Telkomsel', 'wanted', 'boss',' created ',' scavenger ',' garbage ',' dirt ',' dirt ',' mulung ',' apk ',' apk ',' playstore ',' Apps', 'Masi', 'scavenger', 'boss',' scavenger ',' catch ',' police ',' sukurin ',' worn ',' created ',' Telkomsel ',' ch"&amp;"eck ', 'Customer', 'try', 'click', 'boss', 'scavenger', 'leftover', 'pulse', 'lost', 'mulung', ""]")</f>
        <v>['', 'Telkomsel', 'wanted', 'boss',' created ',' scavenger ',' garbage ',' dirt ',' dirt ',' mulung ',' apk ',' apk ',' playstore ',' Apps', 'Masi', 'scavenger', 'boss',' scavenger ',' catch ',' police ',' sukurin ',' worn ',' created ',' Telkomsel ',' check ', 'Customer', 'try', 'click', 'boss', 'scavenger', 'leftover', 'pulse', 'lost', 'mulung', "]</v>
      </c>
      <c r="D1198" s="3">
        <v>5.0</v>
      </c>
    </row>
    <row r="1199" ht="15.75" customHeight="1">
      <c r="A1199" s="1">
        <v>1197.0</v>
      </c>
      <c r="B1199" s="3" t="s">
        <v>1200</v>
      </c>
      <c r="C1199" s="3" t="str">
        <f>IFERROR(__xludf.DUMMYFUNCTION("GOOGLETRANSLATE(B1199,""id"",""en"")"),"['Telkomsel', 'Uda', 'use', 'Borosss',' expensive ',' kayak ',' signal ',' smooth ',' Uda ',' Loading ',' smooth ',' urban ',' Disturbed ',' slow ',' signal ',' Hadeeuuhhhh ',' Bangat ',' quality ',' event ',' mas', 'divided']")</f>
        <v>['Telkomsel', 'Uda', 'use', 'Borosss',' expensive ',' kayak ',' signal ',' smooth ',' Uda ',' Loading ',' smooth ',' urban ',' Disturbed ',' slow ',' signal ',' Hadeeuuhhhh ',' Bangat ',' quality ',' event ',' mas', 'divided']</v>
      </c>
      <c r="D1199" s="3">
        <v>1.0</v>
      </c>
    </row>
    <row r="1200" ht="15.75" customHeight="1">
      <c r="A1200" s="1">
        <v>1198.0</v>
      </c>
      <c r="B1200" s="3" t="s">
        <v>1201</v>
      </c>
      <c r="C1200" s="3" t="str">
        <f>IFERROR(__xludf.DUMMYFUNCTION("GOOGLETRANSLATE(B1200,""id"",""en"")"),"['customers',' Telkomsel ',' disappointed ',' price ',' sell ',' pulse ',' package ',' internet ',' network ',' expensive ',' manager ',' Telkomsel ',' Pro ',' Customer ',' Dlm ',' Mutition ',' Price ',' Cheap ',' Offered ',' Provider ',' Cheap ',' Please"&amp;" ',' Note ',' Msyarakat ',' Skrng ' , 'SERBA', 'Internet', 'please', 'Masarakat', 'Indonesia', ""]")</f>
        <v>['customers',' Telkomsel ',' disappointed ',' price ',' sell ',' pulse ',' package ',' internet ',' network ',' expensive ',' manager ',' Telkomsel ',' Pro ',' Customer ',' Dlm ',' Mutition ',' Price ',' Cheap ',' Offered ',' Provider ',' Cheap ',' Please ',' Note ',' Msyarakat ',' Skrng ' , 'SERBA', 'Internet', 'please', 'Masarakat', 'Indonesia', "]</v>
      </c>
      <c r="D1200" s="3">
        <v>2.0</v>
      </c>
    </row>
    <row r="1201" ht="15.75" customHeight="1">
      <c r="A1201" s="1">
        <v>1199.0</v>
      </c>
      <c r="B1201" s="3" t="s">
        <v>1202</v>
      </c>
      <c r="C1201" s="3" t="str">
        <f>IFERROR(__xludf.DUMMYFUNCTION("GOOGLETRANSLATE(B1201,""id"",""en"")"),"['', 'Ngerti', 'Telkomsel', 'Seketanggial', 'Network', 'Severe', 'Really', 'ilang', 'Network', 'Already', 'Moved', 'Manual', 'Automatic ',' ']")</f>
        <v>['', 'Ngerti', 'Telkomsel', 'Seketanggial', 'Network', 'Severe', 'Really', 'ilang', 'Network', 'Already', 'Moved', 'Manual', 'Automatic ',' ']</v>
      </c>
      <c r="D1201" s="3">
        <v>1.0</v>
      </c>
    </row>
    <row r="1202" ht="15.75" customHeight="1">
      <c r="A1202" s="1">
        <v>1200.0</v>
      </c>
      <c r="B1202" s="3" t="s">
        <v>1203</v>
      </c>
      <c r="C1202" s="3" t="str">
        <f>IFERROR(__xludf.DUMMYFUNCTION("GOOGLETRANSLATE(B1202,""id"",""en"")"),"['here', 'service', 'decreases',' signal ',' ugly ',' really ',' full ',' use ',' hello ',' please ',' repaired ',' strength ',' The network is', '']")</f>
        <v>['here', 'service', 'decreases',' signal ',' ugly ',' really ',' full ',' use ',' hello ',' please ',' repaired ',' strength ',' The network is', '']</v>
      </c>
      <c r="D1202" s="3">
        <v>1.0</v>
      </c>
    </row>
    <row r="1203" ht="15.75" customHeight="1">
      <c r="A1203" s="1">
        <v>1201.0</v>
      </c>
      <c r="B1203" s="3" t="s">
        <v>1204</v>
      </c>
      <c r="C1203" s="3" t="str">
        <f>IFERROR(__xludf.DUMMYFUNCTION("GOOGLETRANSLATE(B1203,""id"",""en"")"),"['comment', 'response', 'until', 'spam', 'Litu', 'Hello', 'Telkomsel', 'Fear', 'Ketahua', 'Fraudster', 'NjiiiiiIngg', 'You']")</f>
        <v>['comment', 'response', 'until', 'spam', 'Litu', 'Hello', 'Telkomsel', 'Fear', 'Ketahua', 'Fraudster', 'NjiiiiiIngg', 'You']</v>
      </c>
      <c r="D1203" s="3">
        <v>1.0</v>
      </c>
    </row>
    <row r="1204" ht="15.75" customHeight="1">
      <c r="A1204" s="1">
        <v>1202.0</v>
      </c>
      <c r="B1204" s="3" t="s">
        <v>1205</v>
      </c>
      <c r="C1204" s="3" t="str">
        <f>IFERROR(__xludf.DUMMYFUNCTION("GOOGLETRANSLATE(B1204,""id"",""en"")"),"['Congratulations',' stay ',' card ',' cell ',' card ',' times', 'buy', 'pulse', 'buy', 'package', 'price', 'package', ' odd ',' automatic ',' buy ',' pulse ',' package ',' run out ',' leftover ',' pulses', 'follow', 'tack', 'cell', 'fix', 'disappointed' "&amp;", 'because', 'difficult', 'search', 'money', '']")</f>
        <v>['Congratulations',' stay ',' card ',' cell ',' card ',' times', 'buy', 'pulse', 'buy', 'package', 'price', 'package', ' odd ',' automatic ',' buy ',' pulse ',' package ',' run out ',' leftover ',' pulses', 'follow', 'tack', 'cell', 'fix', 'disappointed' , 'because', 'difficult', 'search', 'money', '']</v>
      </c>
      <c r="D1204" s="3">
        <v>1.0</v>
      </c>
    </row>
    <row r="1205" ht="15.75" customHeight="1">
      <c r="A1205" s="1">
        <v>1203.0</v>
      </c>
      <c r="B1205" s="3" t="s">
        <v>1206</v>
      </c>
      <c r="C1205" s="3" t="str">
        <f>IFERROR(__xludf.DUMMYFUNCTION("GOOGLETRANSLATE(B1205,""id"",""en"")"),"['Please', 'Telkomsel', 'Register', 'Package', 'Please', 'Nominal', 'Customized', 'Mending', 'Reduce', 'Price', 'Plusin', 'Coz', ' Non, 'list', 'package', 'price', 'then', 'fill in', 'pulses', 'what', 'fill', 'pulses', ""]")</f>
        <v>['Please', 'Telkomsel', 'Register', 'Package', 'Please', 'Nominal', 'Customized', 'Mending', 'Reduce', 'Price', 'Plusin', 'Coz', ' Non, 'list', 'package', 'price', 'then', 'fill in', 'pulses', 'what', 'fill', 'pulses', "]</v>
      </c>
      <c r="D1205" s="3">
        <v>2.0</v>
      </c>
    </row>
    <row r="1206" ht="15.75" customHeight="1">
      <c r="A1206" s="1">
        <v>1204.0</v>
      </c>
      <c r="B1206" s="3" t="s">
        <v>1207</v>
      </c>
      <c r="C1206" s="3" t="str">
        <f>IFERROR(__xludf.DUMMYFUNCTION("GOOGLETRANSLATE(B1206,""id"",""en"")"),"['Visit', 'area', 'mountains',' signal ',' manteng ',' darling ',' area ',' mountains', 'connects',' signal ',' internet ',' hope ',' Increase ',' forward ',' Telkomsel ']")</f>
        <v>['Visit', 'area', 'mountains',' signal ',' manteng ',' darling ',' area ',' mountains', 'connects',' signal ',' internet ',' hope ',' Increase ',' forward ',' Telkomsel ']</v>
      </c>
      <c r="D1206" s="3">
        <v>5.0</v>
      </c>
    </row>
    <row r="1207" ht="15.75" customHeight="1">
      <c r="A1207" s="1">
        <v>1205.0</v>
      </c>
      <c r="B1207" s="3" t="s">
        <v>1208</v>
      </c>
      <c r="C1207" s="3" t="str">
        <f>IFERROR(__xludf.DUMMYFUNCTION("GOOGLETRANSLATE(B1207,""id"",""en"")"),"['Severe', 'nets',' Anjim ',' price ',' expensive ',' offer ',' rare ',' already ',' ndk ',' bgus', 'already', 'statement', ' Email ',' Telkomsel ',' Tweeter ',' etc. ',' NDK ',' Response ',' Bangke ',' emng ',' loss', 'buy', 'package', 'bln', 'boro' , 'I"&amp;"nternet', 'application', 'bother', 'user', 'essence', 'Jringn', 'Worst', 'Jringn', 'Telkomsel', ""]")</f>
        <v>['Severe', 'nets',' Anjim ',' price ',' expensive ',' offer ',' rare ',' already ',' ndk ',' bgus', 'already', 'statement', ' Email ',' Telkomsel ',' Tweeter ',' etc. ',' NDK ',' Response ',' Bangke ',' emng ',' loss', 'buy', 'package', 'bln', 'boro' , 'Internet', 'application', 'bother', 'user', 'essence', 'Jringn', 'Worst', 'Jringn', 'Telkomsel', "]</v>
      </c>
      <c r="D1207" s="3">
        <v>1.0</v>
      </c>
    </row>
    <row r="1208" ht="15.75" customHeight="1">
      <c r="A1208" s="1">
        <v>1206.0</v>
      </c>
      <c r="B1208" s="3" t="s">
        <v>1209</v>
      </c>
      <c r="C1208" s="3" t="str">
        <f>IFERROR(__xludf.DUMMYFUNCTION("GOOGLETRANSLATE(B1208,""id"",""en"")"),"['quota', 'unlimited', 'limit', 'emang', 'unlimited', 'limit', 'as much as',' please ',' Telkomsel ',' return ',' quota ',' unlimited ',' already ',' expensive ',' expensive ',' getting ',' limit ',' krek ',' ']")</f>
        <v>['quota', 'unlimited', 'limit', 'emang', 'unlimited', 'limit', 'as much as',' please ',' Telkomsel ',' return ',' quota ',' unlimited ',' already ',' expensive ',' expensive ',' getting ',' limit ',' krek ',' ']</v>
      </c>
      <c r="D1208" s="3">
        <v>1.0</v>
      </c>
    </row>
    <row r="1209" ht="15.75" customHeight="1">
      <c r="A1209" s="1">
        <v>1207.0</v>
      </c>
      <c r="B1209" s="3" t="s">
        <v>1210</v>
      </c>
      <c r="C1209" s="3" t="str">
        <f>IFERROR(__xludf.DUMMYFUNCTION("GOOGLETRANSLATE(B1209,""id"",""en"")"),"['tariff', 'package', 'change', 'expensive', 'journey', 'Jayapura', 'price', 'tariff', 'change', 'expensive', 'Mataram', 'Lombok', ' expensive price']")</f>
        <v>['tariff', 'package', 'change', 'expensive', 'journey', 'Jayapura', 'price', 'tariff', 'change', 'expensive', 'Mataram', 'Lombok', ' expensive price']</v>
      </c>
      <c r="D1209" s="3">
        <v>5.0</v>
      </c>
    </row>
    <row r="1210" ht="15.75" customHeight="1">
      <c r="A1210" s="1">
        <v>1208.0</v>
      </c>
      <c r="B1210" s="3" t="s">
        <v>1211</v>
      </c>
      <c r="C1210" s="3" t="str">
        <f>IFERROR(__xludf.DUMMYFUNCTION("GOOGLETRANSLATE(B1210,""id"",""en"")"),"['times',' contents', 'credit', 'leeat', 'telkomsel', 'pulse', 'entry', 'already', 'awaited', 'clock', 'complain', 'dngn', ' Cust ',' Service ',' Credit ',' Enter ',' Waiting ',' TNPA ',' Clarity ',' What ',' Sngat ',' Disappointing ']")</f>
        <v>['times',' contents', 'credit', 'leeat', 'telkomsel', 'pulse', 'entry', 'already', 'awaited', 'clock', 'complain', 'dngn', ' Cust ',' Service ',' Credit ',' Enter ',' Waiting ',' TNPA ',' Clarity ',' What ',' Sngat ',' Disappointing ']</v>
      </c>
      <c r="D1210" s="3">
        <v>1.0</v>
      </c>
    </row>
    <row r="1211" ht="15.75" customHeight="1">
      <c r="A1211" s="1">
        <v>1209.0</v>
      </c>
      <c r="B1211" s="3" t="s">
        <v>1212</v>
      </c>
      <c r="C1211" s="3" t="str">
        <f>IFERROR(__xludf.DUMMYFUNCTION("GOOGLETRANSLATE(B1211,""id"",""en"")"),"['Star', 'loss',' quota ',' contents', 'reset', 'pulse', 'date', 'August', 'WIB', 'GB', 'internet', 'omg', ' Overnight ',' pulses', 'run out', 'use', 'normal', '']")</f>
        <v>['Star', 'loss',' quota ',' contents', 'reset', 'pulse', 'date', 'August', 'WIB', 'GB', 'internet', 'omg', ' Overnight ',' pulses', 'run out', 'use', 'normal', '']</v>
      </c>
      <c r="D1211" s="3">
        <v>1.0</v>
      </c>
    </row>
    <row r="1212" ht="15.75" customHeight="1">
      <c r="A1212" s="1">
        <v>1210.0</v>
      </c>
      <c r="B1212" s="3" t="s">
        <v>1213</v>
      </c>
      <c r="C1212" s="3" t="str">
        <f>IFERROR(__xludf.DUMMYFUNCTION("GOOGLETRANSLATE(B1212,""id"",""en"")"),"['Please', 'fixed', 'network', 'service', 'Telkomsel', 'telephone', 'sound', 'broke', 'network', 'data', 'super', 'slow', ' ppkm ',' gini ',' all-round ',' slow ',' remote ',' miss', 'information', 'online', 'school', 'meeting', 'selling', 'online', 'coll"&amp;"ege' , 'DSB', 'please', 'Telkomsel', 'fix', 'quality', 'service', 'network', 'need', 'quality', 'quantity', 'BTS', 'expanded', ' Maximized ',' Power ',' Strength ',' Power ',' Pancar ',' BTS ']")</f>
        <v>['Please', 'fixed', 'network', 'service', 'Telkomsel', 'telephone', 'sound', 'broke', 'network', 'data', 'super', 'slow', ' ppkm ',' gini ',' all-round ',' slow ',' remote ',' miss', 'information', 'online', 'school', 'meeting', 'selling', 'online', 'college' , 'DSB', 'please', 'Telkomsel', 'fix', 'quality', 'service', 'network', 'need', 'quality', 'quantity', 'BTS', 'expanded', ' Maximized ',' Power ',' Strength ',' Power ',' Pancar ',' BTS ']</v>
      </c>
      <c r="D1212" s="3">
        <v>4.0</v>
      </c>
    </row>
    <row r="1213" ht="15.75" customHeight="1">
      <c r="A1213" s="1">
        <v>1211.0</v>
      </c>
      <c r="B1213" s="3" t="s">
        <v>1214</v>
      </c>
      <c r="C1213" s="3" t="str">
        <f>IFERROR(__xludf.DUMMYFUNCTION("GOOGLETRANSLATE(B1213,""id"",""en"")"),"['Package', 'Data', 'Telkomsel', 'Expensive', 'Network', 'evenly', 'Region', 'Lampung', 'Lost', 'Provider', 'Axiata', 'Package', ' cheap ',' network ',' remote ',' Lampung ',' users', 'Telkomsel', 'disappointed']")</f>
        <v>['Package', 'Data', 'Telkomsel', 'Expensive', 'Network', 'evenly', 'Region', 'Lampung', 'Lost', 'Provider', 'Axiata', 'Package', ' cheap ',' network ',' remote ',' Lampung ',' users', 'Telkomsel', 'disappointed']</v>
      </c>
      <c r="D1213" s="3">
        <v>1.0</v>
      </c>
    </row>
    <row r="1214" ht="15.75" customHeight="1">
      <c r="A1214" s="1">
        <v>1212.0</v>
      </c>
      <c r="B1214" s="3" t="s">
        <v>1215</v>
      </c>
      <c r="C1214" s="3" t="str">
        <f>IFERROR(__xludf.DUMMYFUNCTION("GOOGLETRANSLATE(B1214,""id"",""en"")"),"['Telkomsel', 'how', 'buy', 'package', 'confirms',' credit ',' say it ',' pulse ',' reduced ',' era ',' difficult ',' tricks', ' Basic ',' robber ',' ']")</f>
        <v>['Telkomsel', 'how', 'buy', 'package', 'confirms',' credit ',' say it ',' pulse ',' reduced ',' era ',' difficult ',' tricks', ' Basic ',' robber ',' ']</v>
      </c>
      <c r="D1214" s="3">
        <v>1.0</v>
      </c>
    </row>
    <row r="1215" ht="15.75" customHeight="1">
      <c r="A1215" s="1">
        <v>1213.0</v>
      </c>
      <c r="B1215" s="3" t="s">
        <v>1216</v>
      </c>
      <c r="C1215" s="3" t="str">
        <f>IFERROR(__xludf.DUMMYFUNCTION("GOOGLETRANSLATE(B1215,""id"",""en"")"),"['Sorry', 'admin', 'Telkomsel', 'version', 'menu', 'contents',' reset ',' pulses', 'appears',' number ',' doang ',' Please ',' Upgrade ',' contents', 'reset', 'pulse', 'Telkomsel', 'thank you']")</f>
        <v>['Sorry', 'admin', 'Telkomsel', 'version', 'menu', 'contents',' reset ',' pulses', 'appears',' number ',' doang ',' Please ',' Upgrade ',' contents', 'reset', 'pulse', 'Telkomsel', 'thank you']</v>
      </c>
      <c r="D1215" s="3">
        <v>2.0</v>
      </c>
    </row>
    <row r="1216" ht="15.75" customHeight="1">
      <c r="A1216" s="1">
        <v>1214.0</v>
      </c>
      <c r="B1216" s="3" t="s">
        <v>1217</v>
      </c>
      <c r="C1216" s="3" t="str">
        <f>IFERROR(__xludf.DUMMYFUNCTION("GOOGLETRANSLATE(B1216,""id"",""en"")"),"['quota', 'run out', 'Open', 'Telkomsel', 'buy', 'quota', 'Telkomsel', 'Haru', 'aid', 'in', 'condition', 'Customer', ' Check ',' buy ',' quota ',' thank you ', ""]")</f>
        <v>['quota', 'run out', 'Open', 'Telkomsel', 'buy', 'quota', 'Telkomsel', 'Haru', 'aid', 'in', 'condition', 'Customer', ' Check ',' buy ',' quota ',' thank you ', "]</v>
      </c>
      <c r="D1216" s="3">
        <v>1.0</v>
      </c>
    </row>
    <row r="1217" ht="15.75" customHeight="1">
      <c r="A1217" s="1">
        <v>1215.0</v>
      </c>
      <c r="B1217" s="3" t="s">
        <v>1218</v>
      </c>
      <c r="C1217" s="3" t="str">
        <f>IFERROR(__xludf.DUMMYFUNCTION("GOOGLETRANSLATE(B1217,""id"",""en"")"),"['', 'APL', 'GTAU', 'NGCEK', 'Credit', 'SMA', 'buy', 'quota', 'turn', 'right', 'LGI', 'Gada', 'Package ',' data ',' internet ',' application ',' connective ',' wifi ',' buy ',' package ',' data ',' laaaah ',' discount ',' column ',' contents', 'comment', "&amp;"'knapa', 'wrap', 'text', 'devloper', 'psti', 'straight', 'ajh', 'right', 'please', 'functional', 'application', 'rapihin ',' Cakep ',' Doang ',' ']")</f>
        <v>['', 'APL', 'GTAU', 'NGCEK', 'Credit', 'SMA', 'buy', 'quota', 'turn', 'right', 'LGI', 'Gada', 'Package ',' data ',' internet ',' application ',' connective ',' wifi ',' buy ',' package ',' data ',' laaaah ',' discount ',' column ',' contents', 'comment', 'knapa', 'wrap', 'text', 'devloper', 'psti', 'straight', 'ajh', 'right', 'please', 'functional', 'application', 'rapihin ',' Cakep ',' Doang ',' ']</v>
      </c>
      <c r="D1217" s="3">
        <v>1.0</v>
      </c>
    </row>
    <row r="1218" ht="15.75" customHeight="1">
      <c r="A1218" s="1">
        <v>1216.0</v>
      </c>
      <c r="B1218" s="3" t="s">
        <v>1219</v>
      </c>
      <c r="C1218" s="3" t="str">
        <f>IFERROR(__xludf.DUMMYFUNCTION("GOOGLETRANSLATE(B1218,""id"",""en"")"),"['Error', 'Retry', 'Reload', 'Banner', 'Sponsor', 'Lotsin', 'Heavy', 'Loading', 'Huuu', 'Down', ""]")</f>
        <v>['Error', 'Retry', 'Reload', 'Banner', 'Sponsor', 'Lotsin', 'Heavy', 'Loading', 'Huuu', 'Down', "]</v>
      </c>
      <c r="D1218" s="3">
        <v>2.0</v>
      </c>
    </row>
    <row r="1219" ht="15.75" customHeight="1">
      <c r="A1219" s="1">
        <v>1217.0</v>
      </c>
      <c r="B1219" s="3" t="s">
        <v>1220</v>
      </c>
      <c r="C1219" s="3" t="str">
        <f>IFERROR(__xludf.DUMMYFUNCTION("GOOGLETRANSLATE(B1219,""id"",""en"")"),"['Service', 'Jawap', 'Kalok', 'If', 'home', 'Signal', 'Delicious',' Pakek ',' Telcomsel ',' already ',' expensive ',' service ',' menu ',' points', 'exchange', 'love', 'menu', 'kalok', 'exchange', 'ornament', 'that's']")</f>
        <v>['Service', 'Jawap', 'Kalok', 'If', 'home', 'Signal', 'Delicious',' Pakek ',' Telcomsel ',' already ',' expensive ',' service ',' menu ',' points', 'exchange', 'love', 'menu', 'kalok', 'exchange', 'ornament', 'that's']</v>
      </c>
      <c r="D1219" s="3">
        <v>1.0</v>
      </c>
    </row>
    <row r="1220" ht="15.75" customHeight="1">
      <c r="A1220" s="1">
        <v>1218.0</v>
      </c>
      <c r="B1220" s="3" t="s">
        <v>1221</v>
      </c>
      <c r="C1220" s="3" t="str">
        <f>IFERROR(__xludf.DUMMYFUNCTION("GOOGLETRANSLATE(B1220,""id"",""en"")"),"['Boss',' Telkomsel ',' skrg ',' difficult ',' Bener ',' Mao ',' Kesono ',' Ksini ',' Sekrang ',' signal ',' Msih ',' Region ',' Jakarta ',' cave ',' yes', 'kga', 'getting', 'signal', 'tower', 'telkomsel', 'before', 'grace', 'mah', 'udh', 'fill' , 'Packag"&amp;"e', 'yes', 'package', 'internet', 'kaga', 'kepake', 'how', 'bosss', '']")</f>
        <v>['Boss',' Telkomsel ',' skrg ',' difficult ',' Bener ',' Mao ',' Kesono ',' Ksini ',' Sekrang ',' signal ',' Msih ',' Region ',' Jakarta ',' cave ',' yes', 'kga', 'getting', 'signal', 'tower', 'telkomsel', 'before', 'grace', 'mah', 'udh', 'fill' , 'Package', 'yes', 'package', 'internet', 'kaga', 'kepake', 'how', 'bosss', '']</v>
      </c>
      <c r="D1220" s="3">
        <v>1.0</v>
      </c>
    </row>
    <row r="1221" ht="15.75" customHeight="1">
      <c r="A1221" s="1">
        <v>1219.0</v>
      </c>
      <c r="B1221" s="3" t="s">
        <v>1222</v>
      </c>
      <c r="C1221" s="3" t="str">
        <f>IFERROR(__xludf.DUMMYFUNCTION("GOOGLETRANSLATE(B1221,""id"",""en"")"),"['Network', 'Internet', 'Application', 'MyTelkomsel', 'Reload', 'Error', 'Slow', 'Read', 'That's',' Information ',' Card ',' Change ',' Flagship ',' Try ',' Access', 'Internet', 'Application', 'Smooth', 'MyTelkomsel', 'Hopefully', 'Repaired', 'Error', 'Sy"&amp;"stem', ""]")</f>
        <v>['Network', 'Internet', 'Application', 'MyTelkomsel', 'Reload', 'Error', 'Slow', 'Read', 'That's',' Information ',' Card ',' Change ',' Flagship ',' Try ',' Access', 'Internet', 'Application', 'Smooth', 'MyTelkomsel', 'Hopefully', 'Repaired', 'Error', 'System', "]</v>
      </c>
      <c r="D1221" s="3">
        <v>1.0</v>
      </c>
    </row>
    <row r="1222" ht="15.75" customHeight="1">
      <c r="A1222" s="1">
        <v>1220.0</v>
      </c>
      <c r="B1222" s="3" t="s">
        <v>1223</v>
      </c>
      <c r="C1222" s="3" t="str">
        <f>IFERROR(__xludf.DUMMYFUNCTION("GOOGLETRANSLATE(B1222,""id"",""en"")"),"['Telkomsel', 'RUWET', 'Check', 'Quota', 'Login', 'Verification', 'Oath', 'Want', 'Change', 'Provider', 'Gini', 'Signal', ' disruption ',' tower ',' closed ',' hill ',' signal ',' snail ',' the way ',' ']")</f>
        <v>['Telkomsel', 'RUWET', 'Check', 'Quota', 'Login', 'Verification', 'Oath', 'Want', 'Change', 'Provider', 'Gini', 'Signal', ' disruption ',' tower ',' closed ',' hill ',' signal ',' snail ',' the way ',' ']</v>
      </c>
      <c r="D1222" s="3">
        <v>1.0</v>
      </c>
    </row>
    <row r="1223" ht="15.75" customHeight="1">
      <c r="A1223" s="1">
        <v>1221.0</v>
      </c>
      <c r="B1223" s="3" t="s">
        <v>1224</v>
      </c>
      <c r="C1223" s="3" t="str">
        <f>IFERROR(__xludf.DUMMYFUNCTION("GOOGLETRANSLATE(B1223,""id"",""en"")"),"['updated', 'error', 'apk', 'nampilin', 'package', 'anything', 'download', 'file', 'heavy', 'already', 'disaturated', 'download', ' Restart ',' Mode ',' Water ',' Plane ',' Effective ',' Download ',' FAIL ']")</f>
        <v>['updated', 'error', 'apk', 'nampilin', 'package', 'anything', 'download', 'file', 'heavy', 'already', 'disaturated', 'download', ' Restart ',' Mode ',' Water ',' Plane ',' Effective ',' Download ',' FAIL ']</v>
      </c>
      <c r="D1223" s="3">
        <v>1.0</v>
      </c>
    </row>
    <row r="1224" ht="15.75" customHeight="1">
      <c r="A1224" s="1">
        <v>1222.0</v>
      </c>
      <c r="B1224" s="3" t="s">
        <v>1225</v>
      </c>
      <c r="C1224" s="3" t="str">
        <f>IFERROR(__xludf.DUMMYFUNCTION("GOOGLETRANSLATE(B1224,""id"",""en"")"),"['Contents', 'reset', 'pulse', 'pulse', 'enter', 'application', 'Telkomsel', 'open', 'login']")</f>
        <v>['Contents', 'reset', 'pulse', 'pulse', 'enter', 'application', 'Telkomsel', 'open', 'login']</v>
      </c>
      <c r="D1224" s="3">
        <v>1.0</v>
      </c>
    </row>
    <row r="1225" ht="15.75" customHeight="1">
      <c r="A1225" s="1">
        <v>1223.0</v>
      </c>
      <c r="B1225" s="3" t="s">
        <v>1226</v>
      </c>
      <c r="C1225" s="3" t="str">
        <f>IFERROR(__xludf.DUMMYFUNCTION("GOOGLETRANSLATE(B1225,""id"",""en"")"),"['apk', 'until', 'open', 'menu', 'shopping', 'a year', 'loading', 'please', 'lined', 'already', 'many years', ""]")</f>
        <v>['apk', 'until', 'open', 'menu', 'shopping', 'a year', 'loading', 'please', 'lined', 'already', 'many years', "]</v>
      </c>
      <c r="D1225" s="3">
        <v>1.0</v>
      </c>
    </row>
    <row r="1226" ht="15.75" customHeight="1">
      <c r="A1226" s="1">
        <v>1224.0</v>
      </c>
      <c r="B1226" s="3" t="s">
        <v>1227</v>
      </c>
      <c r="C1226" s="3" t="str">
        <f>IFERROR(__xludf.DUMMYFUNCTION("GOOGLETRANSLATE(B1226,""id"",""en"")"),"['check', 'leftover', 'quota', 'pulse', 'buy', 'credit', 'Telkomsel', 'lose', 'app', 'provider', 'pulse', 'app', ' Special ',' provider ',' pulses', ""]")</f>
        <v>['check', 'leftover', 'quota', 'pulse', 'buy', 'credit', 'Telkomsel', 'lose', 'app', 'provider', 'pulse', 'app', ' Special ',' provider ',' pulses', "]</v>
      </c>
      <c r="D1226" s="3">
        <v>3.0</v>
      </c>
    </row>
    <row r="1227" ht="15.75" customHeight="1">
      <c r="A1227" s="1">
        <v>1225.0</v>
      </c>
      <c r="B1227" s="3" t="s">
        <v>1228</v>
      </c>
      <c r="C1227" s="3" t="str">
        <f>IFERROR(__xludf.DUMMYFUNCTION("GOOGLETRANSLATE(B1227,""id"",""en"")"),"['Login', 'Telkomsel', 'Access', 'Since', 'Update', 'Constrained', 'Access', 'GMANA', 'Solution']")</f>
        <v>['Login', 'Telkomsel', 'Access', 'Since', 'Update', 'Constrained', 'Access', 'GMANA', 'Solution']</v>
      </c>
      <c r="D1227" s="3">
        <v>2.0</v>
      </c>
    </row>
    <row r="1228" ht="15.75" customHeight="1">
      <c r="A1228" s="1">
        <v>1226.0</v>
      </c>
      <c r="B1228" s="3" t="s">
        <v>1229</v>
      </c>
      <c r="C1228" s="3" t="str">
        <f>IFERROR(__xludf.DUMMYFUNCTION("GOOGLETRANSLATE(B1228,""id"",""en"")"),"['Class',' Application ',' Check ',' Ricek ',' Telkomsel ',' Application ',' Heavy ',' Eating ',' RAM ',' Eating ',' Quota ',' Smooth ',' Application ',' check ',' Ricek ',' Experts', 'Ngak', 'Make', 'Android', 'Try', 'Deh', 'Bandingin', 'Application', 'S"&amp;"imilar', 'Smooth' , 'Save', 'Data', 'Application', 'Telkomsel', 'Musti', 'wasteful', 'price', 'data', 'lose', 'competitiveness',' promo ',' Gede ',' Make ',' Network ',' Telkomsel ',' ']")</f>
        <v>['Class',' Application ',' Check ',' Ricek ',' Telkomsel ',' Application ',' Heavy ',' Eating ',' RAM ',' Eating ',' Quota ',' Smooth ',' Application ',' check ',' Ricek ',' Experts', 'Ngak', 'Make', 'Android', 'Try', 'Deh', 'Bandingin', 'Application', 'Similar', 'Smooth' , 'Save', 'Data', 'Application', 'Telkomsel', 'Musti', 'wasteful', 'price', 'data', 'lose', 'competitiveness',' promo ',' Gede ',' Make ',' Network ',' Telkomsel ',' ']</v>
      </c>
      <c r="D1228" s="3">
        <v>1.0</v>
      </c>
    </row>
    <row r="1229" ht="15.75" customHeight="1">
      <c r="A1229" s="1">
        <v>1227.0</v>
      </c>
      <c r="B1229" s="3" t="s">
        <v>1230</v>
      </c>
      <c r="C1229" s="3" t="str">
        <f>IFERROR(__xludf.DUMMYFUNCTION("GOOGLETRANSLATE(B1229,""id"",""en"")"),"['Open', 'Install', 'reset', 'Gara', 'update', 'smooth', 'Jaya', 'disappointing', 'auto', 'delete', 'application', '']")</f>
        <v>['Open', 'Install', 'reset', 'Gara', 'update', 'smooth', 'Jaya', 'disappointing', 'auto', 'delete', 'application', '']</v>
      </c>
      <c r="D1229" s="3">
        <v>4.0</v>
      </c>
    </row>
    <row r="1230" ht="15.75" customHeight="1">
      <c r="A1230" s="1">
        <v>1228.0</v>
      </c>
      <c r="B1230" s="3" t="s">
        <v>1231</v>
      </c>
      <c r="C1230" s="3" t="str">
        <f>IFERROR(__xludf.DUMMYFUNCTION("GOOGLETRANSLATE(B1230,""id"",""en"")"),"['Please', 'fix', 'network', 'difficult', 'really', 'play', 'game', 'WhatsApp', 'pending', 'price', 'package', 'expensive', ' Network ',' Benerin ', ""]")</f>
        <v>['Please', 'fix', 'network', 'difficult', 'really', 'play', 'game', 'WhatsApp', 'pending', 'price', 'package', 'expensive', ' Network ',' Benerin ', "]</v>
      </c>
      <c r="D1230" s="3">
        <v>5.0</v>
      </c>
    </row>
    <row r="1231" ht="15.75" customHeight="1">
      <c r="A1231" s="1">
        <v>1229.0</v>
      </c>
      <c r="B1231" s="3" t="s">
        <v>1232</v>
      </c>
      <c r="C1231" s="3" t="str">
        <f>IFERROR(__xludf.DUMMYFUNCTION("GOOGLETRANSLATE(B1231,""id"",""en"")"),"['please', 'Telkomsel', 'Severe', 'signal', 'already', 'quota', 'expensive', 'signal', 'slow', 'then', 'skrg', 'indosat', ' Good ',' shame ',' ']")</f>
        <v>['please', 'Telkomsel', 'Severe', 'signal', 'already', 'quota', 'expensive', 'signal', 'slow', 'then', 'skrg', 'indosat', ' Good ',' shame ',' ']</v>
      </c>
      <c r="D1231" s="3">
        <v>1.0</v>
      </c>
    </row>
    <row r="1232" ht="15.75" customHeight="1">
      <c r="A1232" s="1">
        <v>1230.0</v>
      </c>
      <c r="B1232" s="3" t="s">
        <v>1233</v>
      </c>
      <c r="C1232" s="3" t="str">
        <f>IFERROR(__xludf.DUMMYFUNCTION("GOOGLETRANSLATE(B1232,""id"",""en"")"),"['quota', 'expensive', 'network', 'strange', 'checked', 'pulse', 'disorder', 'package', 'complete', 'please', 'talk', 'sorry', ' delicious', 'say', 'sorry', 'feel', 'complaints',' signal ',' users', 'Telkomsel', 'usually', 'talk', 'sorry', 'increase', 'pe"&amp;"rformance' , 'tasty', 'gini', 'mah', 'tasty', 'delicious', 'given', 'kecita', ""]")</f>
        <v>['quota', 'expensive', 'network', 'strange', 'checked', 'pulse', 'disorder', 'package', 'complete', 'please', 'talk', 'sorry', ' delicious', 'say', 'sorry', 'feel', 'complaints',' signal ',' users', 'Telkomsel', 'usually', 'talk', 'sorry', 'increase', 'performance' , 'tasty', 'gini', 'mah', 'tasty', 'delicious', 'given', 'kecita', "]</v>
      </c>
      <c r="D1232" s="3">
        <v>1.0</v>
      </c>
    </row>
    <row r="1233" ht="15.75" customHeight="1">
      <c r="A1233" s="1">
        <v>1231.0</v>
      </c>
      <c r="B1233" s="3" t="s">
        <v>1234</v>
      </c>
      <c r="C1233" s="3" t="str">
        <f>IFERROR(__xludf.DUMMYFUNCTION("GOOGLETRANSLATE(B1233,""id"",""en"")"),"['Min', 'Sorry', 'Region', 'Lemot', 'Sepe', 'Slow', 'Kasian', 'Child', 'Child', 'Following', 'Online', ' Join ',' Application ',' Meeting ',' Online ',' Google ',' Because ',' Signal ',' Strength ',' Low ',' Please ',' Solution ',' Min ', ""]")</f>
        <v>['Min', 'Sorry', 'Region', 'Lemot', 'Sepe', 'Slow', 'Kasian', 'Child', 'Child', 'Following', 'Online', ' Join ',' Application ',' Meeting ',' Online ',' Google ',' Because ',' Signal ',' Strength ',' Low ',' Please ',' Solution ',' Min ', "]</v>
      </c>
      <c r="D1233" s="3">
        <v>2.0</v>
      </c>
    </row>
    <row r="1234" ht="15.75" customHeight="1">
      <c r="A1234" s="1">
        <v>1232.0</v>
      </c>
      <c r="B1234" s="3" t="s">
        <v>1235</v>
      </c>
      <c r="C1234" s="3" t="str">
        <f>IFERROR(__xludf.DUMMYFUNCTION("GOOGLETRANSLATE(B1234,""id"",""en"")"),"['version', 'application', 'heavy', 'open', 'option', 'closed', 'application', 'continue', '']")</f>
        <v>['version', 'application', 'heavy', 'open', 'option', 'closed', 'application', 'continue', '']</v>
      </c>
      <c r="D1234" s="3">
        <v>5.0</v>
      </c>
    </row>
    <row r="1235" ht="15.75" customHeight="1">
      <c r="A1235" s="1">
        <v>1233.0</v>
      </c>
      <c r="B1235" s="3" t="s">
        <v>1236</v>
      </c>
      <c r="C1235" s="3" t="str">
        <f>IFERROR(__xludf.DUMMYFUNCTION("GOOGLETRANSLATE(B1235,""id"",""en"")"),"['gatau', 'smooth', 'play', 'game', 'online', 'skrg', 'leg', 'really', 'smooth', 'make', 'wifi', 'complicated', ' Please, 'improvements', 'feeling', 'network', 'Telkomsel', '']")</f>
        <v>['gatau', 'smooth', 'play', 'game', 'online', 'skrg', 'leg', 'really', 'smooth', 'make', 'wifi', 'complicated', ' Please, 'improvements', 'feeling', 'network', 'Telkomsel', '']</v>
      </c>
      <c r="D1235" s="3">
        <v>2.0</v>
      </c>
    </row>
    <row r="1236" ht="15.75" customHeight="1">
      <c r="A1236" s="1">
        <v>1234.0</v>
      </c>
      <c r="B1236" s="3" t="s">
        <v>1237</v>
      </c>
      <c r="C1236" s="3" t="str">
        <f>IFERROR(__xludf.DUMMYFUNCTION("GOOGLETRANSLATE(B1236,""id"",""en"")"),"['Buy', 'Package', 'Gamemax', 'Silver', 'Quota', 'Game', 'Login', 'Game', 'Way', 'Network', 'Discard', 'Discard', ' money']")</f>
        <v>['Buy', 'Package', 'Gamemax', 'Silver', 'Quota', 'Game', 'Login', 'Game', 'Way', 'Network', 'Discard', 'Discard', ' money']</v>
      </c>
      <c r="D1236" s="3">
        <v>1.0</v>
      </c>
    </row>
    <row r="1237" ht="15.75" customHeight="1">
      <c r="A1237" s="1">
        <v>1235.0</v>
      </c>
      <c r="B1237" s="3" t="s">
        <v>1238</v>
      </c>
      <c r="C1237" s="3" t="str">
        <f>IFERROR(__xludf.DUMMYFUNCTION("GOOGLETRANSLATE(B1237,""id"",""en"")"),"['Network', 'in the area', 'slow', 'disturbed', 'work', 'neglected', 'delay', 'information', 'disappointed', 'Telkomsel']")</f>
        <v>['Network', 'in the area', 'slow', 'disturbed', 'work', 'neglected', 'delay', 'information', 'disappointed', 'Telkomsel']</v>
      </c>
      <c r="D1237" s="3">
        <v>1.0</v>
      </c>
    </row>
    <row r="1238" ht="15.75" customHeight="1">
      <c r="A1238" s="1">
        <v>1236.0</v>
      </c>
      <c r="B1238" s="3" t="s">
        <v>1239</v>
      </c>
      <c r="C1238" s="3" t="str">
        <f>IFERROR(__xludf.DUMMYFUNCTION("GOOGLETRANSLATE(B1238,""id"",""en"")"),"['number', 'package', 'cheap', 'number', 'package', 'customer', 'Telkomsel', 'package', 'package', 'buy', 'expensive', 'package', ' lost ',' demand ',' please ',' Telkomsel ',' apply ',' fair ',' apply ',' package ',' number ',' hope ',' Telkomsel ',' hel"&amp;"p ',' response ' , 'Telkomsel', '']")</f>
        <v>['number', 'package', 'cheap', 'number', 'package', 'customer', 'Telkomsel', 'package', 'package', 'buy', 'expensive', 'package', ' lost ',' demand ',' please ',' Telkomsel ',' apply ',' fair ',' apply ',' package ',' number ',' hope ',' Telkomsel ',' help ',' response ' , 'Telkomsel', '']</v>
      </c>
      <c r="D1238" s="3">
        <v>1.0</v>
      </c>
    </row>
    <row r="1239" ht="15.75" customHeight="1">
      <c r="A1239" s="1">
        <v>1237.0</v>
      </c>
      <c r="B1239" s="3" t="s">
        <v>1240</v>
      </c>
      <c r="C1239" s="3" t="str">
        <f>IFERROR(__xludf.DUMMYFUNCTION("GOOGLETRANSLATE(B1239,""id"",""en"")"),"['Application', 'slow', 'difficult', 'old', 'really', 'NOT', 'Sometimes',' open ',' Daily ',' check ',' can ',' discount ',' rb ',' used ',' choice ',' connect ',' autoreply ',' column ',' forced ',' write ',' dsini ', ""]")</f>
        <v>['Application', 'slow', 'difficult', 'old', 'really', 'NOT', 'Sometimes',' open ',' Daily ',' check ',' can ',' discount ',' rb ',' used ',' choice ',' connect ',' autoreply ',' column ',' forced ',' write ',' dsini ', "]</v>
      </c>
      <c r="D1239" s="3">
        <v>2.0</v>
      </c>
    </row>
    <row r="1240" ht="15.75" customHeight="1">
      <c r="A1240" s="1">
        <v>1238.0</v>
      </c>
      <c r="B1240" s="3" t="s">
        <v>1241</v>
      </c>
      <c r="C1240" s="3" t="str">
        <f>IFERROR(__xludf.DUMMYFUNCTION("GOOGLETRANSLATE(B1240,""id"",""en"")"),"['The application', 'good', 'easy', 'checks',' leftover ',' pulse ',' quota ',' free ',' choose ',' promo ',' telkomsel ',' darling ',' Those ',' following ',' Telkomsel ',' Point ',' Win ',' ']")</f>
        <v>['The application', 'good', 'easy', 'checks',' leftover ',' pulse ',' quota ',' free ',' choose ',' promo ',' telkomsel ',' darling ',' Those ',' following ',' Telkomsel ',' Point ',' Win ',' ']</v>
      </c>
      <c r="D1240" s="3">
        <v>5.0</v>
      </c>
    </row>
    <row r="1241" ht="15.75" customHeight="1">
      <c r="A1241" s="1">
        <v>1239.0</v>
      </c>
      <c r="B1241" s="3" t="s">
        <v>1242</v>
      </c>
      <c r="C1241" s="3" t="str">
        <f>IFERROR(__xludf.DUMMYFUNCTION("GOOGLETRANSLATE(B1241,""id"",""en"")"),"['Knp', 'Telkom', 'Since', 'Network', 'No "",' Stable ',' Uda ',' Buy ',' Expensive ',' Ujung ',' ugly ',' Harm ',' play ',' game ',' then ',' error ',' right ',' tournament ',' good ',' ugly ']")</f>
        <v>['Knp', 'Telkom', 'Since', 'Network', 'No ",' Stable ',' Uda ',' Buy ',' Expensive ',' Ujung ',' ugly ',' Harm ',' play ',' game ',' then ',' error ',' right ',' tournament ',' good ',' ugly ']</v>
      </c>
      <c r="D1241" s="3">
        <v>2.0</v>
      </c>
    </row>
    <row r="1242" ht="15.75" customHeight="1">
      <c r="A1242" s="1">
        <v>1240.0</v>
      </c>
      <c r="B1242" s="3" t="s">
        <v>1243</v>
      </c>
      <c r="C1242" s="3" t="str">
        <f>IFERROR(__xludf.DUMMYFUNCTION("GOOGLETRANSLATE(B1242,""id"",""en"")"),"['good', 'help', 'check', 'purchase', 'pulse', 'data', 'quota', 'sisin', 'discount', 'promote', 'thank', 'love', ' ']")</f>
        <v>['good', 'help', 'check', 'purchase', 'pulse', 'data', 'quota', 'sisin', 'discount', 'promote', 'thank', 'love', ' ']</v>
      </c>
      <c r="D1242" s="3">
        <v>5.0</v>
      </c>
    </row>
    <row r="1243" ht="15.75" customHeight="1">
      <c r="A1243" s="1">
        <v>1241.0</v>
      </c>
      <c r="B1243" s="3" t="s">
        <v>1244</v>
      </c>
      <c r="C1243" s="3" t="str">
        <f>IFERROR(__xludf.DUMMYFUNCTION("GOOGLETRANSLATE(B1243,""id"",""en"")"),"['please', 'Telkomsel', 'package', 'price', 'NMR', 'friend', 'price', 'segini', 'number', 'expensive', 'Padahalkan', 'the package', ' package ',' extra ',' unlimitite ',' please ',' right ',' APK ',' friend ',' price ',' apk ',' remove ',' so ',' fair ','"&amp;" want ' , 'Money', '']")</f>
        <v>['please', 'Telkomsel', 'package', 'price', 'NMR', 'friend', 'price', 'segini', 'number', 'expensive', 'Padahalkan', 'the package', ' package ',' extra ',' unlimitite ',' please ',' right ',' APK ',' friend ',' price ',' apk ',' remove ',' so ',' fair ',' want ' , 'Money', '']</v>
      </c>
      <c r="D1243" s="3">
        <v>1.0</v>
      </c>
    </row>
    <row r="1244" ht="15.75" customHeight="1">
      <c r="A1244" s="1">
        <v>1242.0</v>
      </c>
      <c r="B1244" s="3" t="s">
        <v>1245</v>
      </c>
      <c r="C1244" s="3" t="str">
        <f>IFERROR(__xludf.DUMMYFUNCTION("GOOGLETRANSLATE(B1244,""id"",""en"")"),"['Telekomsel', 'Severe', 'Sinyal', 'UDH', 'Expensive', 'Signal', 'ilang', 'Telkomsel', 'Leading', 'Network', 'Expensive', 'a little', ' Sekrng ',' Live ',' MAYAL ',' Doank ',' Signal ',' Severe ',' Please ',' Notice ',' Broo ', ""]")</f>
        <v>['Telekomsel', 'Severe', 'Sinyal', 'UDH', 'Expensive', 'Signal', 'ilang', 'Telkomsel', 'Leading', 'Network', 'Expensive', 'a little', ' Sekrng ',' Live ',' MAYAL ',' Doank ',' Signal ',' Severe ',' Please ',' Notice ',' Broo ', "]</v>
      </c>
      <c r="D1244" s="3">
        <v>1.0</v>
      </c>
    </row>
    <row r="1245" ht="15.75" customHeight="1">
      <c r="A1245" s="1">
        <v>1243.0</v>
      </c>
      <c r="B1245" s="3" t="s">
        <v>1246</v>
      </c>
      <c r="C1245" s="3" t="str">
        <f>IFERROR(__xludf.DUMMYFUNCTION("GOOGLETRANSLATE(B1245,""id"",""en"")"),"['Download', 'ask', 'believe', 'Telkomsel', 'best', 'price', 'kwotanya', 'expensive', 'use', 'wasteful', 'imagine', 'rare', ' download ',' play ',' read ',' novel ',' play ',' game ',' offline ',' coin ',' cashback ',' stingy ',' already ',' yrs', 'subscr"&amp;"iption' , 'Belom', 'gather', 'Sampek', 'Points', 'Imagine']")</f>
        <v>['Download', 'ask', 'believe', 'Telkomsel', 'best', 'price', 'kwotanya', 'expensive', 'use', 'wasteful', 'imagine', 'rare', ' download ',' play ',' read ',' novel ',' play ',' game ',' offline ',' coin ',' cashback ',' stingy ',' already ',' yrs', 'subscription' , 'Belom', 'gather', 'Sampek', 'Points', 'Imagine']</v>
      </c>
      <c r="D1245" s="3">
        <v>5.0</v>
      </c>
    </row>
    <row r="1246" ht="15.75" customHeight="1">
      <c r="A1246" s="1">
        <v>1244.0</v>
      </c>
      <c r="B1246" s="3" t="s">
        <v>1247</v>
      </c>
      <c r="C1246" s="3" t="str">
        <f>IFERROR(__xludf.DUMMYFUNCTION("GOOGLETRANSLATE(B1246,""id"",""en"")"),"['Buy', 'Package', 'Data', 'Credit', 'Remnant', 'Buy', 'Package', 'Data', 'Sumpot', 'Out', 'NGGA', 'Nominal', ' disappointed ',' already ',' active ',' package ',' data ',' sumps', 'package', 'data', 'pulse', 'please', 'corrected']")</f>
        <v>['Buy', 'Package', 'Data', 'Credit', 'Remnant', 'Buy', 'Package', 'Data', 'Sumpot', 'Out', 'NGGA', 'Nominal', ' disappointed ',' already ',' active ',' package ',' data ',' sumps', 'package', 'data', 'pulse', 'please', 'corrected']</v>
      </c>
      <c r="D1246" s="3">
        <v>1.0</v>
      </c>
    </row>
    <row r="1247" ht="15.75" customHeight="1">
      <c r="A1247" s="1">
        <v>1245.0</v>
      </c>
      <c r="B1247" s="3" t="s">
        <v>1248</v>
      </c>
      <c r="C1247" s="3" t="str">
        <f>IFERROR(__xludf.DUMMYFUNCTION("GOOGLETRANSLATE(B1247,""id"",""en"")"),"['ask', 'pulse', 'chick', 'message', 'pulse', 'reduced', 'tariff', 'non', 'package', 'number', 'access',' anything ',' SMS ',' Call ',' Credit ',' Cut ',' What ',' ']")</f>
        <v>['ask', 'pulse', 'chick', 'message', 'pulse', 'reduced', 'tariff', 'non', 'package', 'number', 'access',' anything ',' SMS ',' Call ',' Credit ',' Cut ',' What ',' ']</v>
      </c>
      <c r="D1247" s="3">
        <v>1.0</v>
      </c>
    </row>
    <row r="1248" ht="15.75" customHeight="1">
      <c r="A1248" s="1">
        <v>1246.0</v>
      </c>
      <c r="B1248" s="3" t="s">
        <v>1249</v>
      </c>
      <c r="C1248" s="3" t="str">
        <f>IFERROR(__xludf.DUMMYFUNCTION("GOOGLETRANSLATE(B1248,""id"",""en"")"),"['Thank you', 'Telkomsel', 'Meeting', 'Virtual', 'Network', 'Current', 'Barriers', 'Increase', 'Quality', 'Trust', 'Faithful', ""]")</f>
        <v>['Thank you', 'Telkomsel', 'Meeting', 'Virtual', 'Network', 'Current', 'Barriers', 'Increase', 'Quality', 'Trust', 'Faithful', "]</v>
      </c>
      <c r="D1248" s="3">
        <v>5.0</v>
      </c>
    </row>
    <row r="1249" ht="15.75" customHeight="1">
      <c r="A1249" s="1">
        <v>1247.0</v>
      </c>
      <c r="B1249" s="3" t="s">
        <v>1250</v>
      </c>
      <c r="C1249" s="3" t="str">
        <f>IFERROR(__xludf.DUMMYFUNCTION("GOOGLETRANSLATE(B1249,""id"",""en"")"),"['user', 'card', 'Telkomsel', 'happy', 'like', 'ngeleg', 'watch', 'video', 'play', 'game', 'sangking', 'glad', ' destroy ',' Gara ',' Gara ',' ngeleg ',' play ',' game ',' so ',' accept ',' eyes', 'beautiful', '']")</f>
        <v>['user', 'card', 'Telkomsel', 'happy', 'like', 'ngeleg', 'watch', 'video', 'play', 'game', 'sangking', 'glad', ' destroy ',' Gara ',' Gara ',' ngeleg ',' play ',' game ',' so ',' accept ',' eyes', 'beautiful', '']</v>
      </c>
      <c r="D1249" s="3">
        <v>1.0</v>
      </c>
    </row>
    <row r="1250" ht="15.75" customHeight="1">
      <c r="A1250" s="1">
        <v>1248.0</v>
      </c>
      <c r="B1250" s="3" t="s">
        <v>1251</v>
      </c>
      <c r="C1250" s="3" t="str">
        <f>IFERROR(__xludf.DUMMYFUNCTION("GOOGLETRANSLATE(B1250,""id"",""en"")"),"['Telkomsel', 'disappointing', 'mentang', 'bnyak', 'customer', 'behavior', 'gini', 'transaxike', 'link', 'difficult', 'application', 'skrg', ' separate ',' skrg ',' choice ',' payment ',' method ',' transaction ',' pulse ',' bad ',' ']")</f>
        <v>['Telkomsel', 'disappointing', 'mentang', 'bnyak', 'customer', 'behavior', 'gini', 'transaxike', 'link', 'difficult', 'application', 'skrg', ' separate ',' skrg ',' choice ',' payment ',' method ',' transaction ',' pulse ',' bad ',' ']</v>
      </c>
      <c r="D1250" s="3">
        <v>1.0</v>
      </c>
    </row>
    <row r="1251" ht="15.75" customHeight="1">
      <c r="A1251" s="1">
        <v>1249.0</v>
      </c>
      <c r="B1251" s="3" t="s">
        <v>1252</v>
      </c>
      <c r="C1251" s="3" t="str">
        <f>IFERROR(__xludf.DUMMYFUNCTION("GOOGLETRANSLATE(B1251,""id"",""en"")"),"['Please', 'donk', 'kak', 'update', 'system', 'msak', 'buy', 'package', 'internet', 'apk', 'hrus',' fill ',' Plsa ',' DLU ',' BSA ',' Method ',' Payment ',' Method ',' Payment ',' Click ',' ']")</f>
        <v>['Please', 'donk', 'kak', 'update', 'system', 'msak', 'buy', 'package', 'internet', 'apk', 'hrus',' fill ',' Plsa ',' DLU ',' BSA ',' Method ',' Payment ',' Method ',' Payment ',' Click ',' ']</v>
      </c>
      <c r="D1251" s="3">
        <v>5.0</v>
      </c>
    </row>
    <row r="1252" ht="15.75" customHeight="1">
      <c r="A1252" s="1">
        <v>1250.0</v>
      </c>
      <c r="B1252" s="3" t="s">
        <v>1253</v>
      </c>
      <c r="C1252" s="3" t="str">
        <f>IFERROR(__xludf.DUMMYFUNCTION("GOOGLETRANSLATE(B1252,""id"",""en"")"),"['update', 'update', 'muter', 'buy', 'quota', 'rating', 'below', 'star', 'love', 'deh', 'greet', 'buy', ' Buy ',' Quota ',' Card ',' Post ',' Pay ',' Quota ',' Internet ',' Out ',' Open ',' Telkomsel ',' Tettringan ',' Outside ',' Network ' , 'Telkomsel',"&amp;" 'complicated', 'really', 'many years',' use ',' number ',' post ',' pay ',' hello ',' innovation ',' except ',' told ',' Update ',' Telkomsel ',' ']")</f>
        <v>['update', 'update', 'muter', 'buy', 'quota', 'rating', 'below', 'star', 'love', 'deh', 'greet', 'buy', ' Buy ',' Quota ',' Card ',' Post ',' Pay ',' Quota ',' Internet ',' Out ',' Open ',' Telkomsel ',' Tettringan ',' Outside ',' Network ' , 'Telkomsel', 'complicated', 'really', 'many years',' use ',' number ',' post ',' pay ',' hello ',' innovation ',' except ',' told ',' Update ',' Telkomsel ',' ']</v>
      </c>
      <c r="D1252" s="3">
        <v>1.0</v>
      </c>
    </row>
    <row r="1253" ht="15.75" customHeight="1">
      <c r="A1253" s="1">
        <v>1251.0</v>
      </c>
      <c r="B1253" s="3" t="s">
        <v>1254</v>
      </c>
      <c r="C1253" s="3" t="str">
        <f>IFERROR(__xludf.DUMMYFUNCTION("GOOGLETRANSLATE(B1253,""id"",""en"")"),"['Please', 'min', 'network', 'repaired', 'klok', 'gini', 'loss',' buy ',' package ',' expensive ',' network ',' ugly ',' really ',' UDH ',' price ',' package ',' expensive ',' network ',' lalot ',' network ',' Telkomsel ',' low ',' really ',' open ',' gam"&amp;"e ' , '']")</f>
        <v>['Please', 'min', 'network', 'repaired', 'klok', 'gini', 'loss',' buy ',' package ',' expensive ',' network ',' ugly ',' really ',' UDH ',' price ',' package ',' expensive ',' network ',' lalot ',' network ',' Telkomsel ',' low ',' really ',' open ',' game ' , '']</v>
      </c>
      <c r="D1253" s="3">
        <v>2.0</v>
      </c>
    </row>
    <row r="1254" ht="15.75" customHeight="1">
      <c r="A1254" s="1">
        <v>1252.0</v>
      </c>
      <c r="B1254" s="3" t="s">
        <v>1255</v>
      </c>
      <c r="C1254" s="3" t="str">
        <f>IFERROR(__xludf.DUMMYFUNCTION("GOOGLETRANSLATE(B1254,""id"",""en"")"),"['The application', 'opened', 'UDH', 'Upgrade', 'Open', 'URL', 'JGA', 'BSA', 'Upset', 'Kayak', 'Gini', 'PDAHAL', ' Use ',' number ',' Appsi ',' Gini ',' Switch ',' ']")</f>
        <v>['The application', 'opened', 'UDH', 'Upgrade', 'Open', 'URL', 'JGA', 'BSA', 'Upset', 'Kayak', 'Gini', 'PDAHAL', ' Use ',' number ',' Appsi ',' Gini ',' Switch ',' ']</v>
      </c>
      <c r="D1254" s="3">
        <v>1.0</v>
      </c>
    </row>
    <row r="1255" ht="15.75" customHeight="1">
      <c r="A1255" s="1">
        <v>1253.0</v>
      </c>
      <c r="B1255" s="3" t="s">
        <v>1256</v>
      </c>
      <c r="C1255" s="3" t="str">
        <f>IFERROR(__xludf.DUMMYFUNCTION("GOOGLETRANSLATE(B1255,""id"",""en"")"),"['If', 'Izanan', 'Love', 'Star', 'Since', 'The Network', 'Alot', 'Stable', 'Addin', 'My Boss']")</f>
        <v>['If', 'Izanan', 'Love', 'Star', 'Since', 'The Network', 'Alot', 'Stable', 'Addin', 'My Boss']</v>
      </c>
      <c r="D1255" s="3">
        <v>2.0</v>
      </c>
    </row>
    <row r="1256" ht="15.75" customHeight="1">
      <c r="A1256" s="1">
        <v>1254.0</v>
      </c>
      <c r="B1256" s="3" t="s">
        <v>1257</v>
      </c>
      <c r="C1256" s="3" t="str">
        <f>IFERROR(__xludf.DUMMYFUNCTION("GOOGLETRANSLATE(B1256,""id"",""en"")"),"['apk', 'ugly', 'skli', 'bnr', 'hayukkk']")</f>
        <v>['apk', 'ugly', 'skli', 'bnr', 'hayukkk']</v>
      </c>
      <c r="D1256" s="3">
        <v>5.0</v>
      </c>
    </row>
    <row r="1257" ht="15.75" customHeight="1">
      <c r="A1257" s="1">
        <v>1255.0</v>
      </c>
      <c r="B1257" s="3" t="s">
        <v>1258</v>
      </c>
      <c r="C1257" s="3" t="str">
        <f>IFERROR(__xludf.DUMMYFUNCTION("GOOGLETRANSLATE(B1257,""id"",""en"")"),"['Login', 'difficult', 'disruption', 'update', 'complete', 'expensive', 'promo', 'interesting', 'reduced', 'history', 'purchase', 'listed', ' thank you', '']")</f>
        <v>['Login', 'difficult', 'disruption', 'update', 'complete', 'expensive', 'promo', 'interesting', 'reduced', 'history', 'purchase', 'listed', ' thank you', '']</v>
      </c>
      <c r="D1257" s="3">
        <v>1.0</v>
      </c>
    </row>
    <row r="1258" ht="15.75" customHeight="1">
      <c r="A1258" s="1">
        <v>1256.0</v>
      </c>
      <c r="B1258" s="3" t="s">
        <v>1259</v>
      </c>
      <c r="C1258" s="3" t="str">
        <f>IFERROR(__xludf.DUMMYFUNCTION("GOOGLETRANSLATE(B1258,""id"",""en"")"),"['open', 'application', 'screen', 'cellphone', 'white', 'skrg', 'told', 'update', 'udh', 'update', 'playstore', 'udh', ' finished ',' right ',' click ',' open ',' application ',' msh ',' writing ',' update ',' ridiculous', 'logo', 'ugly', 'bagan']")</f>
        <v>['open', 'application', 'screen', 'cellphone', 'white', 'skrg', 'told', 'update', 'udh', 'update', 'playstore', 'udh', ' finished ',' right ',' click ',' open ',' application ',' msh ',' writing ',' update ',' ridiculous', 'logo', 'ugly', 'bagan']</v>
      </c>
      <c r="D1258" s="3">
        <v>1.0</v>
      </c>
    </row>
    <row r="1259" ht="15.75" customHeight="1">
      <c r="A1259" s="1">
        <v>1257.0</v>
      </c>
      <c r="B1259" s="3" t="s">
        <v>1260</v>
      </c>
      <c r="C1259" s="3" t="str">
        <f>IFERROR(__xludf.DUMMYFUNCTION("GOOGLETRANSLATE(B1259,""id"",""en"")"),"['network', 'internet', 'error', 'annoying', 'moved', 'provider', 'Please', 'checked']")</f>
        <v>['network', 'internet', 'error', 'annoying', 'moved', 'provider', 'Please', 'checked']</v>
      </c>
      <c r="D1259" s="3">
        <v>3.0</v>
      </c>
    </row>
    <row r="1260" ht="15.75" customHeight="1">
      <c r="A1260" s="1">
        <v>1258.0</v>
      </c>
      <c r="B1260" s="3" t="s">
        <v>1261</v>
      </c>
      <c r="C1260" s="3" t="str">
        <f>IFERROR(__xludf.DUMMYFUNCTION("GOOGLETRANSLATE(B1260,""id"",""en"")"),"['price', 'expensive', 'speeding', 'area', 'promo', 'customer', 'good', 'buy', 'package', 'games',' sosmed ',' chat ',' Gabisa ',' Dipake ',' Package ',' Hadehh ']")</f>
        <v>['price', 'expensive', 'speeding', 'area', 'promo', 'customer', 'good', 'buy', 'package', 'games',' sosmed ',' chat ',' Gabisa ',' Dipake ',' Package ',' Hadehh ']</v>
      </c>
      <c r="D1260" s="3">
        <v>3.0</v>
      </c>
    </row>
    <row r="1261" ht="15.75" customHeight="1">
      <c r="A1261" s="1">
        <v>1259.0</v>
      </c>
      <c r="B1261" s="3" t="s">
        <v>1262</v>
      </c>
      <c r="C1261" s="3" t="str">
        <f>IFERROR(__xludf.DUMMYFUNCTION("GOOGLETRANSLATE(B1261,""id"",""en"")"),"['hate', 'Telkomsel', 'fill in', 'pulses',' thousand ',' sumps', 'subscribe', 'there', 'written', 'subscribe', 'NSP', 'Telkom', ' TSB ',' for ',' thousands']")</f>
        <v>['hate', 'Telkomsel', 'fill in', 'pulses',' thousand ',' sumps', 'subscribe', 'there', 'written', 'subscribe', 'NSP', 'Telkom', ' TSB ',' for ',' thousands']</v>
      </c>
      <c r="D1261" s="3">
        <v>1.0</v>
      </c>
    </row>
    <row r="1262" ht="15.75" customHeight="1">
      <c r="A1262" s="1">
        <v>1260.0</v>
      </c>
      <c r="B1262" s="3" t="s">
        <v>1263</v>
      </c>
      <c r="C1262" s="3" t="str">
        <f>IFERROR(__xludf.DUMMYFUNCTION("GOOGLETRANSLATE(B1262,""id"",""en"")"),"['', 'application', 'cheats',' data ',' fast ',' run out ',' use ',' messenger ',' exchanging ',' point ',' announcement ',' winner ',' coin ',' Disappear ',' ']")</f>
        <v>['', 'application', 'cheats',' data ',' fast ',' run out ',' use ',' messenger ',' exchanging ',' point ',' announcement ',' winner ',' coin ',' Disappear ',' ']</v>
      </c>
      <c r="D1262" s="3">
        <v>1.0</v>
      </c>
    </row>
    <row r="1263" ht="15.75" customHeight="1">
      <c r="A1263" s="1">
        <v>1261.0</v>
      </c>
      <c r="B1263" s="3" t="s">
        <v>1264</v>
      </c>
      <c r="C1263" s="3" t="str">
        <f>IFERROR(__xludf.DUMMYFUNCTION("GOOGLETRANSLATE(B1263,""id"",""en"")"),"['Take', 'pulse', 'emergency', 'appears',' sms', 'pulse', 'emergency', 'active', 'search', 'luck', 'gini', 'name', ' Disight ',' User ',' Closed ',' Telkomsel ',' Kayak ',' Gini ',' Telkomsel ']")</f>
        <v>['Take', 'pulse', 'emergency', 'appears',' sms', 'pulse', 'emergency', 'active', 'search', 'luck', 'gini', 'name', ' Disight ',' User ',' Closed ',' Telkomsel ',' Kayak ',' Gini ',' Telkomsel ']</v>
      </c>
      <c r="D1263" s="3">
        <v>1.0</v>
      </c>
    </row>
    <row r="1264" ht="15.75" customHeight="1">
      <c r="A1264" s="1">
        <v>1262.0</v>
      </c>
      <c r="B1264" s="3" t="s">
        <v>1265</v>
      </c>
      <c r="C1264" s="3" t="str">
        <f>IFERROR(__xludf.DUMMYFUNCTION("GOOGLETRANSLATE(B1264,""id"",""en"")"),"['user', 'loyal', 'Telkomsel', 'skrg', 'quota', 'expensive', 'signal', 'stable', 'performance', 'decreases', 'disappointing', '']")</f>
        <v>['user', 'loyal', 'Telkomsel', 'skrg', 'quota', 'expensive', 'signal', 'stable', 'performance', 'decreases', 'disappointing', '']</v>
      </c>
      <c r="D1264" s="3">
        <v>1.0</v>
      </c>
    </row>
    <row r="1265" ht="15.75" customHeight="1">
      <c r="A1265" s="1">
        <v>1263.0</v>
      </c>
      <c r="B1265" s="3" t="s">
        <v>1266</v>
      </c>
      <c r="C1265" s="3" t="str">
        <f>IFERROR(__xludf.DUMMYFUNCTION("GOOGLETRANSLATE(B1265,""id"",""en"")"),"['Region', 'Road', 'Mosque', 'Umar', 'East Jakarta', 'Quality', 'Signal', 'Bad', 'Bar', 'Sometimes',' Please ',' Action ',' Continue ',' Price ',' Quality ',' DMN ',' Located ',' Quality ',' Network ',' Bar ',' Sometimes', 'TRM', 'Ksh']")</f>
        <v>['Region', 'Road', 'Mosque', 'Umar', 'East Jakarta', 'Quality', 'Signal', 'Bad', 'Bar', 'Sometimes',' Please ',' Action ',' Continue ',' Price ',' Quality ',' DMN ',' Located ',' Quality ',' Network ',' Bar ',' Sometimes', 'TRM', 'Ksh']</v>
      </c>
      <c r="D1265" s="3">
        <v>1.0</v>
      </c>
    </row>
    <row r="1266" ht="15.75" customHeight="1">
      <c r="A1266" s="1">
        <v>1264.0</v>
      </c>
      <c r="B1266" s="3" t="s">
        <v>1267</v>
      </c>
      <c r="C1266" s="3" t="str">
        <f>IFERROR(__xludf.DUMMYFUNCTION("GOOGLETRANSLATE(B1266,""id"",""en"")"),"['Society', 'Restless',' Mending ',' Telkomsel ',' Closed ',' Deh ',' Signal ',' Ungk ',' Conditional ',' Mending ',' Closed ',' Please ',' Telkomsel ',' Fix ',' DSR ',' Mem ', ""]")</f>
        <v>['Society', 'Restless',' Mending ',' Telkomsel ',' Closed ',' Deh ',' Signal ',' Ungk ',' Conditional ',' Mending ',' Closed ',' Please ',' Telkomsel ',' Fix ',' DSR ',' Mem ', "]</v>
      </c>
      <c r="D1266" s="3">
        <v>1.0</v>
      </c>
    </row>
    <row r="1267" ht="15.75" customHeight="1">
      <c r="A1267" s="1">
        <v>1265.0</v>
      </c>
      <c r="B1267" s="3" t="s">
        <v>1268</v>
      </c>
      <c r="C1267" s="3" t="str">
        <f>IFERROR(__xludf.DUMMYFUNCTION("GOOGLETRANSLATE(B1267,""id"",""en"")"),"['knp', 'application', 'open', 'already', 'week', 'open', 'application', 'sorry', 'change', 'ratenya', 'the application', 'really', ' Useful ',' opened ',' knp ',' ']")</f>
        <v>['knp', 'application', 'open', 'already', 'week', 'open', 'application', 'sorry', 'change', 'ratenya', 'the application', 'really', ' Useful ',' opened ',' knp ',' ']</v>
      </c>
      <c r="D1267" s="3">
        <v>1.0</v>
      </c>
    </row>
    <row r="1268" ht="15.75" customHeight="1">
      <c r="A1268" s="1">
        <v>1266.0</v>
      </c>
      <c r="B1268" s="3" t="s">
        <v>1269</v>
      </c>
      <c r="C1268" s="3" t="str">
        <f>IFERROR(__xludf.DUMMYFUNCTION("GOOGLETRANSLATE(B1268,""id"",""en"")"),"['Gift', 'package', 'internet', 'additional', 'pulse', 'gift', 'package', 'data', 'hrga', 'rb', 'paid', 'rb', ' expensive ',' tsel ',' network ',' down ',' fix ',' network ',' kasi ',' hrga ',' expensive ',' Jayapura ',' hrus', 'pkai', 'tsel' , 'Krna', 'P"&amp;"rov', 'disappointing']")</f>
        <v>['Gift', 'package', 'internet', 'additional', 'pulse', 'gift', 'package', 'data', 'hrga', 'rb', 'paid', 'rb', ' expensive ',' tsel ',' network ',' down ',' fix ',' network ',' kasi ',' hrga ',' expensive ',' Jayapura ',' hrus', 'pkai', 'tsel' , 'Krna', 'Prov', 'disappointing']</v>
      </c>
      <c r="D1268" s="3">
        <v>1.0</v>
      </c>
    </row>
    <row r="1269" ht="15.75" customHeight="1">
      <c r="A1269" s="1">
        <v>1267.0</v>
      </c>
      <c r="B1269" s="3" t="s">
        <v>1270</v>
      </c>
      <c r="C1269" s="3" t="str">
        <f>IFERROR(__xludf.DUMMYFUNCTION("GOOGLETRANSLATE(B1269,""id"",""en"")"),"['Hopefully', 'advanced', 'trust', 'in the community', 'Please', 'Quality', 'Network', 'Enhanced', 'Lemut', 'Disorders',' Telkomsel ',' Best ',' Amin ']")</f>
        <v>['Hopefully', 'advanced', 'trust', 'in the community', 'Please', 'Quality', 'Network', 'Enhanced', 'Lemut', 'Disorders',' Telkomsel ',' Best ',' Amin ']</v>
      </c>
      <c r="D1269" s="3">
        <v>5.0</v>
      </c>
    </row>
    <row r="1270" ht="15.75" customHeight="1">
      <c r="A1270" s="1">
        <v>1268.0</v>
      </c>
      <c r="B1270" s="3" t="s">
        <v>1271</v>
      </c>
      <c r="C1270" s="3" t="str">
        <f>IFERROR(__xludf.DUMMYFUNCTION("GOOGLETRANSLATE(B1270,""id"",""en"")"),"['Bercya', 'label', 'buy', 'according to', 'package', 'yamahalan', 'all', 'plus',' already ',' box ',' box ',' package ',' Video ',' Max ',' Divided ',' Perzona ',' Comfort ',' Confused ',' ']")</f>
        <v>['Bercya', 'label', 'buy', 'according to', 'package', 'yamahalan', 'all', 'plus',' already ',' box ',' box ',' package ',' Video ',' Max ',' Divided ',' Perzona ',' Comfort ',' Confused ',' ']</v>
      </c>
      <c r="D1270" s="3">
        <v>1.0</v>
      </c>
    </row>
    <row r="1271" ht="15.75" customHeight="1">
      <c r="A1271" s="1">
        <v>1269.0</v>
      </c>
      <c r="B1271" s="3" t="s">
        <v>1272</v>
      </c>
      <c r="C1271" s="3" t="str">
        <f>IFERROR(__xludf.DUMMYFUNCTION("GOOGLETRANSLATE(B1271,""id"",""en"")"),"['rotten', 'package', 'expensive', 'package', 'internet', 'unlimited', 'make', 'package', 'internet', 'GB', 'GB', 'Sunday', ' UDH ',' after ',' after ',' use ',' make ',' package ',' unlimited ',' TPI ',' slow ',' speed ',' kbps', 'googling', 'waiting' , "&amp;"'Ngeegame', 'enter', 'enter', 'rotten', ""]")</f>
        <v>['rotten', 'package', 'expensive', 'package', 'internet', 'unlimited', 'make', 'package', 'internet', 'GB', 'GB', 'Sunday', ' UDH ',' after ',' after ',' use ',' make ',' package ',' unlimited ',' TPI ',' slow ',' speed ',' kbps', 'googling', 'waiting' , 'Ngeegame', 'enter', 'enter', 'rotten', "]</v>
      </c>
      <c r="D1271" s="3">
        <v>1.0</v>
      </c>
    </row>
    <row r="1272" ht="15.75" customHeight="1">
      <c r="A1272" s="1">
        <v>1270.0</v>
      </c>
      <c r="B1272" s="3" t="s">
        <v>1273</v>
      </c>
      <c r="C1272" s="3" t="str">
        <f>IFERROR(__xludf.DUMMYFUNCTION("GOOGLETRANSLATE(B1272,""id"",""en"")"),"['like', 'really', 'use', 'Telkomsel', 'happy', 'package', 'smooth', 'network', 'ilang', 'stay', 'area', 'city', ' its network ',' ilang ',' open ',' task ',' file ',' download ',' right ',' check ',' signal ',' hiks', 'sad', 'person', 'nelfon' , 'Connect"&amp;"', 'Telfon', 'Turn Off', 'Package', 'Data', 'Sousal', 'ilang', 'How', 'PHP', ""]")</f>
        <v>['like', 'really', 'use', 'Telkomsel', 'happy', 'package', 'smooth', 'network', 'ilang', 'stay', 'area', 'city', ' its network ',' ilang ',' open ',' task ',' file ',' download ',' right ',' check ',' signal ',' hiks', 'sad', 'person', 'nelfon' , 'Connect', 'Telfon', 'Turn Off', 'Package', 'Data', 'Sousal', 'ilang', 'How', 'PHP', "]</v>
      </c>
      <c r="D1272" s="3">
        <v>4.0</v>
      </c>
    </row>
    <row r="1273" ht="15.75" customHeight="1">
      <c r="A1273" s="1">
        <v>1271.0</v>
      </c>
      <c r="B1273" s="3" t="s">
        <v>1274</v>
      </c>
      <c r="C1273" s="3" t="str">
        <f>IFERROR(__xludf.DUMMYFUNCTION("GOOGLETRANSLATE(B1273,""id"",""en"")"),"['use', 'application', 'good', 'contents',' pulse ',' buy ',' package ',' data ',' internet ',' application ',' need ',' fast ',' transactions', 'direct', 'turn on', 'data', 'package', 'data', 'buy', 'active', 'as a result', 'pulse', 'buy', 'buy', 'packag"&amp;"e' , 'run out', 'buy', 'package', 'reset', 'beg', 'transaction', 'credit', 'take', 'please', 'directly', 'activate', 'the package', ' Waiting ',' Minutes', 'Enabled', '']")</f>
        <v>['use', 'application', 'good', 'contents',' pulse ',' buy ',' package ',' data ',' internet ',' application ',' need ',' fast ',' transactions', 'direct', 'turn on', 'data', 'package', 'data', 'buy', 'active', 'as a result', 'pulse', 'buy', 'buy', 'package' , 'run out', 'buy', 'package', 'reset', 'beg', 'transaction', 'credit', 'take', 'please', 'directly', 'activate', 'the package', ' Waiting ',' Minutes', 'Enabled', '']</v>
      </c>
      <c r="D1273" s="3">
        <v>2.0</v>
      </c>
    </row>
    <row r="1274" ht="15.75" customHeight="1">
      <c r="A1274" s="1">
        <v>1272.0</v>
      </c>
      <c r="B1274" s="3" t="s">
        <v>1275</v>
      </c>
      <c r="C1274" s="3" t="str">
        <f>IFERROR(__xludf.DUMMYFUNCTION("GOOGLETRANSLATE(B1274,""id"",""en"")"),"['', 'How', 'buy', 'pulse', 'August', 'direct', 'buy', 'package', 'combo', 'Sakti', 'dikon', 'thousand', 'pulsa ',' lost ',' quota ',' kb ',' ngelamin ']")</f>
        <v>['', 'How', 'buy', 'pulse', 'August', 'direct', 'buy', 'package', 'combo', 'Sakti', 'dikon', 'thousand', 'pulsa ',' lost ',' quota ',' kb ',' ngelamin ']</v>
      </c>
      <c r="D1274" s="3">
        <v>2.0</v>
      </c>
    </row>
    <row r="1275" ht="15.75" customHeight="1">
      <c r="A1275" s="1">
        <v>1273.0</v>
      </c>
      <c r="B1275" s="3" t="s">
        <v>1276</v>
      </c>
      <c r="C1275" s="3" t="str">
        <f>IFERROR(__xludf.DUMMYFUNCTION("GOOGLETRANSLATE(B1275,""id"",""en"")"),"['MyTelkom', 'Gini', 'just' just 'update', 'told', 'update', 'how', 'please', 'fix', 'just', 'content', 'pulses',' Credit ',' missing ',' gmna ',' ']")</f>
        <v>['MyTelkom', 'Gini', 'just' just 'update', 'told', 'update', 'how', 'please', 'fix', 'just', 'content', 'pulses',' Credit ',' missing ',' gmna ',' ']</v>
      </c>
      <c r="D1275" s="3">
        <v>1.0</v>
      </c>
    </row>
    <row r="1276" ht="15.75" customHeight="1">
      <c r="A1276" s="1">
        <v>1274.0</v>
      </c>
      <c r="B1276" s="3" t="s">
        <v>1277</v>
      </c>
      <c r="C1276" s="3" t="str">
        <f>IFERROR(__xludf.DUMMYFUNCTION("GOOGLETRANSLATE(B1276,""id"",""en"")"),"['Buy', 'Packet', 'Direct', 'Worn', 'Data', 'XRP', 'Update', 'appears',' Pantes', 'Buy', 'Packet', 'wifi', ' ADH ',' truncated ',' thousand ',' ']")</f>
        <v>['Buy', 'Packet', 'Direct', 'Worn', 'Data', 'XRP', 'Update', 'appears',' Pantes', 'Buy', 'Packet', 'wifi', ' ADH ',' truncated ',' thousand ',' ']</v>
      </c>
      <c r="D1276" s="3">
        <v>2.0</v>
      </c>
    </row>
    <row r="1277" ht="15.75" customHeight="1">
      <c r="A1277" s="1">
        <v>1275.0</v>
      </c>
      <c r="B1277" s="3" t="s">
        <v>1278</v>
      </c>
      <c r="C1277" s="3" t="str">
        <f>IFERROR(__xludf.DUMMYFUNCTION("GOOGLETRANSLATE(B1277,""id"",""en"")"),"['price', 'package', 'data', 'Telkomsel', 'champion', 'champion', 'high', 'pandemic', 'love', 'lightening', 'customer', ' Mending ',' signal ',' good ',' quota ',' keuang ',' card ',' already ',' move ',' bow ',' times', 'please', 'lightening', 'play' , '"&amp;"Ride in', 'Price', 'Mulu', 'Fix', 'Quality', 'Package', 'Useful', 'Sia', 'Buy', 'Expensive', ""]")</f>
        <v>['price', 'package', 'data', 'Telkomsel', 'champion', 'champion', 'high', 'pandemic', 'love', 'lightening', 'customer', ' Mending ',' signal ',' good ',' quota ',' keuang ',' card ',' already ',' move ',' bow ',' times', 'please', 'lightening', 'play' , 'Ride in', 'Price', 'Mulu', 'Fix', 'Quality', 'Package', 'Useful', 'Sia', 'Buy', 'Expensive', "]</v>
      </c>
      <c r="D1277" s="3">
        <v>2.0</v>
      </c>
    </row>
    <row r="1278" ht="15.75" customHeight="1">
      <c r="A1278" s="1">
        <v>1276.0</v>
      </c>
      <c r="B1278" s="3" t="s">
        <v>1279</v>
      </c>
      <c r="C1278" s="3" t="str">
        <f>IFERROR(__xludf.DUMMYFUNCTION("GOOGLETRANSLATE(B1278,""id"",""en"")"),"['Telkomsel', 'signal', 'NGK', 'buy', 'package', 'internet', 'open', 'application', 'ngk', 'strong', 'quota', 'blm', ' She ',' Jakarta ',' Telkomsel ',' Gerangan ',' Colorin ',' Quality ',' Sampe ',' Change ',' Card ',' chrage ',' outlets', 'Pim', 'think'"&amp;" , 'card', 'damaged', 'replace', 'weve', 'quality', 'down', 'card', 'sympathy', 'wrong', 'sympathy', 'migrated', ""]")</f>
        <v>['Telkomsel', 'signal', 'NGK', 'buy', 'package', 'internet', 'open', 'application', 'ngk', 'strong', 'quota', 'blm', ' She ',' Jakarta ',' Telkomsel ',' Gerangan ',' Colorin ',' Quality ',' Sampe ',' Change ',' Card ',' chrage ',' outlets', 'Pim', 'think' , 'card', 'damaged', 'replace', 'weve', 'quality', 'down', 'card', 'sympathy', 'wrong', 'sympathy', 'migrated', "]</v>
      </c>
      <c r="D1278" s="3">
        <v>1.0</v>
      </c>
    </row>
    <row r="1279" ht="15.75" customHeight="1">
      <c r="A1279" s="1">
        <v>1277.0</v>
      </c>
      <c r="B1279" s="3" t="s">
        <v>1280</v>
      </c>
      <c r="C1279" s="3" t="str">
        <f>IFERROR(__xludf.DUMMYFUNCTION("GOOGLETRANSLATE(B1279,""id"",""en"")"),"['disappointing', 'please', 'product', 'fist', 'public', 'sold', 'like', 'gamesmax', 'ngandelin', 'quota', 'main', 'apahuna', ' Quota ',' Game ',' Sembat ',' quota ',' mainly ',' run out ',' quota ',' main ',' login ',' until ',' skrg ',' quota ',' game '"&amp;" , 'Kekeke', 'Bit', 'BLM', 'Contact', 'Customercare', 'Gabad', 'Clarity', 'Apps', 'Disappointing', '']")</f>
        <v>['disappointing', 'please', 'product', 'fist', 'public', 'sold', 'like', 'gamesmax', 'ngandelin', 'quota', 'main', 'apahuna', ' Quota ',' Game ',' Sembat ',' quota ',' mainly ',' run out ',' quota ',' main ',' login ',' until ',' skrg ',' quota ',' game ' , 'Kekeke', 'Bit', 'BLM', 'Contact', 'Customercare', 'Gabad', 'Clarity', 'Apps', 'Disappointing', '']</v>
      </c>
      <c r="D1279" s="3">
        <v>1.0</v>
      </c>
    </row>
    <row r="1280" ht="15.75" customHeight="1">
      <c r="A1280" s="1">
        <v>1278.0</v>
      </c>
      <c r="B1280" s="3" t="s">
        <v>1281</v>
      </c>
      <c r="C1280" s="3" t="str">
        <f>IFERROR(__xludf.DUMMYFUNCTION("GOOGLETRANSLATE(B1280,""id"",""en"")"),"['Telkomsel', 'skrg', 'like', 'steal', 'pulse', 'package', 'data', 'GB', 'package', 'Nelp', 'Telkomsel', 'as much as',' phone, 'operator', 'left', 'minutes', 'contents', 'credit', 'credit', 'reduced', 'contents', 'pulse', 'buy', 'voucher', 'game' , 'alrea"&amp;"dy', 'Sumpot', 'first', '']")</f>
        <v>['Telkomsel', 'skrg', 'like', 'steal', 'pulse', 'package', 'data', 'GB', 'package', 'Nelp', 'Telkomsel', 'as much as',' phone, 'operator', 'left', 'minutes', 'contents', 'credit', 'credit', 'reduced', 'contents', 'pulse', 'buy', 'voucher', 'game' , 'already', 'Sumpot', 'first', '']</v>
      </c>
      <c r="D1280" s="3">
        <v>1.0</v>
      </c>
    </row>
    <row r="1281" ht="15.75" customHeight="1">
      <c r="A1281" s="1">
        <v>1279.0</v>
      </c>
      <c r="B1281" s="3" t="s">
        <v>1282</v>
      </c>
      <c r="C1281" s="3" t="str">
        <f>IFERROR(__xludf.DUMMYFUNCTION("GOOGLETRANSLATE(B1281,""id"",""en"")"),"['ugly', 'application', 'update', 'fit', 'open', 'update', 'alternating', 'class',' Telkomsel ',' the application ',' satisfaction ',' dng ',' The application ']")</f>
        <v>['ugly', 'application', 'update', 'fit', 'open', 'update', 'alternating', 'class',' Telkomsel ',' the application ',' satisfaction ',' dng ',' The application ']</v>
      </c>
      <c r="D1281" s="3">
        <v>1.0</v>
      </c>
    </row>
    <row r="1282" ht="15.75" customHeight="1">
      <c r="A1282" s="1">
        <v>1280.0</v>
      </c>
      <c r="B1282" s="3" t="s">
        <v>1283</v>
      </c>
      <c r="C1282" s="3" t="str">
        <f>IFERROR(__xludf.DUMMYFUNCTION("GOOGLETRANSLATE(B1282,""id"",""en"")"),"['signal', 'disappointing', 'Callcenter', 'Becus',' report ',' Change ',' contents', 'data', 'Sorry', 'honest', 'price', 'expensive', ' Quality ',' cheap ',' ']")</f>
        <v>['signal', 'disappointing', 'Callcenter', 'Becus',' report ',' Change ',' contents', 'data', 'Sorry', 'honest', 'price', 'expensive', ' Quality ',' cheap ',' ']</v>
      </c>
      <c r="D1282" s="3">
        <v>1.0</v>
      </c>
    </row>
    <row r="1283" ht="15.75" customHeight="1">
      <c r="A1283" s="1">
        <v>1281.0</v>
      </c>
      <c r="B1283" s="3" t="s">
        <v>1284</v>
      </c>
      <c r="C1283" s="3" t="str">
        <f>IFERROR(__xludf.DUMMYFUNCTION("GOOGLETRANSLATE(B1283,""id"",""en"")"),"['Prove', 'value', 'plus',' patient ',' proof ',' download ',' finished ',' direct ',' choice ',' update ',' double ',' quota ',' Data ',' Update ',' App ',' Update ',' Display ',' Daily ',' Check ',' MNDPT ',' Disappear ',' Disruption ',' APP ',' Spy ','"&amp;" Check ' , 'Tactics',' Tipu ',' Defended ',' Belain ',' Check ',' Appear ',' Display ',' Check ',' Daily ',' Sorry ',' Review ',' According to ',' Hope ',' Marketing ',' ']")</f>
        <v>['Prove', 'value', 'plus',' patient ',' proof ',' download ',' finished ',' direct ',' choice ',' update ',' double ',' quota ',' Data ',' Update ',' App ',' Update ',' Display ',' Daily ',' Check ',' MNDPT ',' Disappear ',' Disruption ',' APP ',' Spy ',' Check ' , 'Tactics',' Tipu ',' Defended ',' Belain ',' Check ',' Appear ',' Display ',' Check ',' Daily ',' Sorry ',' Review ',' According to ',' Hope ',' Marketing ',' ']</v>
      </c>
      <c r="D1283" s="3">
        <v>1.0</v>
      </c>
    </row>
    <row r="1284" ht="15.75" customHeight="1">
      <c r="A1284" s="1">
        <v>1282.0</v>
      </c>
      <c r="B1284" s="3" t="s">
        <v>1285</v>
      </c>
      <c r="C1284" s="3" t="str">
        <f>IFERROR(__xludf.DUMMYFUNCTION("GOOGLETRANSLATE(B1284,""id"",""en"")"),"['Daily', 'Check', 'Stamp', 'Dapetin', 'Gift', 'GB', 'Error', 'Daily', 'Check', 'Deliberate', 'Network', 'Smooth', ' Please ',' cheat ',' events', 'already', 'get', 'GB', 'Errr', ""]")</f>
        <v>['Daily', 'Check', 'Stamp', 'Dapetin', 'Gift', 'GB', 'Error', 'Daily', 'Check', 'Deliberate', 'Network', 'Smooth', ' Please ',' cheat ',' events', 'already', 'get', 'GB', 'Errr', "]</v>
      </c>
      <c r="D1284" s="3">
        <v>1.0</v>
      </c>
    </row>
    <row r="1285" ht="15.75" customHeight="1">
      <c r="A1285" s="1">
        <v>1283.0</v>
      </c>
      <c r="B1285" s="3" t="s">
        <v>1286</v>
      </c>
      <c r="C1285" s="3" t="str">
        <f>IFERROR(__xludf.DUMMYFUNCTION("GOOGLETRANSLATE(B1285,""id"",""en"")"),"['Disappointed', 'buy', 'Package', 'Telkomsel', 'already', 'Pay', 'Success',' Payment ',' Package ',' Enter ',' Buy ',' Package ',' App ',' ']")</f>
        <v>['Disappointed', 'buy', 'Package', 'Telkomsel', 'already', 'Pay', 'Success',' Payment ',' Package ',' Enter ',' Buy ',' Package ',' App ',' ']</v>
      </c>
      <c r="D1285" s="3">
        <v>1.0</v>
      </c>
    </row>
    <row r="1286" ht="15.75" customHeight="1">
      <c r="A1286" s="1">
        <v>1284.0</v>
      </c>
      <c r="B1286" s="3" t="s">
        <v>1287</v>
      </c>
      <c r="C1286" s="3" t="str">
        <f>IFERROR(__xludf.DUMMYFUNCTION("GOOGLETRANSLATE(B1286,""id"",""en"")"),"['Nowdays',' application ',' MyTelkomsel ',' experience ',' change ',' direction ',' have ',' look ',' interesting ',' easy ',' accessed ',' information ',' Service ',' Telkomsel ',' Application ',' Easy ',' understood ',' Shopping ',' Products', 'Telkoms"&amp;"el', 'Application', 'Ribet', 'enthusiasm', 'Team', 'Create' , 'Innovation', 'Telkomsel', 'Indonesia', 'advanced', ""]")</f>
        <v>['Nowdays',' application ',' MyTelkomsel ',' experience ',' change ',' direction ',' have ',' look ',' interesting ',' easy ',' accessed ',' information ',' Service ',' Telkomsel ',' Application ',' Easy ',' understood ',' Shopping ',' Products', 'Telkomsel', 'Application', 'Ribet', 'enthusiasm', 'Team', 'Create' , 'Innovation', 'Telkomsel', 'Indonesia', 'advanced', "]</v>
      </c>
      <c r="D1286" s="3">
        <v>5.0</v>
      </c>
    </row>
    <row r="1287" ht="15.75" customHeight="1">
      <c r="A1287" s="1">
        <v>1285.0</v>
      </c>
      <c r="B1287" s="3" t="s">
        <v>1288</v>
      </c>
      <c r="C1287" s="3" t="str">
        <f>IFERROR(__xludf.DUMMYFUNCTION("GOOGLETRANSLATE(B1287,""id"",""en"")"),"['Telkomsel', 'Severe', 'pulse', 'missing', 'notification', 'ad', 'product', 'then', 'moved', 'provider', 'rich', 'pulses',' lost', '']")</f>
        <v>['Telkomsel', 'Severe', 'pulse', 'missing', 'notification', 'ad', 'product', 'then', 'moved', 'provider', 'rich', 'pulses',' lost', '']</v>
      </c>
      <c r="D1287" s="3">
        <v>5.0</v>
      </c>
    </row>
    <row r="1288" ht="15.75" customHeight="1">
      <c r="A1288" s="1">
        <v>1286.0</v>
      </c>
      <c r="B1288" s="3" t="s">
        <v>1289</v>
      </c>
      <c r="C1288" s="3" t="str">
        <f>IFERROR(__xludf.DUMMYFUNCTION("GOOGLETRANSLATE(B1288,""id"",""en"")"),"['Try', 'Posts',' Column ',' Assessment ',' APK ',' Read ',' Pelototin ',' Doang ',' Value ',' APK ',' Bintang ',' Udh ',' Kcewa ',' Komsumen ',' TRHDP ',' Provider ',' Country ',' State ',' Concerned ',' Satisfaction ',' Customer ',' Tmbah ',' Season ','"&amp;" Original ',' Imagine ' , 'Package', 'APK', 'GB', 'Daily', 'BRP', 'Try', 'BLM', 'Buy', 'Package', 'Ampe', 'GB', 'Delicious',' buy ',' package ',' price ',' populat ',' udh ',' network ',' strong ',' tmbans', 'mbps',' appain ',' try ',' Gb ']")</f>
        <v>['Try', 'Posts',' Column ',' Assessment ',' APK ',' Read ',' Pelototin ',' Doang ',' Value ',' APK ',' Bintang ',' Udh ',' Kcewa ',' Komsumen ',' TRHDP ',' Provider ',' Country ',' State ',' Concerned ',' Satisfaction ',' Customer ',' Tmbah ',' Season ',' Original ',' Imagine ' , 'Package', 'APK', 'GB', 'Daily', 'BRP', 'Try', 'BLM', 'Buy', 'Package', 'Ampe', 'GB', 'Delicious',' buy ',' package ',' price ',' populat ',' udh ',' network ',' strong ',' tmbans', 'mbps',' appain ',' try ',' Gb ']</v>
      </c>
      <c r="D1288" s="3">
        <v>1.0</v>
      </c>
    </row>
    <row r="1289" ht="15.75" customHeight="1">
      <c r="A1289" s="1">
        <v>1287.0</v>
      </c>
      <c r="B1289" s="3" t="s">
        <v>1290</v>
      </c>
      <c r="C1289" s="3" t="str">
        <f>IFERROR(__xludf.DUMMYFUNCTION("GOOGLETRANSLATE(B1289,""id"",""en"")"),"['Please', 'Fix', 'Package', 'Game', 'Max', 'Buy', 'Package', 'Game', 'Max', 'Use', 'Free', 'Fire', ' Register ',' Game ',' Play ',' Paketan ']")</f>
        <v>['Please', 'Fix', 'Package', 'Game', 'Max', 'Buy', 'Package', 'Game', 'Max', 'Use', 'Free', 'Fire', ' Register ',' Game ',' Play ',' Paketan ']</v>
      </c>
      <c r="D1289" s="3">
        <v>4.0</v>
      </c>
    </row>
    <row r="1290" ht="15.75" customHeight="1">
      <c r="A1290" s="1">
        <v>1288.0</v>
      </c>
      <c r="B1290" s="3" t="s">
        <v>1291</v>
      </c>
      <c r="C1290" s="3" t="str">
        <f>IFERROR(__xludf.DUMMYFUNCTION("GOOGLETRANSLATE(B1290,""id"",""en"")"),"['LEG', 'Difficult', 'sedi understand', 'yrs',' card ',' feel ',' name ',' free ',' bonus', 'telkomse', 'card', 'wrong', ' Telkomsel ',' ']")</f>
        <v>['LEG', 'Difficult', 'sedi understand', 'yrs',' card ',' feel ',' name ',' free ',' bonus', 'telkomse', 'card', 'wrong', ' Telkomsel ',' ']</v>
      </c>
      <c r="D1290" s="3">
        <v>3.0</v>
      </c>
    </row>
    <row r="1291" ht="15.75" customHeight="1">
      <c r="A1291" s="1">
        <v>1289.0</v>
      </c>
      <c r="B1291" s="3" t="s">
        <v>1292</v>
      </c>
      <c r="C1291" s="3" t="str">
        <f>IFERROR(__xludf.DUMMYFUNCTION("GOOGLETRANSLATE(B1291,""id"",""en"")"),"['Come', 'signal', 'Telkomsel', 'improved', 'deteriorated', 'please', 'fix', 'network', 'expensive', 'doang', 'network', 'bad', ' Worth ',' ']")</f>
        <v>['Come', 'signal', 'Telkomsel', 'improved', 'deteriorated', 'please', 'fix', 'network', 'expensive', 'doang', 'network', 'bad', ' Worth ',' ']</v>
      </c>
      <c r="D1291" s="3">
        <v>1.0</v>
      </c>
    </row>
    <row r="1292" ht="15.75" customHeight="1">
      <c r="A1292" s="1">
        <v>1290.0</v>
      </c>
      <c r="B1292" s="3" t="s">
        <v>1293</v>
      </c>
      <c r="C1292" s="3" t="str">
        <f>IFERROR(__xludf.DUMMYFUNCTION("GOOGLETRANSLATE(B1292,""id"",""en"")"),"['like', 'application', 'application', 'good', 'pull', 'promotion', 'according to', 'money', 'already', 'GB', 'thousand', 'expensive', ' times', 'please', 'promotion', 'perman', 'little', 'down', 'money', '']")</f>
        <v>['like', 'application', 'application', 'good', 'pull', 'promotion', 'according to', 'money', 'already', 'GB', 'thousand', 'expensive', ' times', 'please', 'promotion', 'perman', 'little', 'down', 'money', '']</v>
      </c>
      <c r="D1292" s="3">
        <v>2.0</v>
      </c>
    </row>
    <row r="1293" ht="15.75" customHeight="1">
      <c r="A1293" s="1">
        <v>1291.0</v>
      </c>
      <c r="B1293" s="3" t="s">
        <v>1294</v>
      </c>
      <c r="C1293" s="3" t="str">
        <f>IFERROR(__xludf.DUMMYFUNCTION("GOOGLETRANSLATE(B1293,""id"",""en"")"),"['Hold', 'already', 'Telkomsel', 'Honey', 'Leet', 'Telokomsel', 'Times',' Costumercare ',' replication ',' Ada ',' Ganguan ',' Please, 'Telkomsel', 'Lost']")</f>
        <v>['Hold', 'already', 'Telkomsel', 'Honey', 'Leet', 'Telokomsel', 'Times',' Costumercare ',' replication ',' Ada ',' Ganguan ',' Please, 'Telkomsel', 'Lost']</v>
      </c>
      <c r="D1293" s="3">
        <v>4.0</v>
      </c>
    </row>
    <row r="1294" ht="15.75" customHeight="1">
      <c r="A1294" s="1">
        <v>1292.0</v>
      </c>
      <c r="B1294" s="3" t="s">
        <v>1295</v>
      </c>
      <c r="C1294" s="3" t="str">
        <f>IFERROR(__xludf.DUMMYFUNCTION("GOOGLETRANSLATE(B1294,""id"",""en"")"),"['The application', 'already', 'good', 'quality', 'signal', 'repaired', 'bandwidth', 'subtract', 'biter', 'what', 'network', 'stable', ' consistent ',' sorry ',' error ',' sentence ',' network ',' capacity ',' ']")</f>
        <v>['The application', 'already', 'good', 'quality', 'signal', 'repaired', 'bandwidth', 'subtract', 'biter', 'what', 'network', 'stable', ' consistent ',' sorry ',' error ',' sentence ',' network ',' capacity ',' ']</v>
      </c>
      <c r="D1294" s="3">
        <v>3.0</v>
      </c>
    </row>
    <row r="1295" ht="15.75" customHeight="1">
      <c r="A1295" s="1">
        <v>1293.0</v>
      </c>
      <c r="B1295" s="3" t="s">
        <v>1296</v>
      </c>
      <c r="C1295" s="3" t="str">
        <f>IFERROR(__xludf.DUMMYFUNCTION("GOOGLETRANSLATE(B1295,""id"",""en"")"),"['', 'star', 'here', 'Performance', 'Telkomsel', 'Down', 'Sekenceng', 'Love', 'Review', 'Entering', 'Searching', 'Google', 'Very ',' suggestion ',' bold ',' ride ',' price ',' package ',' quota ',' internet ',' cervical ',' yng ',' users', 'nurunin', 'tru"&amp;"st', 'User', 'Thank you', '']")</f>
        <v>['', 'star', 'here', 'Performance', 'Telkomsel', 'Down', 'Sekenceng', 'Love', 'Review', 'Entering', 'Searching', 'Google', 'Very ',' suggestion ',' bold ',' ride ',' price ',' package ',' quota ',' internet ',' cervical ',' yng ',' users', 'nurunin', 'trust', 'User', 'Thank you', '']</v>
      </c>
      <c r="D1295" s="3">
        <v>2.0</v>
      </c>
    </row>
    <row r="1296" ht="15.75" customHeight="1">
      <c r="A1296" s="1">
        <v>1294.0</v>
      </c>
      <c r="B1296" s="3" t="s">
        <v>1297</v>
      </c>
      <c r="C1296" s="3" t="str">
        <f>IFERROR(__xludf.DUMMYFUNCTION("GOOGLETRANSLATE(B1296,""id"",""en"")"),"['Done', 'Developer', 'Telkomsel', 'Dear', 'Please', 'Pulse', 'Taken', 'Salah', 'Credit', 'Stay', 'Silver', 'Reduced', ' Debt ',' Program ',' Check ',' Claims', 'Quota', 'Taste', 'Sia', 'Sia', 'Check', ""]")</f>
        <v>['Done', 'Developer', 'Telkomsel', 'Dear', 'Please', 'Pulse', 'Taken', 'Salah', 'Credit', 'Stay', 'Silver', 'Reduced', ' Debt ',' Program ',' Check ',' Claims', 'Quota', 'Taste', 'Sia', 'Sia', 'Check', "]</v>
      </c>
      <c r="D1296" s="3">
        <v>1.0</v>
      </c>
    </row>
    <row r="1297" ht="15.75" customHeight="1">
      <c r="A1297" s="1">
        <v>1295.0</v>
      </c>
      <c r="B1297" s="3" t="s">
        <v>1298</v>
      </c>
      <c r="C1297" s="3" t="str">
        <f>IFERROR(__xludf.DUMMYFUNCTION("GOOGLETRANSLATE(B1297,""id"",""en"")"),"['crazy', 'buy', 'package', 'sms',' free ',' phone ',' free ',' proof ',' cheater ',' doang ',' company ',' name ',' Live ',' chat ',' email ',' fear ',' complaint ',' kebaca ',' mentally ',' abal ',' abal ',' Telkomsel ']")</f>
        <v>['crazy', 'buy', 'package', 'sms',' free ',' phone ',' free ',' proof ',' cheater ',' doang ',' company ',' name ',' Live ',' chat ',' email ',' fear ',' complaint ',' kebaca ',' mentally ',' abal ',' abal ',' Telkomsel ']</v>
      </c>
      <c r="D1297" s="3">
        <v>1.0</v>
      </c>
    </row>
    <row r="1298" ht="15.75" customHeight="1">
      <c r="A1298" s="1">
        <v>1296.0</v>
      </c>
      <c r="B1298" s="3" t="s">
        <v>1299</v>
      </c>
      <c r="C1298" s="3" t="str">
        <f>IFERROR(__xludf.DUMMYFUNCTION("GOOGLETRANSLATE(B1298,""id"",""en"")"),"['Operator', 'gini', 'provider', 'wide', 'good', 'reach', 'land', 'Lahh', 'level', 'sub-district', 'network', 'super', ' duper ',' slow ',' bin ',' used ',' use ',' bagusan ',' network ',' use ',' login ',' game ',' play ',' gakbisa ',' package ' , 'expen"&amp;"sive', 'really', 'Pulak', 'thought', 'sophisticated', 'technology', 'network', 'provider', 'Telkomsel', 'bad', ""]")</f>
        <v>['Operator', 'gini', 'provider', 'wide', 'good', 'reach', 'land', 'Lahh', 'level', 'sub-district', 'network', 'super', ' duper ',' slow ',' bin ',' used ',' use ',' bagusan ',' network ',' use ',' login ',' game ',' play ',' gakbisa ',' package ' , 'expensive', 'really', 'Pulak', 'thought', 'sophisticated', 'technology', 'network', 'provider', 'Telkomsel', 'bad', "]</v>
      </c>
      <c r="D1298" s="3">
        <v>1.0</v>
      </c>
    </row>
    <row r="1299" ht="15.75" customHeight="1">
      <c r="A1299" s="1">
        <v>1297.0</v>
      </c>
      <c r="B1299" s="3" t="s">
        <v>1300</v>
      </c>
      <c r="C1299" s="3" t="str">
        <f>IFERROR(__xludf.DUMMYFUNCTION("GOOGLETRANSLATE(B1299,""id"",""en"")"),"['Telkomsel', 'Severe', 'Network', 'Quota', 'Unlimited', 'Kya', 'Gini', 'Move', 'Fix', 'City']")</f>
        <v>['Telkomsel', 'Severe', 'Network', 'Quota', 'Unlimited', 'Kya', 'Gini', 'Move', 'Fix', 'City']</v>
      </c>
      <c r="D1299" s="3">
        <v>1.0</v>
      </c>
    </row>
    <row r="1300" ht="15.75" customHeight="1">
      <c r="A1300" s="1">
        <v>1298.0</v>
      </c>
      <c r="B1300" s="3" t="s">
        <v>1301</v>
      </c>
      <c r="C1300" s="3" t="str">
        <f>IFERROR(__xludf.DUMMYFUNCTION("GOOGLETRANSLATE(B1300,""id"",""en"")"),"['name', 'Syarif', 'in the area', 'Kec', 'Muara', 'Kab', 'Taput', 'Prov', 'North Sumatra', 'Please', 'Noted', 'Network', ' Complaining ',' users', 'card', 'owned', 'Telkomsel', 'Gara', 'Network', 'Leet', 'Please', 'Please', 'Note', 'Telkomsel', 'Telkomsel"&amp;"' , 'Win', 'Brand', 'Donk', 'Prove', 'Loyalty', 'Connection', 'Internet', 'Consider', 'Indonesia', 'Thanks',' Wait ',' Implementation ',' Technicians', 'field', '']")</f>
        <v>['name', 'Syarif', 'in the area', 'Kec', 'Muara', 'Kab', 'Taput', 'Prov', 'North Sumatra', 'Please', 'Noted', 'Network', ' Complaining ',' users', 'card', 'owned', 'Telkomsel', 'Gara', 'Network', 'Leet', 'Please', 'Please', 'Note', 'Telkomsel', 'Telkomsel' , 'Win', 'Brand', 'Donk', 'Prove', 'Loyalty', 'Connection', 'Internet', 'Consider', 'Indonesia', 'Thanks',' Wait ',' Implementation ',' Technicians', 'field', '']</v>
      </c>
      <c r="D1300" s="3">
        <v>1.0</v>
      </c>
    </row>
    <row r="1301" ht="15.75" customHeight="1">
      <c r="A1301" s="1">
        <v>1299.0</v>
      </c>
      <c r="B1301" s="3" t="s">
        <v>1302</v>
      </c>
      <c r="C1301" s="3" t="str">
        <f>IFERROR(__xludf.DUMMYFUNCTION("GOOGLETRANSLATE(B1301,""id"",""en"")"),"['Please', 'sorry', 'Telkomsel', 'sduah', 'update', 'baru', 'tetep', 'ngk', 'login', 'min', 'right', 'press',' Open ',' Play ',' Store ',' Update ',' UDH ',' Update ',' Play ',' Store ',' Min ',' Kek ',' Solution ',' Min ']")</f>
        <v>['Please', 'sorry', 'Telkomsel', 'sduah', 'update', 'baru', 'tetep', 'ngk', 'login', 'min', 'right', 'press',' Open ',' Play ',' Store ',' Update ',' UDH ',' Update ',' Play ',' Store ',' Min ',' Kek ',' Solution ',' Min ']</v>
      </c>
      <c r="D1301" s="3">
        <v>4.0</v>
      </c>
    </row>
    <row r="1302" ht="15.75" customHeight="1">
      <c r="A1302" s="1">
        <v>1300.0</v>
      </c>
      <c r="B1302" s="3" t="s">
        <v>1303</v>
      </c>
      <c r="C1302" s="3" t="str">
        <f>IFERROR(__xludf.DUMMYFUNCTION("GOOGLETRANSLATE(B1302,""id"",""en"")"),"['Sometimes', 'Telkomsel', 'strange', 'check', 'package', 'data', 'apk', 'telkomsel', 'sms', 'enter', 'minute', 'tell' Credit ',' Package ',' Data ',' Rupiah ',' Season ',' Cave ',' Sometimes', 'SMS', 'Sometimes',' SMS ',' Collect ',' Credit ', ""]")</f>
        <v>['Sometimes', 'Telkomsel', 'strange', 'check', 'package', 'data', 'apk', 'telkomsel', 'sms', 'enter', 'minute', 'tell' Credit ',' Package ',' Data ',' Rupiah ',' Season ',' Cave ',' Sometimes', 'SMS', 'Sometimes',' SMS ',' Collect ',' Credit ', "]</v>
      </c>
      <c r="D1302" s="3">
        <v>1.0</v>
      </c>
    </row>
    <row r="1303" ht="15.75" customHeight="1">
      <c r="A1303" s="1">
        <v>1301.0</v>
      </c>
      <c r="B1303" s="3" t="s">
        <v>1304</v>
      </c>
      <c r="C1303" s="3" t="str">
        <f>IFERROR(__xludf.DUMMYFUNCTION("GOOGLETRANSLATE(B1303,""id"",""en"")"),"['quota', 'multimedia', 'docked', 'quota', 'internet', 'first', 'run out', 'point', 'quota', 'multimedia', 'lure', 'lure', ' Doang ',' Please ',' Fix ',' Customer ',' Satisfied ',' Sia ',' Sia ',' Quota ',' Multimedia ',' GB ',' Hangus', 'That's',' ']")</f>
        <v>['quota', 'multimedia', 'docked', 'quota', 'internet', 'first', 'run out', 'point', 'quota', 'multimedia', 'lure', 'lure', ' Doang ',' Please ',' Fix ',' Customer ',' Satisfied ',' Sia ',' Sia ',' Quota ',' Multimedia ',' GB ',' Hangus', 'That's',' ']</v>
      </c>
      <c r="D1303" s="3">
        <v>1.0</v>
      </c>
    </row>
    <row r="1304" ht="15.75" customHeight="1">
      <c r="A1304" s="1">
        <v>1302.0</v>
      </c>
      <c r="B1304" s="3" t="s">
        <v>1305</v>
      </c>
      <c r="C1304" s="3" t="str">
        <f>IFERROR(__xludf.DUMMYFUNCTION("GOOGLETRANSLATE(B1304,""id"",""en"")"),"['Please', 'Telkomsel', 'Fix', 'Buy', 'Paketan', 'GB', 'GB', 'Internet', 'GB', 'Chat', 'Media', 'Game', ' SOSMED ',' KGA ',' quota ',' GB ',' Mending ',' Satukuk ',' Internet ',' Papa ',' GB ',' Useful ',' Quota ']")</f>
        <v>['Please', 'Telkomsel', 'Fix', 'Buy', 'Paketan', 'GB', 'GB', 'Internet', 'GB', 'Chat', 'Media', 'Game', ' SOSMED ',' KGA ',' quota ',' GB ',' Mending ',' Satukuk ',' Internet ',' Papa ',' GB ',' Useful ',' Quota ']</v>
      </c>
      <c r="D1304" s="3">
        <v>1.0</v>
      </c>
    </row>
    <row r="1305" ht="15.75" customHeight="1">
      <c r="A1305" s="1">
        <v>1303.0</v>
      </c>
      <c r="B1305" s="3" t="s">
        <v>1306</v>
      </c>
      <c r="C1305" s="3" t="str">
        <f>IFERROR(__xludf.DUMMYFUNCTION("GOOGLETRANSLATE(B1305,""id"",""en"")"),"['signal', 'ugly', 'package', 'friend', 'signal', 'disappointed', 'Telkomsel', 'already', 'a week', 'rich', 'gini']")</f>
        <v>['signal', 'ugly', 'package', 'friend', 'signal', 'disappointed', 'Telkomsel', 'already', 'a week', 'rich', 'gini']</v>
      </c>
      <c r="D1305" s="3">
        <v>1.0</v>
      </c>
    </row>
    <row r="1306" ht="15.75" customHeight="1">
      <c r="A1306" s="1">
        <v>1304.0</v>
      </c>
      <c r="B1306" s="3" t="s">
        <v>1307</v>
      </c>
      <c r="C1306" s="3" t="str">
        <f>IFERROR(__xludf.DUMMYFUNCTION("GOOGLETRANSLATE(B1306,""id"",""en"")"),"['application', 'bad', 'cave', 'buy', 'quota', 'reasons',' buy ',' package ',' oath ',' sleep ',' really ',' what ',' behavior ',' card ',' gini ',' buy ',' card ',' Telkomsel ',' regret ',' ']")</f>
        <v>['application', 'bad', 'cave', 'buy', 'quota', 'reasons',' buy ',' package ',' oath ',' sleep ',' really ',' what ',' behavior ',' card ',' gini ',' buy ',' card ',' Telkomsel ',' regret ',' ']</v>
      </c>
      <c r="D1306" s="3">
        <v>1.0</v>
      </c>
    </row>
    <row r="1307" ht="15.75" customHeight="1">
      <c r="A1307" s="1">
        <v>1305.0</v>
      </c>
      <c r="B1307" s="3" t="s">
        <v>1308</v>
      </c>
      <c r="C1307" s="3" t="str">
        <f>IFERROR(__xludf.DUMMYFUNCTION("GOOGLETRANSLATE(B1307,""id"",""en"")"),"['regret', 'buy', 'quota', 'application', 'open', 'for a while', 'pulse', 'direct', 'ilang', 'usex', 'eat', 'pulses',' ']")</f>
        <v>['regret', 'buy', 'quota', 'application', 'open', 'for a while', 'pulse', 'direct', 'ilang', 'usex', 'eat', 'pulses',' ']</v>
      </c>
      <c r="D1307" s="3">
        <v>3.0</v>
      </c>
    </row>
    <row r="1308" ht="15.75" customHeight="1">
      <c r="A1308" s="1">
        <v>1306.0</v>
      </c>
      <c r="B1308" s="3" t="s">
        <v>1309</v>
      </c>
      <c r="C1308" s="3" t="str">
        <f>IFERROR(__xludf.DUMMYFUNCTION("GOOGLETRANSLATE(B1308,""id"",""en"")"),"['Signal', 'Bad', 'Package', 'Combo', 'Sakti', 'Sakti', 'Signal', 'Like', 'Lost', 'Metland', 'Cileungsi', 'expensive', ' Doank ',' ']")</f>
        <v>['Signal', 'Bad', 'Package', 'Combo', 'Sakti', 'Sakti', 'Signal', 'Like', 'Lost', 'Metland', 'Cileungsi', 'expensive', ' Doank ',' ']</v>
      </c>
      <c r="D1308" s="3">
        <v>1.0</v>
      </c>
    </row>
    <row r="1309" ht="15.75" customHeight="1">
      <c r="A1309" s="1">
        <v>1307.0</v>
      </c>
      <c r="B1309" s="3" t="s">
        <v>1310</v>
      </c>
      <c r="C1309" s="3" t="str">
        <f>IFERROR(__xludf.DUMMYFUNCTION("GOOGLETRANSLATE(B1309,""id"",""en"")"),"['disappointing', 'trust', 'complaints',' all ',' time ',' alternating ',' gada ',' improvement ',' significant ',' user ',' card ',' telkom ',' Indihom ',' unfortunate ',' move ',' operator ',' logical ',' mksud ',' provoking ',' statement ',' as clearly"&amp;" ',' according to ',' reality ', ""]")</f>
        <v>['disappointing', 'trust', 'complaints',' all ',' time ',' alternating ',' gada ',' improvement ',' significant ',' user ',' card ',' telkom ',' Indihom ',' unfortunate ',' move ',' operator ',' logical ',' mksud ',' provoking ',' statement ',' as clearly ',' according to ',' reality ', "]</v>
      </c>
      <c r="D1309" s="3">
        <v>1.0</v>
      </c>
    </row>
    <row r="1310" ht="15.75" customHeight="1">
      <c r="A1310" s="1">
        <v>1308.0</v>
      </c>
      <c r="B1310" s="3" t="s">
        <v>1311</v>
      </c>
      <c r="C1310" s="3" t="str">
        <f>IFERROR(__xludf.DUMMYFUNCTION("GOOGLETRANSLATE(B1310,""id"",""en"")"),"['friend', 'cheerful', 'quota', 'big', 'price', 'cheap', 'turn', 'cheerful', 'quota', 'a little', 'price', 'expensive', ' lie ',' user ',' sympathy ',' come on ',' cheerful ',' ']")</f>
        <v>['friend', 'cheerful', 'quota', 'big', 'price', 'cheap', 'turn', 'cheerful', 'quota', 'a little', 'price', 'expensive', ' lie ',' user ',' sympathy ',' come on ',' cheerful ',' ']</v>
      </c>
      <c r="D1310" s="3">
        <v>1.0</v>
      </c>
    </row>
    <row r="1311" ht="15.75" customHeight="1">
      <c r="A1311" s="1">
        <v>1309.0</v>
      </c>
      <c r="B1311" s="3" t="s">
        <v>1312</v>
      </c>
      <c r="C1311" s="3" t="str">
        <f>IFERROR(__xludf.DUMMYFUNCTION("GOOGLETRANSLATE(B1311,""id"",""en"")"),"['already', 'update', 'confusing', 'column', 'search', 'mending', 'version', 'move', 'card', 'link', 'already', 'promo']")</f>
        <v>['already', 'update', 'confusing', 'column', 'search', 'mending', 'version', 'move', 'card', 'link', 'already', 'promo']</v>
      </c>
      <c r="D1311" s="3">
        <v>3.0</v>
      </c>
    </row>
    <row r="1312" ht="15.75" customHeight="1">
      <c r="A1312" s="1">
        <v>1310.0</v>
      </c>
      <c r="B1312" s="3" t="s">
        <v>1313</v>
      </c>
      <c r="C1312" s="3" t="str">
        <f>IFERROR(__xludf.DUMMYFUNCTION("GOOGLETRANSLATE(B1312,""id"",""en"")"),"['Ayok', 'Rame', 'Rame', 'Love', 'Rating', 'Udag', 'Times',' Limai ',' Active ',' Stay ',' Already ',' unlimited ',' boundary ',' allotment ',' use ',' already ',' search ',' provider ',' friend ',' ']")</f>
        <v>['Ayok', 'Rame', 'Rame', 'Love', 'Rating', 'Udag', 'Times',' Limai ',' Active ',' Stay ',' Already ',' unlimited ',' boundary ',' allotment ',' use ',' already ',' search ',' provider ',' friend ',' ']</v>
      </c>
      <c r="D1312" s="3">
        <v>1.0</v>
      </c>
    </row>
    <row r="1313" ht="15.75" customHeight="1">
      <c r="A1313" s="1">
        <v>1311.0</v>
      </c>
      <c r="B1313" s="3" t="s">
        <v>1314</v>
      </c>
      <c r="C1313" s="3" t="str">
        <f>IFERROR(__xludf.DUMMYFUNCTION("GOOGLETRANSLATE(B1313,""id"",""en"")"),"['Signal', 'Weak', 'Pre', 'Pay', 'Sampe', 'Post', 'Pay', 'Expensive', 'Quality', 'Hypocrit', 'User', 'Telkomsel', ' disappointed ',' Chatt ',' Veronika ',' signal ',' result ',' thx ']")</f>
        <v>['Signal', 'Weak', 'Pre', 'Pay', 'Sampe', 'Post', 'Pay', 'Expensive', 'Quality', 'Hypocrit', 'User', 'Telkomsel', ' disappointed ',' Chatt ',' Veronika ',' signal ',' result ',' thx ']</v>
      </c>
      <c r="D1313" s="3">
        <v>1.0</v>
      </c>
    </row>
    <row r="1314" ht="15.75" customHeight="1">
      <c r="A1314" s="1">
        <v>1312.0</v>
      </c>
      <c r="B1314" s="3" t="s">
        <v>1315</v>
      </c>
      <c r="C1314" s="3" t="str">
        <f>IFERROR(__xludf.DUMMYFUNCTION("GOOGLETRANSLATE(B1314,""id"",""en"")"),"['suggestion', 'send', 'sms', 'spam', 'useful', 'person', 'happy', 'sms', 'spam', 'what's', 'rest', 'in the future']")</f>
        <v>['suggestion', 'send', 'sms', 'spam', 'useful', 'person', 'happy', 'sms', 'spam', 'what's', 'rest', 'in the future']</v>
      </c>
      <c r="D1314" s="3">
        <v>1.0</v>
      </c>
    </row>
    <row r="1315" ht="15.75" customHeight="1">
      <c r="A1315" s="1">
        <v>1313.0</v>
      </c>
      <c r="B1315" s="3" t="s">
        <v>1316</v>
      </c>
      <c r="C1315" s="3" t="str">
        <f>IFERROR(__xludf.DUMMYFUNCTION("GOOGLETRANSLATE(B1315,""id"",""en"")"),"['Star', 'Reduce', 'Network', 'Telkomsel', 'Sebagus', 'Please', 'Level', 'Quality', 'Network', 'Yerima', 'Love', ""]")</f>
        <v>['Star', 'Reduce', 'Network', 'Telkomsel', 'Sebagus', 'Please', 'Level', 'Quality', 'Network', 'Yerima', 'Love', "]</v>
      </c>
      <c r="D1315" s="3">
        <v>2.0</v>
      </c>
    </row>
    <row r="1316" ht="15.75" customHeight="1">
      <c r="A1316" s="1">
        <v>1314.0</v>
      </c>
      <c r="B1316" s="3" t="s">
        <v>1317</v>
      </c>
      <c r="C1316" s="3" t="str">
        <f>IFERROR(__xludf.DUMMYFUNCTION("GOOGLETRANSLATE(B1316,""id"",""en"")"),"['Telkomsel', 'taik', 'sad', 'stuck', 'pke', 'number', 'telkomsel', 'service', 'kayak', 'taik', 'told', 'open', ' Application ',' Telkomsel ',' Access', 'Internet', 'Satan', 'Region', 'Msih', 'DKI', 'Sinyal', 'Severe', 'BGitu', 'Enter', 'Telkomsel' , 'Non"&amp;"gol', 'contents', 'use', 'product', 'Telkomsel', 'suggest', 'check', 'product', 'next door', 'Telkomsel', 'complicated', ""]")</f>
        <v>['Telkomsel', 'taik', 'sad', 'stuck', 'pke', 'number', 'telkomsel', 'service', 'kayak', 'taik', 'told', 'open', ' Application ',' Telkomsel ',' Access', 'Internet', 'Satan', 'Region', 'Msih', 'DKI', 'Sinyal', 'Severe', 'BGitu', 'Enter', 'Telkomsel' , 'Nongol', 'contents', 'use', 'product', 'Telkomsel', 'suggest', 'check', 'product', 'next door', 'Telkomsel', 'complicated', "]</v>
      </c>
      <c r="D1316" s="3">
        <v>1.0</v>
      </c>
    </row>
    <row r="1317" ht="15.75" customHeight="1">
      <c r="A1317" s="1">
        <v>1315.0</v>
      </c>
      <c r="B1317" s="3" t="s">
        <v>1318</v>
      </c>
      <c r="C1317" s="3" t="str">
        <f>IFERROR(__xludf.DUMMYFUNCTION("GOOGLETRANSLATE(B1317,""id"",""en"")"),"['Woy', 'Bener', 'Napa', 'play', 'Game', 'calm', 'really', 'signal', 'down', 'Mulu', 'Blood', 'Telkomsel', ' Already ',' BBRAPA ',' Network ',' Drop ',' Mulu ',' Asked ',' Kaga ',' Bales', '']")</f>
        <v>['Woy', 'Bener', 'Napa', 'play', 'Game', 'calm', 'really', 'signal', 'down', 'Mulu', 'Blood', 'Telkomsel', ' Already ',' BBRAPA ',' Network ',' Drop ',' Mulu ',' Asked ',' Kaga ',' Bales', '']</v>
      </c>
      <c r="D1317" s="3">
        <v>5.0</v>
      </c>
    </row>
    <row r="1318" ht="15.75" customHeight="1">
      <c r="A1318" s="1">
        <v>1316.0</v>
      </c>
      <c r="B1318" s="3" t="s">
        <v>1319</v>
      </c>
      <c r="C1318" s="3" t="str">
        <f>IFERROR(__xludf.DUMMYFUNCTION("GOOGLETRANSLATE(B1318,""id"",""en"")"),"['The', 'Most', 'Useless',' Application ',' Ever ',' Update ',' Login ',' Written ',' Something ',' Wrong ',' Yahh ',' Bug ',' Launched ',' Application ',' Telkomsel ',' Operator ',' Richest ',' Indo ',' Developer ',' Application ',' ']")</f>
        <v>['The', 'Most', 'Useless',' Application ',' Ever ',' Update ',' Login ',' Written ',' Something ',' Wrong ',' Yahh ',' Bug ',' Launched ',' Application ',' Telkomsel ',' Operator ',' Richest ',' Indo ',' Developer ',' Application ',' ']</v>
      </c>
      <c r="D1318" s="3">
        <v>1.0</v>
      </c>
    </row>
    <row r="1319" ht="15.75" customHeight="1">
      <c r="A1319" s="1">
        <v>1317.0</v>
      </c>
      <c r="B1319" s="3" t="s">
        <v>1320</v>
      </c>
      <c r="C1319" s="3" t="str">
        <f>IFERROR(__xludf.DUMMYFUNCTION("GOOGLETRANSLATE(B1319,""id"",""en"")"),"['update', 'buy', 'package', 'told', 'update', 'pity', 'person', 'person', 'money', 'buy', 'package', 'right', ' Claims', 'gifts',' failed ',' boundaries', 'daily', 'claims',' lot ',' gift ',' so ',' already ',' fix ',' love ',' star ' ]")</f>
        <v>['update', 'buy', 'package', 'told', 'update', 'pity', 'person', 'person', 'money', 'buy', 'package', 'right', ' Claims', 'gifts',' failed ',' boundaries', 'daily', 'claims',' lot ',' gift ',' so ',' already ',' fix ',' love ',' star ' ]</v>
      </c>
      <c r="D1319" s="3">
        <v>3.0</v>
      </c>
    </row>
    <row r="1320" ht="15.75" customHeight="1">
      <c r="A1320" s="1">
        <v>1318.0</v>
      </c>
      <c r="B1320" s="3" t="s">
        <v>1321</v>
      </c>
      <c r="C1320" s="3" t="str">
        <f>IFERROR(__xludf.DUMMYFUNCTION("GOOGLETRANSLATE(B1320,""id"",""en"")"),"['Love', 'Bintang', 'Village', 'Rawangkalo', 'Kecamatan', 'Riung', 'Kab', 'Ngada', 'NTT', 'Service', 'Network', 'Optimal', ' exactly ',' network ',' Telkomsel ',' village ',' missing ',' appears', 'scheduled', 'morning', 'wita', 'appears',' night ',' lost"&amp;" ',' his day ' , 'Sometimes', 'Lost', 'Wait', 'Customer', 'Loss']")</f>
        <v>['Love', 'Bintang', 'Village', 'Rawangkalo', 'Kecamatan', 'Riung', 'Kab', 'Ngada', 'NTT', 'Service', 'Network', 'Optimal', ' exactly ',' network ',' Telkomsel ',' village ',' missing ',' appears', 'scheduled', 'morning', 'wita', 'appears',' night ',' lost ',' his day ' , 'Sometimes', 'Lost', 'Wait', 'Customer', 'Loss']</v>
      </c>
      <c r="D1320" s="3">
        <v>2.0</v>
      </c>
    </row>
    <row r="1321" ht="15.75" customHeight="1">
      <c r="A1321" s="1">
        <v>1319.0</v>
      </c>
      <c r="B1321" s="3" t="s">
        <v>1322</v>
      </c>
      <c r="C1321" s="3" t="str">
        <f>IFERROR(__xludf.DUMMYFUNCTION("GOOGLETRANSLATE(B1321,""id"",""en"")"),"['Good', 'makes it easy', 'user', 'fraud', 'claim', 'results', 'login', 'direct', 'according to', 'printed', 'promo', ""]")</f>
        <v>['Good', 'makes it easy', 'user', 'fraud', 'claim', 'results', 'login', 'direct', 'according to', 'printed', 'promo', "]</v>
      </c>
      <c r="D1321" s="3">
        <v>5.0</v>
      </c>
    </row>
    <row r="1322" ht="15.75" customHeight="1">
      <c r="A1322" s="1">
        <v>1320.0</v>
      </c>
      <c r="B1322" s="3" t="s">
        <v>1323</v>
      </c>
      <c r="C1322" s="3" t="str">
        <f>IFERROR(__xludf.DUMMYFUNCTION("GOOGLETRANSLATE(B1322,""id"",""en"")"),"['Good', 'easy', 'transaction', 'Where', 'TPI', 'Points', 'Tuker', 'Points', 'ilang']")</f>
        <v>['Good', 'easy', 'transaction', 'Where', 'TPI', 'Points', 'Tuker', 'Points', 'ilang']</v>
      </c>
      <c r="D1322" s="3">
        <v>4.0</v>
      </c>
    </row>
    <row r="1323" ht="15.75" customHeight="1">
      <c r="A1323" s="1">
        <v>1321.0</v>
      </c>
      <c r="B1323" s="3" t="s">
        <v>1324</v>
      </c>
      <c r="C1323" s="3" t="str">
        <f>IFERROR(__xludf.DUMMYFUNCTION("GOOGLETRANSLATE(B1323,""id"",""en"")"),"['Please', 'service', 'maximize', 'Telkomsel', 'update', 'slow', 'see', 'side', 'criticism', 'see', 'side', 'forward', ' developing ',' believe ',' aka ',' Amanah ',' ']")</f>
        <v>['Please', 'service', 'maximize', 'Telkomsel', 'update', 'slow', 'see', 'side', 'criticism', 'see', 'side', 'forward', ' developing ',' believe ',' aka ',' Amanah ',' ']</v>
      </c>
      <c r="D1323" s="3">
        <v>1.0</v>
      </c>
    </row>
    <row r="1324" ht="15.75" customHeight="1">
      <c r="A1324" s="1">
        <v>1322.0</v>
      </c>
      <c r="B1324" s="3" t="s">
        <v>1325</v>
      </c>
      <c r="C1324" s="3" t="str">
        <f>IFERROR(__xludf.DUMMYFUNCTION("GOOGLETRANSLATE(B1324,""id"",""en"")"),"['Kasi', 'right', 'grace', 'run out', 'contents',' package ',' already ',' increase ',' already ',' contents', 'package', 'Telkomsel', ' routine', '']")</f>
        <v>['Kasi', 'right', 'grace', 'run out', 'contents',' package ',' already ',' increase ',' already ',' contents', 'package', 'Telkomsel', ' routine', '']</v>
      </c>
      <c r="D1324" s="3">
        <v>1.0</v>
      </c>
    </row>
    <row r="1325" ht="15.75" customHeight="1">
      <c r="A1325" s="1">
        <v>1323.0</v>
      </c>
      <c r="B1325" s="3" t="s">
        <v>1326</v>
      </c>
      <c r="C1325" s="3" t="str">
        <f>IFERROR(__xludf.DUMMYFUNCTION("GOOGLETRANSLATE(B1325,""id"",""en"")"),"['Actually', 'uses',' quota ',' multimedia ',' kog ',' run out ',' first ',' quota ',' internet ',' dlu ',' youtoan ',' chick ',' Quota ',' internet ',' dlu ',' tlong ', ""]")</f>
        <v>['Actually', 'uses',' quota ',' multimedia ',' kog ',' run out ',' first ',' quota ',' internet ',' dlu ',' youtoan ',' chick ',' Quota ',' internet ',' dlu ',' tlong ', "]</v>
      </c>
      <c r="D1325" s="3">
        <v>1.0</v>
      </c>
    </row>
    <row r="1326" ht="15.75" customHeight="1">
      <c r="A1326" s="1">
        <v>1324.0</v>
      </c>
      <c r="B1326" s="3" t="s">
        <v>1327</v>
      </c>
      <c r="C1326" s="3" t="str">
        <f>IFERROR(__xludf.DUMMYFUNCTION("GOOGLETRANSLATE(B1326,""id"",""en"")"),"['Nomer', 'sympathy', 'package', 'combo', 'Sakti', 'unlimited', 'for', 'Rp', 'number', 'choice', 'forced', 'take', ' Rp. 'GB', 'strange', 'marketing', 'disappointing', '']")</f>
        <v>['Nomer', 'sympathy', 'package', 'combo', 'Sakti', 'unlimited', 'for', 'Rp', 'number', 'choice', 'forced', 'take', ' Rp. 'GB', 'strange', 'marketing', 'disappointing', '']</v>
      </c>
      <c r="D1326" s="3">
        <v>1.0</v>
      </c>
    </row>
    <row r="1327" ht="15.75" customHeight="1">
      <c r="A1327" s="1">
        <v>1325.0</v>
      </c>
      <c r="B1327" s="3" t="s">
        <v>1328</v>
      </c>
      <c r="C1327" s="3" t="str">
        <f>IFERROR(__xludf.DUMMYFUNCTION("GOOGLETRANSLATE(B1327,""id"",""en"")"),"['application', 'smartphone', 'android', 'application', 'compatible', 'update', 'website', 'smartphone', 'based', 'firmware', 'website', 'provides',' Type ',' smartphone ',' installed ',' application ',' Please ',' Telkomsel ',' Application ',' updated ',"&amp;"' compatible ',' your customer ',' Android ', ""]")</f>
        <v>['application', 'smartphone', 'android', 'application', 'compatible', 'update', 'website', 'smartphone', 'based', 'firmware', 'website', 'provides',' Type ',' smartphone ',' installed ',' application ',' Please ',' Telkomsel ',' Application ',' updated ',' compatible ',' your customer ',' Android ', "]</v>
      </c>
      <c r="D1327" s="3">
        <v>2.0</v>
      </c>
    </row>
    <row r="1328" ht="15.75" customHeight="1">
      <c r="A1328" s="1">
        <v>1326.0</v>
      </c>
      <c r="B1328" s="3" t="s">
        <v>1329</v>
      </c>
      <c r="C1328" s="3" t="str">
        <f>IFERROR(__xludf.DUMMYFUNCTION("GOOGLETRANSLATE(B1328,""id"",""en"")"),"['Service', 'Bad', 'buy', 'pulse', 'update', 'application', 'YouOotube', 'premium', 'pulse', 'truncated', 'application', 'updated', ' error ',' forced ',' change ',' service ',' card ',' use ',' telkom ',' service ',' indihome ',' telephone ',' home ',' c"&amp;"ard ',' prime ' , 'Service', 'bad']")</f>
        <v>['Service', 'Bad', 'buy', 'pulse', 'update', 'application', 'YouOotube', 'premium', 'pulse', 'truncated', 'application', 'updated', ' error ',' forced ',' change ',' service ',' card ',' use ',' telkom ',' service ',' indihome ',' telephone ',' home ',' card ',' prime ' , 'Service', 'bad']</v>
      </c>
      <c r="D1328" s="3">
        <v>1.0</v>
      </c>
    </row>
    <row r="1329" ht="15.75" customHeight="1">
      <c r="A1329" s="1">
        <v>1327.0</v>
      </c>
      <c r="B1329" s="3" t="s">
        <v>1330</v>
      </c>
      <c r="C1329" s="3" t="str">
        <f>IFERROR(__xludf.DUMMYFUNCTION("GOOGLETRANSLATE(B1329,""id"",""en"")"),"['', 'Taiiiiii', 'told', 'renewed', 'then', 'UDH', 'Pay', 'Debt', 'then', 'pulse', 'suck', 'gmna', 'please ',' User ',' Tlong ',' Record ',' Benerin ',' Package ',' People ',' UDH ',' Fill ',' Credit ',' UDH ',' Valid ',' Satan ']")</f>
        <v>['', 'Taiiiiii', 'told', 'renewed', 'then', 'UDH', 'Pay', 'Debt', 'then', 'pulse', 'suck', 'gmna', 'please ',' User ',' Tlong ',' Record ',' Benerin ',' Package ',' People ',' UDH ',' Fill ',' Credit ',' UDH ',' Valid ',' Satan ']</v>
      </c>
      <c r="D1329" s="3">
        <v>1.0</v>
      </c>
    </row>
    <row r="1330" ht="15.75" customHeight="1">
      <c r="A1330" s="1">
        <v>1328.0</v>
      </c>
      <c r="B1330" s="3" t="s">
        <v>1331</v>
      </c>
      <c r="C1330" s="3" t="str">
        <f>IFERROR(__xludf.DUMMYFUNCTION("GOOGLETRANSLATE(B1330,""id"",""en"")"),"['sorry', 'rating', 'Down', 'Consider', 'network', 'accurate', 'exceeded', 'network', 'focus', 'hello', 'indihome', 'abandoned']")</f>
        <v>['sorry', 'rating', 'Down', 'Consider', 'network', 'accurate', 'exceeded', 'network', 'focus', 'hello', 'indihome', 'abandoned']</v>
      </c>
      <c r="D1330" s="3">
        <v>1.0</v>
      </c>
    </row>
    <row r="1331" ht="15.75" customHeight="1">
      <c r="A1331" s="1">
        <v>1329.0</v>
      </c>
      <c r="B1331" s="3" t="s">
        <v>1332</v>
      </c>
      <c r="C1331" s="3" t="str">
        <f>IFERROR(__xludf.DUMMYFUNCTION("GOOGLETRANSLATE(B1331,""id"",""en"")"),"['network', 'Telkomsel', 'disappointing', 'really', 'signal', 'open', 'application', 'price', 'super', 'expensive', 'quality', 'service', ' network', '']")</f>
        <v>['network', 'Telkomsel', 'disappointing', 'really', 'signal', 'open', 'application', 'price', 'super', 'expensive', 'quality', 'service', ' network', '']</v>
      </c>
      <c r="D1331" s="3">
        <v>1.0</v>
      </c>
    </row>
    <row r="1332" ht="15.75" customHeight="1">
      <c r="A1332" s="1">
        <v>1330.0</v>
      </c>
      <c r="B1332" s="3" t="s">
        <v>1333</v>
      </c>
      <c r="C1332" s="3" t="str">
        <f>IFERROR(__xludf.DUMMYFUNCTION("GOOGLETRANSLATE(B1332,""id"",""en"")"),"['', 'Pandemic', 'Telkomsel', 'promo', 'quota', 'internet', 'telefon', 'cheap', 'promo', 'suda', 'promo', 'cheap', 'jangakau ',' Love ',' Reting ',' Bintang ',' ']")</f>
        <v>['', 'Pandemic', 'Telkomsel', 'promo', 'quota', 'internet', 'telefon', 'cheap', 'promo', 'suda', 'promo', 'cheap', 'jangakau ',' Love ',' Reting ',' Bintang ',' ']</v>
      </c>
      <c r="D1332" s="3">
        <v>2.0</v>
      </c>
    </row>
    <row r="1333" ht="15.75" customHeight="1">
      <c r="A1333" s="1">
        <v>1331.0</v>
      </c>
      <c r="B1333" s="3" t="s">
        <v>1334</v>
      </c>
      <c r="C1333" s="3" t="str">
        <f>IFERROR(__xludf.DUMMYFUNCTION("GOOGLETRANSLATE(B1333,""id"",""en"")"),"['bug', 'already', 'update', 'tetep', 'open', 'told', 'update', 'finished', 'update', 'price', 'package', 'expensive', ' network ',' bad ',' area ',' city ',' sukabumi ']")</f>
        <v>['bug', 'already', 'update', 'tetep', 'open', 'told', 'update', 'finished', 'update', 'price', 'package', 'expensive', ' network ',' bad ',' area ',' city ',' sukabumi ']</v>
      </c>
      <c r="D1333" s="3">
        <v>1.0</v>
      </c>
    </row>
    <row r="1334" ht="15.75" customHeight="1">
      <c r="A1334" s="1">
        <v>1332.0</v>
      </c>
      <c r="B1334" s="3" t="s">
        <v>1335</v>
      </c>
      <c r="C1334" s="3" t="str">
        <f>IFERROR(__xludf.DUMMYFUNCTION("GOOGLETRANSLATE(B1334,""id"",""en"")"),"['Search', 'all', 'application', 'Trima', 'love', 'please', 'cheap', 'little', 'price', 'quota', ""]")</f>
        <v>['Search', 'all', 'application', 'Trima', 'love', 'please', 'cheap', 'little', 'price', 'quota', "]</v>
      </c>
      <c r="D1334" s="3">
        <v>5.0</v>
      </c>
    </row>
    <row r="1335" ht="15.75" customHeight="1">
      <c r="A1335" s="1">
        <v>1333.0</v>
      </c>
      <c r="B1335" s="3" t="s">
        <v>1336</v>
      </c>
      <c r="C1335" s="3" t="str">
        <f>IFERROR(__xludf.DUMMYFUNCTION("GOOGLETRANSLATE(B1335,""id"",""en"")"),"['Network', 'ugly', 'bngt', 'red', 'buy', 'package', 'nggk', 'signal', 'no', 'direct', 'signal', 'data', ' fast ',' run out ',' rare ',' make ',' data ',' weird ',' users', 'Telkomsel', 'skrng', 'signal', 'nya', 'ugly', 'pingin' , 'replace', 'card', 'ston"&amp;"e', 'contents',' date ',' data ',' just ',' already ',' run out ',' honest ',' jrng ',' see ',' Tiktok ',' line ',' corruption ',' take ',' quota ',' person ']")</f>
        <v>['Network', 'ugly', 'bngt', 'red', 'buy', 'package', 'nggk', 'signal', 'no', 'direct', 'signal', 'data', ' fast ',' run out ',' rare ',' make ',' data ',' weird ',' users', 'Telkomsel', 'skrng', 'signal', 'nya', 'ugly', 'pingin' , 'replace', 'card', 'stone', 'contents',' date ',' data ',' just ',' already ',' run out ',' honest ',' jrng ',' see ',' Tiktok ',' line ',' corruption ',' take ',' quota ',' person ']</v>
      </c>
      <c r="D1335" s="3">
        <v>1.0</v>
      </c>
    </row>
    <row r="1336" ht="15.75" customHeight="1">
      <c r="A1336" s="1">
        <v>1334.0</v>
      </c>
      <c r="B1336" s="3" t="s">
        <v>1337</v>
      </c>
      <c r="C1336" s="3" t="str">
        <f>IFERROR(__xludf.DUMMYFUNCTION("GOOGLETRANSLATE(B1336,""id"",""en"")"),"['complaints',' limit ',' sya ',' card ',' hello ',' rb ',' bill ',' rb ',' sya ',' dipake ',' spam ',' sms', ' Kayak ',' gini ',' press', 'yes',' sms', 'charged', 'number', 'that's',' sms', 'contact', 'app', 'where' , '']")</f>
        <v>['complaints',' limit ',' sya ',' card ',' hello ',' rb ',' bill ',' rb ',' sya ',' dipake ',' spam ',' sms', ' Kayak ',' gini ',' press', 'yes',' sms', 'charged', 'number', 'that's',' sms', 'contact', 'app', 'where' , '']</v>
      </c>
      <c r="D1336" s="3">
        <v>1.0</v>
      </c>
    </row>
    <row r="1337" ht="15.75" customHeight="1">
      <c r="A1337" s="1">
        <v>1335.0</v>
      </c>
      <c r="B1337" s="3" t="s">
        <v>1338</v>
      </c>
      <c r="C1337" s="3" t="str">
        <f>IFERROR(__xludf.DUMMYFUNCTION("GOOGLETRANSLATE(B1337,""id"",""en"")"),"['Network', 'bad', 'disappointed', 'heavy', '']")</f>
        <v>['Network', 'bad', 'disappointed', 'heavy', '']</v>
      </c>
      <c r="D1337" s="3">
        <v>1.0</v>
      </c>
    </row>
    <row r="1338" ht="15.75" customHeight="1">
      <c r="A1338" s="1">
        <v>1336.0</v>
      </c>
      <c r="B1338" s="3" t="s">
        <v>1339</v>
      </c>
      <c r="C1338" s="3" t="str">
        <f>IFERROR(__xludf.DUMMYFUNCTION("GOOGLETRANSLATE(B1338,""id"",""en"")"),"['Please', 'Network', 'Medan', 'Region', 'Tembung', 'Repaired', 'Signal', 'Full', 'Open', 'Internet', 'Mode', 'Plane', ' bnyakin ',' promo ',' quality ',' signal ',' weak ',' subscription ',' Telkomsel ',' signal ',' inconvenient ',' bnget ']")</f>
        <v>['Please', 'Network', 'Medan', 'Region', 'Tembung', 'Repaired', 'Signal', 'Full', 'Open', 'Internet', 'Mode', 'Plane', ' bnyakin ',' promo ',' quality ',' signal ',' weak ',' subscription ',' Telkomsel ',' signal ',' inconvenient ',' bnget ']</v>
      </c>
      <c r="D1338" s="3">
        <v>1.0</v>
      </c>
    </row>
    <row r="1339" ht="15.75" customHeight="1">
      <c r="A1339" s="1">
        <v>1337.0</v>
      </c>
      <c r="B1339" s="3" t="s">
        <v>1340</v>
      </c>
      <c r="C1339" s="3" t="str">
        <f>IFERROR(__xludf.DUMMYFUNCTION("GOOGLETRANSLATE(B1339,""id"",""en"")"),"['quota', 'used', 'information', 'accurate', 'check', 'usage', 'last', 'run out', 'tdak', 'according to', 'use', 'customer', ' disappointed']")</f>
        <v>['quota', 'used', 'information', 'accurate', 'check', 'usage', 'last', 'run out', 'tdak', 'according to', 'use', 'customer', ' disappointed']</v>
      </c>
      <c r="D1339" s="3">
        <v>2.0</v>
      </c>
    </row>
    <row r="1340" ht="15.75" customHeight="1">
      <c r="A1340" s="1">
        <v>1338.0</v>
      </c>
      <c r="B1340" s="3" t="s">
        <v>1341</v>
      </c>
      <c r="C1340" s="3" t="str">
        <f>IFERROR(__xludf.DUMMYFUNCTION("GOOGLETRANSLATE(B1340,""id"",""en"")"),"['Lock', 'Lock', 'credit', 'Telkomsel', 'pulse', 'kepakai', 'data', 'sms',' call ',' premium ',' pulse ',' ilang ',' I ',' pulse ',' ilang ']")</f>
        <v>['Lock', 'Lock', 'credit', 'Telkomsel', 'pulse', 'kepakai', 'data', 'sms',' call ',' premium ',' pulse ',' ilang ',' I ',' pulse ',' ilang ']</v>
      </c>
      <c r="D1340" s="3">
        <v>1.0</v>
      </c>
    </row>
    <row r="1341" ht="15.75" customHeight="1">
      <c r="A1341" s="1">
        <v>1339.0</v>
      </c>
      <c r="B1341" s="3" t="s">
        <v>1342</v>
      </c>
      <c r="C1341" s="3" t="str">
        <f>IFERROR(__xludf.DUMMYFUNCTION("GOOGLETRANSLATE(B1341,""id"",""en"")"),"['Telkomsel', 'cheating', 'multimedia', 'left', 'take', 'quota', 'internet', 'contents',' reset ',' Telkomsel ',' use ',' quota ',' Multimedia ',' left ',' usage ',' YouTube ',' Hadeh ',' how ',' BUMN ']")</f>
        <v>['Telkomsel', 'cheating', 'multimedia', 'left', 'take', 'quota', 'internet', 'contents',' reset ',' Telkomsel ',' use ',' quota ',' Multimedia ',' left ',' usage ',' YouTube ',' Hadeh ',' how ',' BUMN ']</v>
      </c>
      <c r="D1341" s="3">
        <v>2.0</v>
      </c>
    </row>
    <row r="1342" ht="15.75" customHeight="1">
      <c r="A1342" s="1">
        <v>1340.0</v>
      </c>
      <c r="B1342" s="3" t="s">
        <v>1343</v>
      </c>
      <c r="C1342" s="3" t="str">
        <f>IFERROR(__xludf.DUMMYFUNCTION("GOOGLETRANSLATE(B1342,""id"",""en"")"),"['Open', 'Application', 'Telkomsel', 'Program', 'Hanphone', 'Walking', 'Normal', 'Heavy', 'Hanphone', 'Fast', 'Experience', 'Heat', ' Hanphone ',' slow ',' dead ',' Please ',' Explation ',' Telkomsel ', ""]")</f>
        <v>['Open', 'Application', 'Telkomsel', 'Program', 'Hanphone', 'Walking', 'Normal', 'Heavy', 'Hanphone', 'Fast', 'Experience', 'Heat', ' Hanphone ',' slow ',' dead ',' Please ',' Explation ',' Telkomsel ', "]</v>
      </c>
      <c r="D1342" s="3">
        <v>4.0</v>
      </c>
    </row>
    <row r="1343" ht="15.75" customHeight="1">
      <c r="A1343" s="1">
        <v>1341.0</v>
      </c>
      <c r="B1343" s="3" t="s">
        <v>1344</v>
      </c>
      <c r="C1343" s="3" t="str">
        <f>IFERROR(__xludf.DUMMYFUNCTION("GOOGLETRANSLATE(B1343,""id"",""en"")"),"['Fix', 'network', 'Woy', 'told', 'Disable', 'already', 'buy', 'kouta', 'hundreds',' thousand ',' signal ',' gini ',' Loss', 'Customer', 'Loss',' Company ']")</f>
        <v>['Fix', 'network', 'Woy', 'told', 'Disable', 'already', 'buy', 'kouta', 'hundreds',' thousand ',' signal ',' gini ',' Loss', 'Customer', 'Loss',' Company ']</v>
      </c>
      <c r="D1343" s="3">
        <v>1.0</v>
      </c>
    </row>
    <row r="1344" ht="15.75" customHeight="1">
      <c r="A1344" s="1">
        <v>1342.0</v>
      </c>
      <c r="B1344" s="3" t="s">
        <v>1345</v>
      </c>
      <c r="C1344" s="3" t="str">
        <f>IFERROR(__xludf.DUMMYFUNCTION("GOOGLETRANSLATE(B1344,""id"",""en"")"),"['Package', 'Corona', 'Price', 'Clock', 'Call', 'How', 'Telkomsel', 'Loss', 'Corona', ""]")</f>
        <v>['Package', 'Corona', 'Price', 'Clock', 'Call', 'How', 'Telkomsel', 'Loss', 'Corona', "]</v>
      </c>
      <c r="D1344" s="3">
        <v>5.0</v>
      </c>
    </row>
    <row r="1345" ht="15.75" customHeight="1">
      <c r="A1345" s="1">
        <v>1343.0</v>
      </c>
      <c r="B1345" s="3" t="s">
        <v>1346</v>
      </c>
      <c r="C1345" s="3" t="str">
        <f>IFERROR(__xludf.DUMMYFUNCTION("GOOGLETRANSLATE(B1345,""id"",""en"")"),"['pket', 'cheap', 'circles',' people ',' poor ',' remote ',' village ',' fix ',' signal ',' area ',' village ',' ciuyah ',' Subdistrict ',' Waled ',' Cirebon ',' Cirebon ',' Difficult ',' Signals ',' Provide ',' Packages ',' Subsidies ',' Donk ',' People "&amp;"',' Indonesia ',' Indonesian "" , 'Mnikmatin', 'internet', 'easy', 'trakasih', '']")</f>
        <v>['pket', 'cheap', 'circles',' people ',' poor ',' remote ',' village ',' fix ',' signal ',' area ',' village ',' ciuyah ',' Subdistrict ',' Waled ',' Cirebon ',' Cirebon ',' Difficult ',' Signals ',' Provide ',' Packages ',' Subsidies ',' Donk ',' People ',' Indonesia ',' Indonesian " , 'Mnikmatin', 'internet', 'easy', 'trakasih', '']</v>
      </c>
      <c r="D1345" s="3">
        <v>5.0</v>
      </c>
    </row>
    <row r="1346" ht="15.75" customHeight="1">
      <c r="A1346" s="1">
        <v>1344.0</v>
      </c>
      <c r="B1346" s="3" t="s">
        <v>1347</v>
      </c>
      <c r="C1346" s="3" t="str">
        <f>IFERROR(__xludf.DUMMYFUNCTION("GOOGLETRANSLATE(B1346,""id"",""en"")"),"['conditioned', 'difficult', 'kyk', 'gini', 'Telkomsel', 'friendly', 'move', 'provider', 'cheap', 'package', 'split', 'internet', ' Multimedia ',' etc. ',' Tetep ',' Shame ',' Quota ',' Main ',' DLU ',' Quota ',' Main ',' Out ',' Amsyong ',' During ',' Ch"&amp;"ild ' , 'Via', 'Leptop', 'UDH', 'Ngak', 'Package', 'Multimedia', 'Hopefully', 'Telkomsel', 'Hidayah', 'Help', 'Communication', 'Difficult', ' ']")</f>
        <v>['conditioned', 'difficult', 'kyk', 'gini', 'Telkomsel', 'friendly', 'move', 'provider', 'cheap', 'package', 'split', 'internet', ' Multimedia ',' etc. ',' Tetep ',' Shame ',' Quota ',' Main ',' DLU ',' Quota ',' Main ',' Out ',' Amsyong ',' During ',' Child ' , 'Via', 'Leptop', 'UDH', 'Ngak', 'Package', 'Multimedia', 'Hopefully', 'Telkomsel', 'Hidayah', 'Help', 'Communication', 'Difficult', ' ']</v>
      </c>
      <c r="D1346" s="3">
        <v>1.0</v>
      </c>
    </row>
    <row r="1347" ht="15.75" customHeight="1">
      <c r="A1347" s="1">
        <v>1345.0</v>
      </c>
      <c r="B1347" s="3" t="s">
        <v>1348</v>
      </c>
      <c r="C1347" s="3" t="str">
        <f>IFERROR(__xludf.DUMMYFUNCTION("GOOGLETRANSLATE(B1347,""id"",""en"")"),"['interesting', 'list', 'package', 'a week', 'adin', 'giveaway', 'package', 'internet', 'when' ppkm ',' help ',' hope ',' In the future ',' Myatelkomsel ',' App ',' Recomended ',' ']")</f>
        <v>['interesting', 'list', 'package', 'a week', 'adin', 'giveaway', 'package', 'internet', 'when' ppkm ',' help ',' hope ',' In the future ',' Myatelkomsel ',' App ',' Recomended ',' ']</v>
      </c>
      <c r="D1347" s="3">
        <v>4.0</v>
      </c>
    </row>
    <row r="1348" ht="15.75" customHeight="1">
      <c r="A1348" s="1">
        <v>1346.0</v>
      </c>
      <c r="B1348" s="3" t="s">
        <v>1349</v>
      </c>
      <c r="C1348" s="3" t="str">
        <f>IFERROR(__xludf.DUMMYFUNCTION("GOOGLETRANSLATE(B1348,""id"",""en"")"),"['Please', 'Network', 'in the area', 'Expand', 'Telkomsel', 'Network', 'in the area', 'like', 'stable', 'lose', 'Providers', 'Next to' thank you', '']")</f>
        <v>['Please', 'Network', 'in the area', 'Expand', 'Telkomsel', 'Network', 'in the area', 'like', 'stable', 'lose', 'Providers', 'Next to' thank you', '']</v>
      </c>
      <c r="D1348" s="3">
        <v>1.0</v>
      </c>
    </row>
    <row r="1349" ht="15.75" customHeight="1">
      <c r="A1349" s="1">
        <v>1347.0</v>
      </c>
      <c r="B1349" s="3" t="s">
        <v>1350</v>
      </c>
      <c r="C1349" s="3" t="str">
        <f>IFERROR(__xludf.DUMMYFUNCTION("GOOGLETRANSLATE(B1349,""id"",""en"")"),"['Display', 'cool', 'slow', 'Allah', 'please', 'Telkomsel', 'stabilized', 'network', 'like', 'reason', 'buy', 'Telkomsel', ' Search ',' Network ',' Good ',' ']")</f>
        <v>['Display', 'cool', 'slow', 'Allah', 'please', 'Telkomsel', 'stabilized', 'network', 'like', 'reason', 'buy', 'Telkomsel', ' Search ',' Network ',' Good ',' ']</v>
      </c>
      <c r="D1349" s="3">
        <v>2.0</v>
      </c>
    </row>
    <row r="1350" ht="15.75" customHeight="1">
      <c r="A1350" s="1">
        <v>1348.0</v>
      </c>
      <c r="B1350" s="3" t="s">
        <v>1351</v>
      </c>
      <c r="C1350" s="3" t="str">
        <f>IFERROR(__xludf.DUMMYFUNCTION("GOOGLETRANSLATE(B1350,""id"",""en"")"),"['Congratulations',' Package ',' Combo ',' Minutes', 'Tsel', 'SMS', 'Tsel', 'On', 'Applies',' Date ',' PKL ',' WIB ',' check ',' status', 'stop', 'subscribe', 'Telkomsel', 'apps',' hub ',' info ',' pulse ',' cut ',' purpose ',' message ',' package ' , 'En"&amp;"ter', 'Credit', 'Cut', 'How', 'Telkomsel', 'Becus', 'Ng']")</f>
        <v>['Congratulations',' Package ',' Combo ',' Minutes', 'Tsel', 'SMS', 'Tsel', 'On', 'Applies',' Date ',' PKL ',' WIB ',' check ',' status', 'stop', 'subscribe', 'Telkomsel', 'apps',' hub ',' info ',' pulse ',' cut ',' purpose ',' message ',' package ' , 'Enter', 'Credit', 'Cut', 'How', 'Telkomsel', 'Becus', 'Ng']</v>
      </c>
      <c r="D1350" s="3">
        <v>1.0</v>
      </c>
    </row>
    <row r="1351" ht="15.75" customHeight="1">
      <c r="A1351" s="1">
        <v>1349.0</v>
      </c>
      <c r="B1351" s="3" t="s">
        <v>1352</v>
      </c>
      <c r="C1351" s="3" t="str">
        <f>IFERROR(__xludf.DUMMYFUNCTION("GOOGLETRANSLATE(B1351,""id"",""en"")"),"['cunning', 'date', 'August', 'Top', 'pulse', 'times', 'rb', 'cut', 'debt', 'pulse', 'on the' on ',' pulses ',' Stay ',' RB ',' Where ',' SMS ',' Notification ',' Whatever ',' Buy ',' Data ',' Package ',' Credit ',' Rb ',' Live ',' Rb ' , 'Instant', 'Wher"&amp;"e', 'See', 'History', 'Severe', 'Maling', 'Telkomsel', ""]")</f>
        <v>['cunning', 'date', 'August', 'Top', 'pulse', 'times', 'rb', 'cut', 'debt', 'pulse', 'on the' on ',' pulses ',' Stay ',' RB ',' Where ',' SMS ',' Notification ',' Whatever ',' Buy ',' Data ',' Package ',' Credit ',' Rb ',' Live ',' Rb ' , 'Instant', 'Where', 'See', 'History', 'Severe', 'Maling', 'Telkomsel', "]</v>
      </c>
      <c r="D1351" s="3">
        <v>5.0</v>
      </c>
    </row>
    <row r="1352" ht="15.75" customHeight="1">
      <c r="A1352" s="1">
        <v>1350.0</v>
      </c>
      <c r="B1352" s="3" t="s">
        <v>1353</v>
      </c>
      <c r="C1352" s="3" t="str">
        <f>IFERROR(__xludf.DUMMYFUNCTION("GOOGLETRANSLATE(B1352,""id"",""en"")"),"['signal', 'ugly', 'really', 'boro', 'boro', 'fix', 'signal', 'average', 'signal', 'Indonesia', 'already', 'pay', ' expensive ',' expensive ',' kayak ',' gini ',' hadehh ']")</f>
        <v>['signal', 'ugly', 'really', 'boro', 'boro', 'fix', 'signal', 'average', 'signal', 'Indonesia', 'already', 'pay', ' expensive ',' expensive ',' kayak ',' gini ',' hadehh ']</v>
      </c>
      <c r="D1352" s="3">
        <v>1.0</v>
      </c>
    </row>
    <row r="1353" ht="15.75" customHeight="1">
      <c r="A1353" s="1">
        <v>1351.0</v>
      </c>
      <c r="B1353" s="3" t="s">
        <v>1354</v>
      </c>
      <c r="C1353" s="3" t="str">
        <f>IFERROR(__xludf.DUMMYFUNCTION("GOOGLETRANSLATE(B1353,""id"",""en"")"),"['Woy', 'admin', 'knpa', 'run out', 'update', 'kog', 'update', 'told', 'choose', 'apk', 'official', 'already', ' Dioke ',' kog ',' how ',' APK ',' used ',' ']")</f>
        <v>['Woy', 'admin', 'knpa', 'run out', 'update', 'kog', 'update', 'told', 'choose', 'apk', 'official', 'already', ' Dioke ',' kog ',' how ',' APK ',' used ',' ']</v>
      </c>
      <c r="D1353" s="3">
        <v>1.0</v>
      </c>
    </row>
    <row r="1354" ht="15.75" customHeight="1">
      <c r="A1354" s="1">
        <v>1352.0</v>
      </c>
      <c r="B1354" s="3" t="s">
        <v>1355</v>
      </c>
      <c r="C1354" s="3" t="str">
        <f>IFERROR(__xludf.DUMMYFUNCTION("GOOGLETRANSLATE(B1354,""id"",""en"")"),"['Lose', 'Ama', 'price', 'package', 'data', 'affordable', 'ama', 'bag', 'person', 'Indonesia', 'class',' updet ',' Leet ',' poor ', ""]")</f>
        <v>['Lose', 'Ama', 'price', 'package', 'data', 'affordable', 'ama', 'bag', 'person', 'Indonesia', 'class',' updet ',' Leet ',' poor ', "]</v>
      </c>
      <c r="D1354" s="3">
        <v>1.0</v>
      </c>
    </row>
    <row r="1355" ht="15.75" customHeight="1">
      <c r="A1355" s="1">
        <v>1353.0</v>
      </c>
      <c r="B1355" s="3" t="s">
        <v>1356</v>
      </c>
      <c r="C1355" s="3" t="str">
        <f>IFERROR(__xludf.DUMMYFUNCTION("GOOGLETRANSLATE(B1355,""id"",""en"")"),"['bad', 'signal', 'stable', 'next door', 'home', 'tower', 'Telkomsel', 'Lok', 'Tangerang', 'city', 'download', 'film', ' wifi ',' card ',' sympathy ',' already ',' MB ',' signal ',' ilang ',' repeat ',' times', 'right', 'udh', 'download', 'range' , 'MB']")</f>
        <v>['bad', 'signal', 'stable', 'next door', 'home', 'tower', 'Telkomsel', 'Lok', 'Tangerang', 'city', 'download', 'film', ' wifi ',' card ',' sympathy ',' already ',' MB ',' signal ',' ilang ',' repeat ',' times', 'right', 'udh', 'download', 'range' , 'MB']</v>
      </c>
      <c r="D1355" s="3">
        <v>2.0</v>
      </c>
    </row>
    <row r="1356" ht="15.75" customHeight="1">
      <c r="A1356" s="1">
        <v>1354.0</v>
      </c>
      <c r="B1356" s="3" t="s">
        <v>1357</v>
      </c>
      <c r="C1356" s="3" t="str">
        <f>IFERROR(__xludf.DUMMYFUNCTION("GOOGLETRANSLATE(B1356,""id"",""en"")"),"['update', 'already', 'told', 'update', 'hadeeeew', 'Telkomsel', 'Lebiah', 'service', 'SPT', 'competitor', 'price', 'service', ' ']")</f>
        <v>['update', 'already', 'told', 'update', 'hadeeeew', 'Telkomsel', 'Lebiah', 'service', 'SPT', 'competitor', 'price', 'service', ' ']</v>
      </c>
      <c r="D1356" s="3">
        <v>2.0</v>
      </c>
    </row>
    <row r="1357" ht="15.75" customHeight="1">
      <c r="A1357" s="1">
        <v>1355.0</v>
      </c>
      <c r="B1357" s="3" t="s">
        <v>1358</v>
      </c>
      <c r="C1357" s="3" t="str">
        <f>IFERROR(__xludf.DUMMYFUNCTION("GOOGLETRANSLATE(B1357,""id"",""en"")"),"['likes',' reduced ',' pulse ',' kyaknya ',' ngk ',' debt ',' pulse ',' tpi ',' abis', 'data', 'activated', 'please', ' Fix ',' system ',' data ',' unlimeted ',' turn ',' quata ',' main ',' abis', 'abis',' unlimeted ',' unlimeted ',' min ']")</f>
        <v>['likes',' reduced ',' pulse ',' kyaknya ',' ngk ',' debt ',' pulse ',' tpi ',' abis', 'data', 'activated', 'please', ' Fix ',' system ',' data ',' unlimeted ',' turn ',' quata ',' main ',' abis', 'abis',' unlimeted ',' unlimeted ',' min ']</v>
      </c>
      <c r="D1357" s="3">
        <v>1.0</v>
      </c>
    </row>
    <row r="1358" ht="15.75" customHeight="1">
      <c r="A1358" s="1">
        <v>1356.0</v>
      </c>
      <c r="B1358" s="3" t="s">
        <v>1359</v>
      </c>
      <c r="C1358" s="3" t="str">
        <f>IFERROR(__xludf.DUMMYFUNCTION("GOOGLETRANSLATE(B1358,""id"",""en"")"),"['application', 'Bigsss',' bangett ',' darling ',' promo ',' week ',' price ',' please ',' hold ',' like ',' really ',' plissss', ' Love ',' Bintang ',' Fulll ', ""]")</f>
        <v>['application', 'Bigsss',' bangett ',' darling ',' promo ',' week ',' price ',' please ',' hold ',' like ',' really ',' plissss', ' Love ',' Bintang ',' Fulll ', "]</v>
      </c>
      <c r="D1358" s="3">
        <v>5.0</v>
      </c>
    </row>
    <row r="1359" ht="15.75" customHeight="1">
      <c r="A1359" s="1">
        <v>1357.0</v>
      </c>
      <c r="B1359" s="3" t="s">
        <v>1360</v>
      </c>
      <c r="C1359" s="3" t="str">
        <f>IFERROR(__xludf.DUMMYFUNCTION("GOOGLETRANSLATE(B1359,""id"",""en"")"),"['Disappointed', 'use', 'Telkomsel', 'Rencna', 'buy', 'Package', 'Nelp', 'Rb', 'a month', 'balance', 'Reject', 'Reasons',' Credit ',' sufficient ',' after ',' buy ',' credit ',' rb ',' even ',' total ',' balance ',' pulse ',' rejected ',' sbnnya ',' gimna"&amp;" ' , 'balance', 'lbih', 'use', 'lost', 'tlong', 'solution', 'jngan', 'trlalu', 'expensive', 'pulse', 'pass',' buy ',' Package ',' hopefully ',' bnyak ',' disappointed ',' ']")</f>
        <v>['Disappointed', 'use', 'Telkomsel', 'Rencna', 'buy', 'Package', 'Nelp', 'Rb', 'a month', 'balance', 'Reject', 'Reasons',' Credit ',' sufficient ',' after ',' buy ',' credit ',' rb ',' even ',' total ',' balance ',' pulse ',' rejected ',' sbnnya ',' gimna ' , 'balance', 'lbih', 'use', 'lost', 'tlong', 'solution', 'jngan', 'trlalu', 'expensive', 'pulse', 'pass',' buy ',' Package ',' hopefully ',' bnyak ',' disappointed ',' ']</v>
      </c>
      <c r="D1359" s="3">
        <v>1.0</v>
      </c>
    </row>
    <row r="1360" ht="15.75" customHeight="1">
      <c r="A1360" s="1">
        <v>1358.0</v>
      </c>
      <c r="B1360" s="3" t="s">
        <v>1361</v>
      </c>
      <c r="C1360" s="3" t="str">
        <f>IFERROR(__xludf.DUMMYFUNCTION("GOOGLETRANSLATE(B1360,""id"",""en"")"),"['Since', 'Tsel', 'Change', 'Logo', 'Price', 'Paketan', 'Enter', 'Word', 'Expensive', 'Switch', 'Provider', 'Price', ' Enter ',' sense ',' disappointing ', ""]")</f>
        <v>['Since', 'Tsel', 'Change', 'Logo', 'Price', 'Paketan', 'Enter', 'Word', 'Expensive', 'Switch', 'Provider', 'Price', ' Enter ',' sense ',' disappointing ', "]</v>
      </c>
      <c r="D1360" s="3">
        <v>1.0</v>
      </c>
    </row>
    <row r="1361" ht="15.75" customHeight="1">
      <c r="A1361" s="1">
        <v>1359.0</v>
      </c>
      <c r="B1361" s="3" t="s">
        <v>1362</v>
      </c>
      <c r="C1361" s="3" t="str">
        <f>IFERROR(__xludf.DUMMYFUNCTION("GOOGLETRANSLATE(B1361,""id"",""en"")"),"['Application', 'Cap', 'Kopball', 'Open', 'APK', 'Login', 'Login', 'Muter', 'Link', 'Rich', 'APK', 'Indosat', ' times', 'Login', 'right', 'Install', 'Login', 'APK', 'Emotion']")</f>
        <v>['Application', 'Cap', 'Kopball', 'Open', 'APK', 'Login', 'Login', 'Muter', 'Link', 'Rich', 'APK', 'Indosat', ' times', 'Login', 'right', 'Install', 'Login', 'APK', 'Emotion']</v>
      </c>
      <c r="D1361" s="3">
        <v>1.0</v>
      </c>
    </row>
    <row r="1362" ht="15.75" customHeight="1">
      <c r="A1362" s="1">
        <v>1360.0</v>
      </c>
      <c r="B1362" s="3" t="s">
        <v>1363</v>
      </c>
      <c r="C1362" s="3" t="str">
        <f>IFERROR(__xludf.DUMMYFUNCTION("GOOGLETRANSLATE(B1362,""id"",""en"")"),"['buy', 'package', 'GB', 'enter', 'enter', 'telkom', 'busy', 'please', 'fix', 'subject', 'purchase', 'postponed', ' Failed ',' Thanks']")</f>
        <v>['buy', 'package', 'GB', 'enter', 'enter', 'telkom', 'busy', 'please', 'fix', 'subject', 'purchase', 'postponed', ' Failed ',' Thanks']</v>
      </c>
      <c r="D1362" s="3">
        <v>1.0</v>
      </c>
    </row>
    <row r="1363" ht="15.75" customHeight="1">
      <c r="A1363" s="1">
        <v>1361.0</v>
      </c>
      <c r="B1363" s="3" t="s">
        <v>1364</v>
      </c>
      <c r="C1363" s="3" t="str">
        <f>IFERROR(__xludf.DUMMYFUNCTION("GOOGLETRANSLATE(B1363,""id"",""en"")"),"['', 'updated', 'look', 'old', 'increase', 'backward', 'please', 'Telkomsel', 'application', 'MyTelkomsel', 'updated', 'bagan', 'look ',' Cool ',' Display ',' old ',' interesting ',' ']")</f>
        <v>['', 'updated', 'look', 'old', 'increase', 'backward', 'please', 'Telkomsel', 'application', 'MyTelkomsel', 'updated', 'bagan', 'look ',' Cool ',' Display ',' old ',' interesting ',' ']</v>
      </c>
      <c r="D1363" s="3">
        <v>1.0</v>
      </c>
    </row>
    <row r="1364" ht="15.75" customHeight="1">
      <c r="A1364" s="1">
        <v>1362.0</v>
      </c>
      <c r="B1364" s="3" t="s">
        <v>1365</v>
      </c>
      <c r="C1364" s="3" t="str">
        <f>IFERROR(__xludf.DUMMYFUNCTION("GOOGLETRANSLATE(B1364,""id"",""en"")"),"['Hello', 'Telkomsel', 'oprtor', 'option', 'input', 'voucher', 'veranda', 'application', 'makes it easy', 'input', 'input', ' Vouchers ',' Physical ',' Application ',' BTW ',' Where ',' Located ',' Input ',' Number ',' Voucher ',' Physically ',' Confused "&amp;"',' Nyari ',' Many "" , 'times',' menu ',' find ',' let ',' help ',' easy ',' operator ',' the application ',' already ',' good ',' lohh ',' cook ',' yes', 'Telkomsel', 'operator', 'segede', 'gini', 'lose', 'operator', 'whining']")</f>
        <v>['Hello', 'Telkomsel', 'oprtor', 'option', 'input', 'voucher', 'veranda', 'application', 'makes it easy', 'input', 'input', ' Vouchers ',' Physical ',' Application ',' BTW ',' Where ',' Located ',' Input ',' Number ',' Voucher ',' Physically ',' Confused ',' Nyari ',' Many " , 'times',' menu ',' find ',' let ',' help ',' easy ',' operator ',' the application ',' already ',' good ',' lohh ',' cook ',' yes', 'Telkomsel', 'operator', 'segede', 'gini', 'lose', 'operator', 'whining']</v>
      </c>
      <c r="D1364" s="3">
        <v>1.0</v>
      </c>
    </row>
    <row r="1365" ht="15.75" customHeight="1">
      <c r="A1365" s="1">
        <v>1363.0</v>
      </c>
      <c r="B1365" s="3" t="s">
        <v>1366</v>
      </c>
      <c r="C1365" s="3" t="str">
        <f>IFERROR(__xludf.DUMMYFUNCTION("GOOGLETRANSLATE(B1365,""id"",""en"")"),"['Love', 'Dulutolong', 'Fix', 'Signal', 'Stable', 'Sring', 'Enter', 'Karna', 'Out', 'Please', 'Action', 'Comfort', ' Consumers', 'TRIMS', '']")</f>
        <v>['Love', 'Dulutolong', 'Fix', 'Signal', 'Stable', 'Sring', 'Enter', 'Karna', 'Out', 'Please', 'Action', 'Comfort', ' Consumers', 'TRIMS', '']</v>
      </c>
      <c r="D1365" s="3">
        <v>4.0</v>
      </c>
    </row>
    <row r="1366" ht="15.75" customHeight="1">
      <c r="A1366" s="1">
        <v>1364.0</v>
      </c>
      <c r="B1366" s="3" t="s">
        <v>1367</v>
      </c>
      <c r="C1366" s="3" t="str">
        <f>IFERROR(__xludf.DUMMYFUNCTION("GOOGLETRANSLATE(B1366,""id"",""en"")"),"['live', 'pekanbaru', 'city', 'love', 'star', 'signal', 'pekanbaru', 'play', 'signal', 'error', 'sampa', 'count', ' repair']")</f>
        <v>['live', 'pekanbaru', 'city', 'love', 'star', 'signal', 'pekanbaru', 'play', 'signal', 'error', 'sampa', 'count', ' repair']</v>
      </c>
      <c r="D1366" s="3">
        <v>1.0</v>
      </c>
    </row>
    <row r="1367" ht="15.75" customHeight="1">
      <c r="A1367" s="1">
        <v>1365.0</v>
      </c>
      <c r="B1367" s="3" t="s">
        <v>1368</v>
      </c>
      <c r="C1367" s="3" t="str">
        <f>IFERROR(__xludf.DUMMYFUNCTION("GOOGLETRANSLATE(B1367,""id"",""en"")"),"['Network', 'ugly', 'pulse', 'phone', 'manual', 'quota', 'phone', 'minute', 'disappointed', '']")</f>
        <v>['Network', 'ugly', 'pulse', 'phone', 'manual', 'quota', 'phone', 'minute', 'disappointed', '']</v>
      </c>
      <c r="D1367" s="3">
        <v>1.0</v>
      </c>
    </row>
    <row r="1368" ht="15.75" customHeight="1">
      <c r="A1368" s="1">
        <v>1366.0</v>
      </c>
      <c r="B1368" s="3" t="s">
        <v>1369</v>
      </c>
      <c r="C1368" s="3" t="str">
        <f>IFERROR(__xludf.DUMMYFUNCTION("GOOGLETRANSLATE(B1368,""id"",""en"")"),"['ugly', 'buy', 'pulse', 'right', 'process',' payment ',' fail ',' disorder ',' mulu ',' buy ',' pulse ',' application ',' Delete ',' Trus', 'Install', 'Males',' Fill ',' Via ',' Application ',' Repair ']")</f>
        <v>['ugly', 'buy', 'pulse', 'right', 'process',' payment ',' fail ',' disorder ',' mulu ',' buy ',' pulse ',' application ',' Delete ',' Trus', 'Install', 'Males',' Fill ',' Via ',' Application ',' Repair ']</v>
      </c>
      <c r="D1368" s="3">
        <v>1.0</v>
      </c>
    </row>
    <row r="1369" ht="15.75" customHeight="1">
      <c r="A1369" s="1">
        <v>1367.0</v>
      </c>
      <c r="B1369" s="3" t="s">
        <v>1370</v>
      </c>
      <c r="C1369" s="3" t="str">
        <f>IFERROR(__xludf.DUMMYFUNCTION("GOOGLETRANSLATE(B1369,""id"",""en"")"),"['internet', 'cheap', 'licar', 'recommend', 'provider', 'because', 'price', 'quota', 'expensive', 'speed', 'contents',' pulses', ' Deliberately ',' Turn on ',' Data ',' Eat ',' Credit ',' Direct ',' Cutting ',' Natural ',' Just 'New', 'Mengalain', 'Data',"&amp;" 'Detik', 'Turn Off' , 'check', 'truncated', 'really', 'poor', 'pulse', 'save', 'recommend', 'provider', '']")</f>
        <v>['internet', 'cheap', 'licar', 'recommend', 'provider', 'because', 'price', 'quota', 'expensive', 'speed', 'contents',' pulses', ' Deliberately ',' Turn on ',' Data ',' Eat ',' Credit ',' Direct ',' Cutting ',' Natural ',' Just 'New', 'Mengalain', 'Data', 'Detik', 'Turn Off' , 'check', 'truncated', 'really', 'poor', 'pulse', 'save', 'recommend', 'provider', '']</v>
      </c>
      <c r="D1369" s="3">
        <v>1.0</v>
      </c>
    </row>
    <row r="1370" ht="15.75" customHeight="1">
      <c r="A1370" s="1">
        <v>1368.0</v>
      </c>
      <c r="B1370" s="3" t="s">
        <v>1371</v>
      </c>
      <c r="C1370" s="3" t="str">
        <f>IFERROR(__xludf.DUMMYFUNCTION("GOOGLETRANSLATE(B1370,""id"",""en"")"),"['Credit', 'Cutting', 'Data', 'Cellular', 'Dinon', 'Activate', 'Use', 'WiFi', 'Phone', 'The Reasons',' GPRS ',' Card ',' Active ',' buy ',' package ',' suggested ',' signal ',' GPRS ',' card ',' turned off ',' Telkomsel ',' list ',' Package ',' call ',' o"&amp;"pen ' , 'signal', 'GPRS', 'card', 'troublesome', 'customer', 'rules', 'truncated', 'pulses', 'silver', 'decent', 'chick', ""]")</f>
        <v>['Credit', 'Cutting', 'Data', 'Cellular', 'Dinon', 'Activate', 'Use', 'WiFi', 'Phone', 'The Reasons',' GPRS ',' Card ',' Active ',' buy ',' package ',' suggested ',' signal ',' GPRS ',' card ',' turned off ',' Telkomsel ',' list ',' Package ',' call ',' open ' , 'signal', 'GPRS', 'card', 'troublesome', 'customer', 'rules', 'truncated', 'pulses', 'silver', 'decent', 'chick', "]</v>
      </c>
      <c r="D1370" s="3">
        <v>2.0</v>
      </c>
    </row>
    <row r="1371" ht="15.75" customHeight="1">
      <c r="A1371" s="1">
        <v>1369.0</v>
      </c>
      <c r="B1371" s="3" t="s">
        <v>1372</v>
      </c>
      <c r="C1371" s="3" t="str">
        <f>IFERROR(__xludf.DUMMYFUNCTION("GOOGLETRANSLATE(B1371,""id"",""en"")"),"['agree', 'friend', 'complaint', 'Telkomsel', 'slow', 'mending', 'operator', 'next door', 'package', 'all-round', 'cheap', 'signal', ' good ',' please ',' repaired ',' performance ',' okay ']")</f>
        <v>['agree', 'friend', 'complaint', 'Telkomsel', 'slow', 'mending', 'operator', 'next door', 'package', 'all-round', 'cheap', 'signal', ' good ',' please ',' repaired ',' performance ',' okay ']</v>
      </c>
      <c r="D1371" s="3">
        <v>3.0</v>
      </c>
    </row>
    <row r="1372" ht="15.75" customHeight="1">
      <c r="A1372" s="1">
        <v>1370.0</v>
      </c>
      <c r="B1372" s="3" t="s">
        <v>1373</v>
      </c>
      <c r="C1372" s="3" t="str">
        <f>IFERROR(__xludf.DUMMYFUNCTION("GOOGLETRANSLATE(B1372,""id"",""en"")"),"['Talikin', 'credit', 'cave', 'knp', 'sms',' buy ',' package ',' tasty ',' right ',' maen ',' take ',' pulses', ' org ',' buy ',' package ',' price ',' that way ',' already ',' take care ',' signal ',' becus', 'appears',' kayak ',' gini ',' pulses' , 'Nas"&amp;"tyl', 'sms', 'buy', 'package', 'goat', '']")</f>
        <v>['Talikin', 'credit', 'cave', 'knp', 'sms',' buy ',' package ',' tasty ',' right ',' maen ',' take ',' pulses', ' org ',' buy ',' package ',' price ',' that way ',' already ',' take care ',' signal ',' becus', 'appears',' kayak ',' gini ',' pulses' , 'Nastyl', 'sms', 'buy', 'package', 'goat', '']</v>
      </c>
      <c r="D1372" s="3">
        <v>5.0</v>
      </c>
    </row>
    <row r="1373" ht="15.75" customHeight="1">
      <c r="A1373" s="1">
        <v>1371.0</v>
      </c>
      <c r="B1373" s="3" t="s">
        <v>1374</v>
      </c>
      <c r="C1373" s="3" t="str">
        <f>IFERROR(__xludf.DUMMYFUNCTION("GOOGLETRANSLATE(B1373,""id"",""en"")"),"['Option', 'Exchange', 'Points', 'Points', 'Smggu', 'work', 'Exchange', 'Points', 'Doang', 'Love', 'star', ""]")</f>
        <v>['Option', 'Exchange', 'Points', 'Points', 'Smggu', 'work', 'Exchange', 'Points', 'Doang', 'Love', 'star', "]</v>
      </c>
      <c r="D1373" s="3">
        <v>1.0</v>
      </c>
    </row>
    <row r="1374" ht="15.75" customHeight="1">
      <c r="A1374" s="1">
        <v>1372.0</v>
      </c>
      <c r="B1374" s="3" t="s">
        <v>1375</v>
      </c>
      <c r="C1374" s="3" t="str">
        <f>IFERROR(__xludf.DUMMYFUNCTION("GOOGLETRANSLATE(B1374,""id"",""en"")"),"['Signal', 'Severe', 'update', 'right', 'open', 'update', 'update', 'update', 'signal', 'gacor', 'update', 'signal', ' ']")</f>
        <v>['Signal', 'Severe', 'update', 'right', 'open', 'update', 'update', 'update', 'signal', 'gacor', 'update', 'signal', ' ']</v>
      </c>
      <c r="D1374" s="3">
        <v>1.0</v>
      </c>
    </row>
    <row r="1375" ht="15.75" customHeight="1">
      <c r="A1375" s="1">
        <v>1373.0</v>
      </c>
      <c r="B1375" s="3" t="s">
        <v>1376</v>
      </c>
      <c r="C1375" s="3" t="str">
        <f>IFERROR(__xludf.DUMMYFUNCTION("GOOGLETRANSLATE(B1375,""id"",""en"")"),"['Buy', 'Package', 'Games',' Max ',' Silver ',' Voucher ',' MLBB ',' Package ',' Mengeklam ',' Voucher ',' Please ',' Direspown ',' ']")</f>
        <v>['Buy', 'Package', 'Games',' Max ',' Silver ',' Voucher ',' MLBB ',' Package ',' Mengeklam ',' Voucher ',' Please ',' Direspown ',' ']</v>
      </c>
      <c r="D1375" s="3">
        <v>1.0</v>
      </c>
    </row>
    <row r="1376" ht="15.75" customHeight="1">
      <c r="A1376" s="1">
        <v>1374.0</v>
      </c>
      <c r="B1376" s="3" t="s">
        <v>1377</v>
      </c>
      <c r="C1376" s="3" t="str">
        <f>IFERROR(__xludf.DUMMYFUNCTION("GOOGLETRANSLATE(B1376,""id"",""en"")"),"['Disappointed', 'pulse', 'run out', 'lost', 'signal', 'data', 'lost', 'disorder', 'package', 'data', 'pulse', 'cut', ' run out ',' please ',' related ',' application ',' feature ',' set ',' security ',' level ',' setting ',' pulse ',' truncated ',' signa"&amp;"l ',' data ' , 'missing', 'package', 'data', 'run out', 'please', 'Telkomsel', 'customer', 'loyal', 'use', 'number', ""]")</f>
        <v>['Disappointed', 'pulse', 'run out', 'lost', 'signal', 'data', 'lost', 'disorder', 'package', 'data', 'pulse', 'cut', ' run out ',' please ',' related ',' application ',' feature ',' set ',' security ',' level ',' setting ',' pulse ',' truncated ',' signal ',' data ' , 'missing', 'package', 'data', 'run out', 'please', 'Telkomsel', 'customer', 'loyal', 'use', 'number', "]</v>
      </c>
      <c r="D1376" s="3">
        <v>1.0</v>
      </c>
    </row>
    <row r="1377" ht="15.75" customHeight="1">
      <c r="A1377" s="1">
        <v>1375.0</v>
      </c>
      <c r="B1377" s="3" t="s">
        <v>1378</v>
      </c>
      <c r="C1377" s="3" t="str">
        <f>IFERROR(__xludf.DUMMYFUNCTION("GOOGLETRANSLATE(B1377,""id"",""en"")"),"['migration', 'seduction', 'network', 'priority', 'slow', 'kayak', 'conch', 'change', 'name', 'telkomsel', 'conch', 'hello', ' card ',' Hello ',' network ',' priority ',' priority ',' slow ']")</f>
        <v>['migration', 'seduction', 'network', 'priority', 'slow', 'kayak', 'conch', 'change', 'name', 'telkomsel', 'conch', 'hello', ' card ',' Hello ',' network ',' priority ',' priority ',' slow ']</v>
      </c>
      <c r="D1377" s="3">
        <v>1.0</v>
      </c>
    </row>
    <row r="1378" ht="15.75" customHeight="1">
      <c r="A1378" s="1">
        <v>1376.0</v>
      </c>
      <c r="B1378" s="3" t="s">
        <v>1379</v>
      </c>
      <c r="C1378" s="3" t="str">
        <f>IFERROR(__xludf.DUMMYFUNCTION("GOOGLETRANSLATE(B1378,""id"",""en"")"),"['Please', 'Network', 'Telkomsel', 'Optimize', 'Good', 'Mngen', 'User', 'Network', 'Telkomsel', 'Jaringantelkomsel', 'Times',' CONTROL ',' ']")</f>
        <v>['Please', 'Network', 'Telkomsel', 'Optimize', 'Good', 'Mngen', 'User', 'Network', 'Telkomsel', 'Jaringantelkomsel', 'Times',' CONTROL ',' ']</v>
      </c>
      <c r="D1378" s="3">
        <v>1.0</v>
      </c>
    </row>
    <row r="1379" ht="15.75" customHeight="1">
      <c r="A1379" s="1">
        <v>1377.0</v>
      </c>
      <c r="B1379" s="3" t="s">
        <v>1380</v>
      </c>
      <c r="C1379" s="3" t="str">
        <f>IFERROR(__xludf.DUMMYFUNCTION("GOOGLETRANSLATE(B1379,""id"",""en"")"),"['MOTH', 'Credit', 'His sin', 'How', 'Buy', 'Package', 'Date', 'Paketan', 'July', 'Out', 'TGL', 'Forgot', ' package ',' direct ',' get ',' pulse ',' cut ',' pulse ',' buy ',' package ',' data ',' date ',' date ',' package ',' blank ' , 'Horrified', 'Syste"&amp;"m', 'destroyed', ""]")</f>
        <v>['MOTH', 'Credit', 'His sin', 'How', 'Buy', 'Package', 'Date', 'Paketan', 'July', 'Out', 'TGL', 'Forgot', ' package ',' direct ',' get ',' pulse ',' cut ',' pulse ',' buy ',' package ',' data ',' date ',' date ',' package ',' blank ' , 'Horrified', 'System', 'destroyed', "]</v>
      </c>
      <c r="D1379" s="3">
        <v>1.0</v>
      </c>
    </row>
    <row r="1380" ht="15.75" customHeight="1">
      <c r="A1380" s="1">
        <v>1378.0</v>
      </c>
      <c r="B1380" s="3" t="s">
        <v>1381</v>
      </c>
      <c r="C1380" s="3" t="str">
        <f>IFERROR(__xludf.DUMMYFUNCTION("GOOGLETRANSLATE(B1380,""id"",""en"")"),"['Exchange', 'Points',' get ',' customers', 'loyal', 'Telkomsel', 'disappointing', 'contents',' pulse ',' thousand ',' right ',' nucerba ',' Points', 'Wind', 'I', 'Get', 'Gifts']")</f>
        <v>['Exchange', 'Points',' get ',' customers', 'loyal', 'Telkomsel', 'disappointing', 'contents',' pulse ',' thousand ',' right ',' nucerba ',' Points', 'Wind', 'I', 'Get', 'Gifts']</v>
      </c>
      <c r="D1380" s="3">
        <v>1.0</v>
      </c>
    </row>
    <row r="1381" ht="15.75" customHeight="1">
      <c r="A1381" s="1">
        <v>1379.0</v>
      </c>
      <c r="B1381" s="3" t="s">
        <v>1382</v>
      </c>
      <c r="C1381" s="3" t="str">
        <f>IFERROR(__xludf.DUMMYFUNCTION("GOOGLETRANSLATE(B1381,""id"",""en"")"),"['Assalamualaikum', 'company', 'Telkomsel', 'user', 'loyal', 'Telkomsel', 'Please', 'perman', 'package', 'internet', 'love', 'package', ' Unlimited ',' cheap ',' package ',' internet ',' package ',' unlimited ',' expensive ',' so, 'company', 'Telkomsel', "&amp;"'Wassalamu', 'Alaikum', 'warahmatullahi' , 'wabarakatuh']")</f>
        <v>['Assalamualaikum', 'company', 'Telkomsel', 'user', 'loyal', 'Telkomsel', 'Please', 'perman', 'package', 'internet', 'love', 'package', ' Unlimited ',' cheap ',' package ',' internet ',' package ',' unlimited ',' expensive ',' so, 'company', 'Telkomsel', 'Wassalamu', 'Alaikum', 'warahmatullahi' , 'wabarakatuh']</v>
      </c>
      <c r="D1381" s="3">
        <v>2.0</v>
      </c>
    </row>
    <row r="1382" ht="15.75" customHeight="1">
      <c r="A1382" s="1">
        <v>1380.0</v>
      </c>
      <c r="B1382" s="3" t="s">
        <v>1383</v>
      </c>
      <c r="C1382" s="3" t="str">
        <f>IFERROR(__xludf.DUMMYFUNCTION("GOOGLETRANSLATE(B1382,""id"",""en"")"),"['loss',' pulse ',' exchange ',' package ',' sms', 'appears',' sorry ',' pulse ',' contents', 'pulse', 'try', 'minutes',' Credit ',' Paketan ',' Credit ',' Out ',' Package ',' Application ',' ']")</f>
        <v>['loss',' pulse ',' exchange ',' package ',' sms', 'appears',' sorry ',' pulse ',' contents', 'pulse', 'try', 'minutes',' Credit ',' Paketan ',' Credit ',' Out ',' Package ',' Application ',' ']</v>
      </c>
      <c r="D1382" s="3">
        <v>1.0</v>
      </c>
    </row>
    <row r="1383" ht="15.75" customHeight="1">
      <c r="A1383" s="1">
        <v>1381.0</v>
      </c>
      <c r="B1383" s="3" t="s">
        <v>1384</v>
      </c>
      <c r="C1383" s="3" t="str">
        <f>IFERROR(__xludf.DUMMYFUNCTION("GOOGLETRANSLATE(B1383,""id"",""en"")"),"['CLEAIM', 'Package', 'Results',' Check ',' Daily ',' Please ',' Solution ',' Admin ',' Try ',' Notification ',' Reach ',' Limit ',' Exchange ',' Point ',' Times', 'A Day', 'Padah', 'Claim', 'Please', 'Solution']")</f>
        <v>['CLEAIM', 'Package', 'Results',' Check ',' Daily ',' Please ',' Solution ',' Admin ',' Try ',' Notification ',' Reach ',' Limit ',' Exchange ',' Point ',' Times', 'A Day', 'Padah', 'Claim', 'Please', 'Solution']</v>
      </c>
      <c r="D1383" s="3">
        <v>1.0</v>
      </c>
    </row>
    <row r="1384" ht="15.75" customHeight="1">
      <c r="A1384" s="1">
        <v>1382.0</v>
      </c>
      <c r="B1384" s="3" t="s">
        <v>1385</v>
      </c>
      <c r="C1384" s="3" t="str">
        <f>IFERROR(__xludf.DUMMYFUNCTION("GOOGLETRANSLATE(B1384,""id"",""en"")"),"['', 'wonder', 'bug', 'buy', 'data', 'pay', 'doang', 'data', 'then', 'pay', 'fix', 'disappointed', 'losing ',' pulse ',' buy ']")</f>
        <v>['', 'wonder', 'bug', 'buy', 'data', 'pay', 'doang', 'data', 'then', 'pay', 'fix', 'disappointed', 'losing ',' pulse ',' buy ']</v>
      </c>
      <c r="D1384" s="3">
        <v>1.0</v>
      </c>
    </row>
    <row r="1385" ht="15.75" customHeight="1">
      <c r="A1385" s="1">
        <v>1383.0</v>
      </c>
      <c r="B1385" s="3" t="s">
        <v>1386</v>
      </c>
      <c r="C1385" s="3" t="str">
        <f>IFERROR(__xludf.DUMMYFUNCTION("GOOGLETRANSLATE(B1385,""id"",""en"")"),"['Hi', 'Telkomsel', 'Cool', 'Features',' Complete ',' suggested ',' Add ',' Feature ',' Security ',' Function ',' Check ',' Periodic ',' number ',' customer ',' safe ',' offer ',' gift ',' money ',' item ',' ']")</f>
        <v>['Hi', 'Telkomsel', 'Cool', 'Features',' Complete ',' suggested ',' Add ',' Feature ',' Security ',' Function ',' Check ',' Periodic ',' number ',' customer ',' safe ',' offer ',' gift ',' money ',' item ',' ']</v>
      </c>
      <c r="D1385" s="3">
        <v>4.0</v>
      </c>
    </row>
    <row r="1386" ht="15.75" customHeight="1">
      <c r="A1386" s="1">
        <v>1384.0</v>
      </c>
      <c r="B1386" s="3" t="s">
        <v>1387</v>
      </c>
      <c r="C1386" s="3" t="str">
        <f>IFERROR(__xludf.DUMMYFUNCTION("GOOGLETRANSLATE(B1386,""id"",""en"")"),"['Good', 'just', 'Yesterday', 'Region', 'Pekayon', 'Market', 'Rebo', 'Signal', 'School', 'Online', 'Please', 'repaired', ' signal ',' thank ',' love ']")</f>
        <v>['Good', 'just', 'Yesterday', 'Region', 'Pekayon', 'Market', 'Rebo', 'Signal', 'School', 'Online', 'Please', 'repaired', ' signal ',' thank ',' love ']</v>
      </c>
      <c r="D1386" s="3">
        <v>5.0</v>
      </c>
    </row>
    <row r="1387" ht="15.75" customHeight="1">
      <c r="A1387" s="1">
        <v>1385.0</v>
      </c>
      <c r="B1387" s="3" t="s">
        <v>1388</v>
      </c>
      <c r="C1387" s="3" t="str">
        <f>IFERROR(__xludf.DUMMYFUNCTION("GOOGLETRANSLATE(B1387,""id"",""en"")"),"['Login', 'Magic', 'Link', 'Sent', 'Click', 'Appear', 'Description', 'Link', 'Valid', 'Expired', 'Uninstall', 'Laen', ' ']")</f>
        <v>['Login', 'Magic', 'Link', 'Sent', 'Click', 'Appear', 'Description', 'Link', 'Valid', 'Expired', 'Uninstall', 'Laen', ' ']</v>
      </c>
      <c r="D1387" s="3">
        <v>1.0</v>
      </c>
    </row>
    <row r="1388" ht="15.75" customHeight="1">
      <c r="A1388" s="1">
        <v>1386.0</v>
      </c>
      <c r="B1388" s="3" t="s">
        <v>1389</v>
      </c>
      <c r="C1388" s="3" t="str">
        <f>IFERROR(__xludf.DUMMYFUNCTION("GOOGLETRANSLATE(B1388,""id"",""en"")"),"['application', 'good', 'hrga', 'package', 'number', 'sgt', 'expensive', 'different', 'nomer', 'sympathy', 'belongs',' friend ',' the package ',' cheap ',' knp ',' bgtu ',' ']")</f>
        <v>['application', 'good', 'hrga', 'package', 'number', 'sgt', 'expensive', 'different', 'nomer', 'sympathy', 'belongs',' friend ',' the package ',' cheap ',' knp ',' bgtu ',' ']</v>
      </c>
      <c r="D1388" s="3">
        <v>3.0</v>
      </c>
    </row>
    <row r="1389" ht="15.75" customHeight="1">
      <c r="A1389" s="1">
        <v>1387.0</v>
      </c>
      <c r="B1389" s="3" t="s">
        <v>1390</v>
      </c>
      <c r="C1389" s="3" t="str">
        <f>IFERROR(__xludf.DUMMYFUNCTION("GOOGLETRANSLATE(B1389,""id"",""en"")"),"['Telkomsel', 'Comfortable', 'Claims', 'Gift', 'Daily', 'Login', 'All', 'Winner', 'Telkomsel', ""]")</f>
        <v>['Telkomsel', 'Comfortable', 'Claims', 'Gift', 'Daily', 'Login', 'All', 'Winner', 'Telkomsel', "]</v>
      </c>
      <c r="D1389" s="3">
        <v>1.0</v>
      </c>
    </row>
    <row r="1390" ht="15.75" customHeight="1">
      <c r="A1390" s="1">
        <v>1388.0</v>
      </c>
      <c r="B1390" s="3" t="s">
        <v>1391</v>
      </c>
      <c r="C1390" s="3" t="str">
        <f>IFERROR(__xludf.DUMMYFUNCTION("GOOGLETRANSLATE(B1390,""id"",""en"")"),"['Package', 'data', 'internet', 'enter', 'sense', 'donk', 'cook', 'package', 'package', 'omg', 'all', 'access',' sekrang ',' limit ',' access', 'application', 'try', '']")</f>
        <v>['Package', 'data', 'internet', 'enter', 'sense', 'donk', 'cook', 'package', 'package', 'omg', 'all', 'access',' sekrang ',' limit ',' access', 'application', 'try', '']</v>
      </c>
      <c r="D1390" s="3">
        <v>3.0</v>
      </c>
    </row>
    <row r="1391" ht="15.75" customHeight="1">
      <c r="A1391" s="1">
        <v>1389.0</v>
      </c>
      <c r="B1391" s="3" t="s">
        <v>1392</v>
      </c>
      <c r="C1391" s="3" t="str">
        <f>IFERROR(__xludf.DUMMYFUNCTION("GOOGLETRANSLATE(B1391,""id"",""en"")"),"['Bintang', 'boss',' already ',' yrs', 'telkomsel', 'buy', 'package', 'mytelkomsel', 'bacaanya', 'transaction', 'managed', 'package', ' Enter ',' Terooosss', 'Veronica', 'Kek', 'Ask', 'Ayoo', 'Indah', 'Best', ""]")</f>
        <v>['Bintang', 'boss',' already ',' yrs', 'telkomsel', 'buy', 'package', 'mytelkomsel', 'bacaanya', 'transaction', 'managed', 'package', ' Enter ',' Terooosss', 'Veronica', 'Kek', 'Ask', 'Ayoo', 'Indah', 'Best', "]</v>
      </c>
      <c r="D1391" s="3">
        <v>1.0</v>
      </c>
    </row>
    <row r="1392" ht="15.75" customHeight="1">
      <c r="A1392" s="1">
        <v>1390.0</v>
      </c>
      <c r="B1392" s="3" t="s">
        <v>1393</v>
      </c>
      <c r="C1392" s="3" t="str">
        <f>IFERROR(__xludf.DUMMYFUNCTION("GOOGLETRANSLATE(B1392,""id"",""en"")"),"['Telkomsel', 'here', 'chaotic', 'network', 'error', 'emang', 'admit', 'price', 'package', 'cheap', 'package', 'data', ' The network ',' error ',' please ',' half ',' profit ',' happy ',' essence ',' rich ',' that's', 'wants',' luck ']")</f>
        <v>['Telkomsel', 'here', 'chaotic', 'network', 'error', 'emang', 'admit', 'price', 'package', 'cheap', 'package', 'data', ' The network ',' error ',' please ',' half ',' profit ',' happy ',' essence ',' rich ',' that's', 'wants',' luck ']</v>
      </c>
      <c r="D1392" s="3">
        <v>1.0</v>
      </c>
    </row>
    <row r="1393" ht="15.75" customHeight="1">
      <c r="A1393" s="1">
        <v>1391.0</v>
      </c>
      <c r="B1393" s="3" t="s">
        <v>1394</v>
      </c>
      <c r="C1393" s="3" t="str">
        <f>IFERROR(__xludf.DUMMYFUNCTION("GOOGLETRANSLATE(B1393,""id"",""en"")"),"['', 'Telkomsel', 'Edit', 'Bintqngg', 'Bangke', 'Network', 'Deket', 'Tower', 'Gonta', 'Change', 'Crazy', 'times',' times ',' old school ',' Ampe ',' sekrg ',' pke ',' Telkomsel ',' now ',' ugly ',' forgiveness', 'Telkomsel', 'already', 'expensive', 'ugly'"&amp;", 'Network', 'Bangke', 'Bener', 'Read', 'Fix', 'Search', 'Untung', '']")</f>
        <v>['', 'Telkomsel', 'Edit', 'Bintqngg', 'Bangke', 'Network', 'Deket', 'Tower', 'Gonta', 'Change', 'Crazy', 'times',' times ',' old school ',' Ampe ',' sekrg ',' pke ',' Telkomsel ',' now ',' ugly ',' forgiveness', 'Telkomsel', 'already', 'expensive', 'ugly', 'Network', 'Bangke', 'Bener', 'Read', 'Fix', 'Search', 'Untung', '']</v>
      </c>
      <c r="D1393" s="3">
        <v>1.0</v>
      </c>
    </row>
    <row r="1394" ht="15.75" customHeight="1">
      <c r="A1394" s="1">
        <v>1392.0</v>
      </c>
      <c r="B1394" s="3" t="s">
        <v>1395</v>
      </c>
      <c r="C1394" s="3" t="str">
        <f>IFERROR(__xludf.DUMMYFUNCTION("GOOGLETRANSLATE(B1394,""id"",""en"")"),"['contents',' reset ',' pulse ',' Telkomsel ',' run out ',' subscribe ',' application ',' anything ',' data ',' internet ',' wear ',' wifi ',' Card ',' Operator ',' SMS ',' Call ',' Telkomsel ',' ']")</f>
        <v>['contents',' reset ',' pulse ',' Telkomsel ',' run out ',' subscribe ',' application ',' anything ',' data ',' internet ',' wear ',' wifi ',' Card ',' Operator ',' SMS ',' Call ',' Telkomsel ',' ']</v>
      </c>
      <c r="D1394" s="3">
        <v>1.0</v>
      </c>
    </row>
    <row r="1395" ht="15.75" customHeight="1">
      <c r="A1395" s="1">
        <v>1393.0</v>
      </c>
      <c r="B1395" s="3" t="s">
        <v>1396</v>
      </c>
      <c r="C1395" s="3" t="str">
        <f>IFERROR(__xludf.DUMMYFUNCTION("GOOGLETRANSLATE(B1395,""id"",""en"")"),"['comfortable', 'fun', 'eehh', 'subscribe', 'network', 'Lemoott', 'fast', 'abis',' lose ',' competitiveness', 'provider', 'price', ' Expensive ',' Ayooo ',' Increase ',' Telkomsel ',' Sampe ',' Kendooor ']")</f>
        <v>['comfortable', 'fun', 'eehh', 'subscribe', 'network', 'Lemoott', 'fast', 'abis',' lose ',' competitiveness', 'provider', 'price', ' Expensive ',' Ayooo ',' Increase ',' Telkomsel ',' Sampe ',' Kendooor ']</v>
      </c>
      <c r="D1395" s="3">
        <v>2.0</v>
      </c>
    </row>
    <row r="1396" ht="15.75" customHeight="1">
      <c r="A1396" s="1">
        <v>1394.0</v>
      </c>
      <c r="B1396" s="3" t="s">
        <v>1397</v>
      </c>
      <c r="C1396" s="3" t="str">
        <f>IFERROR(__xludf.DUMMYFUNCTION("GOOGLETRANSLATE(B1396,""id"",""en"")"),"['signal', 'bad', 'launching', 'severe', 'already', 'price', 'expensive', 'slow', 'forgiveness',' sometimes', 'sorry', 'already', ' Buy ',' Package ',' Data ',' Expensive ',' On ',' Males', 'Gonta', 'Change', 'Card', 'Krb', 'Move', 'Data', ""]")</f>
        <v>['signal', 'bad', 'launching', 'severe', 'already', 'price', 'expensive', 'slow', 'forgiveness',' sometimes', 'sorry', 'already', ' Buy ',' Package ',' Data ',' Expensive ',' On ',' Males', 'Gonta', 'Change', 'Card', 'Krb', 'Move', 'Data', "]</v>
      </c>
      <c r="D1396" s="3">
        <v>1.0</v>
      </c>
    </row>
    <row r="1397" ht="15.75" customHeight="1">
      <c r="A1397" s="1">
        <v>1395.0</v>
      </c>
      <c r="B1397" s="3" t="s">
        <v>1398</v>
      </c>
      <c r="C1397" s="3" t="str">
        <f>IFERROR(__xludf.DUMMYFUNCTION("GOOGLETRANSLATE(B1397,""id"",""en"")"),"['contents',' pulse ',' buy ',' package ',' dial ',' pulse ',' sucked ',' abis', 'telkomsel', 'until', 'the rest', 'run out', ' hucked ',' As a result ',' impressions', 'chance', 'ngecoh', 'customer', 'direct', 'calm', 'customer', 'loyal', 'Telkomsel', 's"&amp;"o calm', 'calm' , 'Until', 'hope', 'Hopefully', 'Provider', 'Calm', 'Customer', 'Anyway', 'Tired', 'Layarin', 'Different', 'Kayak', 'Provider', ' im ',' good ',' calm ',' customer ',' feature ',' pulse ',' safe ',' ']")</f>
        <v>['contents',' pulse ',' buy ',' package ',' dial ',' pulse ',' sucked ',' abis', 'telkomsel', 'until', 'the rest', 'run out', ' hucked ',' As a result ',' impressions', 'chance', 'ngecoh', 'customer', 'direct', 'calm', 'customer', 'loyal', 'Telkomsel', 'so calm', 'calm' , 'Until', 'hope', 'Hopefully', 'Provider', 'Calm', 'Customer', 'Anyway', 'Tired', 'Layarin', 'Different', 'Kayak', 'Provider', ' im ',' good ',' calm ',' customer ',' feature ',' pulse ',' safe ',' ']</v>
      </c>
      <c r="D1397" s="3">
        <v>1.0</v>
      </c>
    </row>
    <row r="1398" ht="15.75" customHeight="1">
      <c r="A1398" s="1">
        <v>1396.0</v>
      </c>
      <c r="B1398" s="3" t="s">
        <v>1399</v>
      </c>
      <c r="C1398" s="3" t="str">
        <f>IFERROR(__xludf.DUMMYFUNCTION("GOOGLETRANSLATE(B1398,""id"",""en"")"),"['updated', 'login', 'keyboard', 'difficult', 'appears',' ilang ',' company ',' big ',' team ',' developer ',' app ',' rich ',' Gini ',' ']")</f>
        <v>['updated', 'login', 'keyboard', 'difficult', 'appears',' ilang ',' company ',' big ',' team ',' developer ',' app ',' rich ',' Gini ',' ']</v>
      </c>
      <c r="D1398" s="3">
        <v>1.0</v>
      </c>
    </row>
    <row r="1399" ht="15.75" customHeight="1">
      <c r="A1399" s="1">
        <v>1397.0</v>
      </c>
      <c r="B1399" s="3" t="s">
        <v>1400</v>
      </c>
      <c r="C1399" s="3" t="str">
        <f>IFERROR(__xludf.DUMMYFUNCTION("GOOGLETRANSLATE(B1399,""id"",""en"")"),"['The network', 'ugly', 'disconnected', 'missing', 'signal', 'package', 'expensive', 'bought', 'expected', 'service', 'best', 'please', ' Repaired ',' network ',' in the city ',' Palembang ', ""]")</f>
        <v>['The network', 'ugly', 'disconnected', 'missing', 'signal', 'package', 'expensive', 'bought', 'expected', 'service', 'best', 'please', ' Repaired ',' network ',' in the city ',' Palembang ', "]</v>
      </c>
      <c r="D1399" s="3">
        <v>1.0</v>
      </c>
    </row>
    <row r="1400" ht="15.75" customHeight="1">
      <c r="A1400" s="1">
        <v>1398.0</v>
      </c>
      <c r="B1400" s="3" t="s">
        <v>1401</v>
      </c>
      <c r="C1400" s="3" t="str">
        <f>IFERROR(__xludf.DUMMYFUNCTION("GOOGLETRANSLATE(B1400,""id"",""en"")"),"['Telkomsel', 'Please', 'Price', 'Package', 'Reduced', 'Expensive', 'Exchange', 'Points',' Quota ',' Posts', 'Network', 'Busy', ' Males', 'basic', 'peliiittttititititttttt', '']")</f>
        <v>['Telkomsel', 'Please', 'Price', 'Package', 'Reduced', 'Expensive', 'Exchange', 'Points',' Quota ',' Posts', 'Network', 'Busy', ' Males', 'basic', 'peliiittttititititttttt', '']</v>
      </c>
      <c r="D1400" s="3">
        <v>1.0</v>
      </c>
    </row>
    <row r="1401" ht="15.75" customHeight="1">
      <c r="A1401" s="1">
        <v>1399.0</v>
      </c>
      <c r="B1401" s="3" t="s">
        <v>1402</v>
      </c>
      <c r="C1401" s="3" t="str">
        <f>IFERROR(__xludf.DUMMYFUNCTION("GOOGLETRANSLATE(B1401,""id"",""en"")"),"['Kasi', 'Karna', 'Disappointed', 'Application', 'Like', 'Application', 'Meng', 'Klim', 'Hadia', 'Check', 'Application', 'Disappointed', ' Telkomsel ',' Thank you ',' ']")</f>
        <v>['Kasi', 'Karna', 'Disappointed', 'Application', 'Like', 'Application', 'Meng', 'Klim', 'Hadia', 'Check', 'Application', 'Disappointed', ' Telkomsel ',' Thank you ',' ']</v>
      </c>
      <c r="D1401" s="3">
        <v>2.0</v>
      </c>
    </row>
    <row r="1402" ht="15.75" customHeight="1">
      <c r="A1402" s="1">
        <v>1400.0</v>
      </c>
      <c r="B1402" s="3" t="s">
        <v>1403</v>
      </c>
      <c r="C1402" s="3" t="str">
        <f>IFERROR(__xludf.DUMMYFUNCTION("GOOGLETRANSLATE(B1402,""id"",""en"")"),"['What', 'please', 'Masi', 'quota', 'then', 'contents',' pulse ',' credit ',' missing ',' missing ',' notification ',' robbery ',' his name ',' Yesterday ',' hour ',' buy ',' package ',' unlimited ',' youtube ',' tomorrow ',' wake up ',' notification ',' "&amp;"package ',' run out ',' already ' , 'submitted', 'court', 'closed', 'business', 'Telkomsel', 'fast', 'fix', 'system', 'report']")</f>
        <v>['What', 'please', 'Masi', 'quota', 'then', 'contents',' pulse ',' credit ',' missing ',' missing ',' notification ',' robbery ',' his name ',' Yesterday ',' hour ',' buy ',' package ',' unlimited ',' youtube ',' tomorrow ',' wake up ',' notification ',' package ',' run out ',' already ' , 'submitted', 'court', 'closed', 'business', 'Telkomsel', 'fast', 'fix', 'system', 'report']</v>
      </c>
      <c r="D1402" s="3">
        <v>1.0</v>
      </c>
    </row>
    <row r="1403" ht="15.75" customHeight="1">
      <c r="A1403" s="1">
        <v>1401.0</v>
      </c>
      <c r="B1403" s="3" t="s">
        <v>1404</v>
      </c>
      <c r="C1403" s="3" t="str">
        <f>IFERROR(__xludf.DUMMYFUNCTION("GOOGLETRANSLATE(B1403,""id"",""en"")"),"['Service', 'Bad', 'Benefit', 'Raup', 'Telkomsel', 'Dri', 'PDA', 'Provider', 'Moving', 'Move', 'Provider', 'Deh']")</f>
        <v>['Service', 'Bad', 'Benefit', 'Raup', 'Telkomsel', 'Dri', 'PDA', 'Provider', 'Moving', 'Move', 'Provider', 'Deh']</v>
      </c>
      <c r="D1403" s="3">
        <v>2.0</v>
      </c>
    </row>
    <row r="1404" ht="15.75" customHeight="1">
      <c r="A1404" s="1">
        <v>1402.0</v>
      </c>
      <c r="B1404" s="3" t="s">
        <v>1405</v>
      </c>
      <c r="C1404" s="3" t="str">
        <f>IFERROR(__xludf.DUMMYFUNCTION("GOOGLETRANSLATE(B1404,""id"",""en"")"),"['please', 'Telkomsel', 'guarantee', 'convenience', '""network', 'Telkomsel', 'Mending', 'Telkomsel', 'network', 'slow', 'please', ' Fix ',' Bnyak ',' Nge ',' Jangn ',' Take ',' Untung ',' Jangn ',' Read ',' Doang ',' Comment ',' Fix ']")</f>
        <v>['please', 'Telkomsel', 'guarantee', 'convenience', '"network', 'Telkomsel', 'Mending', 'Telkomsel', 'network', 'slow', 'please', ' Fix ',' Bnyak ',' Nge ',' Jangn ',' Take ',' Untung ',' Jangn ',' Read ',' Doang ',' Comment ',' Fix ']</v>
      </c>
      <c r="D1404" s="3">
        <v>1.0</v>
      </c>
    </row>
    <row r="1405" ht="15.75" customHeight="1">
      <c r="A1405" s="1">
        <v>1403.0</v>
      </c>
      <c r="B1405" s="3" t="s">
        <v>1406</v>
      </c>
      <c r="C1405" s="3" t="str">
        <f>IFERROR(__xludf.DUMMYFUNCTION("GOOGLETRANSLATE(B1405,""id"",""en"")"),"['Application', 'okay', 'difficult', 'please', 'repaired', 'contents',' rb ',' directly ',' cheek ',' package ',' notification ',' confirm ',' Notifications', 'Hedeu', '']")</f>
        <v>['Application', 'okay', 'difficult', 'please', 'repaired', 'contents',' rb ',' directly ',' cheek ',' package ',' notification ',' confirm ',' Notifications', 'Hedeu', '']</v>
      </c>
      <c r="D1405" s="3">
        <v>4.0</v>
      </c>
    </row>
    <row r="1406" ht="15.75" customHeight="1">
      <c r="A1406" s="1">
        <v>1404.0</v>
      </c>
      <c r="B1406" s="3" t="s">
        <v>1407</v>
      </c>
      <c r="C1406" s="3" t="str">
        <f>IFERROR(__xludf.DUMMYFUNCTION("GOOGLETRANSLATE(B1406,""id"",""en"")"),"['Points',' Gunannya ',' Exchange ',' How ',' Telkomsel ',' Nation ',' TT ',' Company ',' Leading ',' Love ',' Bonus', 'Pelitt', ' Pant ',' KKK ']")</f>
        <v>['Points',' Gunannya ',' Exchange ',' How ',' Telkomsel ',' Nation ',' TT ',' Company ',' Leading ',' Love ',' Bonus', 'Pelitt', ' Pant ',' KKK ']</v>
      </c>
      <c r="D1406" s="3">
        <v>2.0</v>
      </c>
    </row>
    <row r="1407" ht="15.75" customHeight="1">
      <c r="A1407" s="1">
        <v>1405.0</v>
      </c>
      <c r="B1407" s="3" t="s">
        <v>1408</v>
      </c>
      <c r="C1407" s="3" t="str">
        <f>IFERROR(__xludf.DUMMYFUNCTION("GOOGLETRANSLATE(B1407,""id"",""en"")"),"['user', 'card', 'network', 'card', 'inside', 'sumurpun', 'jossss',' on the road ',' raya ',' difficult ',' signal ',' Telkomsel ',' Puberty ',' Telkomsel ',' ']")</f>
        <v>['user', 'card', 'network', 'card', 'inside', 'sumurpun', 'jossss',' on the road ',' raya ',' difficult ',' signal ',' Telkomsel ',' Puberty ',' Telkomsel ',' ']</v>
      </c>
      <c r="D1407" s="3">
        <v>2.0</v>
      </c>
    </row>
    <row r="1408" ht="15.75" customHeight="1">
      <c r="A1408" s="1">
        <v>1406.0</v>
      </c>
      <c r="B1408" s="3" t="s">
        <v>1409</v>
      </c>
      <c r="C1408" s="3" t="str">
        <f>IFERROR(__xludf.DUMMYFUNCTION("GOOGLETRANSLATE(B1408,""id"",""en"")"),"['In the future', 'donk', 'ehhh', 'ehhh', 'back', 'ikonjya', 'network', 'kek', 'era', 'Nokia', ""]")</f>
        <v>['In the future', 'donk', 'ehhh', 'ehhh', 'back', 'ikonjya', 'network', 'kek', 'era', 'Nokia', "]</v>
      </c>
      <c r="D1408" s="3">
        <v>1.0</v>
      </c>
    </row>
    <row r="1409" ht="15.75" customHeight="1">
      <c r="A1409" s="1">
        <v>1407.0</v>
      </c>
      <c r="B1409" s="3" t="s">
        <v>1410</v>
      </c>
      <c r="C1409" s="3" t="str">
        <f>IFERROR(__xludf.DUMMYFUNCTION("GOOGLETRANSLATE(B1409,""id"",""en"")"),"['Talikin', 'package', 'data', 'after', 'update', 'package', 'quota', 'subscription', 'cave', 'expensive', 'cave', 'move', ' ']")</f>
        <v>['Talikin', 'package', 'data', 'after', 'update', 'package', 'quota', 'subscription', 'cave', 'expensive', 'cave', 'move', ' ']</v>
      </c>
      <c r="D1409" s="3">
        <v>1.0</v>
      </c>
    </row>
    <row r="1410" ht="15.75" customHeight="1">
      <c r="A1410" s="1">
        <v>1408.0</v>
      </c>
      <c r="B1410" s="3" t="s">
        <v>1411</v>
      </c>
      <c r="C1410" s="3" t="str">
        <f>IFERROR(__xludf.DUMMYFUNCTION("GOOGLETRANSLATE(B1410,""id"",""en"")"),"['bad', 'package', 'kerllu', 'mhal', 'TPI', 'signal', 'tdak', 'stable', 'service', 'bruk', 'sya', 'mrasa', ' Disappointed ',' Telkomsel ',' Tlong ',' Update ',' Signal ',' Region ',' Province ',' Jambi ',' Capital ',' Tanjung ',' Jabung ',' West ',' Distr"&amp;"ict ' , 'cliffs', 'village', 'ethics', 'tlong', 'updated', 'quality', 'signal', 'trimksih', '']")</f>
        <v>['bad', 'package', 'kerllu', 'mhal', 'TPI', 'signal', 'tdak', 'stable', 'service', 'bruk', 'sya', 'mrasa', ' Disappointed ',' Telkomsel ',' Tlong ',' Update ',' Signal ',' Region ',' Province ',' Jambi ',' Capital ',' Tanjung ',' Jabung ',' West ',' District ' , 'cliffs', 'village', 'ethics', 'tlong', 'updated', 'quality', 'signal', 'trimksih', '']</v>
      </c>
      <c r="D1410" s="3">
        <v>1.0</v>
      </c>
    </row>
    <row r="1411" ht="15.75" customHeight="1">
      <c r="A1411" s="1">
        <v>1409.0</v>
      </c>
      <c r="B1411" s="3" t="s">
        <v>1412</v>
      </c>
      <c r="C1411" s="3" t="str">
        <f>IFERROR(__xludf.DUMMYFUNCTION("GOOGLETRANSLATE(B1411,""id"",""en"")"),"['Good', 'ugly', 'network', 'PDHSL', 'Tsel', 'skrg', 'good', 'AXIS', 'Please', 'fix', '']")</f>
        <v>['Good', 'ugly', 'network', 'PDHSL', 'Tsel', 'skrg', 'good', 'AXIS', 'Please', 'fix', '']</v>
      </c>
      <c r="D1411" s="3">
        <v>2.0</v>
      </c>
    </row>
    <row r="1412" ht="15.75" customHeight="1">
      <c r="A1412" s="1">
        <v>1410.0</v>
      </c>
      <c r="B1412" s="3" t="s">
        <v>1413</v>
      </c>
      <c r="C1412" s="3" t="str">
        <f>IFERROR(__xludf.DUMMYFUNCTION("GOOGLETRANSLATE(B1412,""id"",""en"")"),"['customers',' Telkomsel ',' please ',' donk ',' signal ',' here ',' slow ',' maen ',' game ',' tri ',' card ',' maen ',' Game ',' signal ',' good ',' Telkomsel ',' how ',' disappointed ',' people ', ""]")</f>
        <v>['customers',' Telkomsel ',' please ',' donk ',' signal ',' here ',' slow ',' maen ',' game ',' tri ',' card ',' maen ',' Game ',' signal ',' good ',' Telkomsel ',' how ',' disappointed ',' people ', "]</v>
      </c>
      <c r="D1412" s="3">
        <v>1.0</v>
      </c>
    </row>
    <row r="1413" ht="15.75" customHeight="1">
      <c r="A1413" s="1">
        <v>1411.0</v>
      </c>
      <c r="B1413" s="3" t="s">
        <v>1414</v>
      </c>
      <c r="C1413" s="3" t="str">
        <f>IFERROR(__xludf.DUMMYFUNCTION("GOOGLETRANSLATE(B1413,""id"",""en"")"),"['', 'In the future', 'Telkomsel', 'Telkomsel', 'Mampus',' Sampe ',' On ',' Talkling ',' Out ',' Loss', 'Package', 'Expensive', 'Notification ',' package ',' already ',' run out ',' abis', 'leftover', 'pulse', 'direct', 'finished', 'sucked', 'jurug', 'tel"&amp;"komsel', 'access', 'application', 'loss',' Telkomsel ',' mah ',' bonus', 'claim', 'point', 'taken', 'bonus',' kagak ',' mending ',' cheap ',' network ',' Good ',' Need ',' Points', 'Need', 'Iming', '']")</f>
        <v>['', 'In the future', 'Telkomsel', 'Telkomsel', 'Mampus',' Sampe ',' On ',' Talkling ',' Out ',' Loss', 'Package', 'Expensive', 'Notification ',' package ',' already ',' run out ',' abis', 'leftover', 'pulse', 'direct', 'finished', 'sucked', 'jurug', 'telkomsel', 'access', 'application', 'loss',' Telkomsel ',' mah ',' bonus', 'claim', 'point', 'taken', 'bonus',' kagak ',' mending ',' cheap ',' network ',' Good ',' Need ',' Points', 'Need', 'Iming', '']</v>
      </c>
      <c r="D1413" s="3">
        <v>1.0</v>
      </c>
    </row>
    <row r="1414" ht="15.75" customHeight="1">
      <c r="A1414" s="1">
        <v>1412.0</v>
      </c>
      <c r="B1414" s="3" t="s">
        <v>1415</v>
      </c>
      <c r="C1414" s="3" t="str">
        <f>IFERROR(__xludf.DUMMYFUNCTION("GOOGLETRANSLATE(B1414,""id"",""en"")"),"['Telkomsel', 'where', 'network', 'slow', 'internet', 'uda', 'expensive', 'package', 'bought', 'used', 'loss',' sopbeli ',' accept ',' profit ',' sipenen ',' was surfed ',' slow ',' please ',' think "",""]")</f>
        <v>['Telkomsel', 'where', 'network', 'slow', 'internet', 'uda', 'expensive', 'package', 'bought', 'used', 'loss',' sopbeli ',' accept ',' profit ',' sipenen ',' was surfed ',' slow ',' please ',' think ","]</v>
      </c>
      <c r="D1414" s="3">
        <v>1.0</v>
      </c>
    </row>
    <row r="1415" ht="15.75" customHeight="1">
      <c r="A1415" s="1">
        <v>1413.0</v>
      </c>
      <c r="B1415" s="3" t="s">
        <v>1416</v>
      </c>
      <c r="C1415" s="3" t="str">
        <f>IFERROR(__xludf.DUMMYFUNCTION("GOOGLETRANSLATE(B1415,""id"",""en"")"),"['Sorry', 'Change', 'Review', 'Karna', 'Disappointed', 'Udh', 'Telkomsel', 'Difficult', 'Search', 'Signal', 'Please', 'Donk', ' era ',' Nambah ',' fast ',' mah ',' Malahn ',' add ',' slow ',' ajah ',' look for ',' signal ']")</f>
        <v>['Sorry', 'Change', 'Review', 'Karna', 'Disappointed', 'Udh', 'Telkomsel', 'Difficult', 'Search', 'Signal', 'Please', 'Donk', ' era ',' Nambah ',' fast ',' mah ',' Malahn ',' add ',' slow ',' ajah ',' look for ',' signal ']</v>
      </c>
      <c r="D1415" s="3">
        <v>1.0</v>
      </c>
    </row>
    <row r="1416" ht="15.75" customHeight="1">
      <c r="A1416" s="1">
        <v>1414.0</v>
      </c>
      <c r="B1416" s="3" t="s">
        <v>1417</v>
      </c>
      <c r="C1416" s="3" t="str">
        <f>IFERROR(__xludf.DUMMYFUNCTION("GOOGLETRANSLATE(B1416,""id"",""en"")"),"['quota', 'price', 'gile', 'network', 'ilang', 'operator', 'person', 'nervous',' satisfying ',' need ',' gaming ',' orng ',' angry ',' people ',' cursing ',' maki ',' please ',' fix ',' quality ',' interests', 'profit', 'company']")</f>
        <v>['quota', 'price', 'gile', 'network', 'ilang', 'operator', 'person', 'nervous',' satisfying ',' need ',' gaming ',' orng ',' angry ',' people ',' cursing ',' maki ',' please ',' fix ',' quality ',' interests', 'profit', 'company']</v>
      </c>
      <c r="D1416" s="3">
        <v>4.0</v>
      </c>
    </row>
    <row r="1417" ht="15.75" customHeight="1">
      <c r="A1417" s="1">
        <v>1415.0</v>
      </c>
      <c r="B1417" s="3" t="s">
        <v>1418</v>
      </c>
      <c r="C1417" s="3" t="str">
        <f>IFERROR(__xludf.DUMMYFUNCTION("GOOGLETRANSLATE(B1417,""id"",""en"")"),"['Application', 'gajelas',' little ',' forced ',' update ',' signal ',' already ',' seebagus', 'forced', 'Telkomsel', 'provider', 'good', ' Village ',' mah ',' bye ',' telkomsel ']")</f>
        <v>['Application', 'gajelas',' little ',' forced ',' update ',' signal ',' already ',' seebagus', 'forced', 'Telkomsel', 'provider', 'good', ' Village ',' mah ',' bye ',' telkomsel ']</v>
      </c>
      <c r="D1417" s="3">
        <v>1.0</v>
      </c>
    </row>
    <row r="1418" ht="15.75" customHeight="1">
      <c r="A1418" s="1">
        <v>1416.0</v>
      </c>
      <c r="B1418" s="3" t="s">
        <v>1419</v>
      </c>
      <c r="C1418" s="3" t="str">
        <f>IFERROR(__xludf.DUMMYFUNCTION("GOOGLETRANSLATE(B1418,""id"",""en"")"),"['slow', 'buy', 'package', 'internet', 'method', 'payment', 'choose', 'skrg', 'pulse', 'update', 'tmbah', 'features',' Decrease ',' ']")</f>
        <v>['slow', 'buy', 'package', 'internet', 'method', 'payment', 'choose', 'skrg', 'pulse', 'update', 'tmbah', 'features',' Decrease ',' ']</v>
      </c>
      <c r="D1418" s="3">
        <v>1.0</v>
      </c>
    </row>
    <row r="1419" ht="15.75" customHeight="1">
      <c r="A1419" s="1">
        <v>1417.0</v>
      </c>
      <c r="B1419" s="3" t="s">
        <v>1420</v>
      </c>
      <c r="C1419" s="3" t="str">
        <f>IFERROR(__xludf.DUMMYFUNCTION("GOOGLETRANSLATE(B1419,""id"",""en"")"),"['MyTelkomsel', 'updated', 'already', 'turn', 'opened', 'update', 'Playstore', 'already', 'updated', 'uninstall', 'Uninstall', ' right ',' melet ',' open ',' told ',' update ',' again ',' haduhh ',' told ',' pressing ',' uninstall ',' ']")</f>
        <v>['MyTelkomsel', 'updated', 'already', 'turn', 'opened', 'update', 'Playstore', 'already', 'updated', 'uninstall', 'Uninstall', ' right ',' melet ',' open ',' told ',' update ',' again ',' haduhh ',' told ',' pressing ',' uninstall ',' ']</v>
      </c>
      <c r="D1419" s="3">
        <v>1.0</v>
      </c>
    </row>
    <row r="1420" ht="15.75" customHeight="1">
      <c r="A1420" s="1">
        <v>1418.0</v>
      </c>
      <c r="B1420" s="3" t="s">
        <v>1421</v>
      </c>
      <c r="C1420" s="3" t="str">
        <f>IFERROR(__xludf.DUMMYFUNCTION("GOOGLETRANSLATE(B1420,""id"",""en"")"),"['Less', 'star', 'already', 'update', 'right', 'open', 'told', 'update', 'Telkomsel', 'ugly', 'the application']")</f>
        <v>['Less', 'star', 'already', 'update', 'right', 'open', 'told', 'update', 'Telkomsel', 'ugly', 'the application']</v>
      </c>
      <c r="D1420" s="3">
        <v>2.0</v>
      </c>
    </row>
    <row r="1421" ht="15.75" customHeight="1">
      <c r="A1421" s="1">
        <v>1419.0</v>
      </c>
      <c r="B1421" s="3" t="s">
        <v>1422</v>
      </c>
      <c r="C1421" s="3" t="str">
        <f>IFERROR(__xludf.DUMMYFUNCTION("GOOGLETRANSLATE(B1421,""id"",""en"")"),"['buy', 'data', 'pulse', 'lost', 'data', 'accepted', 'buy', 'package', 'data', 'Telkomsel', 'good', 'trusted', ' Credit ',' lost ',' direction ',' stop ',' subscription ',' difficult ',' fear ', ""]")</f>
        <v>['buy', 'data', 'pulse', 'lost', 'data', 'accepted', 'buy', 'package', 'data', 'Telkomsel', 'good', 'trusted', ' Credit ',' lost ',' direction ',' stop ',' subscription ',' difficult ',' fear ', "]</v>
      </c>
      <c r="D1421" s="3">
        <v>1.0</v>
      </c>
    </row>
    <row r="1422" ht="15.75" customHeight="1">
      <c r="A1422" s="1">
        <v>1420.0</v>
      </c>
      <c r="B1422" s="3" t="s">
        <v>1423</v>
      </c>
      <c r="C1422" s="3" t="str">
        <f>IFERROR(__xludf.DUMMYFUNCTION("GOOGLETRANSLATE(B1422,""id"",""en"")"),"['user', 'disappointed', 'network', 'Telkomsel', 'May', 'network', 'bad', 'please', 'buy', 'package', 'expensive', 'compare', ' Providers', 'stability', 'internet', 'so', 'thank', 'love', ""]")</f>
        <v>['user', 'disappointed', 'network', 'Telkomsel', 'May', 'network', 'bad', 'please', 'buy', 'package', 'expensive', 'compare', ' Providers', 'stability', 'internet', 'so', 'thank', 'love', "]</v>
      </c>
      <c r="D1422" s="3">
        <v>1.0</v>
      </c>
    </row>
    <row r="1423" ht="15.75" customHeight="1">
      <c r="A1423" s="1">
        <v>1421.0</v>
      </c>
      <c r="B1423" s="3" t="s">
        <v>1424</v>
      </c>
      <c r="C1423" s="3" t="str">
        <f>IFERROR(__xludf.DUMMYFUNCTION("GOOGLETRANSLATE(B1423,""id"",""en"")"),"['Sorry', 'Telkomsel', 'fox', 'rules',' at the same time ',' use ',' package ',' data ',' run out ',' Jngan ',' directly ',' play ',' Over ',' Credit ',' Direct ',' Suck ',' Credit ',' Kayak ',' Card ',' Package ',' Data ',' Done ',' Network ',' Stop ',' "&amp;"Stop ' , 'pulse', 'pulse', 'safe', 'pulse', 'package', 'already', 'mah', 'package', 'data', 'counted', 'expensive', 'card', ' Paketan ',' Out ',' Credit ',' Direct ',' Embat ',' wise ',' little ',' consumer ',' loss', ""]")</f>
        <v>['Sorry', 'Telkomsel', 'fox', 'rules',' at the same time ',' use ',' package ',' data ',' run out ',' Jngan ',' directly ',' play ',' Over ',' Credit ',' Direct ',' Suck ',' Credit ',' Kayak ',' Card ',' Package ',' Data ',' Done ',' Network ',' Stop ',' Stop ' , 'pulse', 'pulse', 'safe', 'pulse', 'package', 'already', 'mah', 'package', 'data', 'counted', 'expensive', 'card', ' Paketan ',' Out ',' Credit ',' Direct ',' Embat ',' wise ',' little ',' consumer ',' loss', "]</v>
      </c>
      <c r="D1423" s="3">
        <v>1.0</v>
      </c>
    </row>
    <row r="1424" ht="15.75" customHeight="1">
      <c r="A1424" s="1">
        <v>1422.0</v>
      </c>
      <c r="B1424" s="3" t="s">
        <v>1425</v>
      </c>
      <c r="C1424" s="3" t="str">
        <f>IFERROR(__xludf.DUMMYFUNCTION("GOOGLETRANSLATE(B1424,""id"",""en"")"),"['ngalamin', 'network', 'Telkomsel', 'here', 'ugly', 'price', 'package', 'provider', 'quality', 'speed', 'network', 'here' ugly ',' select ',' Telkomsel ',' because ',' dlu ',' speed ',' network ',' good ',' package ',' expensive ',' skrng ',' disappointe"&amp;"d ',' Move ' , '']")</f>
        <v>['ngalamin', 'network', 'Telkomsel', 'here', 'ugly', 'price', 'package', 'provider', 'quality', 'speed', 'network', 'here' ugly ',' select ',' Telkomsel ',' because ',' dlu ',' speed ',' network ',' good ',' package ',' expensive ',' skrng ',' disappointed ',' Move ' , '']</v>
      </c>
      <c r="D1424" s="3">
        <v>1.0</v>
      </c>
    </row>
    <row r="1425" ht="15.75" customHeight="1">
      <c r="A1425" s="1">
        <v>1423.0</v>
      </c>
      <c r="B1425" s="3" t="s">
        <v>1426</v>
      </c>
      <c r="C1425" s="3" t="str">
        <f>IFERROR(__xludf.DUMMYFUNCTION("GOOGLETRANSLATE(B1425,""id"",""en"")"),"['Telkomsel', 'please', 'klau', 'pket', 'expensive', 'udh', 'rich', 'kasian', 'no', 'money', 'hrs',' buy ',' Package ',' expensive ',' forced ',' use ',' Telkomsel ',' because ',' village ',' signal ',' Telkomsel ',' Klau ',' signal ',' Mending ',' card '"&amp;" , 'Telkomsel', 'UDH', 'expensive', 'signal', 'Nge', 'lag', 'please', 'Telkomsel', 'Klau', 'sell', 'quota', 'expensive', ' ']")</f>
        <v>['Telkomsel', 'please', 'klau', 'pket', 'expensive', 'udh', 'rich', 'kasian', 'no', 'money', 'hrs',' buy ',' Package ',' expensive ',' forced ',' use ',' Telkomsel ',' because ',' village ',' signal ',' Telkomsel ',' Klau ',' signal ',' Mending ',' card ' , 'Telkomsel', 'UDH', 'expensive', 'signal', 'Nge', 'lag', 'please', 'Telkomsel', 'Klau', 'sell', 'quota', 'expensive', ' ']</v>
      </c>
      <c r="D1425" s="3">
        <v>1.0</v>
      </c>
    </row>
    <row r="1426" ht="15.75" customHeight="1">
      <c r="A1426" s="1">
        <v>1424.0</v>
      </c>
      <c r="B1426" s="3" t="s">
        <v>1427</v>
      </c>
      <c r="C1426" s="3" t="str">
        <f>IFERROR(__xludf.DUMMYFUNCTION("GOOGLETRANSLATE(B1426,""id"",""en"")"),"['Like', 'card', 'because yesterday', 'buy', 'package', 'right', 'contents',' pulse ',' then ',' pulse ',' suck ',' Then ',' right ',' contents', 'pulse', 'suck', 'how', 'jadiin', 'package', 'ngk', 'then', 'network', 'ngelag', 'what' , 'Package', 'expensi"&amp;"ve', '']")</f>
        <v>['Like', 'card', 'because yesterday', 'buy', 'package', 'right', 'contents',' pulse ',' then ',' pulse ',' suck ',' Then ',' right ',' contents', 'pulse', 'suck', 'how', 'jadiin', 'package', 'ngk', 'then', 'network', 'ngelag', 'what' , 'Package', 'expensive', '']</v>
      </c>
      <c r="D1426" s="3">
        <v>1.0</v>
      </c>
    </row>
    <row r="1427" ht="15.75" customHeight="1">
      <c r="A1427" s="1">
        <v>1425.0</v>
      </c>
      <c r="B1427" s="3" t="s">
        <v>1428</v>
      </c>
      <c r="C1427" s="3" t="str">
        <f>IFERROR(__xludf.DUMMYFUNCTION("GOOGLETRANSLATE(B1427,""id"",""en"")"),"['Telkomsel', 'network', 'internet', 'bad', 'price', 'package', 'data', 'expensive', 'network', 'internet', 'bad', 'disappoint', ' Users', 'Telkomsel', '']")</f>
        <v>['Telkomsel', 'network', 'internet', 'bad', 'price', 'package', 'data', 'expensive', 'network', 'internet', 'bad', 'disappoint', ' Users', 'Telkomsel', '']</v>
      </c>
      <c r="D1427" s="3">
        <v>1.0</v>
      </c>
    </row>
    <row r="1428" ht="15.75" customHeight="1">
      <c r="A1428" s="1">
        <v>1426.0</v>
      </c>
      <c r="B1428" s="3" t="s">
        <v>1429</v>
      </c>
      <c r="C1428" s="3" t="str">
        <f>IFERROR(__xludf.DUMMYFUNCTION("GOOGLETRANSLATE(B1428,""id"",""en"")"),"['application', 'Telkomsel', 'help', 'promo', 'interesting', 'darling', 'sometimes',' price ',' according to ',' sms', 'notification', 'signal', ' Telkomsel ',' Error ',' Lola ',' ']")</f>
        <v>['application', 'Telkomsel', 'help', 'promo', 'interesting', 'darling', 'sometimes',' price ',' according to ',' sms', 'notification', 'signal', ' Telkomsel ',' Error ',' Lola ',' ']</v>
      </c>
      <c r="D1428" s="3">
        <v>3.0</v>
      </c>
    </row>
    <row r="1429" ht="15.75" customHeight="1">
      <c r="A1429" s="1">
        <v>1427.0</v>
      </c>
      <c r="B1429" s="3" t="s">
        <v>1430</v>
      </c>
      <c r="C1429" s="3" t="str">
        <f>IFERROR(__xludf.DUMMYFUNCTION("GOOGLETRANSLATE(B1429,""id"",""en"")"),"['Telkomsel', 'Region', 'Timika', 'Papua', 'Timika', 'City', 'Network', 'Timika', 'Good', 'Please', 'TELKOMSEL', ' FATION ',' work ',' Bagus', 'Kah', 'Teimakasi']")</f>
        <v>['Telkomsel', 'Region', 'Timika', 'Papua', 'Timika', 'City', 'Network', 'Timika', 'Good', 'Please', 'TELKOMSEL', ' FATION ',' work ',' Bagus', 'Kah', 'Teimakasi']</v>
      </c>
      <c r="D1429" s="3">
        <v>1.0</v>
      </c>
    </row>
    <row r="1430" ht="15.75" customHeight="1">
      <c r="A1430" s="1">
        <v>1428.0</v>
      </c>
      <c r="B1430" s="3" t="s">
        <v>1431</v>
      </c>
      <c r="C1430" s="3" t="str">
        <f>IFERROR(__xludf.DUMMYFUNCTION("GOOGLETRANSLATE(B1430,""id"",""en"")"),"['thank', 'love', 'Telkomsel', 'signal', 'network', 'best', 'widest', 'hope', 'kouta', 'internet', 'cheap', 'people', ' Village ',' remote ',' buy it ',' Available ',' Signal ',' Telkomsel ',' ']")</f>
        <v>['thank', 'love', 'Telkomsel', 'signal', 'network', 'best', 'widest', 'hope', 'kouta', 'internet', 'cheap', 'people', ' Village ',' remote ',' buy it ',' Available ',' Signal ',' Telkomsel ',' ']</v>
      </c>
      <c r="D1430" s="3">
        <v>5.0</v>
      </c>
    </row>
    <row r="1431" ht="15.75" customHeight="1">
      <c r="A1431" s="1">
        <v>1429.0</v>
      </c>
      <c r="B1431" s="3" t="s">
        <v>1432</v>
      </c>
      <c r="C1431" s="3" t="str">
        <f>IFERROR(__xludf.DUMMYFUNCTION("GOOGLETRANSLATE(B1431,""id"",""en"")"),"['Please', 'Fix', 'Network', 'Movers',' Forced ',' Telkomsel ',' If ',' City ',' Unplug ',' Telkomsel ',' Move ',' Card ',' Please 'repair']")</f>
        <v>['Please', 'Fix', 'Network', 'Movers',' Forced ',' Telkomsel ',' If ',' City ',' Unplug ',' Telkomsel ',' Move ',' Card ',' Please 'repair']</v>
      </c>
      <c r="D1431" s="3">
        <v>1.0</v>
      </c>
    </row>
    <row r="1432" ht="15.75" customHeight="1">
      <c r="A1432" s="1">
        <v>1430.0</v>
      </c>
      <c r="B1432" s="3" t="s">
        <v>1433</v>
      </c>
      <c r="C1432" s="3" t="str">
        <f>IFERROR(__xludf.DUMMYFUNCTION("GOOGLETRANSLATE(B1432,""id"",""en"")"),"['UDH', 'card', 'Telkomsel', 'here', 'Network', 'ugly', 'tlong', 'payatiin', 'apaligi', 'bonus',' package ',' expensive ',' Quality ',' Network ',' Bad ',' ']")</f>
        <v>['UDH', 'card', 'Telkomsel', 'here', 'Network', 'ugly', 'tlong', 'payatiin', 'apaligi', 'bonus',' package ',' expensive ',' Quality ',' Network ',' Bad ',' ']</v>
      </c>
      <c r="D1432" s="3">
        <v>1.0</v>
      </c>
    </row>
    <row r="1433" ht="15.75" customHeight="1">
      <c r="A1433" s="1">
        <v>1431.0</v>
      </c>
      <c r="B1433" s="3" t="s">
        <v>1434</v>
      </c>
      <c r="C1433" s="3" t="str">
        <f>IFERROR(__xludf.DUMMYFUNCTION("GOOGLETRANSLATE(B1433,""id"",""en"")"),"['Understand', 'work', 'how', 'network', 'Lost', 'sndiri', 'amidst', 'city', 'network', 'ksh', 'star', 'ksh', ' Stars', 'Rewel', 'Telkomsel', 'Network', 'Gembel', 'Expensive', 'Doang', 'Baek', 'Bankrupt', 'Krna', 'Move', 'Provider']")</f>
        <v>['Understand', 'work', 'how', 'network', 'Lost', 'sndiri', 'amidst', 'city', 'network', 'ksh', 'star', 'ksh', ' Stars', 'Rewel', 'Telkomsel', 'Network', 'Gembel', 'Expensive', 'Doang', 'Baek', 'Bankrupt', 'Krna', 'Move', 'Provider']</v>
      </c>
      <c r="D1433" s="3">
        <v>1.0</v>
      </c>
    </row>
    <row r="1434" ht="15.75" customHeight="1">
      <c r="A1434" s="1">
        <v>1432.0</v>
      </c>
      <c r="B1434" s="3" t="s">
        <v>1435</v>
      </c>
      <c r="C1434" s="3" t="str">
        <f>IFERROR(__xludf.DUMMYFUNCTION("GOOGLETRANSLATE(B1434,""id"",""en"")"),"['Star', 'bro', 'because', 'signal', 'price', 'super', 'duper', 'expensive', 'quality', 'according to', 'Dear', 'admin', ' Help ',' lightening ',' users', 'price', 'package', 'Lower', 'Make', 'times',' user ',' feel ',' package ',' Save ', ""]")</f>
        <v>['Star', 'bro', 'because', 'signal', 'price', 'super', 'duper', 'expensive', 'quality', 'according to', 'Dear', 'admin', ' Help ',' lightening ',' users', 'price', 'package', 'Lower', 'Make', 'times',' user ',' feel ',' package ',' Save ', "]</v>
      </c>
      <c r="D1434" s="3">
        <v>1.0</v>
      </c>
    </row>
    <row r="1435" ht="15.75" customHeight="1">
      <c r="A1435" s="1">
        <v>1433.0</v>
      </c>
      <c r="B1435" s="3" t="s">
        <v>1436</v>
      </c>
      <c r="C1435" s="3" t="str">
        <f>IFERROR(__xludf.DUMMYFUNCTION("GOOGLETRANSLATE(B1435,""id"",""en"")"),"['Sorry', 'apk', 'dlu', 'package', 'fair', 'cheap', 'bought', 'masyallah', 'pulse', 'disappear', 'so', 'quota', ' expensive ',' network ',' supports', 'frequent', 'right', 'already', 'buy', 'package', 'pulse', 'already', 'cheek', 'package', 'nongol' , 'Ny"&amp;"esel']")</f>
        <v>['Sorry', 'apk', 'dlu', 'package', 'fair', 'cheap', 'bought', 'masyallah', 'pulse', 'disappear', 'so', 'quota', ' expensive ',' network ',' supports', 'frequent', 'right', 'already', 'buy', 'package', 'pulse', 'already', 'cheek', 'package', 'nongol' , 'Nyesel']</v>
      </c>
      <c r="D1435" s="3">
        <v>1.0</v>
      </c>
    </row>
    <row r="1436" ht="15.75" customHeight="1">
      <c r="A1436" s="1">
        <v>1434.0</v>
      </c>
      <c r="B1436" s="3" t="s">
        <v>1437</v>
      </c>
      <c r="C1436" s="3" t="str">
        <f>IFERROR(__xludf.DUMMYFUNCTION("GOOGLETRANSLATE(B1436,""id"",""en"")"),"['Please', 'Help', 'Version', 'here', 'Heavy', 'Application', 'Update', 'No', 'Dipake', 'Options',' Update ',' right ',' update ',' slow ',' forgiveness', 'forgiveness',' uninstall ',' help ', ""]")</f>
        <v>['Please', 'Help', 'Version', 'here', 'Heavy', 'Application', 'Update', 'No', 'Dipake', 'Options',' Update ',' right ',' update ',' slow ',' forgiveness', 'forgiveness',' uninstall ',' help ', "]</v>
      </c>
      <c r="D1436" s="3">
        <v>2.0</v>
      </c>
    </row>
    <row r="1437" ht="15.75" customHeight="1">
      <c r="A1437" s="1">
        <v>1435.0</v>
      </c>
      <c r="B1437" s="3" t="s">
        <v>1438</v>
      </c>
      <c r="C1437" s="3" t="str">
        <f>IFERROR(__xludf.DUMMYFUNCTION("GOOGLETRANSLATE(B1437,""id"",""en"")"),"['signal', 'Telkom', 'a little', 'really', 'ngellag', 'Mulu', 'no', 'smooth', 'college', 'online', 'package', 'pretty', ' Cheap ',' operator ',' please ',' signal ',' repaired ']")</f>
        <v>['signal', 'Telkom', 'a little', 'really', 'ngellag', 'Mulu', 'no', 'smooth', 'college', 'online', 'package', 'pretty', ' Cheap ',' operator ',' please ',' signal ',' repaired ']</v>
      </c>
      <c r="D1437" s="3">
        <v>5.0</v>
      </c>
    </row>
    <row r="1438" ht="15.75" customHeight="1">
      <c r="A1438" s="1">
        <v>1436.0</v>
      </c>
      <c r="B1438" s="3" t="s">
        <v>1439</v>
      </c>
      <c r="C1438" s="3" t="str">
        <f>IFERROR(__xludf.DUMMYFUNCTION("GOOGLETRANSLATE(B1438,""id"",""en"")"),"['Telkomsel', 'wasteful', 'quota', 'internet', 'rich', 'loyal', 'wear', 'Telkomsel', 'quota', 'internet', 'economical', 'slow', ' Internet ',' smooth ',' Different ',' quota ',' internet ',' wasteful ',' Sometimes', 'slow', ""]")</f>
        <v>['Telkomsel', 'wasteful', 'quota', 'internet', 'rich', 'loyal', 'wear', 'Telkomsel', 'quota', 'internet', 'economical', 'slow', ' Internet ',' smooth ',' Different ',' quota ',' internet ',' wasteful ',' Sometimes', 'slow', "]</v>
      </c>
      <c r="D1438" s="3">
        <v>5.0</v>
      </c>
    </row>
    <row r="1439" ht="15.75" customHeight="1">
      <c r="A1439" s="1">
        <v>1437.0</v>
      </c>
      <c r="B1439" s="3" t="s">
        <v>1440</v>
      </c>
      <c r="C1439" s="3" t="str">
        <f>IFERROR(__xludf.DUMMYFUNCTION("GOOGLETRANSLATE(B1439,""id"",""en"")"),"['how', 'Telkomsel', 'quota', 'worn', 'rates', 'watch', 'package', 'pulse', 'Ludes', 'package', ""]")</f>
        <v>['how', 'Telkomsel', 'quota', 'worn', 'rates', 'watch', 'package', 'pulse', 'Ludes', 'package', "]</v>
      </c>
      <c r="D1439" s="3">
        <v>1.0</v>
      </c>
    </row>
    <row r="1440" ht="15.75" customHeight="1">
      <c r="A1440" s="1">
        <v>1438.0</v>
      </c>
      <c r="B1440" s="3" t="s">
        <v>1441</v>
      </c>
      <c r="C1440" s="3" t="str">
        <f>IFERROR(__xludf.DUMMYFUNCTION("GOOGLETRANSLATE(B1440,""id"",""en"")"),"['network', 'Telkomsel', 'ugly', 'kirain', 'complain', 'skrg', 'internet', 'change', 'operator', 'stable', ""]")</f>
        <v>['network', 'Telkomsel', 'ugly', 'kirain', 'complain', 'skrg', 'internet', 'change', 'operator', 'stable', "]</v>
      </c>
      <c r="D1440" s="3">
        <v>1.0</v>
      </c>
    </row>
    <row r="1441" ht="15.75" customHeight="1">
      <c r="A1441" s="1">
        <v>1439.0</v>
      </c>
      <c r="B1441" s="3" t="s">
        <v>1442</v>
      </c>
      <c r="C1441" s="3" t="str">
        <f>IFERROR(__xludf.DUMMYFUNCTION("GOOGLETRANSLATE(B1441,""id"",""en"")"),"['stability', 'network', 'price', 'kouta', 'internet', 'telkomsel', 'appeal', 'expensive', 'thinking', 'luck', 'convenience', 'user', ' Priority ']")</f>
        <v>['stability', 'network', 'price', 'kouta', 'internet', 'telkomsel', 'appeal', 'expensive', 'thinking', 'luck', 'convenience', 'user', ' Priority ']</v>
      </c>
      <c r="D1441" s="3">
        <v>2.0</v>
      </c>
    </row>
    <row r="1442" ht="15.75" customHeight="1">
      <c r="A1442" s="1">
        <v>1440.0</v>
      </c>
      <c r="B1442" s="3" t="s">
        <v>1443</v>
      </c>
      <c r="C1442" s="3" t="str">
        <f>IFERROR(__xludf.DUMMYFUNCTION("GOOGLETRANSLATE(B1442,""id"",""en"")"),"['Please', 'Please', 'Compared', 'Purchase', 'Leet', 'APK', 'Nya', 'Most', 'Ada', 'APK', 'Bad', 'lie', ' Wkwkw ',' Bagus', 'Lahh']")</f>
        <v>['Please', 'Please', 'Compared', 'Purchase', 'Leet', 'APK', 'Nya', 'Most', 'Ada', 'APK', 'Bad', 'lie', ' Wkwkw ',' Bagus', 'Lahh']</v>
      </c>
      <c r="D1442" s="3">
        <v>5.0</v>
      </c>
    </row>
    <row r="1443" ht="15.75" customHeight="1">
      <c r="A1443" s="1">
        <v>1441.0</v>
      </c>
      <c r="B1443" s="3" t="s">
        <v>1444</v>
      </c>
      <c r="C1443" s="3" t="str">
        <f>IFERROR(__xludf.DUMMYFUNCTION("GOOGLETRANSLATE(B1443,""id"",""en"")"),"['Package', 'unlimited', 'cmn', 'pay', 'money', 'please', 'change', 'want', 'nikmatin', 'unlimited', 'dizzy', 'pay', ' Money ',' ']")</f>
        <v>['Package', 'unlimited', 'cmn', 'pay', 'money', 'please', 'change', 'want', 'nikmatin', 'unlimited', 'dizzy', 'pay', ' Money ',' ']</v>
      </c>
      <c r="D1443" s="3">
        <v>4.0</v>
      </c>
    </row>
    <row r="1444" ht="15.75" customHeight="1">
      <c r="A1444" s="1">
        <v>1442.0</v>
      </c>
      <c r="B1444" s="3" t="s">
        <v>1445</v>
      </c>
      <c r="C1444" s="3" t="str">
        <f>IFERROR(__xludf.DUMMYFUNCTION("GOOGLETRANSLATE(B1444,""id"",""en"")"),"['price', 'package', 'expensive', 'compared to', 'competitors',' people ',' hope ',' paying ',' expensive ',' signal ',' good ',' stable ',' Come ',' signal ',' network ',' impressed ',' operated ',' logo ',' change ',' company ',' hope ',' change ',' log"&amp;"o ',' changed ',' network ' , 'Telkomsel', 'people', 'Restless', '']")</f>
        <v>['price', 'package', 'expensive', 'compared to', 'competitors',' people ',' hope ',' paying ',' expensive ',' signal ',' good ',' stable ',' Come ',' signal ',' network ',' impressed ',' operated ',' logo ',' change ',' company ',' hope ',' change ',' logo ',' changed ',' network ' , 'Telkomsel', 'people', 'Restless', '']</v>
      </c>
      <c r="D1444" s="3">
        <v>1.0</v>
      </c>
    </row>
    <row r="1445" ht="15.75" customHeight="1">
      <c r="A1445" s="1">
        <v>1443.0</v>
      </c>
      <c r="B1445" s="3" t="s">
        <v>1446</v>
      </c>
      <c r="C1445" s="3" t="str">
        <f>IFERROR(__xludf.DUMMYFUNCTION("GOOGLETRANSLATE(B1445,""id"",""en"")"),"['Telkomsel', 'God', 'quota', 'expensive', 'company', 'leading', 'users',' complaints', 'consumers',' quota ',' expensive ',' network ',' slow ',' solution ',' company ',' need ',' profit ',' big ',' appeal ',' propider ',' replace ',' card ',' already ',"&amp;"' scattered ',' already ' , 'THN', 'SALE']")</f>
        <v>['Telkomsel', 'God', 'quota', 'expensive', 'company', 'leading', 'users',' complaints', 'consumers',' quota ',' expensive ',' network ',' slow ',' solution ',' company ',' need ',' profit ',' big ',' appeal ',' propider ',' replace ',' card ',' already ',' scattered ',' already ' , 'THN', 'SALE']</v>
      </c>
      <c r="D1445" s="3">
        <v>1.0</v>
      </c>
    </row>
    <row r="1446" ht="15.75" customHeight="1">
      <c r="A1446" s="1">
        <v>1444.0</v>
      </c>
      <c r="B1446" s="3" t="s">
        <v>1447</v>
      </c>
      <c r="C1446" s="3" t="str">
        <f>IFERROR(__xludf.DUMMYFUNCTION("GOOGLETRANSLATE(B1446,""id"",""en"")"),"['application', 'useful', 'makes it easy', 'internet', 'application', 'MyTelkomsel', 'easy', 'buy', 'quota', 'check', 'pulse', 'anti', ' complicated', '']")</f>
        <v>['application', 'useful', 'makes it easy', 'internet', 'application', 'MyTelkomsel', 'easy', 'buy', 'quota', 'check', 'pulse', 'anti', ' complicated', '']</v>
      </c>
      <c r="D1446" s="3">
        <v>5.0</v>
      </c>
    </row>
    <row r="1447" ht="15.75" customHeight="1">
      <c r="A1447" s="1">
        <v>1445.0</v>
      </c>
      <c r="B1447" s="3" t="s">
        <v>1448</v>
      </c>
      <c r="C1447" s="3" t="str">
        <f>IFERROR(__xludf.DUMMYFUNCTION("GOOGLETRANSLATE(B1447,""id"",""en"")"),"['tens',' use ',' Telkomsel ',' times', 'login', 'Telkomsel', 'updated', 'difficult', 'Telkomsel', 'how', 'solution', 'difficult', ' Login ',' App ',' Telkomsel ',' Solution ',' ']")</f>
        <v>['tens',' use ',' Telkomsel ',' times', 'login', 'Telkomsel', 'updated', 'difficult', 'Telkomsel', 'how', 'solution', 'difficult', ' Login ',' App ',' Telkomsel ',' Solution ',' ']</v>
      </c>
      <c r="D1447" s="3">
        <v>1.0</v>
      </c>
    </row>
    <row r="1448" ht="15.75" customHeight="1">
      <c r="A1448" s="1">
        <v>1446.0</v>
      </c>
      <c r="B1448" s="3" t="s">
        <v>1449</v>
      </c>
      <c r="C1448" s="3" t="str">
        <f>IFERROR(__xludf.DUMMYFUNCTION("GOOGLETRANSLATE(B1448,""id"",""en"")"),"['Actually', 'replace', 'provider', 'package', 'haduhhhh', 'expensive', 'mualessss',' polll ',' kartukuk ',' smk ',' really ',' cheap ',' Malessssss', 'expensive', 'kebangeten', 'cheap', 'handy', 'sold', 'boss',' then ',' sekarangggg ',' combo ',' sakti '"&amp;",' unlimited ',' unlimited ' , 'title', 'replace', 'bosssss', '']")</f>
        <v>['Actually', 'replace', 'provider', 'package', 'haduhhhh', 'expensive', 'mualessss',' polll ',' kartukuk ',' smk ',' really ',' cheap ',' Malessssss', 'expensive', 'kebangeten', 'cheap', 'handy', 'sold', 'boss',' then ',' sekarangggg ',' combo ',' sakti ',' unlimited ',' unlimited ' , 'title', 'replace', 'bosssss', '']</v>
      </c>
      <c r="D1448" s="3">
        <v>1.0</v>
      </c>
    </row>
    <row r="1449" ht="15.75" customHeight="1">
      <c r="A1449" s="1">
        <v>1447.0</v>
      </c>
      <c r="B1449" s="3" t="s">
        <v>1450</v>
      </c>
      <c r="C1449" s="3" t="str">
        <f>IFERROR(__xludf.DUMMYFUNCTION("GOOGLETRANSLATE(B1449,""id"",""en"")"),"['Addkam', 'price', 'Kouta', 'night', 'difficult', 'right', 'buy', 'pulse', 'extension', 'no', 'kepake', 'kouta', ' Buy ',' Package ',' Night ',' No ',' Please ',' Returned ',' Reasons', 'Extend', 'Active', 'Package', 'Stay', 'Rotten', 'Sunday' , 'apply',"&amp;" 'Doang', 'no', 'Haoks']")</f>
        <v>['Addkam', 'price', 'Kouta', 'night', 'difficult', 'right', 'buy', 'pulse', 'extension', 'no', 'kepake', 'kouta', ' Buy ',' Package ',' Night ',' No ',' Please ',' Returned ',' Reasons', 'Extend', 'Active', 'Package', 'Stay', 'Rotten', 'Sunday' , 'apply', 'Doang', 'no', 'Haoks']</v>
      </c>
      <c r="D1449" s="3">
        <v>1.0</v>
      </c>
    </row>
    <row r="1450" ht="15.75" customHeight="1">
      <c r="A1450" s="1">
        <v>1448.0</v>
      </c>
      <c r="B1450" s="3" t="s">
        <v>1451</v>
      </c>
      <c r="C1450" s="3" t="str">
        <f>IFERROR(__xludf.DUMMYFUNCTION("GOOGLETRANSLATE(B1450,""id"",""en"")"),"['Please', 'fixin', 'network', 'weather', 'rain', 'wind', 'ngeleg', 'users', 'Telkomsel', 'disappointed', 'because' network ',' Stable ',' lag ',' ']")</f>
        <v>['Please', 'fixin', 'network', 'weather', 'rain', 'wind', 'ngeleg', 'users', 'Telkomsel', 'disappointed', 'because' network ',' Stable ',' lag ',' ']</v>
      </c>
      <c r="D1450" s="3">
        <v>1.0</v>
      </c>
    </row>
    <row r="1451" ht="15.75" customHeight="1">
      <c r="A1451" s="1">
        <v>1449.0</v>
      </c>
      <c r="B1451" s="3" t="s">
        <v>1452</v>
      </c>
      <c r="C1451" s="3" t="str">
        <f>IFERROR(__xludf.DUMMYFUNCTION("GOOGLETRANSLATE(B1451,""id"",""en"")"),"['Thank', 'really', 'apk', 'help', 'buy', 'package', 'internet', 'no', 'buy', 'package', 'default']")</f>
        <v>['Thank', 'really', 'apk', 'help', 'buy', 'package', 'internet', 'no', 'buy', 'package', 'default']</v>
      </c>
      <c r="D1451" s="3">
        <v>5.0</v>
      </c>
    </row>
    <row r="1452" ht="15.75" customHeight="1">
      <c r="A1452" s="1">
        <v>1450.0</v>
      </c>
      <c r="B1452" s="3" t="s">
        <v>1453</v>
      </c>
      <c r="C1452" s="3" t="str">
        <f>IFERROR(__xludf.DUMMYFUNCTION("GOOGLETRANSLATE(B1452,""id"",""en"")"),"['Application', 'Informative', 'Easy', 'Easy', 'Application', 'Telkomsel', 'Features',' Lottery ',' Interested ',' suggest ',' Install ',' Application ',' Telkomsel ',' users', 'Telkomsel']")</f>
        <v>['Application', 'Informative', 'Easy', 'Easy', 'Application', 'Telkomsel', 'Features',' Lottery ',' Interested ',' suggest ',' Install ',' Application ',' Telkomsel ',' users', 'Telkomsel']</v>
      </c>
      <c r="D1452" s="3">
        <v>5.0</v>
      </c>
    </row>
    <row r="1453" ht="15.75" customHeight="1">
      <c r="A1453" s="1">
        <v>1451.0</v>
      </c>
      <c r="B1453" s="3" t="s">
        <v>1454</v>
      </c>
      <c r="C1453" s="3" t="str">
        <f>IFERROR(__xludf.DUMMYFUNCTION("GOOGLETRANSLATE(B1453,""id"",""en"")"),"['kek', 'network', 'bad', 'voucher', 'sometimes',' error ',' pulse ',' sumps', 'pokonya', 'provider', 'telkom', 'broken', ' Severe ',' please ',' fix ',' telkom ']")</f>
        <v>['kek', 'network', 'bad', 'voucher', 'sometimes',' error ',' pulse ',' sumps', 'pokonya', 'provider', 'telkom', 'broken', ' Severe ',' please ',' fix ',' telkom ']</v>
      </c>
      <c r="D1453" s="3">
        <v>1.0</v>
      </c>
    </row>
    <row r="1454" ht="15.75" customHeight="1">
      <c r="A1454" s="1">
        <v>1452.0</v>
      </c>
      <c r="B1454" s="3" t="s">
        <v>1455</v>
      </c>
      <c r="C1454" s="3" t="str">
        <f>IFERROR(__xludf.DUMMYFUNCTION("GOOGLETRANSLATE(B1454,""id"",""en"")"),"['Love', 'best', 'closed', 'company', 'expensive', 'doank', 'network', 'slow', 'really', 'base', 'quality', 'ease', ' Use ',' Telkomsel ',' ']")</f>
        <v>['Love', 'best', 'closed', 'company', 'expensive', 'doank', 'network', 'slow', 'really', 'base', 'quality', 'ease', ' Use ',' Telkomsel ',' ']</v>
      </c>
      <c r="D1454" s="3">
        <v>1.0</v>
      </c>
    </row>
    <row r="1455" ht="15.75" customHeight="1">
      <c r="A1455" s="1">
        <v>1453.0</v>
      </c>
      <c r="B1455" s="3" t="s">
        <v>1456</v>
      </c>
      <c r="C1455" s="3" t="str">
        <f>IFERROR(__xludf.DUMMYFUNCTION("GOOGLETRANSLATE(B1455,""id"",""en"")"),"['Come on', 'knp', 'network', 'Telkom', 'ugly', 'bnget', 'buy', 'package', 'expensive', 'TPI', 'network', 'ugly', ' BNGET ',' Please ',' Fix ',' Current ',' User ',' Telkomsel ',' Trima ',' Love ']")</f>
        <v>['Come on', 'knp', 'network', 'Telkom', 'ugly', 'bnget', 'buy', 'package', 'expensive', 'TPI', 'network', 'ugly', ' BNGET ',' Please ',' Fix ',' Current ',' User ',' Telkomsel ',' Trima ',' Love ']</v>
      </c>
      <c r="D1455" s="3">
        <v>1.0</v>
      </c>
    </row>
    <row r="1456" ht="15.75" customHeight="1">
      <c r="A1456" s="1">
        <v>1454.0</v>
      </c>
      <c r="B1456" s="3" t="s">
        <v>1457</v>
      </c>
      <c r="C1456" s="3" t="str">
        <f>IFERROR(__xludf.DUMMYFUNCTION("GOOGLETRANSLATE(B1456,""id"",""en"")"),"['Help', 'MyTelkomsel', 'darling', 'price', 'quota', 'price', 'quota', 'lower', 'satisfaction', 'customer', 'thank', ' ']")</f>
        <v>['Help', 'MyTelkomsel', 'darling', 'price', 'quota', 'price', 'quota', 'lower', 'satisfaction', 'customer', 'thank', ' ']</v>
      </c>
      <c r="D1456" s="3">
        <v>5.0</v>
      </c>
    </row>
    <row r="1457" ht="15.75" customHeight="1">
      <c r="A1457" s="1">
        <v>1455.0</v>
      </c>
      <c r="B1457" s="3" t="s">
        <v>1458</v>
      </c>
      <c r="C1457" s="3" t="str">
        <f>IFERROR(__xludf.DUMMYFUNCTION("GOOGLETRANSLATE(B1457,""id"",""en"")"),"['Telkomsel', 'package', 'expensive', 'expensive', 'already', 'expensive', 'network', 'nge', 'lag', 'buy', 'package', ' WhatsApp ',' Dipake ',' Situ ',' Written ',' Quota ',' Thinking ',' WhatsApp ',' Access', 'WhatsApp', 'Chat', 'Send', 'file', 'Danvideo"&amp;"call' , '']")</f>
        <v>['Telkomsel', 'package', 'expensive', 'expensive', 'already', 'expensive', 'network', 'nge', 'lag', 'buy', 'package', ' WhatsApp ',' Dipake ',' Situ ',' Written ',' Quota ',' Thinking ',' WhatsApp ',' Access', 'WhatsApp', 'Chat', 'Send', 'file', 'Danvideocall' , '']</v>
      </c>
      <c r="D1457" s="3">
        <v>1.0</v>
      </c>
    </row>
    <row r="1458" ht="15.75" customHeight="1">
      <c r="A1458" s="1">
        <v>1456.0</v>
      </c>
      <c r="B1458" s="3" t="s">
        <v>1459</v>
      </c>
      <c r="C1458" s="3" t="str">
        <f>IFERROR(__xludf.DUMMYFUNCTION("GOOGLETRANSLATE(B1458,""id"",""en"")"),"['Sorry', 'really', 'already', 'disappointed', 'comfortable', 'really', 'service', 'Telkomsel', 'application', 'difficult', 'open', 'quota', ' Expensive ',' promo ',' quota ',' decent ',' cheap ',' puncture ',' list ',' quota ',' run out ',' pulse ',' dri"&amp;"es', 'feel', 'hit' , 'Maling', 'Sorry', 'Nge "",' Lost ',' Customer ',' Telkomsel ',' Gapapa ',' Already ',' I ',' Discard ',' Telkomsel ',' Gue ',' I ',' expensive ',' buy ',' HP ',' Not bad ',' Good ',' Thank you ',' and ',' bye ', ""]")</f>
        <v>['Sorry', 'really', 'already', 'disappointed', 'comfortable', 'really', 'service', 'Telkomsel', 'application', 'difficult', 'open', 'quota', ' Expensive ',' promo ',' quota ',' decent ',' cheap ',' puncture ',' list ',' quota ',' run out ',' pulse ',' dries', 'feel', 'hit' , 'Maling', 'Sorry', 'Nge ",' Lost ',' Customer ',' Telkomsel ',' Gapapa ',' Already ',' I ',' Discard ',' Telkomsel ',' Gue ',' I ',' expensive ',' buy ',' HP ',' Not bad ',' Good ',' Thank you ',' and ',' bye ', "]</v>
      </c>
      <c r="D1458" s="3">
        <v>1.0</v>
      </c>
    </row>
    <row r="1459" ht="15.75" customHeight="1">
      <c r="A1459" s="1">
        <v>1457.0</v>
      </c>
      <c r="B1459" s="3" t="s">
        <v>1460</v>
      </c>
      <c r="C1459" s="3" t="str">
        <f>IFERROR(__xludf.DUMMYFUNCTION("GOOGLETRANSLATE(B1459,""id"",""en"")"),"['eat', 'ATI', 'Telkomsel', 'term', 'internet', 'LGI', 'quota', 'GB', 'times',' slow ',' speed ',' jdi ',' access', 'internet', 'speed it', 'cmn', 'afterward', 'slow', 'quota', '']")</f>
        <v>['eat', 'ATI', 'Telkomsel', 'term', 'internet', 'LGI', 'quota', 'GB', 'times',' slow ',' speed ',' jdi ',' access', 'internet', 'speed it', 'cmn', 'afterward', 'slow', 'quota', '']</v>
      </c>
      <c r="D1459" s="3">
        <v>1.0</v>
      </c>
    </row>
    <row r="1460" ht="15.75" customHeight="1">
      <c r="A1460" s="1">
        <v>1458.0</v>
      </c>
      <c r="B1460" s="3" t="s">
        <v>1461</v>
      </c>
      <c r="C1460" s="3" t="str">
        <f>IFERROR(__xludf.DUMMYFUNCTION("GOOGLETRANSLATE(B1460,""id"",""en"")"),"['KPD', 'Telkomsel', 'please', 'confusing', 'products',' Simple ',' price ',' quota ',' can ',' quota ',' brp ',' Most ',' Products', 'Price', 'Confused', 'Pelangement', 'Simple', 'Virtual', 'Account', 'Special', 'Telkomsel', 'Products',' Virtual ', ""]")</f>
        <v>['KPD', 'Telkomsel', 'please', 'confusing', 'products',' Simple ',' price ',' quota ',' can ',' quota ',' brp ',' Most ',' Products', 'Price', 'Confused', 'Pelangement', 'Simple', 'Virtual', 'Account', 'Special', 'Telkomsel', 'Products',' Virtual ', "]</v>
      </c>
      <c r="D1460" s="3">
        <v>5.0</v>
      </c>
    </row>
    <row r="1461" ht="15.75" customHeight="1">
      <c r="A1461" s="1">
        <v>1459.0</v>
      </c>
      <c r="B1461" s="3" t="s">
        <v>1462</v>
      </c>
      <c r="C1461" s="3" t="str">
        <f>IFERROR(__xludf.DUMMYFUNCTION("GOOGLETRANSLATE(B1461,""id"",""en"")"),"['Please', 'Telkomsel', 'repaired', 'signal', 'cook', 'pakek', 'complaints',' please ',' response ',' disappointed ',' told ',' replace ',' card', '']")</f>
        <v>['Please', 'Telkomsel', 'repaired', 'signal', 'cook', 'pakek', 'complaints',' please ',' response ',' disappointed ',' told ',' replace ',' card', '']</v>
      </c>
      <c r="D1461" s="3">
        <v>1.0</v>
      </c>
    </row>
    <row r="1462" ht="15.75" customHeight="1">
      <c r="A1462" s="1">
        <v>1460.0</v>
      </c>
      <c r="B1462" s="3" t="s">
        <v>1463</v>
      </c>
      <c r="C1462" s="3" t="str">
        <f>IFERROR(__xludf.DUMMYFUNCTION("GOOGLETRANSLATE(B1462,""id"",""en"")"),"['emang', 'base', 'Telkomsel', 'pulse', 'thousand', 'pket', 'internet', 'say', 'GB', 'package', 'nlfn', 'jga', ' unlimited ',' pulses', 'tetep', 'kekeke', 'kpanya', 'internet', 'take', 'pulse', 'little', 'until', 'finished', 'then', 'package' , 'internet'"&amp;", 'Sya', 'that's',' smpe ',' pulse ',' take ',' smpe ',' skrang ',' package ',' internet ',' high school ',' package ',' NLFN ',' Credit ',' Raib ',' Chat ',' Veronica ',' Application ',' Gajelas', 'Leet', 'Gada', 'Response', 'already', 'expensive', 'like"&amp;"' , 'Sure', 'pulse', ""]")</f>
        <v>['emang', 'base', 'Telkomsel', 'pulse', 'thousand', 'pket', 'internet', 'say', 'GB', 'package', 'nlfn', 'jga', ' unlimited ',' pulses', 'tetep', 'kekeke', 'kpanya', 'internet', 'take', 'pulse', 'little', 'until', 'finished', 'then', 'package' , 'internet', 'Sya', 'that's',' smpe ',' pulse ',' take ',' smpe ',' skrang ',' package ',' internet ',' high school ',' package ',' NLFN ',' Credit ',' Raib ',' Chat ',' Veronica ',' Application ',' Gajelas', 'Leet', 'Gada', 'Response', 'already', 'expensive', 'like' , 'Sure', 'pulse', "]</v>
      </c>
      <c r="D1462" s="3">
        <v>1.0</v>
      </c>
    </row>
    <row r="1463" ht="15.75" customHeight="1">
      <c r="A1463" s="1">
        <v>1461.0</v>
      </c>
      <c r="B1463" s="3" t="s">
        <v>1464</v>
      </c>
      <c r="C1463" s="3" t="str">
        <f>IFERROR(__xludf.DUMMYFUNCTION("GOOGLETRANSLATE(B1463,""id"",""en"")"),"['Please', 'Seriously', 'Please', 'Fix', 'Network', 'Signal', 'Like', 'Stable', 'Fertilizer', 'Safe', 'Signal', 'Fast', ' edan ',' buy ',' according to ',' price ',' quota ',' GB ',' signal ',' bad ',' quality ',' signal ',' comparable ',' price ',' custo"&amp;"mer ' , 'regret', 'prolonged', ""]")</f>
        <v>['Please', 'Seriously', 'Please', 'Fix', 'Network', 'Signal', 'Like', 'Stable', 'Fertilizer', 'Safe', 'Signal', 'Fast', ' edan ',' buy ',' according to ',' price ',' quota ',' GB ',' signal ',' bad ',' quality ',' signal ',' comparable ',' price ',' customer ' , 'regret', 'prolonged', "]</v>
      </c>
      <c r="D1463" s="3">
        <v>5.0</v>
      </c>
    </row>
    <row r="1464" ht="15.75" customHeight="1">
      <c r="A1464" s="1">
        <v>1462.0</v>
      </c>
      <c r="B1464" s="3" t="s">
        <v>1465</v>
      </c>
      <c r="C1464" s="3" t="str">
        <f>IFERROR(__xludf.DUMMYFUNCTION("GOOGLETRANSLATE(B1464,""id"",""en"")"),"['Network', 'Sympatheable', 'Network', 'Operator', 'Please', 'Increase', 'Paketan', 'Expensive', 'Expensive', 'Network', 'Lemot', 'Update', ' slow ',' replace ',' card ',' ']")</f>
        <v>['Network', 'Sympatheable', 'Network', 'Operator', 'Please', 'Increase', 'Paketan', 'Expensive', 'Expensive', 'Network', 'Lemot', 'Update', ' slow ',' replace ',' card ',' ']</v>
      </c>
      <c r="D1464" s="3">
        <v>2.0</v>
      </c>
    </row>
    <row r="1465" ht="15.75" customHeight="1">
      <c r="A1465" s="1">
        <v>1463.0</v>
      </c>
      <c r="B1465" s="3" t="s">
        <v>1466</v>
      </c>
      <c r="C1465" s="3" t="str">
        <f>IFERROR(__xludf.DUMMYFUNCTION("GOOGLETRANSLATE(B1465,""id"",""en"")"),"['convenience', 'service', 'skills', 'information', 'application', 'use', 'user', 'network', 'Telkomsel', 'Thank', 'You', 'Telkomsel']")</f>
        <v>['convenience', 'service', 'skills', 'information', 'application', 'use', 'user', 'network', 'Telkomsel', 'Thank', 'You', 'Telkomsel']</v>
      </c>
      <c r="D1465" s="3">
        <v>5.0</v>
      </c>
    </row>
    <row r="1466" ht="15.75" customHeight="1">
      <c r="A1466" s="1">
        <v>1464.0</v>
      </c>
      <c r="B1466" s="3" t="s">
        <v>1467</v>
      </c>
      <c r="C1466" s="3" t="str">
        <f>IFERROR(__xludf.DUMMYFUNCTION("GOOGLETRANSLATE(B1466,""id"",""en"")"),"['', 'card', 'sympathy', 'card', 'hello', 'card', 'sympathy', 'block', 'kare', 'contents', 'the problem', 'contents', 'geans' ',' Terachi ',' SMS ',' card ',' apply ',' until ',' November ',' contents', 'Hello', 'Yahya', 'May', 'Knrn', 'contents', 'Fill',"&amp;" 'signal', 'msh', 'full', 'sdg', 'card', 'card', 'itudata', 'open', 'upure', 'activate', 'mhn', 'instructions ',' KPD ',' Telkomsel ',' mksh ']")</f>
        <v>['', 'card', 'sympathy', 'card', 'hello', 'card', 'sympathy', 'block', 'kare', 'contents', 'the problem', 'contents', 'geans' ',' Terachi ',' SMS ',' card ',' apply ',' until ',' November ',' contents', 'Hello', 'Yahya', 'May', 'Knrn', 'contents', 'Fill', 'signal', 'msh', 'full', 'sdg', 'card', 'card', 'itudata', 'open', 'upure', 'activate', 'mhn', 'instructions ',' KPD ',' Telkomsel ',' mksh ']</v>
      </c>
      <c r="D1466" s="3">
        <v>2.0</v>
      </c>
    </row>
    <row r="1467" ht="15.75" customHeight="1">
      <c r="A1467" s="1">
        <v>1465.0</v>
      </c>
      <c r="B1467" s="3" t="s">
        <v>1468</v>
      </c>
      <c r="C1467" s="3" t="str">
        <f>IFERROR(__xludf.DUMMYFUNCTION("GOOGLETRANSLATE(B1467,""id"",""en"")"),"['network', 'signal', 'ugly', 'sya', 'customer', 'TPI', 'package', 'internet', 'laen', 'because', 'lbh', 'good', ' Cards', 'Telkomsel', 'Karna', ""]")</f>
        <v>['network', 'signal', 'ugly', 'sya', 'customer', 'TPI', 'package', 'internet', 'laen', 'because', 'lbh', 'good', ' Cards', 'Telkomsel', 'Karna', "]</v>
      </c>
      <c r="D1467" s="3">
        <v>2.0</v>
      </c>
    </row>
    <row r="1468" ht="15.75" customHeight="1">
      <c r="A1468" s="1">
        <v>1466.0</v>
      </c>
      <c r="B1468" s="3" t="s">
        <v>1469</v>
      </c>
      <c r="C1468" s="3" t="str">
        <f>IFERROR(__xludf.DUMMYFUNCTION("GOOGLETRANSLATE(B1468,""id"",""en"")"),"['Maap', 'city', 'city', 'leftover', 'lgi', 'internet', 'local', 'data', 'lei', 'use', 'pengahah', 'buples',' Sunday ',' Contents', 'Daptarin', 'Jarga', 'Rbu', 'Please', 'Expert', 'Serimaksih', 'blk', 'sympathy']")</f>
        <v>['Maap', 'city', 'city', 'leftover', 'lgi', 'internet', 'local', 'data', 'lei', 'use', 'pengahah', 'buples',' Sunday ',' Contents', 'Daptarin', 'Jarga', 'Rbu', 'Please', 'Expert', 'Serimaksih', 'blk', 'sympathy']</v>
      </c>
      <c r="D1468" s="3">
        <v>5.0</v>
      </c>
    </row>
    <row r="1469" ht="15.75" customHeight="1">
      <c r="A1469" s="1">
        <v>1467.0</v>
      </c>
      <c r="B1469" s="3" t="s">
        <v>1470</v>
      </c>
      <c r="C1469" s="3" t="str">
        <f>IFERROR(__xludf.DUMMYFUNCTION("GOOGLETRANSLATE(B1469,""id"",""en"")"),"['package', 'expensive', 'strange', 'package', 'ugly', 'times',' network ',' heavy ',' times', 'Taoi', 'already', 'left', ' network ',' good ',' save ',' kayak ']")</f>
        <v>['package', 'expensive', 'strange', 'package', 'ugly', 'times',' network ',' heavy ',' times', 'Taoi', 'already', 'left', ' network ',' good ',' save ',' kayak ']</v>
      </c>
      <c r="D1469" s="3">
        <v>1.0</v>
      </c>
    </row>
    <row r="1470" ht="15.75" customHeight="1">
      <c r="A1470" s="1">
        <v>1468.0</v>
      </c>
      <c r="B1470" s="3" t="s">
        <v>1471</v>
      </c>
      <c r="C1470" s="3" t="str">
        <f>IFERROR(__xludf.DUMMYFUNCTION("GOOGLETRANSLATE(B1470,""id"",""en"")"),"['Please', 'work', 'plots',' community ',' medium ',' heavy ',' buy ',' package ',' Telkomsel ',' price ',' expensive ',' pandemic ',' Hard ',' Search ',' Money ',' His attention ',' Thank you ',' ']")</f>
        <v>['Please', 'work', 'plots',' community ',' medium ',' heavy ',' buy ',' package ',' Telkomsel ',' price ',' expensive ',' pandemic ',' Hard ',' Search ',' Money ',' His attention ',' Thank you ',' ']</v>
      </c>
      <c r="D1470" s="3">
        <v>1.0</v>
      </c>
    </row>
    <row r="1471" ht="15.75" customHeight="1">
      <c r="A1471" s="1">
        <v>1469.0</v>
      </c>
      <c r="B1471" s="3" t="s">
        <v>1472</v>
      </c>
      <c r="C1471" s="3" t="str">
        <f>IFERROR(__xludf.DUMMYFUNCTION("GOOGLETRANSLATE(B1471,""id"",""en"")"),"['Please', 'card', 'provided', 'quota', 'unlimited', 'gaadil', 'people', 'around', 'get', 'unlimited', 'cheap', 'no', ' as', 'students',' need ',' really ',' turn ',' unlimited ',' price ',' raised ',' folding ',' number ',' org ',' people ',' rich ' , 'Y"&amp;"uk', 'helpu', 'uda', 'customers', 'telkom', 'gaboong', 'kyk', 'gini', 'sed', 'hiks']")</f>
        <v>['Please', 'card', 'provided', 'quota', 'unlimited', 'gaadil', 'people', 'around', 'get', 'unlimited', 'cheap', 'no', ' as', 'students',' need ',' really ',' turn ',' unlimited ',' price ',' raised ',' folding ',' number ',' org ',' people ',' rich ' , 'Yuk', 'helpu', 'uda', 'customers', 'telkom', 'gaboong', 'kyk', 'gini', 'sed', 'hiks']</v>
      </c>
      <c r="D1471" s="3">
        <v>5.0</v>
      </c>
    </row>
    <row r="1472" ht="15.75" customHeight="1">
      <c r="A1472" s="1">
        <v>1470.0</v>
      </c>
      <c r="B1472" s="3" t="s">
        <v>1473</v>
      </c>
      <c r="C1472" s="3" t="str">
        <f>IFERROR(__xludf.DUMMYFUNCTION("GOOGLETRANSLATE(B1472,""id"",""en"")"),"['Ouch', 'told', 'Update', 'Application', 'Memory', 'GMN', 'Males', 'Sory', 'DAK', 'Update']")</f>
        <v>['Ouch', 'told', 'Update', 'Application', 'Memory', 'GMN', 'Males', 'Sory', 'DAK', 'Update']</v>
      </c>
      <c r="D1472" s="3">
        <v>4.0</v>
      </c>
    </row>
    <row r="1473" ht="15.75" customHeight="1">
      <c r="A1473" s="1">
        <v>1471.0</v>
      </c>
      <c r="B1473" s="3" t="s">
        <v>1474</v>
      </c>
      <c r="C1473" s="3" t="str">
        <f>IFERROR(__xludf.DUMMYFUNCTION("GOOGLETRANSLATE(B1473,""id"",""en"")"),"['users',' loyal ',' Telkomsel ',' Genesis', 'Network', 'Telkomsel', 'experience', 'disorders',' star ',' price ',' package ',' expensive ',' Sometimes', 'according to', 'quality', 'network', 'please', 'do', 'improvement', 'the network', 'please', 'sain',"&amp;" 'wasted', 'money', 'payment' , 'Package', 'paid', 'consumer', 'thank you']")</f>
        <v>['users',' loyal ',' Telkomsel ',' Genesis', 'Network', 'Telkomsel', 'experience', 'disorders',' star ',' price ',' package ',' expensive ',' Sometimes', 'according to', 'quality', 'network', 'please', 'do', 'improvement', 'the network', 'please', 'sain', 'wasted', 'money', 'payment' , 'Package', 'paid', 'consumer', 'thank you']</v>
      </c>
      <c r="D1473" s="3">
        <v>3.0</v>
      </c>
    </row>
    <row r="1474" ht="15.75" customHeight="1">
      <c r="A1474" s="1">
        <v>1472.0</v>
      </c>
      <c r="B1474" s="3" t="s">
        <v>1475</v>
      </c>
      <c r="C1474" s="3" t="str">
        <f>IFERROR(__xludf.DUMMYFUNCTION("GOOGLETRANSLATE(B1474,""id"",""en"")"),"['ngak', 'response', 'comment', 'network', 'slow', 'price', 'expensive', 'hadeh', 'urban', 'signal', 'stem', 'difficult', ' it wants', 'already', 'ping', 'down', 'multiply', 'repair', 'cook', 'package', 'malal', 'signal', 'slow', 'lose', 'axis' , 'shy', '"&amp;"shy', 'woiiii', 'garbage']")</f>
        <v>['ngak', 'response', 'comment', 'network', 'slow', 'price', 'expensive', 'hadeh', 'urban', 'signal', 'stem', 'difficult', ' it wants', 'already', 'ping', 'down', 'multiply', 'repair', 'cook', 'package', 'malal', 'signal', 'slow', 'lose', 'axis' , 'shy', 'shy', 'woiiii', 'garbage']</v>
      </c>
      <c r="D1474" s="3">
        <v>1.0</v>
      </c>
    </row>
    <row r="1475" ht="15.75" customHeight="1">
      <c r="A1475" s="1">
        <v>1473.0</v>
      </c>
      <c r="B1475" s="3" t="s">
        <v>1476</v>
      </c>
      <c r="C1475" s="3" t="str">
        <f>IFERROR(__xludf.DUMMYFUNCTION("GOOGLETRANSLATE(B1475,""id"",""en"")"),"['price', 'package', 'expensive', 'blackout', 'electricity', 'signal', 'missing', 'no', 'rich', 'officer', 'pairs',' genset ',' already ',' love ',' star ',' improving ']")</f>
        <v>['price', 'package', 'expensive', 'blackout', 'electricity', 'signal', 'missing', 'no', 'rich', 'officer', 'pairs',' genset ',' already ',' love ',' star ',' improving ']</v>
      </c>
      <c r="D1475" s="3">
        <v>1.0</v>
      </c>
    </row>
    <row r="1476" ht="15.75" customHeight="1">
      <c r="A1476" s="1">
        <v>1474.0</v>
      </c>
      <c r="B1476" s="3" t="s">
        <v>1477</v>
      </c>
      <c r="C1476" s="3" t="str">
        <f>IFERROR(__xludf.DUMMYFUNCTION("GOOGLETRANSLATE(B1476,""id"",""en"")"),"['Min', 'Network', 'Telkomsel', 'plump', 'Kek', 'Gini', 'Min', 'Udah', 'loyal', 'Telkomsel', 'Min', 'Min', ' Stayed ',' City ',' Padang ',' Min ',' Network ',' Kek ',' Gini ',' Min ',' Kayak ',' Gini ',' Customer ',' Telkomsel ',' Bnyak ' , 'Switch', 'nta"&amp;"r', 'min']")</f>
        <v>['Min', 'Network', 'Telkomsel', 'plump', 'Kek', 'Gini', 'Min', 'Udah', 'loyal', 'Telkomsel', 'Min', 'Min', ' Stayed ',' City ',' Padang ',' Min ',' Network ',' Kek ',' Gini ',' Min ',' Kayak ',' Gini ',' Customer ',' Telkomsel ',' Bnyak ' , 'Switch', 'ntar', 'min']</v>
      </c>
      <c r="D1476" s="3">
        <v>2.0</v>
      </c>
    </row>
    <row r="1477" ht="15.75" customHeight="1">
      <c r="A1477" s="1">
        <v>1475.0</v>
      </c>
      <c r="B1477" s="3" t="s">
        <v>1478</v>
      </c>
      <c r="C1477" s="3" t="str">
        <f>IFERROR(__xludf.DUMMYFUNCTION("GOOGLETRANSLATE(B1477,""id"",""en"")"),"['Update', 'Application', 'Like', 'Error', 'Stuck', 'Loading', 'Clear', 'Data', 'Plus',' Cache ',' Dlu ',' Login ',' network ',' stable ',' ping ', ""]")</f>
        <v>['Update', 'Application', 'Like', 'Error', 'Stuck', 'Loading', 'Clear', 'Data', 'Plus',' Cache ',' Dlu ',' Login ',' network ',' stable ',' ping ', "]</v>
      </c>
      <c r="D1477" s="3">
        <v>1.0</v>
      </c>
    </row>
    <row r="1478" ht="15.75" customHeight="1">
      <c r="A1478" s="1">
        <v>1476.0</v>
      </c>
      <c r="B1478" s="3" t="s">
        <v>1479</v>
      </c>
      <c r="C1478" s="3" t="str">
        <f>IFERROR(__xludf.DUMMYFUNCTION("GOOGLETRANSLATE(B1478,""id"",""en"")"),"['network', 'error', 'severe', 'package', 'expensive', 'network', 'ugly', 'mending', 'fox', 'path', 'contents',' package ',' expensive ',' quota ',' internet ',' run out ',' Mawar ',' search ',' network ',' internet ',' ']")</f>
        <v>['network', 'error', 'severe', 'package', 'expensive', 'network', 'ugly', 'mending', 'fox', 'path', 'contents',' package ',' expensive ',' quota ',' internet ',' run out ',' Mawar ',' search ',' network ',' internet ',' ']</v>
      </c>
      <c r="D1478" s="3">
        <v>1.0</v>
      </c>
    </row>
    <row r="1479" ht="15.75" customHeight="1">
      <c r="A1479" s="1">
        <v>1477.0</v>
      </c>
      <c r="B1479" s="3" t="s">
        <v>1480</v>
      </c>
      <c r="C1479" s="3" t="str">
        <f>IFERROR(__xludf.DUMMYFUNCTION("GOOGLETRANSLATE(B1479,""id"",""en"")"),"['Knpa', 'threat', 'Sgala', 'all-round', 'expensive', 'KNPA', 'after', 'Update', 'entry', 'application', 'kecera', 'Telkomsel', ' thank you', '']")</f>
        <v>['Knpa', 'threat', 'Sgala', 'all-round', 'expensive', 'KNPA', 'after', 'Update', 'entry', 'application', 'kecera', 'Telkomsel', ' thank you', '']</v>
      </c>
      <c r="D1479" s="3">
        <v>1.0</v>
      </c>
    </row>
    <row r="1480" ht="15.75" customHeight="1">
      <c r="A1480" s="1">
        <v>1478.0</v>
      </c>
      <c r="B1480" s="3" t="s">
        <v>1481</v>
      </c>
      <c r="C1480" s="3" t="str">
        <f>IFERROR(__xludf.DUMMYFUNCTION("GOOGLETRANSLATE(B1480,""id"",""en"")"),"['Manpass',' Package ',' Data ',' Application ',' Mytsel ',' Written ',' Buy ',' Application ',' MyTelkomsel ',' Melauai ',' Cut ',' Belimana ',' buy ',' apps', 'mytelkomsel', 'application', 'package', 'internet', 'delete', 'disappointing', 'toying', 'con"&amp;"sumer', 'directs',' luck ',' buy ' , 'expensive', 'quota', 'change', 'siginifikan', 'profitable', 'consumer', 'likes', 'ilang', 'check', 'quota', 'muter', 'gajelas']")</f>
        <v>['Manpass',' Package ',' Data ',' Application ',' Mytsel ',' Written ',' Buy ',' Application ',' MyTelkomsel ',' Melauai ',' Cut ',' Belimana ',' buy ',' apps', 'mytelkomsel', 'application', 'package', 'internet', 'delete', 'disappointing', 'toying', 'consumer', 'directs',' luck ',' buy ' , 'expensive', 'quota', 'change', 'siginifikan', 'profitable', 'consumer', 'likes', 'ilang', 'check', 'quota', 'muter', 'gajelas']</v>
      </c>
      <c r="D1480" s="3">
        <v>4.0</v>
      </c>
    </row>
    <row r="1481" ht="15.75" customHeight="1">
      <c r="A1481" s="1">
        <v>1479.0</v>
      </c>
      <c r="B1481" s="3" t="s">
        <v>1482</v>
      </c>
      <c r="C1481" s="3" t="str">
        <f>IFERROR(__xludf.DUMMYFUNCTION("GOOGLETRANSLATE(B1481,""id"",""en"")"),"['signal', 'Telkomsel', 'like', 'ngilance', 'improvement', 'please', 'fix', 'card', 'doang', 'signal', 'ilang', 'already', ' ']")</f>
        <v>['signal', 'Telkomsel', 'like', 'ngilance', 'improvement', 'please', 'fix', 'card', 'doang', 'signal', 'ilang', 'already', ' ']</v>
      </c>
      <c r="D1481" s="3">
        <v>3.0</v>
      </c>
    </row>
    <row r="1482" ht="15.75" customHeight="1">
      <c r="A1482" s="1">
        <v>1480.0</v>
      </c>
      <c r="B1482" s="3" t="s">
        <v>1483</v>
      </c>
      <c r="C1482" s="3" t="str">
        <f>IFERROR(__xludf.DUMMYFUNCTION("GOOGLETRANSLATE(B1482,""id"",""en"")"),"['Please', 'Telkomsel', 'buy', 'package', 'expensive', 'connection', 'network', 'garbage', 'lag', 'really', 'price', 'affordable', ' The network is', 'Muahal', 'Paketan', 'just', 'experience', 'bad', 'Combo', 'Sakti', 'The network', 'pulp', 'sorry', 'make"&amp;"', 'combo' , 'Sakti', 'smooth', 'based', 'experience', 'please', 'Telkomsel', 'Search', 'money', 'difficult', ""]")</f>
        <v>['Please', 'Telkomsel', 'buy', 'package', 'expensive', 'connection', 'network', 'garbage', 'lag', 'really', 'price', 'affordable', ' The network is', 'Muahal', 'Paketan', 'just', 'experience', 'bad', 'Combo', 'Sakti', 'The network', 'pulp', 'sorry', 'make', 'combo' , 'Sakti', 'smooth', 'based', 'experience', 'please', 'Telkomsel', 'Search', 'money', 'difficult', "]</v>
      </c>
      <c r="D1482" s="3">
        <v>1.0</v>
      </c>
    </row>
    <row r="1483" ht="15.75" customHeight="1">
      <c r="A1483" s="1">
        <v>1481.0</v>
      </c>
      <c r="B1483" s="3" t="s">
        <v>1484</v>
      </c>
      <c r="C1483" s="3" t="str">
        <f>IFERROR(__xludf.DUMMYFUNCTION("GOOGLETRANSLATE(B1483,""id"",""en"")"),"['safe', 'expensive', 'mAh', 'relative', 'depends',' ability ',' signal ',' pretty ',' good ',' sometimes', 'likes',' slow ',' Really ',' Salam ',' Abdee ',' Slank ',' yak ']")</f>
        <v>['safe', 'expensive', 'mAh', 'relative', 'depends',' ability ',' signal ',' pretty ',' good ',' sometimes', 'likes',' slow ',' Really ',' Salam ',' Abdee ',' Slank ',' yak ']</v>
      </c>
      <c r="D1483" s="3">
        <v>4.0</v>
      </c>
    </row>
    <row r="1484" ht="15.75" customHeight="1">
      <c r="A1484" s="1">
        <v>1482.0</v>
      </c>
      <c r="B1484" s="3" t="s">
        <v>1485</v>
      </c>
      <c r="C1484" s="3" t="str">
        <f>IFERROR(__xludf.DUMMYFUNCTION("GOOGLETRANSLATE(B1484,""id"",""en"")"),"['network', 'Until', 'remote', 'remote', 'country', 'network', 'stable', 'network', 'strong', 'card', 'entered', ' Forest ',' network ',' already ',' stable ',' ilang ',' arising ',' ilang ',' arising ',' good ',' card ',' axis', 'then', 'application' , '"&amp;"MyTelkomsel', 'Mengebug', 'repaired', 'left', 'advanced', 'criticized', 'little', 'sulk']")</f>
        <v>['network', 'Until', 'remote', 'remote', 'country', 'network', 'stable', 'network', 'strong', 'card', 'entered', ' Forest ',' network ',' already ',' stable ',' ilang ',' arising ',' ilang ',' arising ',' good ',' card ',' axis', 'then', 'application' , 'MyTelkomsel', 'Mengebug', 'repaired', 'left', 'advanced', 'criticized', 'little', 'sulk']</v>
      </c>
      <c r="D1484" s="3">
        <v>1.0</v>
      </c>
    </row>
    <row r="1485" ht="15.75" customHeight="1">
      <c r="A1485" s="1">
        <v>1483.0</v>
      </c>
      <c r="B1485" s="3" t="s">
        <v>1486</v>
      </c>
      <c r="C1485" s="3" t="str">
        <f>IFERROR(__xludf.DUMMYFUNCTION("GOOGLETRANSLATE(B1485,""id"",""en"")"),"['The application', 'good', 'really', 'boong']")</f>
        <v>['The application', 'good', 'really', 'boong']</v>
      </c>
      <c r="D1485" s="3">
        <v>5.0</v>
      </c>
    </row>
    <row r="1486" ht="15.75" customHeight="1">
      <c r="A1486" s="1">
        <v>1484.0</v>
      </c>
      <c r="B1486" s="3" t="s">
        <v>1487</v>
      </c>
      <c r="C1486" s="3" t="str">
        <f>IFERROR(__xludf.DUMMYFUNCTION("GOOGLETRANSLATE(B1486,""id"",""en"")"),"['Lahh', 'open', 'told', 'update', 'turn', 'Hbs',' update ',' screen ',' white ',' appears', 'update', 'mulu', ' Click ',' Update ',' Playstore ',' Update ',' Gabisa ',' Opened ',' Sebel ',' ']")</f>
        <v>['Lahh', 'open', 'told', 'update', 'turn', 'Hbs',' update ',' screen ',' white ',' appears', 'update', 'mulu', ' Click ',' Update ',' Playstore ',' Update ',' Gabisa ',' Opened ',' Sebel ',' ']</v>
      </c>
      <c r="D1486" s="3">
        <v>1.0</v>
      </c>
    </row>
    <row r="1487" ht="15.75" customHeight="1">
      <c r="A1487" s="1">
        <v>1485.0</v>
      </c>
      <c r="B1487" s="3" t="s">
        <v>1488</v>
      </c>
      <c r="C1487" s="3" t="str">
        <f>IFERROR(__xludf.DUMMYFUNCTION("GOOGLETRANSLATE(B1487,""id"",""en"")"),"['quota', 'buy', 'expensive', 'network', 'kek', 'sick', 'stomach', 'bera', 'quota', 'expensive', 'network', 'ngebuka', ' Donk ',' Ngilkak ',' DKIT ',' DKIT ',' SCREEN ',' Org ',' Buy ',' Quota ',' Expensive ',' TPI ',' Network ',' Kga ', ""]")</f>
        <v>['quota', 'buy', 'expensive', 'network', 'kek', 'sick', 'stomach', 'bera', 'quota', 'expensive', 'network', 'ngebuka', ' Donk ',' Ngilkak ',' DKIT ',' DKIT ',' SCREEN ',' Org ',' Buy ',' Quota ',' Expensive ',' TPI ',' Network ',' Kga ', "]</v>
      </c>
      <c r="D1487" s="3">
        <v>1.0</v>
      </c>
    </row>
    <row r="1488" ht="15.75" customHeight="1">
      <c r="A1488" s="1">
        <v>1486.0</v>
      </c>
      <c r="B1488" s="3" t="s">
        <v>1489</v>
      </c>
      <c r="C1488" s="3" t="str">
        <f>IFERROR(__xludf.DUMMYFUNCTION("GOOGLETRANSLATE(B1488,""id"",""en"")"),"['expensive', 'already', 'subscribe', 'package', 'combo', 'magic', 'internet', 'telephone', 'price', 'teruuusss',' network ',' podo ',' sing ',' provider ',' replace ',' card ',' eman ',' karna ',' contact ',' already ',' number ',' already ',' use ',' Te"&amp;"lkomsel ',' KTP ' , 'KTP', 'complaint', 'Samaaa', 'price', 'Teruuuuuss', 'inflationiii', '']")</f>
        <v>['expensive', 'already', 'subscribe', 'package', 'combo', 'magic', 'internet', 'telephone', 'price', 'teruuusss',' network ',' podo ',' sing ',' provider ',' replace ',' card ',' eman ',' karna ',' contact ',' already ',' number ',' already ',' use ',' Telkomsel ',' KTP ' , 'KTP', 'complaint', 'Samaaa', 'price', 'Teruuuuuss', 'inflationiii', '']</v>
      </c>
      <c r="D1488" s="3">
        <v>1.0</v>
      </c>
    </row>
    <row r="1489" ht="15.75" customHeight="1">
      <c r="A1489" s="1">
        <v>1487.0</v>
      </c>
      <c r="B1489" s="3" t="s">
        <v>1490</v>
      </c>
      <c r="C1489" s="3" t="str">
        <f>IFERROR(__xludf.DUMMYFUNCTION("GOOGLETRANSLATE(B1489,""id"",""en"")"),"['Hello', 'Telkomsel', 'Network', 'Leet', 'Promo', 'Card', 'Have', 'Bener', 'Support', 'Padhal', 'Buy', 'Kouta', ' expensive ',' right ',' disappointed ',' like ',' love ',' star ',' disappointed ',' bannget ']")</f>
        <v>['Hello', 'Telkomsel', 'Network', 'Leet', 'Promo', 'Card', 'Have', 'Bener', 'Support', 'Padhal', 'Buy', 'Kouta', ' expensive ',' right ',' disappointed ',' like ',' love ',' star ',' disappointed ',' bannget ']</v>
      </c>
      <c r="D1489" s="3">
        <v>2.0</v>
      </c>
    </row>
    <row r="1490" ht="15.75" customHeight="1">
      <c r="A1490" s="1">
        <v>1488.0</v>
      </c>
      <c r="B1490" s="3" t="s">
        <v>1491</v>
      </c>
      <c r="C1490" s="3" t="str">
        <f>IFERROR(__xludf.DUMMYFUNCTION("GOOGLETRANSLATE(B1490,""id"",""en"")"),"['annoyed', 'really', 'Telkomsel', 'pay', 'package', 'internet', 'emergency', 'contents',' pulse ',' sms', 'Telkomsel', 'written', ' pay off ',' package ',' emergency ',' love ',' pay ',' package ',' internet ',' emergency ',' cut ',' pulse ',' times', 'p"&amp;"ulse', 'cut' , 'principal', 'replace', 'credit', 'Telkomsel', 'Cut', '']")</f>
        <v>['annoyed', 'really', 'Telkomsel', 'pay', 'package', 'internet', 'emergency', 'contents',' pulse ',' sms', 'Telkomsel', 'written', ' pay off ',' package ',' emergency ',' love ',' pay ',' package ',' internet ',' emergency ',' cut ',' pulse ',' times', 'pulse', 'cut' , 'principal', 'replace', 'credit', 'Telkomsel', 'Cut', '']</v>
      </c>
      <c r="D1490" s="3">
        <v>1.0</v>
      </c>
    </row>
    <row r="1491" ht="15.75" customHeight="1">
      <c r="A1491" s="1">
        <v>1489.0</v>
      </c>
      <c r="B1491" s="3" t="s">
        <v>1492</v>
      </c>
      <c r="C1491" s="3" t="str">
        <f>IFERROR(__xludf.DUMMYFUNCTION("GOOGLETRANSLATE(B1491,""id"",""en"")"),"['Updated', 'Error', 'GBSA', 'Enter', 'Application', 'Signal', 'Telkomsel', 'Bagus', 'Telkomsel', 'here', 'Good', ""]")</f>
        <v>['Updated', 'Error', 'GBSA', 'Enter', 'Application', 'Signal', 'Telkomsel', 'Bagus', 'Telkomsel', 'here', 'Good', "]</v>
      </c>
      <c r="D1491" s="3">
        <v>1.0</v>
      </c>
    </row>
    <row r="1492" ht="15.75" customHeight="1">
      <c r="A1492" s="1">
        <v>1490.0</v>
      </c>
      <c r="B1492" s="3" t="s">
        <v>1493</v>
      </c>
      <c r="C1492" s="3" t="str">
        <f>IFERROR(__xludf.DUMMYFUNCTION("GOOGLETRANSLATE(B1492,""id"",""en"")"),"['Price', 'expensive', 'cheat', 'package', 'leftover', 'giga', 'sms',' enter ',' use ',' package ',' quota ',' package ',' maxtrim ',' rare ',' used ',' profit ',' operator ',' please ',' fair ',' say it ',' child ',' Allah ',' child ',' Lord ',' cheat ' "&amp;", '']")</f>
        <v>['Price', 'expensive', 'cheat', 'package', 'leftover', 'giga', 'sms',' enter ',' use ',' package ',' quota ',' package ',' maxtrim ',' rare ',' used ',' profit ',' operator ',' please ',' fair ',' say it ',' child ',' Allah ',' child ',' Lord ',' cheat ' , '']</v>
      </c>
      <c r="D1492" s="3">
        <v>3.0</v>
      </c>
    </row>
    <row r="1493" ht="15.75" customHeight="1">
      <c r="A1493" s="1">
        <v>1491.0</v>
      </c>
      <c r="B1493" s="3" t="s">
        <v>1494</v>
      </c>
      <c r="C1493" s="3" t="str">
        <f>IFERROR(__xludf.DUMMYFUNCTION("GOOGLETRANSLATE(B1493,""id"",""en"")"),"['', 'Out', 'Update', 'Direct', 'Open', 'The application', 'Open', 'appears',' Posts', 'Update', 'Sya', 'update', 'wrong ',' Yaaaaa ',' ']")</f>
        <v>['', 'Out', 'Update', 'Direct', 'Open', 'The application', 'Open', 'appears',' Posts', 'Update', 'Sya', 'update', 'wrong ',' Yaaaaa ',' ']</v>
      </c>
      <c r="D1493" s="3">
        <v>1.0</v>
      </c>
    </row>
    <row r="1494" ht="15.75" customHeight="1">
      <c r="A1494" s="1">
        <v>1492.0</v>
      </c>
      <c r="B1494" s="3" t="s">
        <v>1495</v>
      </c>
      <c r="C1494" s="3" t="str">
        <f>IFERROR(__xludf.DUMMYFUNCTION("GOOGLETRANSLATE(B1494,""id"",""en"")"),"['Sorry', 'Telkomsel', 'love', 'star', 'price', 'package', 'expensive', 'signal', 'sometimes',' slow ',' suggestion ',' Price ',' Package ',' Dlurunin ',' Quality ',' Signal ',' Fix ',' Thank ', ""]")</f>
        <v>['Sorry', 'Telkomsel', 'love', 'star', 'price', 'package', 'expensive', 'signal', 'sometimes',' slow ',' suggestion ',' Price ',' Package ',' Dlurunin ',' Quality ',' Signal ',' Fix ',' Thank ', "]</v>
      </c>
      <c r="D1494" s="3">
        <v>3.0</v>
      </c>
    </row>
    <row r="1495" ht="15.75" customHeight="1">
      <c r="A1495" s="1">
        <v>1493.0</v>
      </c>
      <c r="B1495" s="3" t="s">
        <v>1496</v>
      </c>
      <c r="C1495" s="3" t="str">
        <f>IFERROR(__xludf.DUMMYFUNCTION("GOOGLETRANSLATE(B1495,""id"",""en"")"),"['Unlimited', 'Max', 'Restore', 'Kayak', 'Access',' Google ',' Quota ',' Internet ',' Out ',' Unlimited ',' Limit ',' GB ',' quota ',' main ',' run out ',' access', 'slow', 'TPI', 'tasty', 'slow', 'unlimited', 'max', 'thank you']")</f>
        <v>['Unlimited', 'Max', 'Restore', 'Kayak', 'Access',' Google ',' Quota ',' Internet ',' Out ',' Unlimited ',' Limit ',' GB ',' quota ',' main ',' run out ',' access', 'slow', 'TPI', 'tasty', 'slow', 'unlimited', 'max', 'thank you']</v>
      </c>
      <c r="D1495" s="3">
        <v>5.0</v>
      </c>
    </row>
    <row r="1496" ht="15.75" customHeight="1">
      <c r="A1496" s="1">
        <v>1494.0</v>
      </c>
      <c r="B1496" s="3" t="s">
        <v>1497</v>
      </c>
      <c r="C1496" s="3" t="str">
        <f>IFERROR(__xludf.DUMMYFUNCTION("GOOGLETRANSLATE(B1496,""id"",""en"")"),"['Please', 'yaaa', 'Telkomsel', 'network', 'disorder', 'apply', 'package', 'buy', 'hrs', 'automatically', 'extended', 'as' Compensation ',' fair ',' customer ',' yaaa ',' proposal ', ""]")</f>
        <v>['Please', 'yaaa', 'Telkomsel', 'network', 'disorder', 'apply', 'package', 'buy', 'hrs', 'automatically', 'extended', 'as' Compensation ',' fair ',' customer ',' yaaa ',' proposal ', "]</v>
      </c>
      <c r="D1496" s="3">
        <v>4.0</v>
      </c>
    </row>
    <row r="1497" ht="15.75" customHeight="1">
      <c r="A1497" s="1">
        <v>1495.0</v>
      </c>
      <c r="B1497" s="3" t="s">
        <v>1498</v>
      </c>
      <c r="C1497" s="3" t="str">
        <f>IFERROR(__xludf.DUMMYFUNCTION("GOOGLETRANSLATE(B1497,""id"",""en"")"),"['Please', 'Telkomsel', 'Fill', 'Koeta', 'Delet', 'Internet', 'End', 'expensive', 'advanced', 'mentamtrakan', 'people', 'Indonesia', ' Changed ',' Please ',' Thinkening ',' Leader ',' Teaches', 'Child', 'Indonesia', 'Virus', ""]")</f>
        <v>['Please', 'Telkomsel', 'Fill', 'Koeta', 'Delet', 'Internet', 'End', 'expensive', 'advanced', 'mentamtrakan', 'people', 'Indonesia', ' Changed ',' Please ',' Thinkening ',' Leader ',' Teaches', 'Child', 'Indonesia', 'Virus', "]</v>
      </c>
      <c r="D1497" s="3">
        <v>5.0</v>
      </c>
    </row>
    <row r="1498" ht="15.75" customHeight="1">
      <c r="A1498" s="1">
        <v>1496.0</v>
      </c>
      <c r="B1498" s="3" t="s">
        <v>1499</v>
      </c>
      <c r="C1498" s="3" t="str">
        <f>IFERROR(__xludf.DUMMYFUNCTION("GOOGLETRANSLATE(B1498,""id"",""en"")"),"['Please', 'Purchase', 'Package', 'Customized', 'Expenditure', 'Data', 'Package', 'Multimedia', 'Multimedia', 'Package', 'Internet', 'Internet', ' buy ',' package ',' internet ',' divided ',' run out ',' first ',' package ',' internet ',' run out ',' pack"&amp;"age ',' multimedia ',' no ',' use ' , 'watch', 'application', 'outside', 'provisions',' application ',' multimedia ',' adjust ',' open ',' package ',' spent ',' package ',' package ',' Application ',' Nggk ',' Registered ',' Nggk ',' Open ',' ']")</f>
        <v>['Please', 'Purchase', 'Package', 'Customized', 'Expenditure', 'Data', 'Package', 'Multimedia', 'Multimedia', 'Package', 'Internet', 'Internet', ' buy ',' package ',' internet ',' divided ',' run out ',' first ',' package ',' internet ',' run out ',' package ',' multimedia ',' no ',' use ' , 'watch', 'application', 'outside', 'provisions',' application ',' multimedia ',' adjust ',' open ',' package ',' spent ',' package ',' package ',' Application ',' Nggk ',' Registered ',' Nggk ',' Open ',' ']</v>
      </c>
      <c r="D1498" s="3">
        <v>2.0</v>
      </c>
    </row>
    <row r="1499" ht="15.75" customHeight="1">
      <c r="A1499" s="1">
        <v>1497.0</v>
      </c>
      <c r="B1499" s="3" t="s">
        <v>1500</v>
      </c>
      <c r="C1499" s="3" t="str">
        <f>IFERROR(__xludf.DUMMYFUNCTION("GOOGLETRANSLATE(B1499,""id"",""en"")"),"['Features',' Features', 'Good', 'How', 'Signal', 'Member', 'Disappointing', 'See', 'YouTube', 'Disconnect', 'Disconnect', 'Play', ' Game ',' Disconnect ',' Disconnect ',' Package ',' Buy ', ""]")</f>
        <v>['Features',' Features', 'Good', 'How', 'Signal', 'Member', 'Disappointing', 'See', 'YouTube', 'Disconnect', 'Disconnect', 'Play', ' Game ',' Disconnect ',' Disconnect ',' Package ',' Buy ', "]</v>
      </c>
      <c r="D1499" s="3">
        <v>5.0</v>
      </c>
    </row>
    <row r="1500" ht="15.75" customHeight="1">
      <c r="A1500" s="1">
        <v>1498.0</v>
      </c>
      <c r="B1500" s="3" t="s">
        <v>1501</v>
      </c>
      <c r="C1500" s="3" t="str">
        <f>IFERROR(__xludf.DUMMYFUNCTION("GOOGLETRANSLATE(B1500,""id"",""en"")"),"['Get', 'promo', 'GB', 'thousand', 'gabisa', 'list', 'package', 'already', 'list', 'sms', 'try', 'many' Gaada ',' Notif ',' SMS ',' promo ',' date ',' August ',' yaa ',' Telkomsel ', ""]")</f>
        <v>['Get', 'promo', 'GB', 'thousand', 'gabisa', 'list', 'package', 'already', 'list', 'sms', 'try', 'many' Gaada ',' Notif ',' SMS ',' promo ',' date ',' August ',' yaa ',' Telkomsel ', "]</v>
      </c>
      <c r="D1500" s="3">
        <v>1.0</v>
      </c>
    </row>
    <row r="1501" ht="15.75" customHeight="1">
      <c r="A1501" s="1">
        <v>1499.0</v>
      </c>
      <c r="B1501" s="3" t="s">
        <v>1502</v>
      </c>
      <c r="C1501" s="3" t="str">
        <f>IFERROR(__xludf.DUMMYFUNCTION("GOOGLETRANSLATE(B1501,""id"",""en"")"),"['proposal', 'Please', 'Equipped', 'Menu', 'List', 'Number', 'Telkomsel', 'number', 'Nik', 'user', 'Application', 'Telkomsel', ' thank you', '']")</f>
        <v>['proposal', 'Please', 'Equipped', 'Menu', 'List', 'Number', 'Telkomsel', 'number', 'Nik', 'user', 'Application', 'Telkomsel', ' thank you', '']</v>
      </c>
      <c r="D1501" s="3">
        <v>5.0</v>
      </c>
    </row>
    <row r="1502" ht="15.75" customHeight="1">
      <c r="A1502" s="1">
        <v>1500.0</v>
      </c>
      <c r="B1502" s="3" t="s">
        <v>1503</v>
      </c>
      <c r="C1502" s="3" t="str">
        <f>IFERROR(__xludf.DUMMYFUNCTION("GOOGLETRANSLATE(B1502,""id"",""en"")"),"['Matiin', 'use', 'pulse', 'package', 'HBS', 'buy', 'pulse', 'package', 'data', 'forget', 'turn it off', 'right', ' Bought ',' Package ',' Hbs', 'pulses']")</f>
        <v>['Matiin', 'use', 'pulse', 'package', 'HBS', 'buy', 'pulse', 'package', 'data', 'forget', 'turn it off', 'right', ' Bought ',' Package ',' Hbs', 'pulses']</v>
      </c>
      <c r="D1502" s="3">
        <v>5.0</v>
      </c>
    </row>
    <row r="1503" ht="15.75" customHeight="1">
      <c r="A1503" s="1">
        <v>1501.0</v>
      </c>
      <c r="B1503" s="3" t="s">
        <v>1504</v>
      </c>
      <c r="C1503" s="3" t="str">
        <f>IFERROR(__xludf.DUMMYFUNCTION("GOOGLETRANSLATE(B1503,""id"",""en"")"),"['quota', 'sosmed', 'games',' buy ',' package ',' always', 'add', 'skrg', 'signal', 'lost', 'signal', 'got', ' Covid ',' Times', 'Reach', '']")</f>
        <v>['quota', 'sosmed', 'games',' buy ',' package ',' always', 'add', 'skrg', 'signal', 'lost', 'signal', 'got', ' Covid ',' Times', 'Reach', '']</v>
      </c>
      <c r="D1503" s="3">
        <v>1.0</v>
      </c>
    </row>
    <row r="1504" ht="15.75" customHeight="1">
      <c r="A1504" s="1">
        <v>1502.0</v>
      </c>
      <c r="B1504" s="3" t="s">
        <v>1505</v>
      </c>
      <c r="C1504" s="3" t="str">
        <f>IFERROR(__xludf.DUMMYFUNCTION("GOOGLETRANSLATE(B1504,""id"",""en"")"),"['Disappointed', 'application', 'Telkomsel', 'see', 'leftover', 'quota', 'useful', 'chat', 'replied', 'computer', 'customer', 'servicenya', ' Payment ',' Via ',' Ovo ',' Choice ',' Please ',' Repaired ',' Application ',' ']")</f>
        <v>['Disappointed', 'application', 'Telkomsel', 'see', 'leftover', 'quota', 'useful', 'chat', 'replied', 'computer', 'customer', 'servicenya', ' Payment ',' Via ',' Ovo ',' Choice ',' Please ',' Repaired ',' Application ',' ']</v>
      </c>
      <c r="D1504" s="3">
        <v>1.0</v>
      </c>
    </row>
    <row r="1505" ht="15.75" customHeight="1">
      <c r="A1505" s="1">
        <v>1503.0</v>
      </c>
      <c r="B1505" s="3" t="s">
        <v>1506</v>
      </c>
      <c r="C1505" s="3" t="str">
        <f>IFERROR(__xludf.DUMMYFUNCTION("GOOGLETRANSLATE(B1505,""id"",""en"")"),"['subscription', 'Package', 'Combo', 'Sakti', 'Tombang', 'Date', 'August', 'TPI', 'Checking', 'Daily', 'Key', 'Bonus',' make a loss']")</f>
        <v>['subscription', 'Package', 'Combo', 'Sakti', 'Tombang', 'Date', 'August', 'TPI', 'Checking', 'Daily', 'Key', 'Bonus',' make a loss']</v>
      </c>
      <c r="D1505" s="3">
        <v>1.0</v>
      </c>
    </row>
    <row r="1506" ht="15.75" customHeight="1">
      <c r="A1506" s="1">
        <v>1504.0</v>
      </c>
      <c r="B1506" s="3" t="s">
        <v>1507</v>
      </c>
      <c r="C1506" s="3" t="str">
        <f>IFERROR(__xludf.DUMMYFUNCTION("GOOGLETRANSLATE(B1506,""id"",""en"")"),"['Out', 'Updated', 'Display', 'Menu', 'App', 'Good', 'Like', 'Display', 'The Network', 'Like', 'Ngelag']")</f>
        <v>['Out', 'Updated', 'Display', 'Menu', 'App', 'Good', 'Like', 'Display', 'The Network', 'Like', 'Ngelag']</v>
      </c>
      <c r="D1506" s="3">
        <v>4.0</v>
      </c>
    </row>
    <row r="1507" ht="15.75" customHeight="1">
      <c r="A1507" s="1">
        <v>1505.0</v>
      </c>
      <c r="B1507" s="3" t="s">
        <v>1508</v>
      </c>
      <c r="C1507" s="3" t="str">
        <f>IFERROR(__xludf.DUMMYFUNCTION("GOOGLETRANSLATE(B1507,""id"",""en"")"),"['ppkm', 'dperanjang', 'package', 'internet', 'expensive', 'network', 'problematic', 'repair', 'Telkomsel', 'Please', 'convenience', 'satisfaction', ' Card ',' Telkomsel ']")</f>
        <v>['ppkm', 'dperanjang', 'package', 'internet', 'expensive', 'network', 'problematic', 'repair', 'Telkomsel', 'Please', 'convenience', 'satisfaction', ' Card ',' Telkomsel ']</v>
      </c>
      <c r="D1507" s="3">
        <v>1.0</v>
      </c>
    </row>
    <row r="1508" ht="15.75" customHeight="1">
      <c r="A1508" s="1">
        <v>1506.0</v>
      </c>
      <c r="B1508" s="3" t="s">
        <v>1509</v>
      </c>
      <c r="C1508" s="3" t="str">
        <f>IFERROR(__xludf.DUMMYFUNCTION("GOOGLETRANSLATE(B1508,""id"",""en"")"),"['Satisfied', 'Telkomsel', 'Service', 'Facilitates', 'Network', 'Internet', 'Gargantua', 'Relative', 'Affordable', 'Fast', ""]")</f>
        <v>['Satisfied', 'Telkomsel', 'Service', 'Facilitates', 'Network', 'Internet', 'Gargantua', 'Relative', 'Affordable', 'Fast', "]</v>
      </c>
      <c r="D1508" s="3">
        <v>5.0</v>
      </c>
    </row>
    <row r="1509" ht="15.75" customHeight="1">
      <c r="A1509" s="1">
        <v>1507.0</v>
      </c>
      <c r="B1509" s="3" t="s">
        <v>1510</v>
      </c>
      <c r="C1509" s="3" t="str">
        <f>IFERROR(__xludf.DUMMYFUNCTION("GOOGLETRANSLATE(B1509,""id"",""en"")"),"['good', 'love', 'input', 'user', 'app', 'telkomsel', 'update', 'open', 'open', 'setting', 'manager', 'app', ' Click ',' App ',' Telkomsel ',' Click ',' Storage ',' Delete ',' Cache ',' Delete ',' Data ',' Menu ',' Open ',' App ',' Telkomsel ' , 'input', "&amp;"'login', 'app', 'Telkomsel', 'please', 'try', ""]")</f>
        <v>['good', 'love', 'input', 'user', 'app', 'telkomsel', 'update', 'open', 'open', 'setting', 'manager', 'app', ' Click ',' App ',' Telkomsel ',' Click ',' Storage ',' Delete ',' Cache ',' Delete ',' Data ',' Menu ',' Open ',' App ',' Telkomsel ' , 'input', 'login', 'app', 'Telkomsel', 'please', 'try', "]</v>
      </c>
      <c r="D1509" s="3">
        <v>5.0</v>
      </c>
    </row>
    <row r="1510" ht="15.75" customHeight="1">
      <c r="A1510" s="1">
        <v>1508.0</v>
      </c>
      <c r="B1510" s="3" t="s">
        <v>1511</v>
      </c>
      <c r="C1510" s="3" t="str">
        <f>IFERROR(__xludf.DUMMYFUNCTION("GOOGLETRANSLATE(B1510,""id"",""en"")"),"['', 'Rendeem', 'Rendeem', 'Points',' Telko ',' Exchange ',' Points', 'Package', 'Internet', 'Kiote', 'Please', 'Include', 'Credit ',' Cutting ',' Points', 'Show', 'Redeem', 'cheats',' Kirain ',' Hany ',' Points', 'Quota', 'Credit', 'Cutting']")</f>
        <v>['', 'Rendeem', 'Rendeem', 'Points',' Telko ',' Exchange ',' Points', 'Package', 'Internet', 'Kiote', 'Please', 'Include', 'Credit ',' Cutting ',' Points', 'Show', 'Redeem', 'cheats',' Kirain ',' Hany ',' Points', 'Quota', 'Credit', 'Cutting']</v>
      </c>
      <c r="D1510" s="3">
        <v>5.0</v>
      </c>
    </row>
    <row r="1511" ht="15.75" customHeight="1">
      <c r="A1511" s="1">
        <v>1509.0</v>
      </c>
      <c r="B1511" s="3" t="s">
        <v>1512</v>
      </c>
      <c r="C1511" s="3" t="str">
        <f>IFERROR(__xludf.DUMMYFUNCTION("GOOGLETRANSLATE(B1511,""id"",""en"")"),"['Family', 'Kguna', 'Telkomsel', 'Disappointed', 'Since', 'Mode', 'Network', 'Leet', 'Please', 'Repair', ""]")</f>
        <v>['Family', 'Kguna', 'Telkomsel', 'Disappointed', 'Since', 'Mode', 'Network', 'Leet', 'Please', 'Repair', "]</v>
      </c>
      <c r="D1511" s="3">
        <v>1.0</v>
      </c>
    </row>
    <row r="1512" ht="15.75" customHeight="1">
      <c r="A1512" s="1">
        <v>1510.0</v>
      </c>
      <c r="B1512" s="3" t="s">
        <v>1513</v>
      </c>
      <c r="C1512" s="3" t="str">
        <f>IFERROR(__xludf.DUMMYFUNCTION("GOOGLETRANSLATE(B1512,""id"",""en"")"),"['Please', 'Sorry', 'send', 'email', 'directly', 'Tsel', 'reply', 'direct', 'email', 'block', 'ask', 'payment', ' supercell ']")</f>
        <v>['Please', 'Sorry', 'send', 'email', 'directly', 'Tsel', 'reply', 'direct', 'email', 'block', 'ask', 'payment', ' supercell ']</v>
      </c>
      <c r="D1512" s="3">
        <v>2.0</v>
      </c>
    </row>
    <row r="1513" ht="15.75" customHeight="1">
      <c r="A1513" s="1">
        <v>1511.0</v>
      </c>
      <c r="B1513" s="3" t="s">
        <v>1514</v>
      </c>
      <c r="C1513" s="3" t="str">
        <f>IFERROR(__xludf.DUMMYFUNCTION("GOOGLETRANSLATE(B1513,""id"",""en"")"),"['Benerin', 'network', 'application', 'price', 'expensive', 'signal', 'no', 'stable', 'bar', 'doang', 'full', 'internet', ' down ',' nyampe ',' kb ',' signal ',' right ',' waiting ',' team ',' cowboy ',' acting ',' conscious', 'msih', 'no', 'results' , 'A"&amp;"pplication', 'ilang', 'ama', 'team', 'cowboy', 'company', 'closed', 'age', '']")</f>
        <v>['Benerin', 'network', 'application', 'price', 'expensive', 'signal', 'no', 'stable', 'bar', 'doang', 'full', 'internet', ' down ',' nyampe ',' kb ',' signal ',' right ',' waiting ',' team ',' cowboy ',' acting ',' conscious', 'msih', 'no', 'results' , 'Application', 'ilang', 'ama', 'team', 'cowboy', 'company', 'closed', 'age', '']</v>
      </c>
      <c r="D1513" s="3">
        <v>1.0</v>
      </c>
    </row>
    <row r="1514" ht="15.75" customHeight="1">
      <c r="A1514" s="1">
        <v>1512.0</v>
      </c>
      <c r="B1514" s="3" t="s">
        <v>1515</v>
      </c>
      <c r="C1514" s="3" t="str">
        <f>IFERROR(__xludf.DUMMYFUNCTION("GOOGLETRANSLATE(B1514,""id"",""en"")"),"['already', 'package', 'expensive', 'pulse', 'lost', 'emg', 'suitable', 'okay', 'telkomsel', 'circles',' medium ',' better ',' axis', 'klw', 'compared', 'axis',' cheap ',' economical ']")</f>
        <v>['already', 'package', 'expensive', 'pulse', 'lost', 'emg', 'suitable', 'okay', 'telkomsel', 'circles',' medium ',' better ',' axis', 'klw', 'compared', 'axis',' cheap ',' economical ']</v>
      </c>
      <c r="D1514" s="3">
        <v>1.0</v>
      </c>
    </row>
    <row r="1515" ht="15.75" customHeight="1">
      <c r="A1515" s="1">
        <v>1513.0</v>
      </c>
      <c r="B1515" s="3" t="s">
        <v>1516</v>
      </c>
      <c r="C1515" s="3" t="str">
        <f>IFERROR(__xludf.DUMMYFUNCTION("GOOGLETRANSLATE(B1515,""id"",""en"")"),"['connection', 'bad', 'package', 'data', 'chat', 'picture', 'clock', 'disappointed', 'emang', 'connection', 'Telkomsel', 'down', ' No ',' emotion ',' please ',' repaired ']")</f>
        <v>['connection', 'bad', 'package', 'data', 'chat', 'picture', 'clock', 'disappointed', 'emang', 'connection', 'Telkomsel', 'down', ' No ',' emotion ',' please ',' repaired ']</v>
      </c>
      <c r="D1515" s="3">
        <v>1.0</v>
      </c>
    </row>
    <row r="1516" ht="15.75" customHeight="1">
      <c r="A1516" s="1">
        <v>1514.0</v>
      </c>
      <c r="B1516" s="3" t="s">
        <v>1517</v>
      </c>
      <c r="C1516" s="3" t="str">
        <f>IFERROR(__xludf.DUMMYFUNCTION("GOOGLETRANSLATE(B1516,""id"",""en"")"),"['poor', 'quota', 'naek', 'all', 'quota', 'mlm', 'gb', 'rb', 'rb', 'buy', 'pulse', 'beloved', ' Mending ',' right ',' RB ',' quota ',' remaining ',' application ',' all ',' gini ',' difficult ',' please ',' fix ', ""]")</f>
        <v>['poor', 'quota', 'naek', 'all', 'quota', 'mlm', 'gb', 'rb', 'rb', 'buy', 'pulse', 'beloved', ' Mending ',' right ',' RB ',' quota ',' remaining ',' application ',' all ',' gini ',' difficult ',' please ',' fix ', "]</v>
      </c>
      <c r="D1516" s="3">
        <v>1.0</v>
      </c>
    </row>
    <row r="1517" ht="15.75" customHeight="1">
      <c r="A1517" s="1">
        <v>1515.0</v>
      </c>
      <c r="B1517" s="3" t="s">
        <v>1518</v>
      </c>
      <c r="C1517" s="3" t="str">
        <f>IFERROR(__xludf.DUMMYFUNCTION("GOOGLETRANSLATE(B1517,""id"",""en"")"),"['Come here', 'Threat', 'Rain', 'right', 'Rain', 'Rain', 'Signal', 'Kaga', 'Karuan', 'Location', 'Jakpus',' Star ',' Already ',' improvement ',' ']")</f>
        <v>['Come here', 'Threat', 'Rain', 'right', 'Rain', 'Rain', 'Signal', 'Kaga', 'Karuan', 'Location', 'Jakpus',' Star ',' Already ',' improvement ',' ']</v>
      </c>
      <c r="D1517" s="3">
        <v>1.0</v>
      </c>
    </row>
    <row r="1518" ht="15.75" customHeight="1">
      <c r="A1518" s="1">
        <v>1516.0</v>
      </c>
      <c r="B1518" s="3" t="s">
        <v>1519</v>
      </c>
      <c r="C1518" s="3" t="str">
        <f>IFERROR(__xludf.DUMMYFUNCTION("GOOGLETRANSLATE(B1518,""id"",""en"")"),"['Bro', 'Network', 'Bad', 'Tasik', 'Garut', 'bdg', 'Rain', 'Gede', 'Rain', 'a little', 'Direct', 'what', ' Customers', 'Disappointed']")</f>
        <v>['Bro', 'Network', 'Bad', 'Tasik', 'Garut', 'bdg', 'Rain', 'Gede', 'Rain', 'a little', 'Direct', 'what', ' Customers', 'Disappointed']</v>
      </c>
      <c r="D1518" s="3">
        <v>5.0</v>
      </c>
    </row>
    <row r="1519" ht="15.75" customHeight="1">
      <c r="A1519" s="1">
        <v>1517.0</v>
      </c>
      <c r="B1519" s="3" t="s">
        <v>1520</v>
      </c>
      <c r="C1519" s="3" t="str">
        <f>IFERROR(__xludf.DUMMYFUNCTION("GOOGLETRANSLATE(B1519,""id"",""en"")"),"['Network', 'Bener', 'Player', 'Game', 'Way', 'Inner', 'Wind', 'Rain', 'Edge', 'ilang', 'Network', 'Real', ' Telkomsel ',' connoisseurs', 'village', 'cave', 'stay', 'city', 'network', 'edge', 'ilang', 'down', 'tired', 'cave', 'dhlah' , 'oath', 'price', 'o"&amp;"fficial', 'network', 'slow', 'edge', 'village', 'swear', 'times']")</f>
        <v>['Network', 'Bener', 'Player', 'Game', 'Way', 'Inner', 'Wind', 'Rain', 'Edge', 'ilang', 'Network', 'Real', ' Telkomsel ',' connoisseurs', 'village', 'cave', 'stay', 'city', 'network', 'edge', 'ilang', 'down', 'tired', 'cave', 'dhlah' , 'oath', 'price', 'official', 'network', 'slow', 'edge', 'village', 'swear', 'times']</v>
      </c>
      <c r="D1519" s="3">
        <v>1.0</v>
      </c>
    </row>
    <row r="1520" ht="15.75" customHeight="1">
      <c r="A1520" s="1">
        <v>1518.0</v>
      </c>
      <c r="B1520" s="3" t="s">
        <v>1521</v>
      </c>
      <c r="C1520" s="3" t="str">
        <f>IFERROR(__xludf.DUMMYFUNCTION("GOOGLETRANSLATE(B1520,""id"",""en"")"),"['update', 'already', 'enk', 'bgin', 'response', 'buy', 'package', 'contents',' reset ',' pulse ',' slow ',' entry ',' TPI ',' Dri ',' Update ',' Logo ',' Nice ',' Mantap ']")</f>
        <v>['update', 'already', 'enk', 'bgin', 'response', 'buy', 'package', 'contents',' reset ',' pulse ',' slow ',' entry ',' TPI ',' Dri ',' Update ',' Logo ',' Nice ',' Mantap ']</v>
      </c>
      <c r="D1520" s="3">
        <v>5.0</v>
      </c>
    </row>
    <row r="1521" ht="15.75" customHeight="1">
      <c r="A1521" s="1">
        <v>1519.0</v>
      </c>
      <c r="B1521" s="3" t="s">
        <v>1522</v>
      </c>
      <c r="C1521" s="3" t="str">
        <f>IFERROR(__xludf.DUMMYFUNCTION("GOOGLETRANSLATE(B1521,""id"",""en"")"),"['Please', 'Promo', 'Internet', 'GB', 'RB', 'Saminated', 'Please', 'Sousal', 'Repaired', 'Min', 'Disappointed', 'Main', ' HARD ',' because ',' Ngelag ',' Please ',' Min ',' signal ',' repaired ',' in the area ',' Banyumas', 'request', 'Dipenuhin', 'comfor"&amp;"table', 'Ama' , 'Telkomsel', 'signal', 'bad', 'please', 'repaired', 'in the area', 'area', 'smooth', 'happy', 'min', 'person', ' Pahala ',' min ']")</f>
        <v>['Please', 'Promo', 'Internet', 'GB', 'RB', 'Saminated', 'Please', 'Sousal', 'Repaired', 'Min', 'Disappointed', 'Main', ' HARD ',' because ',' Ngelag ',' Please ',' Min ',' signal ',' repaired ',' in the area ',' Banyumas', 'request', 'Dipenuhin', 'comfortable', 'Ama' , 'Telkomsel', 'signal', 'bad', 'please', 'repaired', 'in the area', 'area', 'smooth', 'happy', 'min', 'person', ' Pahala ',' min ']</v>
      </c>
      <c r="D1521" s="3">
        <v>3.0</v>
      </c>
    </row>
    <row r="1522" ht="15.75" customHeight="1">
      <c r="A1522" s="1">
        <v>1520.0</v>
      </c>
      <c r="B1522" s="3" t="s">
        <v>1523</v>
      </c>
      <c r="C1522" s="3" t="str">
        <f>IFERROR(__xludf.DUMMYFUNCTION("GOOGLETRANSLATE(B1522,""id"",""en"")"),"['Telkomsel', 'Network', 'Good', 'Different', 'Udalah', 'Expensive', 'Price', 'Network', 'Please', 'Benerin', ""]")</f>
        <v>['Telkomsel', 'Network', 'Good', 'Different', 'Udalah', 'Expensive', 'Price', 'Network', 'Please', 'Benerin', "]</v>
      </c>
      <c r="D1522" s="3">
        <v>1.0</v>
      </c>
    </row>
    <row r="1523" ht="15.75" customHeight="1">
      <c r="A1523" s="1">
        <v>1521.0</v>
      </c>
      <c r="B1523" s="3" t="s">
        <v>1524</v>
      </c>
      <c r="C1523" s="3" t="str">
        <f>IFERROR(__xludf.DUMMYFUNCTION("GOOGLETRANSLATE(B1523,""id"",""en"")"),"['Lottery', 'Points', 'just', 'tricks', 'Sales', 'Exchange', 'Points', 'Stub', 'Cuman', 'Family', 'Employees', ""]")</f>
        <v>['Lottery', 'Points', 'just', 'tricks', 'Sales', 'Exchange', 'Points', 'Stub', 'Cuman', 'Family', 'Employees', "]</v>
      </c>
      <c r="D1523" s="3">
        <v>1.0</v>
      </c>
    </row>
    <row r="1524" ht="15.75" customHeight="1">
      <c r="A1524" s="1">
        <v>1522.0</v>
      </c>
      <c r="B1524" s="3" t="s">
        <v>1525</v>
      </c>
      <c r="C1524" s="3" t="str">
        <f>IFERROR(__xludf.DUMMYFUNCTION("GOOGLETRANSLATE(B1524,""id"",""en"")"),"['The package', 'cheap', 'cheap', 'really', 'right', 'deh', 'pocked', 'transaction', 'safe', 'easy', 'application', 'easy', ' Experience ',' Customers', 'Hopefully', 'Promotions',' Interesting ',' In the future ',' Recommended ',' Make Easy ',' Access', '"&amp;"Credit', 'Package', 'Check', 'Quota' , 'DSB', '']")</f>
        <v>['The package', 'cheap', 'cheap', 'really', 'right', 'deh', 'pocked', 'transaction', 'safe', 'easy', 'application', 'easy', ' Experience ',' Customers', 'Hopefully', 'Promotions',' Interesting ',' In the future ',' Recommended ',' Make Easy ',' Access', 'Credit', 'Package', 'Check', 'Quota' , 'DSB', '']</v>
      </c>
      <c r="D1524" s="3">
        <v>5.0</v>
      </c>
    </row>
    <row r="1525" ht="15.75" customHeight="1">
      <c r="A1525" s="1">
        <v>1523.0</v>
      </c>
      <c r="B1525" s="3" t="s">
        <v>1526</v>
      </c>
      <c r="C1525" s="3" t="str">
        <f>IFERROR(__xludf.DUMMYFUNCTION("GOOGLETRANSLATE(B1525,""id"",""en"")"),"['Network', 'deteriorating', 'please', 'price', 'according to', 'quality', 'data', 'produce', 'buffering', 'social', 'media', 'please' Fix ',' The ',' Signal ',' CONECTION ',' PROBLEM ']")</f>
        <v>['Network', 'deteriorating', 'please', 'price', 'according to', 'quality', 'data', 'produce', 'buffering', 'social', 'media', 'please' Fix ',' The ',' Signal ',' CONECTION ',' PROBLEM ']</v>
      </c>
      <c r="D1525" s="3">
        <v>1.0</v>
      </c>
    </row>
    <row r="1526" ht="15.75" customHeight="1">
      <c r="A1526" s="1">
        <v>1524.0</v>
      </c>
      <c r="B1526" s="3" t="s">
        <v>1527</v>
      </c>
      <c r="C1526" s="3" t="str">
        <f>IFERROR(__xludf.DUMMYFUNCTION("GOOGLETRANSLATE(B1526,""id"",""en"")"),"['Disappointed', 'Paketan', 'Internet', 'Masi', 'MOTHING', 'Credit', 'Main', 'Pulse', 'Abis', 'Mending', 'Operator', 'Next to' The reason ',' rare ',' fill in ',' sympathy ',' tarip ',' ver ']")</f>
        <v>['Disappointed', 'Paketan', 'Internet', 'Masi', 'MOTHING', 'Credit', 'Main', 'Pulse', 'Abis', 'Mending', 'Operator', 'Next to' The reason ',' rare ',' fill in ',' sympathy ',' tarip ',' ver ']</v>
      </c>
      <c r="D1526" s="3">
        <v>1.0</v>
      </c>
    </row>
    <row r="1527" ht="15.75" customHeight="1">
      <c r="A1527" s="1">
        <v>1525.0</v>
      </c>
      <c r="B1527" s="3" t="s">
        <v>1528</v>
      </c>
      <c r="C1527" s="3" t="str">
        <f>IFERROR(__xludf.DUMMYFUNCTION("GOOGLETRANSLATE(B1527,""id"",""en"")"),"['Please', 'room', 'home', 'weak', 'network', 'data', 'room', 'distance', 'meter', 'network', 'stable', 'network', ' data ',' prime ',' customers', 'loyal', 'disappointed']")</f>
        <v>['Please', 'room', 'home', 'weak', 'network', 'data', 'room', 'distance', 'meter', 'network', 'stable', 'network', ' data ',' prime ',' customers', 'loyal', 'disappointed']</v>
      </c>
      <c r="D1527" s="3">
        <v>2.0</v>
      </c>
    </row>
    <row r="1528" ht="15.75" customHeight="1">
      <c r="A1528" s="1">
        <v>1526.0</v>
      </c>
      <c r="B1528" s="3" t="s">
        <v>1529</v>
      </c>
      <c r="C1528" s="3" t="str">
        <f>IFERROR(__xludf.DUMMYFUNCTION("GOOGLETRANSLATE(B1528,""id"",""en"")"),"['Sorry', 'Telkomsel', 'Diakk', 'promo', 'cheap', 'just', 'provide', 'quota', 'sms',' just ',' quota ',' telephone ',' Already ',' Wear ',' Application ',' Look ',' Features', 'Quota', 'SMS', 'Easy', 'Hopefully', 'Read', 'Review', ""]")</f>
        <v>['Sorry', 'Telkomsel', 'Diakk', 'promo', 'cheap', 'just', 'provide', 'quota', 'sms',' just ',' quota ',' telephone ',' Already ',' Wear ',' Application ',' Look ',' Features', 'Quota', 'SMS', 'Easy', 'Hopefully', 'Read', 'Review', "]</v>
      </c>
      <c r="D1528" s="3">
        <v>1.0</v>
      </c>
    </row>
    <row r="1529" ht="15.75" customHeight="1">
      <c r="A1529" s="1">
        <v>1527.0</v>
      </c>
      <c r="B1529" s="3" t="s">
        <v>1530</v>
      </c>
      <c r="C1529" s="3" t="str">
        <f>IFERROR(__xludf.DUMMYFUNCTION("GOOGLETRANSLATE(B1529,""id"",""en"")"),"['skrang', 'signal', 'Telkomsel', 'kyk', 'snail', 'lemoooooottt', 'already', 'price', 'quota', 'expensive', 'gave', 'best', ' add ',' please ',' fix ',' smooth ',' kyk ',' blur ',' customers', 'Telkomsel', 'kyk', 'gini', 'mah']")</f>
        <v>['skrang', 'signal', 'Telkomsel', 'kyk', 'snail', 'lemoooooottt', 'already', 'price', 'quota', 'expensive', 'gave', 'best', ' add ',' please ',' fix ',' smooth ',' kyk ',' blur ',' customers', 'Telkomsel', 'kyk', 'gini', 'mah']</v>
      </c>
      <c r="D1529" s="3">
        <v>1.0</v>
      </c>
    </row>
    <row r="1530" ht="15.75" customHeight="1">
      <c r="A1530" s="1">
        <v>1528.0</v>
      </c>
      <c r="B1530" s="3" t="s">
        <v>1531</v>
      </c>
      <c r="C1530" s="3" t="str">
        <f>IFERROR(__xludf.DUMMYFUNCTION("GOOGLETRANSLATE(B1530,""id"",""en"")"),"['', 'Telkomsel', 'ugly', 'times',' login ',' difficult ',' appearance ',' mah ',' karuan ',' how ',' gave ',' easy ',' application ',' Mlah ',' make it difficult ',' kyak ',' gini ',' cost ',' expensive ',' network ',' slow ',' users', 'Telkomsel', 'comp"&amp;"laining', 'Review', 'application', 'TPI', 'response']")</f>
        <v>['', 'Telkomsel', 'ugly', 'times',' login ',' difficult ',' appearance ',' mah ',' karuan ',' how ',' gave ',' easy ',' application ',' Mlah ',' make it difficult ',' kyak ',' gini ',' cost ',' expensive ',' network ',' slow ',' users', 'Telkomsel', 'complaining', 'Review', 'application', 'TPI', 'response']</v>
      </c>
      <c r="D1530" s="3">
        <v>1.0</v>
      </c>
    </row>
    <row r="1531" ht="15.75" customHeight="1">
      <c r="A1531" s="1">
        <v>1529.0</v>
      </c>
      <c r="B1531" s="3" t="s">
        <v>1532</v>
      </c>
      <c r="C1531" s="3" t="str">
        <f>IFERROR(__xludf.DUMMYFUNCTION("GOOGLETRANSLATE(B1531,""id"",""en"")"),"['Application', 'Telkomsel', 'Road', 'Uninstalled', 'Install', 'Bmerti', 'Where', 'Here', 'Min', 'Please', 'APAN', 'APKIKAH', ' Downloaded ',' Call ',' Call ',' Forwarding ',' Fipakai ',' Lost ',' Report ',' Dered ',' Use ',' Number ',' Provider ',' See '"&amp;",' Credit ' , 'unemployed', 'brushed', 'TEL', 'sympathy', 'blm', 'lifted', 'sucked', 'pulse', 'unemployed', 'waste', 'replace', ""]")</f>
        <v>['Application', 'Telkomsel', 'Road', 'Uninstalled', 'Install', 'Bmerti', 'Where', 'Here', 'Min', 'Please', 'APAN', 'APKIKAH', ' Downloaded ',' Call ',' Call ',' Forwarding ',' Fipakai ',' Lost ',' Report ',' Dered ',' Use ',' Number ',' Provider ',' See ',' Credit ' , 'unemployed', 'brushed', 'TEL', 'sympathy', 'blm', 'lifted', 'sucked', 'pulse', 'unemployed', 'waste', 'replace', "]</v>
      </c>
      <c r="D1531" s="3">
        <v>1.0</v>
      </c>
    </row>
    <row r="1532" ht="15.75" customHeight="1">
      <c r="A1532" s="1">
        <v>1530.0</v>
      </c>
      <c r="B1532" s="3" t="s">
        <v>1533</v>
      </c>
      <c r="C1532" s="3" t="str">
        <f>IFERROR(__xludf.DUMMYFUNCTION("GOOGLETRANSLATE(B1532,""id"",""en"")"),"['Hay', 'Telkomsel', 'Network', 'Village', 'Ber', 'Sometimes',' Internet ',' Tower ',' Blakang ',' home ',' Sometimes', 'slow', ' Forgiveness', 'Please', 'Check', 'Fix', 'Network', 'Region', '']")</f>
        <v>['Hay', 'Telkomsel', 'Network', 'Village', 'Ber', 'Sometimes',' Internet ',' Tower ',' Blakang ',' home ',' Sometimes', 'slow', ' Forgiveness', 'Please', 'Check', 'Fix', 'Network', 'Region', '']</v>
      </c>
      <c r="D1532" s="3">
        <v>1.0</v>
      </c>
    </row>
    <row r="1533" ht="15.75" customHeight="1">
      <c r="A1533" s="1">
        <v>1531.0</v>
      </c>
      <c r="B1533" s="3" t="s">
        <v>1534</v>
      </c>
      <c r="C1533" s="3" t="str">
        <f>IFERROR(__xludf.DUMMYFUNCTION("GOOGLETRANSLATE(B1533,""id"",""en"")"),"['Hadeuhhh', 'pulses',' sumps', 'rich', 'run out', 'loss',' also ',' use ',' Please ',' improved ',' condition ',' difficult ',' rich ',' gini ',' emang ',' pulse ',' purpose ',' buy ',' quota ',' finished ',' where ',' dahal ',' make ',' package ',' plea"&amp;"se ' , 'repaired', 'Telkomsel', '']")</f>
        <v>['Hadeuhhh', 'pulses',' sumps', 'rich', 'run out', 'loss',' also ',' use ',' Please ',' improved ',' condition ',' difficult ',' rich ',' gini ',' emang ',' pulse ',' purpose ',' buy ',' quota ',' finished ',' where ',' dahal ',' make ',' package ',' please ' , 'repaired', 'Telkomsel', '']</v>
      </c>
      <c r="D1533" s="3">
        <v>2.0</v>
      </c>
    </row>
    <row r="1534" ht="15.75" customHeight="1">
      <c r="A1534" s="1">
        <v>1532.0</v>
      </c>
      <c r="B1534" s="3" t="s">
        <v>1535</v>
      </c>
      <c r="C1534" s="3" t="str">
        <f>IFERROR(__xludf.DUMMYFUNCTION("GOOGLETRANSLATE(B1534,""id"",""en"")"),"['Ngerti', 'Telkomsel', 'here', 'severe', 'signal', 'emotion', 'buy', 'package', 'data', 'price', 'cheap', 'blm', ' Credit ',' Sumpot ',' Out ',' Sampe ',' Zero ',' Reasons', 'Access',' Internet ',' Non ',' Package ',' MSH ',' Package ',' Data ' , 'Bercig"&amp;"i', 'use', 'package', 'data', 'pulse', 'shocking', 'sampe', 'zero', 'so', 'forgiveness', 'deh', '']")</f>
        <v>['Ngerti', 'Telkomsel', 'here', 'severe', 'signal', 'emotion', 'buy', 'package', 'data', 'price', 'cheap', 'blm', ' Credit ',' Sumpot ',' Out ',' Sampe ',' Zero ',' Reasons', 'Access',' Internet ',' Non ',' Package ',' MSH ',' Package ',' Data ' , 'Bercigi', 'use', 'package', 'data', 'pulse', 'shocking', 'sampe', 'zero', 'so', 'forgiveness', 'deh', '']</v>
      </c>
      <c r="D1534" s="3">
        <v>1.0</v>
      </c>
    </row>
    <row r="1535" ht="15.75" customHeight="1">
      <c r="A1535" s="1">
        <v>1533.0</v>
      </c>
      <c r="B1535" s="3" t="s">
        <v>1536</v>
      </c>
      <c r="C1535" s="3" t="str">
        <f>IFERROR(__xludf.DUMMYFUNCTION("GOOGLETRANSLATE(B1535,""id"",""en"")"),"['Congratulations',' night ',' Telkomsel ',' Please ',' Search ',' Solution ',' Signal ',' Region ',' Stable ',' Night ',' Out ',' Magrib ',' Lovers', 'Games',' Mobile ',' Legends', 'Disrupted', 'Constraints',' Signal ',' Location ',' Curup ',' County ','"&amp;" Rejang ',' Lebong ',' Thank ' , 'love', '']")</f>
        <v>['Congratulations',' night ',' Telkomsel ',' Please ',' Search ',' Solution ',' Signal ',' Region ',' Stable ',' Night ',' Out ',' Magrib ',' Lovers', 'Games',' Mobile ',' Legends', 'Disrupted', 'Constraints',' Signal ',' Location ',' Curup ',' County ',' Rejang ',' Lebong ',' Thank ' , 'love', '']</v>
      </c>
      <c r="D1535" s="3">
        <v>1.0</v>
      </c>
    </row>
    <row r="1536" ht="15.75" customHeight="1">
      <c r="A1536" s="1">
        <v>1534.0</v>
      </c>
      <c r="B1536" s="3" t="s">
        <v>1537</v>
      </c>
      <c r="C1536" s="3" t="str">
        <f>IFERROR(__xludf.DUMMYFUNCTION("GOOGLETRANSLATE(B1536,""id"",""en"")"),"['Package', 'Data', 'Out', 'Open', 'Intention', 'Buy', 'Quota', 'App', 'Eehh', 'Run', 'Package', 'Data', ' Hadehh ']")</f>
        <v>['Package', 'Data', 'Out', 'Open', 'Intention', 'Buy', 'Quota', 'App', 'Eehh', 'Run', 'Package', 'Data', ' Hadehh ']</v>
      </c>
      <c r="D1536" s="3">
        <v>3.0</v>
      </c>
    </row>
    <row r="1537" ht="15.75" customHeight="1">
      <c r="A1537" s="1">
        <v>1535.0</v>
      </c>
      <c r="B1537" s="3" t="s">
        <v>1538</v>
      </c>
      <c r="C1537" s="3" t="str">
        <f>IFERROR(__xludf.DUMMYFUNCTION("GOOGLETRANSLATE(B1537,""id"",""en"")"),"['network', 'sympathy', 'chaotic', 'card', 'hello', 'net', 'stable', 'severe', 'sometimes',' fake ',' sometimes', 'network', ' low ',' skrng ',' chaotic ',' package ',' sympathy ',' number ',' different ',' cheap ',' expensive ',' strange ',' rich ',' ope"&amp;"rator ',' ']")</f>
        <v>['network', 'sympathy', 'chaotic', 'card', 'hello', 'net', 'stable', 'severe', 'sometimes',' fake ',' sometimes', 'network', ' low ',' skrng ',' chaotic ',' package ',' sympathy ',' number ',' different ',' cheap ',' expensive ',' strange ',' rich ',' operator ',' ']</v>
      </c>
      <c r="D1537" s="3">
        <v>1.0</v>
      </c>
    </row>
    <row r="1538" ht="15.75" customHeight="1">
      <c r="A1538" s="1">
        <v>1536.0</v>
      </c>
      <c r="B1538" s="3" t="s">
        <v>1539</v>
      </c>
      <c r="C1538" s="3" t="str">
        <f>IFERROR(__xludf.DUMMYFUNCTION("GOOGLETRANSLATE(B1538,""id"",""en"")"),"['please', 'Telkomsel', 'company', 'Gede', 'writing', 'name', 'package', 'quota', 'veranda', 'purchase', 'wrong', 'unfortunate', ' really ',' rich ',' gini ',' how ',' people ',' hurry ',' quota ',' wrong ',' no ',' write ',' complete ',' title ' , 'It's "&amp;"this', 'Disappointed', 'Engineering', 'Marketing', 'Naughty', 'Gabanget', ""]")</f>
        <v>['please', 'Telkomsel', 'company', 'Gede', 'writing', 'name', 'package', 'quota', 'veranda', 'purchase', 'wrong', 'unfortunate', ' really ',' rich ',' gini ',' how ',' people ',' hurry ',' quota ',' wrong ',' no ',' write ',' complete ',' title ' , 'It's this', 'Disappointed', 'Engineering', 'Marketing', 'Naughty', 'Gabanget', "]</v>
      </c>
      <c r="D1538" s="3">
        <v>1.0</v>
      </c>
    </row>
    <row r="1539" ht="15.75" customHeight="1">
      <c r="A1539" s="1">
        <v>1537.0</v>
      </c>
      <c r="B1539" s="3" t="s">
        <v>1540</v>
      </c>
      <c r="C1539" s="3" t="str">
        <f>IFERROR(__xludf.DUMMYFUNCTION("GOOGLETRANSLATE(B1539,""id"",""en"")"),"['user', 'Telkomsel', 'Vocational "",' package ',' data ',' divided ',' circles ',' region ',' signal ',' Telkomsel ',' Beft ',' quota ',' Internet ',' relative ',' expensive ',' signalnys', 'missing', 'speed', 'down']")</f>
        <v>['user', 'Telkomsel', 'Vocational ",' package ',' data ',' divided ',' circles ',' region ',' signal ',' Telkomsel ',' Beft ',' quota ',' Internet ',' relative ',' expensive ',' signalnys', 'missing', 'speed', 'down']</v>
      </c>
      <c r="D1539" s="3">
        <v>3.0</v>
      </c>
    </row>
    <row r="1540" ht="15.75" customHeight="1">
      <c r="A1540" s="1">
        <v>1538.0</v>
      </c>
      <c r="B1540" s="3" t="s">
        <v>1541</v>
      </c>
      <c r="C1540" s="3" t="str">
        <f>IFERROR(__xludf.DUMMYFUNCTION("GOOGLETRANSLATE(B1540,""id"",""en"")"),"['Telkomsel', 'slow', 'counted', 'connection', 'bad', 'slow', 'please', 'response', 'check', 'thankful', 'region', 'village', ' Source ',' Rejo ',' Kec ',' Waway ',' Karya ',' Lampung ',' East ',' Lampung ', ""]")</f>
        <v>['Telkomsel', 'slow', 'counted', 'connection', 'bad', 'slow', 'please', 'response', 'check', 'thankful', 'region', 'village', ' Source ',' Rejo ',' Kec ',' Waway ',' Karya ',' Lampung ',' East ',' Lampung ', "]</v>
      </c>
      <c r="D1540" s="3">
        <v>5.0</v>
      </c>
    </row>
    <row r="1541" ht="15.75" customHeight="1">
      <c r="A1541" s="1">
        <v>1539.0</v>
      </c>
      <c r="B1541" s="3" t="s">
        <v>1542</v>
      </c>
      <c r="C1541" s="3" t="str">
        <f>IFERROR(__xludf.DUMMYFUNCTION("GOOGLETRANSLATE(B1541,""id"",""en"")"),"['', 'Tsel', 'Ntah', 'KNP', 'Emotion', 'Notification', 'Bersawar', 'Transfer', 'Credit', 'blah', 'blah', 'NGK', 'Notif ',' a day ',' appears', 'sometimes',' sometimes', 'emotion', 'please', 'explanation', 'woi']")</f>
        <v>['', 'Tsel', 'Ntah', 'KNP', 'Emotion', 'Notification', 'Bersawar', 'Transfer', 'Credit', 'blah', 'blah', 'NGK', 'Notif ',' a day ',' appears', 'sometimes',' sometimes', 'emotion', 'please', 'explanation', 'woi']</v>
      </c>
      <c r="D1541" s="3">
        <v>1.0</v>
      </c>
    </row>
    <row r="1542" ht="15.75" customHeight="1">
      <c r="A1542" s="1">
        <v>1540.0</v>
      </c>
      <c r="B1542" s="3" t="s">
        <v>1543</v>
      </c>
      <c r="C1542" s="3" t="str">
        <f>IFERROR(__xludf.DUMMYFUNCTION("GOOGLETRANSLATE(B1542,""id"",""en"")"),"['Paspasan', 'Disappointed', 'Very', 'Update', 'Telkomsel', 'Sat', 'Login', 'Phon', 'appears',' SMS ',' Congratulations', 'Package', ' pulses', 'active', 'recommendations',' stop ',' subscribe ',' telkomsel ',' bala ',' bala ',' gehu ',' really ',' oath '"&amp;"]")</f>
        <v>['Paspasan', 'Disappointed', 'Very', 'Update', 'Telkomsel', 'Sat', 'Login', 'Phon', 'appears',' SMS ',' Congratulations', 'Package', ' pulses', 'active', 'recommendations',' stop ',' subscribe ',' telkomsel ',' bala ',' bala ',' gehu ',' really ',' oath ']</v>
      </c>
      <c r="D1542" s="3">
        <v>1.0</v>
      </c>
    </row>
    <row r="1543" ht="15.75" customHeight="1">
      <c r="A1543" s="1">
        <v>1541.0</v>
      </c>
      <c r="B1543" s="3" t="s">
        <v>1544</v>
      </c>
      <c r="C1543" s="3" t="str">
        <f>IFERROR(__xludf.DUMMYFUNCTION("GOOGLETRANSLATE(B1543,""id"",""en"")"),"['Please', 'response', 'complaints',' Dri ',' Customer ',' Network ',' Ngeleg ',' Purpose ',' according to ',' Price ',' Quality ',' Telkomsel ',' Please, 'Respond', 'Seriously', 'CMA', 'Price', 'Expensive', 'TPI', 'Network', 'Bad', 'Please', 'Respond']")</f>
        <v>['Please', 'response', 'complaints',' Dri ',' Customer ',' Network ',' Ngeleg ',' Purpose ',' according to ',' Price ',' Quality ',' Telkomsel ',' Please, 'Respond', 'Seriously', 'CMA', 'Price', 'Expensive', 'TPI', 'Network', 'Bad', 'Please', 'Respond']</v>
      </c>
      <c r="D1543" s="3">
        <v>1.0</v>
      </c>
    </row>
    <row r="1544" ht="15.75" customHeight="1">
      <c r="A1544" s="1">
        <v>1542.0</v>
      </c>
      <c r="B1544" s="3" t="s">
        <v>1545</v>
      </c>
      <c r="C1544" s="3" t="str">
        <f>IFERROR(__xludf.DUMMYFUNCTION("GOOGLETRANSLATE(B1544,""id"",""en"")"),"['Network', 'slow', 'overcome', 'process',' list ',' quota ',' quota ',' expensive ',' network ',' slow ',' quota ',' fast ',' Abis', 'quota', 'expensive', 'price', 'package', 'basically', 'bad', 'Telkomsel', 'disappointing', 'thank', 'love', ""]")</f>
        <v>['Network', 'slow', 'overcome', 'process',' list ',' quota ',' quota ',' expensive ',' network ',' slow ',' quota ',' fast ',' Abis', 'quota', 'expensive', 'price', 'package', 'basically', 'bad', 'Telkomsel', 'disappointing', 'thank', 'love', "]</v>
      </c>
      <c r="D1544" s="3">
        <v>1.0</v>
      </c>
    </row>
    <row r="1545" ht="15.75" customHeight="1">
      <c r="A1545" s="1">
        <v>1543.0</v>
      </c>
      <c r="B1545" s="3" t="s">
        <v>1546</v>
      </c>
      <c r="C1545" s="3" t="str">
        <f>IFERROR(__xludf.DUMMYFUNCTION("GOOGLETRANSLATE(B1545,""id"",""en"")"),"['Fill', 'turn', 'Pay', 'The writing', 'System', 'Error', 'Wait', 'Minute', 'The Writing', 'Contact', 'Customer', 'Service', ' Telkom ',' intention ',' business', ""]")</f>
        <v>['Fill', 'turn', 'Pay', 'The writing', 'System', 'Error', 'Wait', 'Minute', 'The Writing', 'Contact', 'Customer', 'Service', ' Telkom ',' intention ',' business', "]</v>
      </c>
      <c r="D1545" s="3">
        <v>1.0</v>
      </c>
    </row>
    <row r="1546" ht="15.75" customHeight="1">
      <c r="A1546" s="1">
        <v>1544.0</v>
      </c>
      <c r="B1546" s="3" t="s">
        <v>1547</v>
      </c>
      <c r="C1546" s="3" t="str">
        <f>IFERROR(__xludf.DUMMYFUNCTION("GOOGLETRANSLATE(B1546,""id"",""en"")"),"['Like', 'Wear', 'Application', 'Comfortable', 'Bug', 'Where', 'Buy', 'Package', 'Internet', 'Open', 'Application', 'Please', ' Repaired ']")</f>
        <v>['Like', 'Wear', 'Application', 'Comfortable', 'Bug', 'Where', 'Buy', 'Package', 'Internet', 'Open', 'Application', 'Please', ' Repaired ']</v>
      </c>
      <c r="D1546" s="3">
        <v>3.0</v>
      </c>
    </row>
    <row r="1547" ht="15.75" customHeight="1">
      <c r="A1547" s="1">
        <v>1545.0</v>
      </c>
      <c r="B1547" s="3" t="s">
        <v>1548</v>
      </c>
      <c r="C1547" s="3" t="str">
        <f>IFERROR(__xludf.DUMMYFUNCTION("GOOGLETRANSLATE(B1547,""id"",""en"")"),"['Method', 'Payment', 'Available', 'Use', 'Credit', 'Banyar', 'Use', 'Shopee', 'Available', 'Contact', 'Help', 'Telkomsel', ' Solution ',' Complete ']")</f>
        <v>['Method', 'Payment', 'Available', 'Use', 'Credit', 'Banyar', 'Use', 'Shopee', 'Available', 'Contact', 'Help', 'Telkomsel', ' Solution ',' Complete ']</v>
      </c>
      <c r="D1547" s="3">
        <v>1.0</v>
      </c>
    </row>
    <row r="1548" ht="15.75" customHeight="1">
      <c r="A1548" s="1">
        <v>1546.0</v>
      </c>
      <c r="B1548" s="3" t="s">
        <v>1549</v>
      </c>
      <c r="C1548" s="3" t="str">
        <f>IFERROR(__xludf.DUMMYFUNCTION("GOOGLETRANSLATE(B1548,""id"",""en"")"),"['Price', 'Package', 'Internet', 'Telkomsel', 'Nasea', 'Comparable', 'Quality', 'Network', 'Affordable', 'Quality', 'The Network', 'Area', ' Suburban ',' Tetep ',' Strong ', ""]")</f>
        <v>['Price', 'Package', 'Internet', 'Telkomsel', 'Nasea', 'Comparable', 'Quality', 'Network', 'Affordable', 'Quality', 'The Network', 'Area', ' Suburban ',' Tetep ',' Strong ', "]</v>
      </c>
      <c r="D1548" s="3">
        <v>1.0</v>
      </c>
    </row>
    <row r="1549" ht="15.75" customHeight="1">
      <c r="A1549" s="1">
        <v>1547.0</v>
      </c>
      <c r="B1549" s="3" t="s">
        <v>1550</v>
      </c>
      <c r="C1549" s="3" t="str">
        <f>IFERROR(__xludf.DUMMYFUNCTION("GOOGLETRANSLATE(B1549,""id"",""en"")"),"['', 'Slow', 'response', 'Solution', 'Improved', 'System', 'Check', 'Purchase', 'Package', 'Sampe', 'Process',' Visit ',' Success ',' Credit ',' Reduced ',' Check ',' Costs', 'Use', 'Trakir', 'Written', 'Costs',' Data ',' KB ',' Data ',' Cellular ', 'card"&amp;"']")</f>
        <v>['', 'Slow', 'response', 'Solution', 'Improved', 'System', 'Check', 'Purchase', 'Package', 'Sampe', 'Process',' Visit ',' Success ',' Credit ',' Reduced ',' Check ',' Costs', 'Use', 'Trakir', 'Written', 'Costs',' Data ',' KB ',' Data ',' Cellular ', 'card']</v>
      </c>
      <c r="D1549" s="3">
        <v>1.0</v>
      </c>
    </row>
    <row r="1550" ht="15.75" customHeight="1">
      <c r="A1550" s="1">
        <v>1548.0</v>
      </c>
      <c r="B1550" s="3" t="s">
        <v>1551</v>
      </c>
      <c r="C1550" s="3" t="str">
        <f>IFERROR(__xludf.DUMMYFUNCTION("GOOGLETRANSLATE(B1550,""id"",""en"")"),"['Blry "",' Telkomsel ',' pnuh ',' patience ',' network ',' line ',' obstacle ',' rain ',' or ',' What's ',' Weather ',' bright ',' Signal ',' Lag ',' Severe ',' Play ',' Game ',' Disturbed ',' Please ',' Gymnaa ']")</f>
        <v>['Blry ",' Telkomsel ',' pnuh ',' patience ',' network ',' line ',' obstacle ',' rain ',' or ',' What's ',' Weather ',' bright ',' Signal ',' Lag ',' Severe ',' Play ',' Game ',' Disturbed ',' Please ',' Gymnaa ']</v>
      </c>
      <c r="D1550" s="3">
        <v>1.0</v>
      </c>
    </row>
    <row r="1551" ht="15.75" customHeight="1">
      <c r="A1551" s="1">
        <v>1549.0</v>
      </c>
      <c r="B1551" s="3" t="s">
        <v>1552</v>
      </c>
      <c r="C1551" s="3" t="str">
        <f>IFERROR(__xludf.DUMMYFUNCTION("GOOGLETRANSLATE(B1551,""id"",""en"")"),"['Severe', 'Telkomsel', 'tortured', 'cooking', 'tortured', 'citizens',' countrymaned ',' Sematanah ',' water ',' Negri ',' understand ',' citizens', ' Telkomsel ',' AMULL ',' TIME ',' KOMEN ',' Disappointed ',' Warm ',' Disappointed ', ""]")</f>
        <v>['Severe', 'Telkomsel', 'tortured', 'cooking', 'tortured', 'citizens',' countrymaned ',' Sematanah ',' water ',' Negri ',' understand ',' citizens', ' Telkomsel ',' AMULL ',' TIME ',' KOMEN ',' Disappointed ',' Warm ',' Disappointed ', "]</v>
      </c>
      <c r="D1551" s="3">
        <v>3.0</v>
      </c>
    </row>
    <row r="1552" ht="15.75" customHeight="1">
      <c r="A1552" s="1">
        <v>1550.0</v>
      </c>
      <c r="B1552" s="3" t="s">
        <v>1553</v>
      </c>
      <c r="C1552" s="3" t="str">
        <f>IFERROR(__xludf.DUMMYFUNCTION("GOOGLETRANSLATE(B1552,""id"",""en"")"),"['', 'Android', 'competitible', 'application', 'Android', 'Jellybean', 'use', 'Android', 'Android', '']")</f>
        <v>['', 'Android', 'competitible', 'application', 'Android', 'Jellybean', 'use', 'Android', 'Android', '']</v>
      </c>
      <c r="D1552" s="3">
        <v>2.0</v>
      </c>
    </row>
    <row r="1553" ht="15.75" customHeight="1">
      <c r="A1553" s="1">
        <v>1551.0</v>
      </c>
      <c r="B1553" s="3" t="s">
        <v>1554</v>
      </c>
      <c r="C1553" s="3" t="str">
        <f>IFERROR(__xludf.DUMMYFUNCTION("GOOGLETRANSLATE(B1553,""id"",""en"")"),"['network', 'Telkomsel', 'skrng', 'bad', 'really', 'ugly', 'good', 'in the city', 'middle', 'ngelag', 'lag', 'network', ' quota ',' expensive ',' TPI ',' quality ',' bad ',' ugly ',' tlong ',' repaired ',' until ',' bnyak ',' customers', 'Telkomsel', 'dis"&amp;"appointed' , 'very']")</f>
        <v>['network', 'Telkomsel', 'skrng', 'bad', 'really', 'ugly', 'good', 'in the city', 'middle', 'ngelag', 'lag', 'network', ' quota ',' expensive ',' TPI ',' quality ',' bad ',' ugly ',' tlong ',' repaired ',' until ',' bnyak ',' customers', 'Telkomsel', 'disappointed' , 'very']</v>
      </c>
      <c r="D1553" s="3">
        <v>1.0</v>
      </c>
    </row>
    <row r="1554" ht="15.75" customHeight="1">
      <c r="A1554" s="1">
        <v>1552.0</v>
      </c>
      <c r="B1554" s="3" t="s">
        <v>1555</v>
      </c>
      <c r="C1554" s="3" t="str">
        <f>IFERROR(__xludf.DUMMYFUNCTION("GOOGLETRANSLATE(B1554,""id"",""en"")"),"['satisfying', 'Exchange', 'Points',' Times', 'Total', 'thousand', 'Safih', 'get', 'gift', 'poor', 'his draw', 'exciting', ' June ',' Nukar ',' coupon ',' total ',' July ',' exchange ',' a month ',' total ',' coupon ',' get ',' Capeq ',' broke ',' Asa ' ,"&amp;" '']")</f>
        <v>['satisfying', 'Exchange', 'Points',' Times', 'Total', 'thousand', 'Safih', 'get', 'gift', 'poor', 'his draw', 'exciting', ' June ',' Nukar ',' coupon ',' total ',' July ',' exchange ',' a month ',' total ',' coupon ',' get ',' Capeq ',' broke ',' Asa ' , '']</v>
      </c>
      <c r="D1554" s="3">
        <v>5.0</v>
      </c>
    </row>
    <row r="1555" ht="15.75" customHeight="1">
      <c r="A1555" s="1">
        <v>1553.0</v>
      </c>
      <c r="B1555" s="3" t="s">
        <v>1556</v>
      </c>
      <c r="C1555" s="3" t="str">
        <f>IFERROR(__xludf.DUMMYFUNCTION("GOOGLETRANSLATE(B1555,""id"",""en"")"),"['Telkomsel', 'Maytelkomsel', 'update', 'must', 'enter', 'game', 'disappointed', 'change', 'populat', 'person', 'old', 'child', ' Must ',' play ',' game ',' update ',' tiger ',' honesty ',' decision ',' take ',' Maytelkomsel ',' educate ',' see ',' Tiggal"&amp;" ',' acquired ' , 'data', 'quota', 'sulut', 'entry', 'personal', 'sangaaat', 'disappointed', '']")</f>
        <v>['Telkomsel', 'Maytelkomsel', 'update', 'must', 'enter', 'game', 'disappointed', 'change', 'populat', 'person', 'old', 'child', ' Must ',' play ',' game ',' update ',' tiger ',' honesty ',' decision ',' take ',' Maytelkomsel ',' educate ',' see ',' Tiggal ',' acquired ' , 'data', 'quota', 'sulut', 'entry', 'personal', 'sangaaat', 'disappointed', '']</v>
      </c>
      <c r="D1555" s="3">
        <v>1.0</v>
      </c>
    </row>
    <row r="1556" ht="15.75" customHeight="1">
      <c r="A1556" s="1">
        <v>1554.0</v>
      </c>
      <c r="B1556" s="3" t="s">
        <v>1557</v>
      </c>
      <c r="C1556" s="3" t="str">
        <f>IFERROR(__xludf.DUMMYFUNCTION("GOOGLETRANSLATE(B1556,""id"",""en"")"),"['filter', 'pulse', 'sumps',' direct ',' quota ',' run out ',' thinking ',' axis', 'ditched', 'pulse', 'directly', 'ilang', ' Open ',' Application ',' MyTelomsel ',' Free ',' Bener ',' Urgent ',' Credit ',' whole ',' Angel ',' Angel ',' What ',' Proud ','"&amp;" Application ' , 'Child', 'Bamgsa', ""]")</f>
        <v>['filter', 'pulse', 'sumps',' direct ',' quota ',' run out ',' thinking ',' axis', 'ditched', 'pulse', 'directly', 'ilang', ' Open ',' Application ',' MyTelomsel ',' Free ',' Bener ',' Urgent ',' Credit ',' whole ',' Angel ',' Angel ',' What ',' Proud ',' Application ' , 'Child', 'Bamgsa', "]</v>
      </c>
      <c r="D1556" s="3">
        <v>3.0</v>
      </c>
    </row>
    <row r="1557" ht="15.75" customHeight="1">
      <c r="A1557" s="1">
        <v>1555.0</v>
      </c>
      <c r="B1557" s="3" t="s">
        <v>1558</v>
      </c>
      <c r="C1557" s="3" t="str">
        <f>IFERROR(__xludf.DUMMYFUNCTION("GOOGLETRANSLATE(B1557,""id"",""en"")"),"['Telkomsel', 'cool', 'steady', 'networknnn', 'good', 'remote', 'remote', 'area', 'lagging', 'outerbout', 'affordable', 'island', ' Island ',' users', 'Telkomsel', 'cards',' feel ',' benefit ',' enjoyed it ',' communication ',' smooth ',' additional ',' i"&amp;"nfomasi ',' stay ',' area ' , 'Island', 'precise', 'Flores',' East ',' District ',' Larantuka ',' Thank God ',' MINNOW ',' Network ',' Current ',' communication ',' Telfon ',' SMA ',' Current ',' Telkomsel ',' Jaya ',' Success']")</f>
        <v>['Telkomsel', 'cool', 'steady', 'networknnn', 'good', 'remote', 'remote', 'area', 'lagging', 'outerbout', 'affordable', 'island', ' Island ',' users', 'Telkomsel', 'cards',' feel ',' benefit ',' enjoyed it ',' communication ',' smooth ',' additional ',' infomasi ',' stay ',' area ' , 'Island', 'precise', 'Flores',' East ',' District ',' Larantuka ',' Thank God ',' MINNOW ',' Network ',' Current ',' communication ',' Telfon ',' SMA ',' Current ',' Telkomsel ',' Jaya ',' Success']</v>
      </c>
      <c r="D1557" s="3">
        <v>5.0</v>
      </c>
    </row>
    <row r="1558" ht="15.75" customHeight="1">
      <c r="A1558" s="1">
        <v>1556.0</v>
      </c>
      <c r="B1558" s="3" t="s">
        <v>1559</v>
      </c>
      <c r="C1558" s="3" t="str">
        <f>IFERROR(__xludf.DUMMYFUNCTION("GOOGLETRANSLATE(B1558,""id"",""en"")"),"['Disappointed', 'Telkomsel', 'Package', 'Data', 'Buy', 'Package', 'Data', 'for', 'Package', 'Data', 'GB', 'Game', ' package ',' main ',' run out ',' stay ',' package ',' game ',' play ',' game ',' please ',' clarify it ',' ']")</f>
        <v>['Disappointed', 'Telkomsel', 'Package', 'Data', 'Buy', 'Package', 'Data', 'for', 'Package', 'Data', 'GB', 'Game', ' package ',' main ',' run out ',' stay ',' package ',' game ',' play ',' game ',' please ',' clarify it ',' ']</v>
      </c>
      <c r="D1558" s="3">
        <v>5.0</v>
      </c>
    </row>
    <row r="1559" ht="15.75" customHeight="1">
      <c r="A1559" s="1">
        <v>1557.0</v>
      </c>
      <c r="B1559" s="3" t="s">
        <v>1560</v>
      </c>
      <c r="C1559" s="3" t="str">
        <f>IFERROR(__xludf.DUMMYFUNCTION("GOOGLETRANSLATE(B1559,""id"",""en"")"),"['star', 'signs',' customers', 'Telkomsel', 'Disappointed', 'Nulis',' Review ',' Writing ',' Direct ',' Change ',' Card ',' Material ',' Evaluation ',' Telkomsel ',' ']")</f>
        <v>['star', 'signs',' customers', 'Telkomsel', 'Disappointed', 'Nulis',' Review ',' Writing ',' Direct ',' Change ',' Card ',' Material ',' Evaluation ',' Telkomsel ',' ']</v>
      </c>
      <c r="D1559" s="3">
        <v>1.0</v>
      </c>
    </row>
    <row r="1560" ht="15.75" customHeight="1">
      <c r="A1560" s="1">
        <v>1558.0</v>
      </c>
      <c r="B1560" s="3" t="s">
        <v>1561</v>
      </c>
      <c r="C1560" s="3" t="str">
        <f>IFERROR(__xludf.DUMMYFUNCTION("GOOGLETRANSLATE(B1560,""id"",""en"")"),"['skrg', 'Telkomsel', 'package', 'random', 'buy', 'package', 'dependent', 'purchase', 'package', 'call', 'unlimited', 'restrictions',' ']")</f>
        <v>['skrg', 'Telkomsel', 'package', 'random', 'buy', 'package', 'dependent', 'purchase', 'package', 'call', 'unlimited', 'restrictions',' ']</v>
      </c>
      <c r="D1560" s="3">
        <v>1.0</v>
      </c>
    </row>
    <row r="1561" ht="15.75" customHeight="1">
      <c r="A1561" s="1">
        <v>1559.0</v>
      </c>
      <c r="B1561" s="3" t="s">
        <v>1562</v>
      </c>
      <c r="C1561" s="3" t="str">
        <f>IFERROR(__xludf.DUMMYFUNCTION("GOOGLETRANSLATE(B1561,""id"",""en"")"),"['Data', 'On', 'Credit', 'Reduced', 'Telkomsel', 'Application', 'Good', 'Telkomsel', 'Take', 'Credit']")</f>
        <v>['Data', 'On', 'Credit', 'Reduced', 'Telkomsel', 'Application', 'Good', 'Telkomsel', 'Take', 'Credit']</v>
      </c>
      <c r="D1561" s="3">
        <v>1.0</v>
      </c>
    </row>
    <row r="1562" ht="15.75" customHeight="1">
      <c r="A1562" s="1">
        <v>1560.0</v>
      </c>
      <c r="B1562" s="3" t="s">
        <v>1563</v>
      </c>
      <c r="C1562" s="3" t="str">
        <f>IFERROR(__xludf.DUMMYFUNCTION("GOOGLETRANSLATE(B1562,""id"",""en"")"),"['user', 'skrg', 'network', 'slow', 'buy', 'package', 'expensive', 'ajah', 'bundling', 'package', 'sms',' era ',' Package ',' SMS ',' Bundling ',' YouTube ',' Kekepe ',' Quota ',' Main ',' Karna ',' Quota ',' Main ',' Out ',' Package ',' Package ' , 'Out'"&amp;", 'Piye', 'Telkomsel']")</f>
        <v>['user', 'skrg', 'network', 'slow', 'buy', 'package', 'expensive', 'ajah', 'bundling', 'package', 'sms',' era ',' Package ',' SMS ',' Bundling ',' YouTube ',' Kekepe ',' Quota ',' Main ',' Karna ',' Quota ',' Main ',' Out ',' Package ',' Package ' , 'Out', 'Piye', 'Telkomsel']</v>
      </c>
      <c r="D1562" s="3">
        <v>1.0</v>
      </c>
    </row>
    <row r="1563" ht="15.75" customHeight="1">
      <c r="A1563" s="1">
        <v>1561.0</v>
      </c>
      <c r="B1563" s="3" t="s">
        <v>1564</v>
      </c>
      <c r="C1563" s="3" t="str">
        <f>IFERROR(__xludf.DUMMYFUNCTION("GOOGLETRANSLATE(B1563,""id"",""en"")"),"['slow', 'pulseku', 'sumps',' contents', 'pulse', 'do', 'no', 'convenience', 'customer', 'stop', 'service', 'stealth', ' Sucking ',' contents', 'pulse', ""]")</f>
        <v>['slow', 'pulseku', 'sumps',' contents', 'pulse', 'do', 'no', 'convenience', 'customer', 'stop', 'service', 'stealth', ' Sucking ',' contents', 'pulse', "]</v>
      </c>
      <c r="D1563" s="3">
        <v>1.0</v>
      </c>
    </row>
    <row r="1564" ht="15.75" customHeight="1">
      <c r="A1564" s="1">
        <v>1562.0</v>
      </c>
      <c r="B1564" s="3" t="s">
        <v>1565</v>
      </c>
      <c r="C1564" s="3" t="str">
        <f>IFERROR(__xludf.DUMMYFUNCTION("GOOGLETRANSLATE(B1564,""id"",""en"")"),"['What', 'update', 'good', 'fix', 'plession', 'one hundred', 'times', 'try']")</f>
        <v>['What', 'update', 'good', 'fix', 'plession', 'one hundred', 'times', 'try']</v>
      </c>
      <c r="D1564" s="3">
        <v>1.0</v>
      </c>
    </row>
    <row r="1565" ht="15.75" customHeight="1">
      <c r="A1565" s="1">
        <v>1563.0</v>
      </c>
      <c r="B1565" s="3" t="s">
        <v>1566</v>
      </c>
      <c r="C1565" s="3" t="str">
        <f>IFERROR(__xludf.DUMMYFUNCTION("GOOGLETRANSLATE(B1565,""id"",""en"")"),"['buy', 'quota', 'the application', 'disruption', 'mulu', 'how', 'told', 'check', 'connection', 'internet', 'signal', 'good', ' As soon as possible ',' Bictom ',' Difficult ',' Customer ',' Try ',' Time ',' Decide ',' Meng ',' Update ',' Latest ',' Applic"&amp;"ation ',' Decision ',' Sorry ' , 'The application', 'Really', 'Helpful', 'People', 'Accept', 'Love', 'Application', 'Really', 'Help', 'Spirit', 'Level', ""]")</f>
        <v>['buy', 'quota', 'the application', 'disruption', 'mulu', 'how', 'told', 'check', 'connection', 'internet', 'signal', 'good', ' As soon as possible ',' Bictom ',' Difficult ',' Customer ',' Try ',' Time ',' Decide ',' Meng ',' Update ',' Latest ',' Application ',' Decision ',' Sorry ' , 'The application', 'Really', 'Helpful', 'People', 'Accept', 'Love', 'Application', 'Really', 'Help', 'Spirit', 'Level', "]</v>
      </c>
      <c r="D1565" s="3">
        <v>5.0</v>
      </c>
    </row>
    <row r="1566" ht="15.75" customHeight="1">
      <c r="A1566" s="1">
        <v>1564.0</v>
      </c>
      <c r="B1566" s="3" t="s">
        <v>1567</v>
      </c>
      <c r="C1566" s="3" t="str">
        <f>IFERROR(__xludf.DUMMYFUNCTION("GOOGLETRANSLATE(B1566,""id"",""en"")"),"['buy', 'package', 'combo', 'GB', 'details',' GB ',' quota ',' main ',' GB ',' unlimited ',' quota ',' main ',' run out ',' moved ',' quota ',' unlimited ',' quota ',' really ',' slow ',' use it ',' goiter ',' suggestion ',' what ',' quota ',' unlimited '"&amp;" , 'half', 'input', 'quota', 'main', 'Embed', 'quota', 'unlimited', 'slow', 'end', 'used', 'expensive', 'used', ' thank you']")</f>
        <v>['buy', 'package', 'combo', 'GB', 'details',' GB ',' quota ',' main ',' GB ',' unlimited ',' quota ',' main ',' run out ',' moved ',' quota ',' unlimited ',' quota ',' really ',' slow ',' use it ',' goiter ',' suggestion ',' what ',' quota ',' unlimited ' , 'half', 'input', 'quota', 'main', 'Embed', 'quota', 'unlimited', 'slow', 'end', 'used', 'expensive', 'used', ' thank you']</v>
      </c>
      <c r="D1566" s="3">
        <v>3.0</v>
      </c>
    </row>
    <row r="1567" ht="15.75" customHeight="1">
      <c r="A1567" s="1">
        <v>1565.0</v>
      </c>
      <c r="B1567" s="3" t="s">
        <v>1568</v>
      </c>
      <c r="C1567" s="3" t="str">
        <f>IFERROR(__xludf.DUMMYFUNCTION("GOOGLETRANSLATE(B1567,""id"",""en"")"),"['Please', 'Difficult', 'Login', 'Telkomsel', 'Must', 'Send', 'Link', 'SMS', 'Ribet', 'Bete', 'Difficult', 'Abanget', ' Lola ',' Gini ',' fast ',' open ',' directly ',' login ',' slow ',' really ',' send ',' link ',' sms', 'link', 'sometimes' , 'Sent', 'S"&amp;"ometimes', 'Sent', 'Difficult', 'Unk', 'Login', 'Failed', 'Error', 'Please', 'Grade', 'Speed', ""]")</f>
        <v>['Please', 'Difficult', 'Login', 'Telkomsel', 'Must', 'Send', 'Link', 'SMS', 'Ribet', 'Bete', 'Difficult', 'Abanget', ' Lola ',' Gini ',' fast ',' open ',' directly ',' login ',' slow ',' really ',' send ',' link ',' sms', 'link', 'sometimes' , 'Sent', 'Sometimes', 'Sent', 'Difficult', 'Unk', 'Login', 'Failed', 'Error', 'Please', 'Grade', 'Speed', "]</v>
      </c>
      <c r="D1567" s="3">
        <v>2.0</v>
      </c>
    </row>
    <row r="1568" ht="15.75" customHeight="1">
      <c r="A1568" s="1">
        <v>1566.0</v>
      </c>
      <c r="B1568" s="3" t="s">
        <v>1569</v>
      </c>
      <c r="C1568" s="3" t="str">
        <f>IFERROR(__xludf.DUMMYFUNCTION("GOOGLETRANSLATE(B1568,""id"",""en"")"),"['buy', 'package', 'Combo', 'Sakti', 'apply', 'buy', 'date', 'July', 'active', 'date', 'August', 'non', ' Active ',' Date ',' August ',' please ', ""]")</f>
        <v>['buy', 'package', 'Combo', 'Sakti', 'apply', 'buy', 'date', 'July', 'active', 'date', 'August', 'non', ' Active ',' Date ',' August ',' please ', "]</v>
      </c>
      <c r="D1568" s="3">
        <v>1.0</v>
      </c>
    </row>
    <row r="1569" ht="15.75" customHeight="1">
      <c r="A1569" s="1">
        <v>1567.0</v>
      </c>
      <c r="B1569" s="3" t="s">
        <v>1570</v>
      </c>
      <c r="C1569" s="3" t="str">
        <f>IFERROR(__xludf.DUMMYFUNCTION("GOOGLETRANSLATE(B1569,""id"",""en"")"),"['Credit', 'Cut', 'Package', 'Internet', 'Signal', 'Bapuk', 'Tengah', 'Night', 'Suggestion', 'Love', 'Lock', ' pulse', '']")</f>
        <v>['Credit', 'Cut', 'Package', 'Internet', 'Signal', 'Bapuk', 'Tengah', 'Night', 'Suggestion', 'Love', 'Lock', ' pulse', '']</v>
      </c>
      <c r="D1569" s="3">
        <v>2.0</v>
      </c>
    </row>
    <row r="1570" ht="15.75" customHeight="1">
      <c r="A1570" s="1">
        <v>1568.0</v>
      </c>
      <c r="B1570" s="3" t="s">
        <v>1571</v>
      </c>
      <c r="C1570" s="3" t="str">
        <f>IFERROR(__xludf.DUMMYFUNCTION("GOOGLETRANSLATE(B1570,""id"",""en"")"),"['version', 'Alhamdulillah', 'smooth', 'opened', 'additional', 'Add', 'feature', 'pulse', 'take', 'quota', 'run out', 'notification', ' SMS ',' Often ',' quota ',' run out ',' first ',' credit ',' missing ',' kec ',' internet ',' pulse ',' hundreds', 'tho"&amp;"usand', 'lost' , 'Instant', '']")</f>
        <v>['version', 'Alhamdulillah', 'smooth', 'opened', 'additional', 'Add', 'feature', 'pulse', 'take', 'quota', 'run out', 'notification', ' SMS ',' Often ',' quota ',' run out ',' first ',' credit ',' missing ',' kec ',' internet ',' pulse ',' hundreds', 'thousand', 'lost' , 'Instant', '']</v>
      </c>
      <c r="D1570" s="3">
        <v>3.0</v>
      </c>
    </row>
    <row r="1571" ht="15.75" customHeight="1">
      <c r="A1571" s="1">
        <v>1569.0</v>
      </c>
      <c r="B1571" s="3" t="s">
        <v>1572</v>
      </c>
      <c r="C1571" s="3" t="str">
        <f>IFERROR(__xludf.DUMMYFUNCTION("GOOGLETRANSLATE(B1571,""id"",""en"")"),"['Pajet', 'cave', 'Different', 'Dewness',' Ama ',' card ',' card ',' Gaoantes', 'get', 'star', 'package', 'expensive', ' network ',' threat ',' kapokkkk ']")</f>
        <v>['Pajet', 'cave', 'Different', 'Dewness',' Ama ',' card ',' card ',' Gaoantes', 'get', 'star', 'package', 'expensive', ' network ',' threat ',' kapokkkk ']</v>
      </c>
      <c r="D1571" s="3">
        <v>1.0</v>
      </c>
    </row>
    <row r="1572" ht="15.75" customHeight="1">
      <c r="A1572" s="1">
        <v>1570.0</v>
      </c>
      <c r="B1572" s="3" t="s">
        <v>1573</v>
      </c>
      <c r="C1572" s="3" t="str">
        <f>IFERROR(__xludf.DUMMYFUNCTION("GOOGLETRANSLATE(B1572,""id"",""en"")"),"['Please', 'Telkomsel', 'Credit', 'Cut', 'Automatic', 'Out', 'Approval', 'Access',' Internet ',' Quota ',' Internet ',' Out ',' ']")</f>
        <v>['Please', 'Telkomsel', 'Credit', 'Cut', 'Automatic', 'Out', 'Approval', 'Access',' Internet ',' Quota ',' Internet ',' Out ',' ']</v>
      </c>
      <c r="D1572" s="3">
        <v>1.0</v>
      </c>
    </row>
    <row r="1573" ht="15.75" customHeight="1">
      <c r="A1573" s="1">
        <v>1571.0</v>
      </c>
      <c r="B1573" s="3" t="s">
        <v>1574</v>
      </c>
      <c r="C1573" s="3" t="str">
        <f>IFERROR(__xludf.DUMMYFUNCTION("GOOGLETRANSLATE(B1573,""id"",""en"")"),"['Viral', 'star', 'signal', 'a year', 'slow', 'package', 'internet', 'expensive', 'klau', 'expensive', 'according to', 'quality', ' Network ',' What's', '']")</f>
        <v>['Viral', 'star', 'signal', 'a year', 'slow', 'package', 'internet', 'expensive', 'klau', 'expensive', 'according to', 'quality', ' Network ',' What's', '']</v>
      </c>
      <c r="D1573" s="3">
        <v>1.0</v>
      </c>
    </row>
    <row r="1574" ht="15.75" customHeight="1">
      <c r="A1574" s="1">
        <v>1572.0</v>
      </c>
      <c r="B1574" s="3" t="s">
        <v>1575</v>
      </c>
      <c r="C1574" s="3" t="str">
        <f>IFERROR(__xludf.DUMMYFUNCTION("GOOGLETRANSLATE(B1574,""id"",""en"")"),"['Sorry', 'package', 'unlimited', 'restrictions',' usage ',' normal ',' package ',' data ',' divided ',' regulee ',' unlimited ',' unlimited ',' Limited ',' use ',' quota ',' reasonable ',' speed ',' rate ',' internet ',' derived ',' made ',' regular ',' "&amp;"use ',' unlimited ',' price ' , '']")</f>
        <v>['Sorry', 'package', 'unlimited', 'restrictions',' usage ',' normal ',' package ',' data ',' divided ',' regulee ',' unlimited ',' unlimited ',' Limited ',' use ',' quota ',' reasonable ',' speed ',' rate ',' internet ',' derived ',' made ',' regular ',' use ',' unlimited ',' price ' , '']</v>
      </c>
      <c r="D1574" s="3">
        <v>1.0</v>
      </c>
    </row>
    <row r="1575" ht="15.75" customHeight="1">
      <c r="A1575" s="1">
        <v>1573.0</v>
      </c>
      <c r="B1575" s="3" t="s">
        <v>1576</v>
      </c>
      <c r="C1575" s="3" t="str">
        <f>IFERROR(__xludf.DUMMYFUNCTION("GOOGLETRANSLATE(B1575,""id"",""en"")"),"['Likes',' APK ',' Increases', 'Gift', 'Check', 'Use', 'APK', 'Vibrant', 'Inviting', 'Nearest', 'APK', ' ']")</f>
        <v>['Likes',' APK ',' Increases', 'Gift', 'Check', 'Use', 'APK', 'Vibrant', 'Inviting', 'Nearest', 'APK', ' ']</v>
      </c>
      <c r="D1575" s="3">
        <v>5.0</v>
      </c>
    </row>
    <row r="1576" ht="15.75" customHeight="1">
      <c r="A1576" s="1">
        <v>1574.0</v>
      </c>
      <c r="B1576" s="3" t="s">
        <v>1577</v>
      </c>
      <c r="C1576" s="3" t="str">
        <f>IFERROR(__xludf.DUMMYFUNCTION("GOOGLETRANSLATE(B1576,""id"",""en"")"),"['crazy', 'expensive', 'package', 'satisfying', 'since' Since ',' slow ',' in the city ',' electricity ',' goes ',' package ',' price ',' Service ',' Customized ',' Price ',' The ',' Moon ',' Service ',' The ',' Ground ',' Thank you ',' Telkomsel ']")</f>
        <v>['crazy', 'expensive', 'package', 'satisfying', 'since' Since ',' slow ',' in the city ',' electricity ',' goes ',' package ',' price ',' Service ',' Customized ',' Price ',' The ',' Moon ',' Service ',' The ',' Ground ',' Thank you ',' Telkomsel ']</v>
      </c>
      <c r="D1576" s="3">
        <v>1.0</v>
      </c>
    </row>
    <row r="1577" ht="15.75" customHeight="1">
      <c r="A1577" s="1">
        <v>1575.0</v>
      </c>
      <c r="B1577" s="3" t="s">
        <v>1578</v>
      </c>
      <c r="C1577" s="3" t="str">
        <f>IFERROR(__xludf.DUMMYFUNCTION("GOOGLETRANSLATE(B1577,""id"",""en"")"),"['Telkomsel', 'the heart', 'steal', 'pulse', 'customer', 'when' is difficult ',' difficult ',' strange ',' deliberate ',' activated ',' data ',' seconds', 'pulse', 'rb', 'directly', 'missing', 'direct', 'waste', 'Telkomsel', 'Telkomsel', 'hooked', 'take',"&amp;" 'pulses',' customers' , 'Uninstall', 'Ajh', 'Jngn', 'Sampe', 'Raying', 'Rich']")</f>
        <v>['Telkomsel', 'the heart', 'steal', 'pulse', 'customer', 'when' is difficult ',' difficult ',' strange ',' deliberate ',' activated ',' data ',' seconds', 'pulse', 'rb', 'directly', 'missing', 'direct', 'waste', 'Telkomsel', 'Telkomsel', 'hooked', 'take', 'pulses',' customers' , 'Uninstall', 'Ajh', 'Jngn', 'Sampe', 'Raying', 'Rich']</v>
      </c>
      <c r="D1577" s="3">
        <v>1.0</v>
      </c>
    </row>
    <row r="1578" ht="15.75" customHeight="1">
      <c r="A1578" s="1">
        <v>1576.0</v>
      </c>
      <c r="B1578" s="3" t="s">
        <v>1579</v>
      </c>
      <c r="C1578" s="3" t="str">
        <f>IFERROR(__xludf.DUMMYFUNCTION("GOOGLETRANSLATE(B1578,""id"",""en"")"),"['Apps',' MyTelkomsel ',' ugly ',' really ',' update ',' login ',' ngak ',' severe ',' ugly ',' the application ',' the network ',' regret ',' spend ',' quota ']")</f>
        <v>['Apps',' MyTelkomsel ',' ugly ',' really ',' update ',' login ',' ngak ',' severe ',' ugly ',' the application ',' the network ',' regret ',' spend ',' quota ']</v>
      </c>
      <c r="D1578" s="3">
        <v>1.0</v>
      </c>
    </row>
    <row r="1579" ht="15.75" customHeight="1">
      <c r="A1579" s="1">
        <v>1577.0</v>
      </c>
      <c r="B1579" s="3" t="s">
        <v>1580</v>
      </c>
      <c r="C1579" s="3" t="str">
        <f>IFERROR(__xludf.DUMMYFUNCTION("GOOGLETRANSLATE(B1579,""id"",""en"")"),"['honest', 'happy', 'product', 'Telkomsel', 'skrng', 'telkomsel', 'service', 'ugly', 'then', 'his products',' lie ',' love ',' Unlimited ',' Customer ',' Mending ',' Change ',' Name ',' Package ',' Unlimited ',' Change ',' name ',' Quota ',' Application '"&amp;",' Out ',' Quota ' , 'buy', 'quota', 'active', 'package', 'lazy', 'pke', 'telkomsel', 'save', 'boroooos']")</f>
        <v>['honest', 'happy', 'product', 'Telkomsel', 'skrng', 'telkomsel', 'service', 'ugly', 'then', 'his products',' lie ',' love ',' Unlimited ',' Customer ',' Mending ',' Change ',' Name ',' Package ',' Unlimited ',' Change ',' name ',' Quota ',' Application ',' Out ',' Quota ' , 'buy', 'quota', 'active', 'package', 'lazy', 'pke', 'telkomsel', 'save', 'boroooos']</v>
      </c>
      <c r="D1579" s="3">
        <v>1.0</v>
      </c>
    </row>
    <row r="1580" ht="15.75" customHeight="1">
      <c r="A1580" s="1">
        <v>1578.0</v>
      </c>
      <c r="B1580" s="3" t="s">
        <v>1581</v>
      </c>
      <c r="C1580" s="3" t="str">
        <f>IFERROR(__xludf.DUMMYFUNCTION("GOOGLETRANSLATE(B1580,""id"",""en"")"),"['Reduced', 'quota', 'speed', 'slow', 'Sorry', 'Telkomsel', 'forced', 'replace', 'card', 'speed', 'stable', 'quota', ' Cheap ',' many ',' times', 'fold', 'example', 'thousand', 'kuora', 'GB', 'full', 'divided', '']")</f>
        <v>['Reduced', 'quota', 'speed', 'slow', 'Sorry', 'Telkomsel', 'forced', 'replace', 'card', 'speed', 'stable', 'quota', ' Cheap ',' many ',' times', 'fold', 'example', 'thousand', 'kuora', 'GB', 'full', 'divided', '']</v>
      </c>
      <c r="D1580" s="3">
        <v>2.0</v>
      </c>
    </row>
    <row r="1581" ht="15.75" customHeight="1">
      <c r="A1581" s="1">
        <v>1579.0</v>
      </c>
      <c r="B1581" s="3" t="s">
        <v>1582</v>
      </c>
      <c r="C1581" s="3" t="str">
        <f>IFERROR(__xludf.DUMMYFUNCTION("GOOGLETRANSLATE(B1581,""id"",""en"")"),"['Hey', 'Telkomsel', 'Dear', 'Please', 'Laah', 'Bagusin', 'Network', 'Nya', 'Sini', 'Network', 'Good', 'TPI', ' Bukak ',' APK ',' Most ',' muter ',' please ',' sekli ',' fix ',' have mercy ',' udh ',' belik ',' pulse ',' package ',' expensive ' , 'TPI', '"&amp;"Kenpaa', 'Network', 'Nyaa', 'cheap', 'ush', 'GTU', 'laa', 'please', 'laa', 'fliss',' fix ',' Network ',' Telkom ',' Memek ',' Telkomsel ',' Disappointed ',' ']")</f>
        <v>['Hey', 'Telkomsel', 'Dear', 'Please', 'Laah', 'Bagusin', 'Network', 'Nya', 'Sini', 'Network', 'Good', 'TPI', ' Bukak ',' APK ',' Most ',' muter ',' please ',' sekli ',' fix ',' have mercy ',' udh ',' belik ',' pulse ',' package ',' expensive ' , 'TPI', 'Kenpaa', 'Network', 'Nyaa', 'cheap', 'ush', 'GTU', 'laa', 'please', 'laa', 'fliss',' fix ',' Network ',' Telkom ',' Memek ',' Telkomsel ',' Disappointed ',' ']</v>
      </c>
      <c r="D1581" s="3">
        <v>1.0</v>
      </c>
    </row>
    <row r="1582" ht="15.75" customHeight="1">
      <c r="A1582" s="1">
        <v>1580.0</v>
      </c>
      <c r="B1582" s="3" t="s">
        <v>1583</v>
      </c>
      <c r="C1582" s="3" t="str">
        <f>IFERROR(__xludf.DUMMYFUNCTION("GOOGLETRANSLATE(B1582,""id"",""en"")"),"['disappointed', 'package', 'use', 'contents', 'reset', 'regretting', 'customer', 'disappointed', 'review', 'response', 'disappointed', 'telkomsel']")</f>
        <v>['disappointed', 'package', 'use', 'contents', 'reset', 'regretting', 'customer', 'disappointed', 'review', 'response', 'disappointed', 'telkomsel']</v>
      </c>
      <c r="D1582" s="3">
        <v>1.0</v>
      </c>
    </row>
    <row r="1583" ht="15.75" customHeight="1">
      <c r="A1583" s="1">
        <v>1581.0</v>
      </c>
      <c r="B1583" s="3" t="s">
        <v>1584</v>
      </c>
      <c r="C1583" s="3" t="str">
        <f>IFERROR(__xludf.DUMMYFUNCTION("GOOGLETRANSLATE(B1583,""id"",""en"")"),"['Nyak', 'Disappointed', 'Telkomsel', 'Udh', 'expensive', 'his net', 'slow', 'Udh', 'bankrupt', 'Kyak', 'Gini', 'Mahallin', ' The bonus', 'Tired', 'Pakek', 'Card', 'Laen', 'Gaes',' Udh ',' Herrity ',' Muran ',' Package ',' Datapun ',' Sorry ',' Sorry ' , "&amp;"'Bintang', 'Telkomsel', '']")</f>
        <v>['Nyak', 'Disappointed', 'Telkomsel', 'Udh', 'expensive', 'his net', 'slow', 'Udh', 'bankrupt', 'Kyak', 'Gini', 'Mahallin', ' The bonus', 'Tired', 'Pakek', 'Card', 'Laen', 'Gaes',' Udh ',' Herrity ',' Muran ',' Package ',' Datapun ',' Sorry ',' Sorry ' , 'Bintang', 'Telkomsel', '']</v>
      </c>
      <c r="D1583" s="3">
        <v>1.0</v>
      </c>
    </row>
    <row r="1584" ht="15.75" customHeight="1">
      <c r="A1584" s="1">
        <v>1582.0</v>
      </c>
      <c r="B1584" s="3" t="s">
        <v>1585</v>
      </c>
      <c r="C1584" s="3" t="str">
        <f>IFERROR(__xludf.DUMMYFUNCTION("GOOGLETRANSLATE(B1584,""id"",""en"")"),"['already', 'Redem', 'Points',' Buy ',' Coupon ',' Points', 'Dapetin', 'Coupon', 'Toyota', 'Yaris',' Announcement ',' date ',' August ',' right ',' check ',' announcement ',' ']")</f>
        <v>['already', 'Redem', 'Points',' Buy ',' Coupon ',' Points', 'Dapetin', 'Coupon', 'Toyota', 'Yaris',' Announcement ',' date ',' August ',' right ',' check ',' announcement ',' ']</v>
      </c>
      <c r="D1584" s="3">
        <v>1.0</v>
      </c>
    </row>
    <row r="1585" ht="15.75" customHeight="1">
      <c r="A1585" s="1">
        <v>1583.0</v>
      </c>
      <c r="B1585" s="3" t="s">
        <v>1586</v>
      </c>
      <c r="C1585" s="3" t="str">
        <f>IFERROR(__xludf.DUMMYFUNCTION("GOOGLETRANSLATE(B1585,""id"",""en"")"),"['signal', 'ugly', 'solution', 'complain', 'already', 'restart', 'network', 'influential', 'Telkomsel', 'improving', 'already', 'installed', ' Indihome ',' his technician ',' called ',' Say "", 'Tomorrow', 'Come', 'Quality', 'Network', 'Signal', 'Company'"&amp;", 'BUMN', 'Bener']")</f>
        <v>['signal', 'ugly', 'solution', 'complain', 'already', 'restart', 'network', 'influential', 'Telkomsel', 'improving', 'already', 'installed', ' Indihome ',' his technician ',' called ',' Say ", 'Tomorrow', 'Come', 'Quality', 'Network', 'Signal', 'Company', 'BUMN', 'Bener']</v>
      </c>
      <c r="D1585" s="3">
        <v>1.0</v>
      </c>
    </row>
    <row r="1586" ht="15.75" customHeight="1">
      <c r="A1586" s="1">
        <v>1584.0</v>
      </c>
      <c r="B1586" s="3" t="s">
        <v>1587</v>
      </c>
      <c r="C1586" s="3" t="str">
        <f>IFERROR(__xludf.DUMMYFUNCTION("GOOGLETRANSLATE(B1586,""id"",""en"")"),"['connection', 'bad', 'network', 'quota', 'GB', 'access', 'internet', 'pakek', 'game', 'online', 'signal', 'red' parahh ',' bangett ',' network ',' Telkomsel ',' please ',' fix ',' work ',' work ',' work ',' sleeprr ']")</f>
        <v>['connection', 'bad', 'network', 'quota', 'GB', 'access', 'internet', 'pakek', 'game', 'online', 'signal', 'red' parahh ',' bangett ',' network ',' Telkomsel ',' please ',' fix ',' work ',' work ',' work ',' sleeprr ']</v>
      </c>
      <c r="D1586" s="3">
        <v>1.0</v>
      </c>
    </row>
    <row r="1587" ht="15.75" customHeight="1">
      <c r="A1587" s="1">
        <v>1585.0</v>
      </c>
      <c r="B1587" s="3" t="s">
        <v>1588</v>
      </c>
      <c r="C1587" s="3" t="str">
        <f>IFERROR(__xludf.DUMMYFUNCTION("GOOGLETRANSLATE(B1587,""id"",""en"")"),"['network', 'internet', 'Telkomsel', 'ugly', 'customers',' loyal ',' Telkomsel ',' package ',' internet ',' expensive ',' loyal ',' smooth ',' why ',' slow ',' ugly ',' signal ',' internet ',' ']")</f>
        <v>['network', 'internet', 'Telkomsel', 'ugly', 'customers',' loyal ',' Telkomsel ',' package ',' internet ',' expensive ',' loyal ',' smooth ',' why ',' slow ',' ugly ',' signal ',' internet ',' ']</v>
      </c>
      <c r="D1587" s="3">
        <v>5.0</v>
      </c>
    </row>
    <row r="1588" ht="15.75" customHeight="1">
      <c r="A1588" s="1">
        <v>1586.0</v>
      </c>
      <c r="B1588" s="3" t="s">
        <v>1589</v>
      </c>
      <c r="C1588" s="3" t="str">
        <f>IFERROR(__xludf.DUMMYFUNCTION("GOOGLETRANSLATE(B1588,""id"",""en"")"),"['application', 'serve', 'upgrade', 'package', 'service', 'post', 'paid', 'special', 'severe', 'signal', 'broke', 'broke', ' BTS ',' forgiveness', 'Telkomsel', 'forced', 'Mending', 'downgrade', 'prepaid', '']")</f>
        <v>['application', 'serve', 'upgrade', 'package', 'service', 'post', 'paid', 'special', 'severe', 'signal', 'broke', 'broke', ' BTS ',' forgiveness', 'Telkomsel', 'forced', 'Mending', 'downgrade', 'prepaid', '']</v>
      </c>
      <c r="D1588" s="3">
        <v>1.0</v>
      </c>
    </row>
    <row r="1589" ht="15.75" customHeight="1">
      <c r="A1589" s="1">
        <v>1587.0</v>
      </c>
      <c r="B1589" s="3" t="s">
        <v>1590</v>
      </c>
      <c r="C1589" s="3" t="str">
        <f>IFERROR(__xludf.DUMMYFUNCTION("GOOGLETRANSLATE(B1589,""id"",""en"")"),"['Kecnewaaaaaaa', 'Telkomsel', 'Maen', 'Game', 'Nge', 'lag', 'trs',' housing ',' hill ',' nusa ',' beautiful ',' ciputat ',' Please, 'Network', 'Update', 'What's', 'Bln', 'Price', 'Customize', 'Quality', 'Matur', 'Suwon']")</f>
        <v>['Kecnewaaaaaaa', 'Telkomsel', 'Maen', 'Game', 'Nge', 'lag', 'trs',' housing ',' hill ',' nusa ',' beautiful ',' ciputat ',' Please, 'Network', 'Update', 'What's', 'Bln', 'Price', 'Customize', 'Quality', 'Matur', 'Suwon']</v>
      </c>
      <c r="D1589" s="3">
        <v>1.0</v>
      </c>
    </row>
    <row r="1590" ht="15.75" customHeight="1">
      <c r="A1590" s="1">
        <v>1588.0</v>
      </c>
      <c r="B1590" s="3" t="s">
        <v>1591</v>
      </c>
      <c r="C1590" s="3" t="str">
        <f>IFERROR(__xludf.DUMMYFUNCTION("GOOGLETRANSLATE(B1590,""id"",""en"")"),"['Times',' Cave ',' Review ',' comment ',' Telkomsel ',' Why ',' Cave ',' Telkomsel ',' Seumue ',' Life ',' Card ',' Telkomsel ',' cave ',' card ',' telponan ',' parents', 'cave', 'addin', 'card', 'data', 'cave', 'real', 'really', 'realized', 'telkom' , '"&amp;"at home', 'cave', 'good', 'really', 'cave', 'go', 'window', 'sometimes',' home ',' get ',' signal ',' right ',' Cave ',' Telkomsel ',' in the room ',' cave ',' no ',' Tencu ',' ']")</f>
        <v>['Times',' Cave ',' Review ',' comment ',' Telkomsel ',' Why ',' Cave ',' Telkomsel ',' Seumue ',' Life ',' Card ',' Telkomsel ',' cave ',' card ',' telponan ',' parents', 'cave', 'addin', 'card', 'data', 'cave', 'real', 'really', 'realized', 'telkom' , 'at home', 'cave', 'good', 'really', 'cave', 'go', 'window', 'sometimes',' home ',' get ',' signal ',' right ',' Cave ',' Telkomsel ',' in the room ',' cave ',' no ',' Tencu ',' ']</v>
      </c>
      <c r="D1590" s="3">
        <v>5.0</v>
      </c>
    </row>
    <row r="1591" ht="15.75" customHeight="1">
      <c r="A1591" s="1">
        <v>1589.0</v>
      </c>
      <c r="B1591" s="3" t="s">
        <v>1592</v>
      </c>
      <c r="C1591" s="3" t="str">
        <f>IFERROR(__xludf.DUMMYFUNCTION("GOOGLETRANSLATE(B1591,""id"",""en"")"),"['Telkomsel', 'signal', 'internet', 'missing', 'Different', 'lost', 'signal', 'tired', 'report', 'poor', ""]")</f>
        <v>['Telkomsel', 'signal', 'internet', 'missing', 'Different', 'lost', 'signal', 'tired', 'report', 'poor', "]</v>
      </c>
      <c r="D1591" s="3">
        <v>1.0</v>
      </c>
    </row>
    <row r="1592" ht="15.75" customHeight="1">
      <c r="A1592" s="1">
        <v>1590.0</v>
      </c>
      <c r="B1592" s="3" t="s">
        <v>1593</v>
      </c>
      <c r="C1592" s="3" t="str">
        <f>IFERROR(__xludf.DUMMYFUNCTION("GOOGLETRANSLATE(B1592,""id"",""en"")"),"['Experience', 'Reviews',' customers', 'Telkomsel', 'ugly', 'experience', 'package', 'emergency', 'a day', 'transaction', 'selse', 'quota', ' Profit ',' home ',' friend ',' wifi ',' duuuh ',' how ',' planned ',' quota ',' tri ',' safe ',' wifi ',' drumah "&amp;"']")</f>
        <v>['Experience', 'Reviews',' customers', 'Telkomsel', 'ugly', 'experience', 'package', 'emergency', 'a day', 'transaction', 'selse', 'quota', ' Profit ',' home ',' friend ',' wifi ',' duuuh ',' how ',' planned ',' quota ',' tri ',' safe ',' wifi ',' drumah ']</v>
      </c>
      <c r="D1592" s="3">
        <v>2.0</v>
      </c>
    </row>
    <row r="1593" ht="15.75" customHeight="1">
      <c r="A1593" s="1">
        <v>1591.0</v>
      </c>
      <c r="B1593" s="3" t="s">
        <v>1594</v>
      </c>
      <c r="C1593" s="3" t="str">
        <f>IFERROR(__xludf.DUMMYFUNCTION("GOOGLETRANSLATE(B1593,""id"",""en"")"),"['Please', 'number', 'gabisa', 'receiving', 'SMS', 'send', 'accept', 'phone', 'call', 'disorder', 'what', '']")</f>
        <v>['Please', 'number', 'gabisa', 'receiving', 'SMS', 'send', 'accept', 'phone', 'call', 'disorder', 'what', '']</v>
      </c>
      <c r="D1593" s="3">
        <v>1.0</v>
      </c>
    </row>
    <row r="1594" ht="15.75" customHeight="1">
      <c r="A1594" s="1">
        <v>1592.0</v>
      </c>
      <c r="B1594" s="3" t="s">
        <v>1595</v>
      </c>
      <c r="C1594" s="3" t="str">
        <f>IFERROR(__xludf.DUMMYFUNCTION("GOOGLETRANSLATE(B1594,""id"",""en"")"),"['Telkomsel', 'masoh', 'bad', 'network', 'internet', 'price', 'expensive', 'network', 'bad', 'city', 'network', 'missing', ' missing ',' try ',' buy ',' package ',' GB ',' active ',' Kirain ',' already ',' change ',' signal ',' lost ',' lost ',' Telkomsel"&amp;" ' , 'bad', 'decent', '']")</f>
        <v>['Telkomsel', 'masoh', 'bad', 'network', 'internet', 'price', 'expensive', 'network', 'bad', 'city', 'network', 'missing', ' missing ',' try ',' buy ',' package ',' GB ',' active ',' Kirain ',' already ',' change ',' signal ',' lost ',' lost ',' Telkomsel ' , 'bad', 'decent', '']</v>
      </c>
      <c r="D1594" s="3">
        <v>1.0</v>
      </c>
    </row>
    <row r="1595" ht="15.75" customHeight="1">
      <c r="A1595" s="1">
        <v>1593.0</v>
      </c>
      <c r="B1595" s="3" t="s">
        <v>1596</v>
      </c>
      <c r="C1595" s="3" t="str">
        <f>IFERROR(__xludf.DUMMYFUNCTION("GOOGLETRANSLATE(B1595,""id"",""en"")"),"['Kekewe', 'signal', 'internet', 'Telkomsel', 'in the city', 'safe', 'smooth', 'ehhhh', 'here', 'falling', 'falling', 'buy', ' package ',' expensive ',' provider ',' determines', 'results',' signs', ""]")</f>
        <v>['Kekewe', 'signal', 'internet', 'Telkomsel', 'in the city', 'safe', 'smooth', 'ehhhh', 'here', 'falling', 'falling', 'buy', ' package ',' expensive ',' provider ',' determines', 'results',' signs', "]</v>
      </c>
      <c r="D1595" s="3">
        <v>1.0</v>
      </c>
    </row>
    <row r="1596" ht="15.75" customHeight="1">
      <c r="A1596" s="1">
        <v>1594.0</v>
      </c>
      <c r="B1596" s="3" t="s">
        <v>1597</v>
      </c>
      <c r="C1596" s="3" t="str">
        <f>IFERROR(__xludf.DUMMYFUNCTION("GOOGLETRANSLATE(B1596,""id"",""en"")"),"['suggestion', 'admin', 'made', 'package', 'special', 'MSME', 'Indonesia', 'Help', 'economy', 'people', 'package', 'free', ' Means', 'Sell', 'Online', 'Bukalapak', 'Shopee', 'Tokopedia', 'Dsb', ""]")</f>
        <v>['suggestion', 'admin', 'made', 'package', 'special', 'MSME', 'Indonesia', 'Help', 'economy', 'people', 'package', 'free', ' Means', 'Sell', 'Online', 'Bukalapak', 'Shopee', 'Tokopedia', 'Dsb', "]</v>
      </c>
      <c r="D1596" s="3">
        <v>3.0</v>
      </c>
    </row>
    <row r="1597" ht="15.75" customHeight="1">
      <c r="A1597" s="1">
        <v>1595.0</v>
      </c>
      <c r="B1597" s="3" t="s">
        <v>1598</v>
      </c>
      <c r="C1597" s="3" t="str">
        <f>IFERROR(__xludf.DUMMYFUNCTION("GOOGLETRANSLATE(B1597,""id"",""en"")"),"['Telkomsel', 'already', 'package', 'expensive', 'IDR', 'expensive', 'expiration', 'a month', 'cook', 'buy', 'date', 'agutus',' Fall ',' Tempo ',' August ',' Mafia ',' the biggest ',' Telkomsel ',' already ',' Amao ',' please ',' mafia ',' cook ',' lose '"&amp;",' neighbor ' , 'Package', 'cheap', '']")</f>
        <v>['Telkomsel', 'already', 'package', 'expensive', 'IDR', 'expensive', 'expiration', 'a month', 'cook', 'buy', 'date', 'agutus',' Fall ',' Tempo ',' August ',' Mafia ',' the biggest ',' Telkomsel ',' already ',' Amao ',' please ',' mafia ',' cook ',' lose ',' neighbor ' , 'Package', 'cheap', '']</v>
      </c>
      <c r="D1597" s="3">
        <v>1.0</v>
      </c>
    </row>
    <row r="1598" ht="15.75" customHeight="1">
      <c r="A1598" s="1">
        <v>1596.0</v>
      </c>
      <c r="B1598" s="3" t="s">
        <v>1599</v>
      </c>
      <c r="C1598" s="3" t="str">
        <f>IFERROR(__xludf.DUMMYFUNCTION("GOOGLETRANSLATE(B1598,""id"",""en"")"),"['launcurin', 'forced', 'Nursing', 'Genesis',' Rich ',' Lunch ',' Lunches', 'Network', 'Original', 'Kenceng', 'Lemod', 'Genesis',' Signal ',' bar ',' Full ',' network ',' connection ',' Lemod ',' already ',' price ',' package ',' expensive ',' service ','"&amp;" lose ',' warteg ' , 'disappointed', '']")</f>
        <v>['launcurin', 'forced', 'Nursing', 'Genesis',' Rich ',' Lunch ',' Lunches', 'Network', 'Original', 'Kenceng', 'Lemod', 'Genesis',' Signal ',' bar ',' Full ',' network ',' connection ',' Lemod ',' already ',' price ',' package ',' expensive ',' service ',' lose ',' warteg ' , 'disappointed', '']</v>
      </c>
      <c r="D1598" s="3">
        <v>1.0</v>
      </c>
    </row>
    <row r="1599" ht="15.75" customHeight="1">
      <c r="A1599" s="1">
        <v>1597.0</v>
      </c>
      <c r="B1599" s="3" t="s">
        <v>1600</v>
      </c>
      <c r="C1599" s="3" t="str">
        <f>IFERROR(__xludf.DUMMYFUNCTION("GOOGLETRANSLATE(B1599,""id"",""en"")"),"['disappointed', 'application', 'bill', 'card', 'Hello', 'swollen', 'because', 'Gara', 'package', 'quota', 'telephone', 'printed', ' used ',' used ',' minutes', 'application', 'card', 'mainly', 'disappointed']")</f>
        <v>['disappointed', 'application', 'bill', 'card', 'Hello', 'swollen', 'because', 'Gara', 'package', 'quota', 'telephone', 'printed', ' used ',' used ',' minutes', 'application', 'card', 'mainly', 'disappointed']</v>
      </c>
      <c r="D1599" s="3">
        <v>1.0</v>
      </c>
    </row>
    <row r="1600" ht="15.75" customHeight="1">
      <c r="A1600" s="1">
        <v>1598.0</v>
      </c>
      <c r="B1600" s="3" t="s">
        <v>1601</v>
      </c>
      <c r="C1600" s="3" t="str">
        <f>IFERROR(__xludf.DUMMYFUNCTION("GOOGLETRANSLATE(B1600,""id"",""en"")"),"['Fix', 'Network', 'Cook', 'Login', 'Game', 'Browsing', 'Kenceng', 'Pas',' Login ',' Game ',' Strange ',' Kayak ',' card ',' Next to ',' City ',' Kampung ',' ']")</f>
        <v>['Fix', 'Network', 'Cook', 'Login', 'Game', 'Browsing', 'Kenceng', 'Pas',' Login ',' Game ',' Strange ',' Kayak ',' card ',' Next to ',' City ',' Kampung ',' ']</v>
      </c>
      <c r="D1600" s="3">
        <v>1.0</v>
      </c>
    </row>
    <row r="1601" ht="15.75" customHeight="1">
      <c r="A1601" s="1">
        <v>1599.0</v>
      </c>
      <c r="B1601" s="3" t="s">
        <v>1602</v>
      </c>
      <c r="C1601" s="3" t="str">
        <f>IFERROR(__xludf.DUMMYFUNCTION("GOOGLETRANSLATE(B1601,""id"",""en"")"),"['Severe', 'Register', 'Package', 'Internet', 'System', 'Busy', 'Aduin', 'Week', 'Repair', ""]")</f>
        <v>['Severe', 'Register', 'Package', 'Internet', 'System', 'Busy', 'Aduin', 'Week', 'Repair', "]</v>
      </c>
      <c r="D1601" s="3">
        <v>1.0</v>
      </c>
    </row>
    <row r="1602" ht="15.75" customHeight="1">
      <c r="A1602" s="1">
        <v>1600.0</v>
      </c>
      <c r="B1602" s="3" t="s">
        <v>1603</v>
      </c>
      <c r="C1602" s="3" t="str">
        <f>IFERROR(__xludf.DUMMYFUNCTION("GOOGLETRANSLATE(B1602,""id"",""en"")"),"['Unfortunately', 'Paketan', 'Telkomsek', 'System', 'old', 'No', 'Full', 'Clock', 'Males',' Fill ',' Credit ',' Card ',' ',' Sometimes', 'lure', 'quota', 'big', 'right', 'read', 'thorough', 'expensive', 'really', ""]")</f>
        <v>['Unfortunately', 'Paketan', 'Telkomsek', 'System', 'old', 'No', 'Full', 'Clock', 'Males',' Fill ',' Credit ',' Card ',' ',' Sometimes', 'lure', 'quota', 'big', 'right', 'read', 'thorough', 'expensive', 'really', "]</v>
      </c>
      <c r="D1602" s="3">
        <v>3.0</v>
      </c>
    </row>
    <row r="1603" ht="15.75" customHeight="1">
      <c r="A1603" s="1">
        <v>1601.0</v>
      </c>
      <c r="B1603" s="3" t="s">
        <v>1604</v>
      </c>
      <c r="C1603" s="3" t="str">
        <f>IFERROR(__xludf.DUMMYFUNCTION("GOOGLETRANSLATE(B1603,""id"",""en"")"),"['weakness',' application ',' update ',' slow ',' fast ',' Telkomsel ',' minute ',' logo ',' appears', 'login', 'how', 'login', ' Fast ',' Play ',' Store ',' Open ',' Open ',' Application ',' A Year ',' Appear ',' Except ',' Repaired ',' Fix ',' Telkomsel"&amp;" ',' fix it ' , 'Severe', 'really', 'the application', '']")</f>
        <v>['weakness',' application ',' update ',' slow ',' fast ',' Telkomsel ',' minute ',' logo ',' appears', 'login', 'how', 'login', ' Fast ',' Play ',' Store ',' Open ',' Open ',' Application ',' A Year ',' Appear ',' Except ',' Repaired ',' Fix ',' Telkomsel ',' fix it ' , 'Severe', 'really', 'the application', '']</v>
      </c>
      <c r="D1603" s="3">
        <v>4.0</v>
      </c>
    </row>
    <row r="1604" ht="15.75" customHeight="1">
      <c r="A1604" s="1">
        <v>1602.0</v>
      </c>
      <c r="B1604" s="3" t="s">
        <v>1605</v>
      </c>
      <c r="C1604" s="3" t="str">
        <f>IFERROR(__xludf.DUMMYFUNCTION("GOOGLETRANSLATE(B1604,""id"",""en"")"),"['Professional', 'decent', 'bad', 'quota', 'omg', 'complement', 'telkom', 'responded', 'bad']")</f>
        <v>['Professional', 'decent', 'bad', 'quota', 'omg', 'complement', 'telkom', 'responded', 'bad']</v>
      </c>
      <c r="D1604" s="3">
        <v>1.0</v>
      </c>
    </row>
    <row r="1605" ht="15.75" customHeight="1">
      <c r="A1605" s="1">
        <v>1603.0</v>
      </c>
      <c r="B1605" s="3" t="s">
        <v>1606</v>
      </c>
      <c r="C1605" s="3" t="str">
        <f>IFERROR(__xludf.DUMMYFUNCTION("GOOGLETRANSLATE(B1605,""id"",""en"")"),"['name', 'application', 'Gofood', 'various',' Juice ',' Kabita ',' Pamulang ',' West ',' name ',' application ',' Grabfood ',' Various', ' juice ',' soup ',' fruit ',' kabita ',' name ',' application ',' shopee ',' food ',' juice ',' kabita ',' pamulang '"&amp;",' west ',' ']")</f>
        <v>['name', 'application', 'Gofood', 'various',' Juice ',' Kabita ',' Pamulang ',' West ',' name ',' application ',' Grabfood ',' Various', ' juice ',' soup ',' fruit ',' kabita ',' name ',' application ',' shopee ',' food ',' juice ',' kabita ',' pamulang ',' west ',' ']</v>
      </c>
      <c r="D1605" s="3">
        <v>5.0</v>
      </c>
    </row>
    <row r="1606" ht="15.75" customHeight="1">
      <c r="A1606" s="1">
        <v>1604.0</v>
      </c>
      <c r="B1606" s="3" t="s">
        <v>1607</v>
      </c>
      <c r="C1606" s="3" t="str">
        <f>IFERROR(__xludf.DUMMYFUNCTION("GOOGLETRANSLATE(B1606,""id"",""en"")"),"['', 'You', 'wkwkw']")</f>
        <v>['', 'You', 'wkwkw']</v>
      </c>
      <c r="D1606" s="3">
        <v>5.0</v>
      </c>
    </row>
    <row r="1607" ht="15.75" customHeight="1">
      <c r="A1607" s="1">
        <v>1605.0</v>
      </c>
      <c r="B1607" s="3" t="s">
        <v>1608</v>
      </c>
      <c r="C1607" s="3" t="str">
        <f>IFERROR(__xludf.DUMMYFUNCTION("GOOGLETRANSLATE(B1607,""id"",""en"")"),"['What', 'Kaga', 'Change', 'Network', 'Lemot', 'in the area', 'Bitung', 'Balaraja', 'Disappointed', 'Pelangan', 'Team', 'Feel', ' Lemotna ',' condition ',' rain ']")</f>
        <v>['What', 'Kaga', 'Change', 'Network', 'Lemot', 'in the area', 'Bitung', 'Balaraja', 'Disappointed', 'Pelangan', 'Team', 'Feel', ' Lemotna ',' condition ',' rain ']</v>
      </c>
      <c r="D1607" s="3">
        <v>1.0</v>
      </c>
    </row>
    <row r="1608" ht="15.75" customHeight="1">
      <c r="A1608" s="1">
        <v>1606.0</v>
      </c>
      <c r="B1608" s="3" t="s">
        <v>1609</v>
      </c>
      <c r="C1608" s="3" t="str">
        <f>IFERROR(__xludf.DUMMYFUNCTION("GOOGLETRANSLATE(B1608,""id"",""en"")"),"['APK', 'Login', 'Mission', 'Check', 'at the time', 'Check', 'Full', 'GB', 'That's where', 'Telkomsel', 'deliberate', 'Login', ' Check ',' finished ',' already ',' deh ',' Telkomsel ',' loss', 'kontollllll', 'jancolah']")</f>
        <v>['APK', 'Login', 'Mission', 'Check', 'at the time', 'Check', 'Full', 'GB', 'That's where', 'Telkomsel', 'deliberate', 'Login', ' Check ',' finished ',' already ',' deh ',' Telkomsel ',' loss', 'kontollllll', 'jancolah']</v>
      </c>
      <c r="D1608" s="3">
        <v>1.0</v>
      </c>
    </row>
    <row r="1609" ht="15.75" customHeight="1">
      <c r="A1609" s="1">
        <v>1607.0</v>
      </c>
      <c r="B1609" s="3" t="s">
        <v>1610</v>
      </c>
      <c r="C1609" s="3" t="str">
        <f>IFERROR(__xludf.DUMMYFUNCTION("GOOGLETRANSLATE(B1609,""id"",""en"")"),"['Network', 'Telksel', 'Village', 'Simangap', 'County', 'Padang', 'Lawas',' North ',' Access', 'Sometimes',' Connected ',' Disconnect ',' Access', 'Please', 'Improvement', 'Provider']")</f>
        <v>['Network', 'Telksel', 'Village', 'Simangap', 'County', 'Padang', 'Lawas',' North ',' Access', 'Sometimes',' Connected ',' Disconnect ',' Access', 'Please', 'Improvement', 'Provider']</v>
      </c>
      <c r="D1609" s="3">
        <v>2.0</v>
      </c>
    </row>
    <row r="1610" ht="15.75" customHeight="1">
      <c r="A1610" s="1">
        <v>1608.0</v>
      </c>
      <c r="B1610" s="3" t="s">
        <v>1611</v>
      </c>
      <c r="C1610" s="3" t="str">
        <f>IFERROR(__xludf.DUMMYFUNCTION("GOOGLETRANSLATE(B1610,""id"",""en"")"),"['Telkomsel', 'Anzengg', 'Bangett', 'swear', 'Naek', 'Blood', 'Maen', 'right', 'near', 'Turet', 'like', 'Nge', ' lag ',' right ',' near ',' turet ',' mulu ',' nge ',' lag ',' telkom ',' signal ',' like ',' edge ']")</f>
        <v>['Telkomsel', 'Anzengg', 'Bangett', 'swear', 'Naek', 'Blood', 'Maen', 'right', 'near', 'Turet', 'like', 'Nge', ' lag ',' right ',' near ',' turet ',' mulu ',' nge ',' lag ',' telkom ',' signal ',' like ',' edge ']</v>
      </c>
      <c r="D1610" s="3">
        <v>1.0</v>
      </c>
    </row>
    <row r="1611" ht="15.75" customHeight="1">
      <c r="A1611" s="1">
        <v>1609.0</v>
      </c>
      <c r="B1611" s="3" t="s">
        <v>1612</v>
      </c>
      <c r="C1611" s="3" t="str">
        <f>IFERROR(__xludf.DUMMYFUNCTION("GOOGLETRANSLATE(B1611,""id"",""en"")"),"['Telkomsel', 'Threat', 'Paraaah', 'Fire', 'Safe', 'Hard', 'Mintak', 'Ampuun', 'How', 'Please', 'Repaired', 'Quality', ' Sinyal ',' Kmaren ',' Different ',' User ',' Disappointed ',' Place ',' ']")</f>
        <v>['Telkomsel', 'Threat', 'Paraaah', 'Fire', 'Safe', 'Hard', 'Mintak', 'Ampuun', 'How', 'Please', 'Repaired', 'Quality', ' Sinyal ',' Kmaren ',' Different ',' User ',' Disappointed ',' Place ',' ']</v>
      </c>
      <c r="D1611" s="3">
        <v>1.0</v>
      </c>
    </row>
    <row r="1612" ht="15.75" customHeight="1">
      <c r="A1612" s="1">
        <v>1610.0</v>
      </c>
      <c r="B1612" s="3" t="s">
        <v>1613</v>
      </c>
      <c r="C1612" s="3" t="str">
        <f>IFERROR(__xludf.DUMMYFUNCTION("GOOGLETRANSLATE(B1612,""id"",""en"")"),"['Please', 'offer', 'card', 'Hallo', 'told', 'detail', 'advantages',' drawback ',' promotion ',' given ',' Benefit ',' bill ',' already ',' changed ',' card ',' people ',' lay ',' what ',' critical ',' yesiya ',' people ',' harmed ', ""]")</f>
        <v>['Please', 'offer', 'card', 'Hallo', 'told', 'detail', 'advantages',' drawback ',' promotion ',' given ',' Benefit ',' bill ',' already ',' changed ',' card ',' people ',' lay ',' what ',' critical ',' yesiya ',' people ',' harmed ', "]</v>
      </c>
      <c r="D1612" s="3">
        <v>1.0</v>
      </c>
    </row>
    <row r="1613" ht="15.75" customHeight="1">
      <c r="A1613" s="1">
        <v>1611.0</v>
      </c>
      <c r="B1613" s="3" t="s">
        <v>1614</v>
      </c>
      <c r="C1613" s="3" t="str">
        <f>IFERROR(__xludf.DUMMYFUNCTION("GOOGLETRANSLATE(B1613,""id"",""en"")"),"['Please', 'send', 'photo', 'love', 'proof', 'quota', 'combo', 'omg', 'bonus',' voice ',' tsel ',' minutes', ' Description ',' Below ',' Minutes', 'Corrupt', 'Aware', 'Already', 'Subscriptions',' Honest ',' Loss', 'Paketan', 'Telkomsel', 'already', 'expen"&amp;"sive' , 'Error', 'already', 'like', 'I think', 'Change', 'number', 'Abis', 'Gini', ""]")</f>
        <v>['Please', 'send', 'photo', 'love', 'proof', 'quota', 'combo', 'omg', 'bonus',' voice ',' tsel ',' minutes', ' Description ',' Below ',' Minutes', 'Corrupt', 'Aware', 'Already', 'Subscriptions',' Honest ',' Loss', 'Paketan', 'Telkomsel', 'already', 'expensive' , 'Error', 'already', 'like', 'I think', 'Change', 'number', 'Abis', 'Gini', "]</v>
      </c>
      <c r="D1613" s="3">
        <v>1.0</v>
      </c>
    </row>
    <row r="1614" ht="15.75" customHeight="1">
      <c r="A1614" s="1">
        <v>1612.0</v>
      </c>
      <c r="B1614" s="3" t="s">
        <v>1615</v>
      </c>
      <c r="C1614" s="3" t="str">
        <f>IFERROR(__xludf.DUMMYFUNCTION("GOOGLETRANSLATE(B1614,""id"",""en"")"),"['pulse', 'missing', 'right', 'check', 'expenditure', 'expenditure', 'internet', 'quota', 'smart', 'Telkomsel', 'looked', 'profit', ' The point is', 'nyetok', 'credit', 'Telkomsel', 'Gerus',' little ',' a little ',' quota ', ""]")</f>
        <v>['pulse', 'missing', 'right', 'check', 'expenditure', 'expenditure', 'internet', 'quota', 'smart', 'Telkomsel', 'looked', 'profit', ' The point is', 'nyetok', 'credit', 'Telkomsel', 'Gerus',' little ',' a little ',' quota ', "]</v>
      </c>
      <c r="D1614" s="3">
        <v>1.0</v>
      </c>
    </row>
    <row r="1615" ht="15.75" customHeight="1">
      <c r="A1615" s="1">
        <v>1613.0</v>
      </c>
      <c r="B1615" s="3" t="s">
        <v>1616</v>
      </c>
      <c r="C1615" s="3" t="str">
        <f>IFERROR(__xludf.DUMMYFUNCTION("GOOGLETRANSLATE(B1615,""id"",""en"")"),"['fertilier', 'slow', 'network', 'signal', 'Full', 'muter', 'muter', 'watch', 'youtube', 'stay', 'dipdng', 'city', ' Telkomsel ',' network ',' already ',' broad ',' Sekai ',' slow ',' open ',' muter ',' muter ',' keep ',' send ',' nyampe ',' open ' , 'Vid"&amp;"eo', 'forgiveness',' deh ',' please ',' Telkomsel ',' network ',' city ',' pdng ',' direction ',' coffer ',' fix ',' thank you ',' ']")</f>
        <v>['fertilier', 'slow', 'network', 'signal', 'Full', 'muter', 'muter', 'watch', 'youtube', 'stay', 'dipdng', 'city', ' Telkomsel ',' network ',' already ',' broad ',' Sekai ',' slow ',' open ',' muter ',' muter ',' keep ',' send ',' nyampe ',' open ' , 'Video', 'forgiveness',' deh ',' please ',' Telkomsel ',' network ',' city ',' pdng ',' direction ',' coffer ',' fix ',' thank you ',' ']</v>
      </c>
      <c r="D1615" s="3">
        <v>2.0</v>
      </c>
    </row>
    <row r="1616" ht="15.75" customHeight="1">
      <c r="A1616" s="1">
        <v>1614.0</v>
      </c>
      <c r="B1616" s="3" t="s">
        <v>1617</v>
      </c>
      <c r="C1616" s="3" t="str">
        <f>IFERROR(__xludf.DUMMYFUNCTION("GOOGLETRANSLATE(B1616,""id"",""en"")"),"['Package', 'Game', 'Min', 'Nda', 'already', 'Try', 'Normal', 'Rame', 'really', 'Nambah', 'user', 'Telkomsel', ' Guaranteed ',' min ']")</f>
        <v>['Package', 'Game', 'Min', 'Nda', 'already', 'Try', 'Normal', 'Rame', 'really', 'Nambah', 'user', 'Telkomsel', ' Guaranteed ',' min ']</v>
      </c>
      <c r="D1616" s="3">
        <v>4.0</v>
      </c>
    </row>
    <row r="1617" ht="15.75" customHeight="1">
      <c r="A1617" s="1">
        <v>1615.0</v>
      </c>
      <c r="B1617" s="3" t="s">
        <v>1618</v>
      </c>
      <c r="C1617" s="3" t="str">
        <f>IFERROR(__xludf.DUMMYFUNCTION("GOOGLETRANSLATE(B1617,""id"",""en"")"),"['', 'Design', 'version', 'the latest', 'Lebai', 'slow', 'forgiveness', 'blockkk', 'convenience', 'service', 'bkn', 'display']")</f>
        <v>['', 'Design', 'version', 'the latest', 'Lebai', 'slow', 'forgiveness', 'blockkk', 'convenience', 'service', 'bkn', 'display']</v>
      </c>
      <c r="D1617" s="3">
        <v>2.0</v>
      </c>
    </row>
    <row r="1618" ht="15.75" customHeight="1">
      <c r="A1618" s="1">
        <v>1616.0</v>
      </c>
      <c r="B1618" s="3" t="s">
        <v>1619</v>
      </c>
      <c r="C1618" s="3" t="str">
        <f>IFERROR(__xludf.DUMMYFUNCTION("GOOGLETRANSLATE(B1618,""id"",""en"")"),"['Please', 'Enhanced', 'Quality', 'Network', 'in the area', 'Telaga', 'Mas',' Kec ',' hope ',' Bekasi ',' North ',' internet ',' empty ',' signal ',' bar ',' thank you ',' hope ',' fast ',' responded ',' repaired ',' ']")</f>
        <v>['Please', 'Enhanced', 'Quality', 'Network', 'in the area', 'Telaga', 'Mas',' Kec ',' hope ',' Bekasi ',' North ',' internet ',' empty ',' signal ',' bar ',' thank you ',' hope ',' fast ',' responded ',' repaired ',' ']</v>
      </c>
      <c r="D1618" s="3">
        <v>1.0</v>
      </c>
    </row>
    <row r="1619" ht="15.75" customHeight="1">
      <c r="A1619" s="1">
        <v>1617.0</v>
      </c>
      <c r="B1619" s="3" t="s">
        <v>1620</v>
      </c>
      <c r="C1619" s="3" t="str">
        <f>IFERROR(__xludf.DUMMYFUNCTION("GOOGLETRANSLATE(B1619,""id"",""en"")"),"['friend', 'friend', 'use', 'Telkomsel', 'please', 'be careful', 'heart', 'promo', 'cheerful', 'try', 'pulse', 'rupiah', ' pulses', 'data', 'turned on', 'network', 'change', 'change', 'change', 'repeat', 'reset', 'pulse', 'bablas',' remain ',' smart ' , '"&amp;"System', '']")</f>
        <v>['friend', 'friend', 'use', 'Telkomsel', 'please', 'be careful', 'heart', 'promo', 'cheerful', 'try', 'pulse', 'rupiah', ' pulses', 'data', 'turned on', 'network', 'change', 'change', 'change', 'repeat', 'reset', 'pulse', 'bablas',' remain ',' smart ' , 'System', '']</v>
      </c>
      <c r="D1619" s="3">
        <v>1.0</v>
      </c>
    </row>
    <row r="1620" ht="15.75" customHeight="1">
      <c r="A1620" s="1">
        <v>1618.0</v>
      </c>
      <c r="B1620" s="3" t="s">
        <v>1621</v>
      </c>
      <c r="C1620" s="3" t="str">
        <f>IFERROR(__xludf.DUMMYFUNCTION("GOOGLETRANSLATE(B1620,""id"",""en"")"),"['good', 'pulse', 'point', 'Telkomsel', 'exchanged', 'pulse', 'package', 'data', 'admin', 'sediain', 'offline', 'user', ' Maximizing ',' Points', 'Used', 'Crisis',' Package ',' Data ',' Finance ',' ']")</f>
        <v>['good', 'pulse', 'point', 'Telkomsel', 'exchanged', 'pulse', 'package', 'data', 'admin', 'sediain', 'offline', 'user', ' Maximizing ',' Points', 'Used', 'Crisis',' Package ',' Data ',' Finance ',' ']</v>
      </c>
      <c r="D1620" s="3">
        <v>3.0</v>
      </c>
    </row>
    <row r="1621" ht="15.75" customHeight="1">
      <c r="A1621" s="1">
        <v>1619.0</v>
      </c>
      <c r="B1621" s="3" t="s">
        <v>1622</v>
      </c>
      <c r="C1621" s="3" t="str">
        <f>IFERROR(__xludf.DUMMYFUNCTION("GOOGLETRANSLATE(B1621,""id"",""en"")"),"['Application', 'fraud', 'Yesterday', 'buy', 'quota', 'lap', 'game', 'application', 'dipake', 'complain', 'tsel', 'caused', ' have ',' quota ',' regular ',' buy ',' package ',' details', 'package', 'printed', 'has',' quota ',' regular ',' consumer ',' Mis"&amp;"sa ' , 'harmed', ""]")</f>
        <v>['Application', 'fraud', 'Yesterday', 'buy', 'quota', 'lap', 'game', 'application', 'dipake', 'complain', 'tsel', 'caused', ' have ',' quota ',' regular ',' buy ',' package ',' details', 'package', 'printed', 'has',' quota ',' regular ',' consumer ',' Missa ' , 'harmed', "]</v>
      </c>
      <c r="D1621" s="3">
        <v>1.0</v>
      </c>
    </row>
    <row r="1622" ht="15.75" customHeight="1">
      <c r="A1622" s="1">
        <v>1620.0</v>
      </c>
      <c r="B1622" s="3" t="s">
        <v>1623</v>
      </c>
      <c r="C1622" s="3" t="str">
        <f>IFERROR(__xludf.DUMMYFUNCTION("GOOGLETRANSLATE(B1622,""id"",""en"")"),"['application', 'bangse', 'quota', 'main', 'run out', 'notif', 'skali', 'as a result', 'pulse', 'shocking', 'bangse', 'right', ' APK ',' Quality ',' Uninstall ',' Move ',' Next to ',' Bye ', ""]")</f>
        <v>['application', 'bangse', 'quota', 'main', 'run out', 'notif', 'skali', 'as a result', 'pulse', 'shocking', 'bangse', 'right', ' APK ',' Quality ',' Uninstall ',' Move ',' Next to ',' Bye ', "]</v>
      </c>
      <c r="D1622" s="3">
        <v>1.0</v>
      </c>
    </row>
    <row r="1623" ht="15.75" customHeight="1">
      <c r="A1623" s="1">
        <v>1621.0</v>
      </c>
      <c r="B1623" s="3" t="s">
        <v>1624</v>
      </c>
      <c r="C1623" s="3" t="str">
        <f>IFERROR(__xludf.DUMMYFUNCTION("GOOGLETRANSLATE(B1623,""id"",""en"")"),"['parahhhhh', 'buy', 'package', 'combo', 'Sakti', 'payment', 'pulse', 'okay', 'dibales',' ehh ',' taunya ',' packetan ',' The internet ',' in ',' AHIR ',' Credit ',' Sumpot ',' Lost ',' After "", 'Severe', 'Reply', 'Successful', 'Centag', 'Green', 'Enter'"&amp;" , '']")</f>
        <v>['parahhhhh', 'buy', 'package', 'combo', 'Sakti', 'payment', 'pulse', 'okay', 'dibales',' ehh ',' taunya ',' packetan ',' The internet ',' in ',' AHIR ',' Credit ',' Sumpot ',' Lost ',' After ", 'Severe', 'Reply', 'Successful', 'Centag', 'Green', 'Enter' , '']</v>
      </c>
      <c r="D1623" s="3">
        <v>1.0</v>
      </c>
    </row>
    <row r="1624" ht="15.75" customHeight="1">
      <c r="A1624" s="1">
        <v>1622.0</v>
      </c>
      <c r="B1624" s="3" t="s">
        <v>1625</v>
      </c>
      <c r="C1624" s="3" t="str">
        <f>IFERROR(__xludf.DUMMYFUNCTION("GOOGLETRANSLATE(B1624,""id"",""en"")"),"['Sorry', 'Forced', 'Post', 'Karn', 'Complaints',' Constraints', 'Activation', 'Service', 'GPRS', 'Bikedris',' Hub ',' Via ',' telegram ',' can ',' words', 'please', 'waiting', 'ranggal', 'August', 'report', 'in the past', 'pandemic', 'gini', 'convenience"&amp;"', 'complicated' , 'regret', 'service', 'Telkomsel', '']")</f>
        <v>['Sorry', 'Forced', 'Post', 'Karn', 'Complaints',' Constraints', 'Activation', 'Service', 'GPRS', 'Bikedris',' Hub ',' Via ',' telegram ',' can ',' words', 'please', 'waiting', 'ranggal', 'August', 'report', 'in the past', 'pandemic', 'gini', 'convenience', 'complicated' , 'regret', 'service', 'Telkomsel', '']</v>
      </c>
      <c r="D1624" s="3">
        <v>1.0</v>
      </c>
    </row>
    <row r="1625" ht="15.75" customHeight="1">
      <c r="A1625" s="1">
        <v>1623.0</v>
      </c>
      <c r="B1625" s="3" t="s">
        <v>1626</v>
      </c>
      <c r="C1625" s="3" t="str">
        <f>IFERROR(__xludf.DUMMYFUNCTION("GOOGLETRANSLATE(B1625,""id"",""en"")"),"['best', 'Telkomsel', 'skrg', 'fox', 'gave', 'star', 'skrg', 'easy', 'app', 'skrg', 'meloding', 'trima', ' Love ',' Telkomsel ',' responds', 'input', 'Hopefully', 'Defend', 'Forward', 'Anyway', 'Assessment', 'Positive', 'Deh', 'Telkomsel', 'Good' , '']")</f>
        <v>['best', 'Telkomsel', 'skrg', 'fox', 'gave', 'star', 'skrg', 'easy', 'app', 'skrg', 'meloding', 'trima', ' Love ',' Telkomsel ',' responds', 'input', 'Hopefully', 'Defend', 'Forward', 'Anyway', 'Assessment', 'Positive', 'Deh', 'Telkomsel', 'Good' , '']</v>
      </c>
      <c r="D1625" s="3">
        <v>5.0</v>
      </c>
    </row>
    <row r="1626" ht="15.75" customHeight="1">
      <c r="A1626" s="1">
        <v>1624.0</v>
      </c>
      <c r="B1626" s="3" t="s">
        <v>1627</v>
      </c>
      <c r="C1626" s="3" t="str">
        <f>IFERROR(__xludf.DUMMYFUNCTION("GOOGLETRANSLATE(B1626,""id"",""en"")"),"['telkontel', 'garbage', 'UDH', 'quota', 'expensive', 'dipake', 'centered', 'city', 'play', 'game', 'ping', 'down', ' ckckckc ',' garbage ',' rubbish ',' feature ',' features', 'need', 'quota', 'omg', 'omg', 'bang', 'at', 'understand', 'need' , 'Kuotaaaa'"&amp;", 'signal', 'Perbagussss', 'DongterLalu', 'expensive', 'era', 'pandemic', 'money', 'all-round', 'internet', 'Please', 'Cheap' Telkomsel ',' Jajah ',' Country ']")</f>
        <v>['telkontel', 'garbage', 'UDH', 'quota', 'expensive', 'dipake', 'centered', 'city', 'play', 'game', 'ping', 'down', ' ckckckc ',' garbage ',' rubbish ',' feature ',' features', 'need', 'quota', 'omg', 'omg', 'bang', 'at', 'understand', 'need' , 'Kuotaaaa', 'signal', 'Perbagussss', 'DongterLalu', 'expensive', 'era', 'pandemic', 'money', 'all-round', 'internet', 'Please', 'Cheap' Telkomsel ',' Jajah ',' Country ']</v>
      </c>
      <c r="D1626" s="3">
        <v>1.0</v>
      </c>
    </row>
    <row r="1627" ht="15.75" customHeight="1">
      <c r="A1627" s="1">
        <v>1625.0</v>
      </c>
      <c r="B1627" s="3" t="s">
        <v>1628</v>
      </c>
      <c r="C1627" s="3" t="str">
        <f>IFERROR(__xludf.DUMMYFUNCTION("GOOGLETRANSLATE(B1627,""id"",""en"")"),"['package', 'doang', 'expensive', 'quality', 'bad', 'network', 'lag', 'severe', 'mnding', 'replace', 'operator', 'lazy', ' Telkom ',' ']")</f>
        <v>['package', 'doang', 'expensive', 'quality', 'bad', 'network', 'lag', 'severe', 'mnding', 'replace', 'operator', 'lazy', ' Telkom ',' ']</v>
      </c>
      <c r="D1627" s="3">
        <v>1.0</v>
      </c>
    </row>
    <row r="1628" ht="15.75" customHeight="1">
      <c r="A1628" s="1">
        <v>1626.0</v>
      </c>
      <c r="B1628" s="3" t="s">
        <v>1629</v>
      </c>
      <c r="C1628" s="3" t="str">
        <f>IFERROR(__xludf.DUMMYFUNCTION("GOOGLETRANSLATE(B1628,""id"",""en"")"),"['input', 'sub-district', 'appeared', 'sub-district', 'district', 'bandung', 'try', 'complete', 'edited', 'edited', 'manual', ' address', 'please', 'fix', 'the application']")</f>
        <v>['input', 'sub-district', 'appeared', 'sub-district', 'district', 'bandung', 'try', 'complete', 'edited', 'edited', 'manual', ' address', 'please', 'fix', 'the application']</v>
      </c>
      <c r="D1628" s="3">
        <v>1.0</v>
      </c>
    </row>
    <row r="1629" ht="15.75" customHeight="1">
      <c r="A1629" s="1">
        <v>1627.0</v>
      </c>
      <c r="B1629" s="3" t="s">
        <v>1630</v>
      </c>
      <c r="C1629" s="3" t="str">
        <f>IFERROR(__xludf.DUMMYFUNCTION("GOOGLETRANSLATE(B1629,""id"",""en"")"),"['Telkomsel', 'knpa', 'balance', 'pulse', 'printed', 'according to', 'contents',' fill ',' buy ',' quota ',' balance ',' printed ',' Fill ',' knpa ',' balance ',' pulse ',' lose ',' kapok ',' fix ',' replace ']")</f>
        <v>['Telkomsel', 'knpa', 'balance', 'pulse', 'printed', 'according to', 'contents',' fill ',' buy ',' quota ',' balance ',' printed ',' Fill ',' knpa ',' balance ',' pulse ',' lose ',' kapok ',' fix ',' replace ']</v>
      </c>
      <c r="D1629" s="3">
        <v>1.0</v>
      </c>
    </row>
    <row r="1630" ht="15.75" customHeight="1">
      <c r="A1630" s="1">
        <v>1628.0</v>
      </c>
      <c r="B1630" s="3" t="s">
        <v>1631</v>
      </c>
      <c r="C1630" s="3" t="str">
        <f>IFERROR(__xludf.DUMMYFUNCTION("GOOGLETRANSLATE(B1630,""id"",""en"")"),"['update', 'the application', 'no', 'buy', 'data', 'try', 'tens',' times', 'update', 'try', 'right', 'please', ' Update ',' corrected ']")</f>
        <v>['update', 'the application', 'no', 'buy', 'data', 'try', 'tens',' times', 'update', 'try', 'right', 'please', ' Update ',' corrected ']</v>
      </c>
      <c r="D1630" s="3">
        <v>1.0</v>
      </c>
    </row>
    <row r="1631" ht="15.75" customHeight="1">
      <c r="A1631" s="1">
        <v>1629.0</v>
      </c>
      <c r="B1631" s="3" t="s">
        <v>1632</v>
      </c>
      <c r="C1631" s="3" t="str">
        <f>IFERROR(__xludf.DUMMYFUNCTION("GOOGLETRANSLATE(B1631,""id"",""en"")"),"['Telkomsel', 'emang', 'best', 'related', 'network', 'service', 'shortcomings',' network ',' stable ',' home ',' submitting ',' point ',' Choice ',' Game ',' Online ',' Hopefully ',' In the future ',' Telkomsel ',' Maximizing ',' Quality ',' Network ',' P"&amp;"resent ',' Exchange ',' Points', 'Purchase' , 'Voucher', 'game', 'online', 'awaited', 'Telkomsel', 'loyal', 'repair', 'hope', 'outpouring', 'user', 'listen', ' Pagilukan ',' Aamiin ',' ']")</f>
        <v>['Telkomsel', 'emang', 'best', 'related', 'network', 'service', 'shortcomings',' network ',' stable ',' home ',' submitting ',' point ',' Choice ',' Game ',' Online ',' Hopefully ',' In the future ',' Telkomsel ',' Maximizing ',' Quality ',' Network ',' Present ',' Exchange ',' Points', 'Purchase' , 'Voucher', 'game', 'online', 'awaited', 'Telkomsel', 'loyal', 'repair', 'hope', 'outpouring', 'user', 'listen', ' Pagilukan ',' Aamiin ',' ']</v>
      </c>
      <c r="D1631" s="3">
        <v>5.0</v>
      </c>
    </row>
    <row r="1632" ht="15.75" customHeight="1">
      <c r="A1632" s="1">
        <v>1630.0</v>
      </c>
      <c r="B1632" s="3" t="s">
        <v>1633</v>
      </c>
      <c r="C1632" s="3" t="str">
        <f>IFERROR(__xludf.DUMMYFUNCTION("GOOGLETRANSLATE(B1632,""id"",""en"")"),"['oath', 'application', 'update', 'sure', 'error', 'application', 'sampek', 'oath', 'application', 'ugly', 'har', 'update', ' Stale ',' expiration ',' Errorr ',' bug ',' ']")</f>
        <v>['oath', 'application', 'update', 'sure', 'error', 'application', 'sampek', 'oath', 'application', 'ugly', 'har', 'update', ' Stale ',' expiration ',' Errorr ',' bug ',' ']</v>
      </c>
      <c r="D1632" s="3">
        <v>1.0</v>
      </c>
    </row>
    <row r="1633" ht="15.75" customHeight="1">
      <c r="A1633" s="1">
        <v>1631.0</v>
      </c>
      <c r="B1633" s="3" t="s">
        <v>1634</v>
      </c>
      <c r="C1633" s="3" t="str">
        <f>IFERROR(__xludf.DUMMYFUNCTION("GOOGLETRANSLATE(B1633,""id"",""en"")"),"['quota', 'just', 'ama', 'youtube', 'doang', 'knapa', 'pulse', 'cheek', 'check', 'data', 'ama', 'send', ' Reports', 'told', 'Wait', 'then', 'how', 'buy', 'Package', 'Credit', 'Cut', 'ugly', 'Telkomsel', ""]")</f>
        <v>['quota', 'just', 'ama', 'youtube', 'doang', 'knapa', 'pulse', 'cheek', 'check', 'data', 'ama', 'send', ' Reports', 'told', 'Wait', 'then', 'how', 'buy', 'Package', 'Credit', 'Cut', 'ugly', 'Telkomsel', "]</v>
      </c>
      <c r="D1633" s="3">
        <v>1.0</v>
      </c>
    </row>
    <row r="1634" ht="15.75" customHeight="1">
      <c r="A1634" s="1">
        <v>1632.0</v>
      </c>
      <c r="B1634" s="3" t="s">
        <v>1635</v>
      </c>
      <c r="C1634" s="3" t="str">
        <f>IFERROR(__xludf.DUMMYFUNCTION("GOOGLETRANSLATE(B1634,""id"",""en"")"),"['package', 'cesapat', 'abis',' download ',' padhal ',' sesui ',' capacity ',' download ',' sample ',' download ',' file ',' Quota ',' Masi ',' GB ',' Download ',' Road ',' GB ',' File ',' right ',' check ',' bonus ',' quota ',' already ',' Toll "" , 'fir"&amp;"st', 'GB', 'risk', 'failed', 'download', 'directly', 'ilang', 'bonus',' GB ',' essence ',' Tatik ',' first ',' quota ',' internet ',' sef seblum ',' finished ',' download ',' downloader ',' jama ',' samepe ',' skarang ',' change ']")</f>
        <v>['package', 'cesapat', 'abis',' download ',' padhal ',' sesui ',' capacity ',' download ',' sample ',' download ',' file ',' Quota ',' Masi ',' GB ',' Download ',' Road ',' GB ',' File ',' right ',' check ',' bonus ',' quota ',' already ',' Toll " , 'first', 'GB', 'risk', 'failed', 'download', 'directly', 'ilang', 'bonus',' GB ',' essence ',' Tatik ',' first ',' quota ',' internet ',' sef seblum ',' finished ',' download ',' downloader ',' jama ',' samepe ',' skarang ',' change ']</v>
      </c>
      <c r="D1634" s="3">
        <v>1.0</v>
      </c>
    </row>
    <row r="1635" ht="15.75" customHeight="1">
      <c r="A1635" s="1">
        <v>1633.0</v>
      </c>
      <c r="B1635" s="3" t="s">
        <v>1636</v>
      </c>
      <c r="C1635" s="3" t="str">
        <f>IFERROR(__xludf.DUMMYFUNCTION("GOOGLETRANSLATE(B1635,""id"",""en"")"),"['Please', 'fix', 'price', 'package', 'expensive', 'north', 'expensive', 'baget', 'change', 'card', 'please', 'down', ' price ',' package ',' next door ',' cheap ',' just ',' clock ',' as well ',' comfortable ',' sympathy ',' pandemic ',' search ',' money"&amp;" ',' difficult ' , 'please', 'collapse', 'price', 'yaa', '']")</f>
        <v>['Please', 'fix', 'price', 'package', 'expensive', 'north', 'expensive', 'baget', 'change', 'card', 'please', 'down', ' price ',' package ',' next door ',' cheap ',' just ',' clock ',' as well ',' comfortable ',' sympathy ',' pandemic ',' search ',' money ',' difficult ' , 'please', 'collapse', 'price', 'yaa', '']</v>
      </c>
      <c r="D1635" s="3">
        <v>5.0</v>
      </c>
    </row>
    <row r="1636" ht="15.75" customHeight="1">
      <c r="A1636" s="1">
        <v>1634.0</v>
      </c>
      <c r="B1636" s="3" t="s">
        <v>1637</v>
      </c>
      <c r="C1636" s="3" t="str">
        <f>IFERROR(__xludf.DUMMYFUNCTION("GOOGLETRANSLATE(B1636,""id"",""en"")"),"['', 'need', 'guarantee', 'stability', 'signal', 'Telkomsel', 'signal', 'down', 'Mulu', 'dream', 'fast', 'wake up', 'conscious ',' reality ',' conditions', 'state', 'aspects',' ego ',' lust ',' see ',' state ',' money ', ""]")</f>
        <v>['', 'need', 'guarantee', 'stability', 'signal', 'Telkomsel', 'signal', 'down', 'Mulu', 'dream', 'fast', 'wake up', 'conscious ',' reality ',' conditions', 'state', 'aspects',' ego ',' lust ',' see ',' state ',' money ', "]</v>
      </c>
      <c r="D1636" s="3">
        <v>2.0</v>
      </c>
    </row>
    <row r="1637" ht="15.75" customHeight="1">
      <c r="A1637" s="1">
        <v>1635.0</v>
      </c>
      <c r="B1637" s="3" t="s">
        <v>1638</v>
      </c>
      <c r="C1637" s="3" t="str">
        <f>IFERROR(__xludf.DUMMYFUNCTION("GOOGLETRANSLATE(B1637,""id"",""en"")"),"['', 'garbage', 'telkosel', 'tasty', 'signal', 'smooth', 'game', 'like', 'jumping', 'package', 'doang', 'expensive', 'signal ', 'rubbish']")</f>
        <v>['', 'garbage', 'telkosel', 'tasty', 'signal', 'smooth', 'game', 'like', 'jumping', 'package', 'doang', 'expensive', 'signal ', 'rubbish']</v>
      </c>
      <c r="D1637" s="3">
        <v>1.0</v>
      </c>
    </row>
    <row r="1638" ht="15.75" customHeight="1">
      <c r="A1638" s="1">
        <v>1636.0</v>
      </c>
      <c r="B1638" s="3" t="s">
        <v>1639</v>
      </c>
      <c r="C1638" s="3" t="str">
        <f>IFERROR(__xludf.DUMMYFUNCTION("GOOGLETRANSLATE(B1638,""id"",""en"")"),"['Disappointed', 'Customer', 'Telkomsel', 'Package', 'Subscriptions',' Internet ',' OMG ',' GB ',' Expensive ',' Price ',' Customer ',' Buy ',' Promo ',' LBH ',' Glooms', 'SMKN', 'MISTRALAN', 'Network', 'skrg', 'tired', 'alias',' Lola ',' Loading ', ""]")</f>
        <v>['Disappointed', 'Customer', 'Telkomsel', 'Package', 'Subscriptions',' Internet ',' OMG ',' GB ',' Expensive ',' Price ',' Customer ',' Buy ',' Promo ',' LBH ',' Glooms', 'SMKN', 'MISTRALAN', 'Network', 'skrg', 'tired', 'alias',' Lola ',' Loading ', "]</v>
      </c>
      <c r="D1638" s="3">
        <v>1.0</v>
      </c>
    </row>
    <row r="1639" ht="15.75" customHeight="1">
      <c r="A1639" s="1">
        <v>1637.0</v>
      </c>
      <c r="B1639" s="3" t="s">
        <v>1640</v>
      </c>
      <c r="C1639" s="3" t="str">
        <f>IFERROR(__xludf.DUMMYFUNCTION("GOOGLETRANSLATE(B1639,""id"",""en"")"),"['Severe', 'package', 'internet', 'pulse', 'sucked', 'report', 'misused', 'network', 'responsibility', 'network', ""]")</f>
        <v>['Severe', 'package', 'internet', 'pulse', 'sucked', 'report', 'misused', 'network', 'responsibility', 'network', "]</v>
      </c>
      <c r="D1639" s="3">
        <v>1.0</v>
      </c>
    </row>
    <row r="1640" ht="15.75" customHeight="1">
      <c r="A1640" s="1">
        <v>1638.0</v>
      </c>
      <c r="B1640" s="3" t="s">
        <v>1641</v>
      </c>
      <c r="C1640" s="3" t="str">
        <f>IFERROR(__xludf.DUMMYFUNCTION("GOOGLETRANSLATE(B1640,""id"",""en"")"),"['open', 'app', 'Telkomsel', 'check', 'quota', 'feeling', 'quota', 'slow', 'data', 'telkomsel', 'check', 'notif', ' Sorry ',' request ',' process', 'Pantes',' Network ',' Full ',' Lemott ',' Wow ',' Gini ',' Telkomsel ',' user ',' Fix ',' fix ' , 'Move', "&amp;"'Indosat', 'IM', 'Save', 'Network', 'Setabil', 'Thank', 'Love']")</f>
        <v>['open', 'app', 'Telkomsel', 'check', 'quota', 'feeling', 'quota', 'slow', 'data', 'telkomsel', 'check', 'notif', ' Sorry ',' request ',' process', 'Pantes',' Network ',' Full ',' Lemott ',' Wow ',' Gini ',' Telkomsel ',' user ',' Fix ',' fix ' , 'Move', 'Indosat', 'IM', 'Save', 'Network', 'Setabil', 'Thank', 'Love']</v>
      </c>
      <c r="D1640" s="3">
        <v>1.0</v>
      </c>
    </row>
    <row r="1641" ht="15.75" customHeight="1">
      <c r="A1641" s="1">
        <v>1639.0</v>
      </c>
      <c r="B1641" s="3" t="s">
        <v>1642</v>
      </c>
      <c r="C1641" s="3" t="str">
        <f>IFERROR(__xludf.DUMMYFUNCTION("GOOGLETRANSLATE(B1641,""id"",""en"")"),"['customer', 'choice', 'package', 'internet', 'expensive', 'expensive', 'customer', 'register', 'cheap', 'cheap', 'pilihat', 'package', ' internet ',' disappointed ',' I ',' already ',' th ',' expensive ',' really ',' choice ',' package ']")</f>
        <v>['customer', 'choice', 'package', 'internet', 'expensive', 'expensive', 'customer', 'register', 'cheap', 'cheap', 'pilihat', 'package', ' internet ',' disappointed ',' I ',' already ',' th ',' expensive ',' really ',' choice ',' package ']</v>
      </c>
      <c r="D1641" s="3">
        <v>1.0</v>
      </c>
    </row>
    <row r="1642" ht="15.75" customHeight="1">
      <c r="A1642" s="1">
        <v>1640.0</v>
      </c>
      <c r="B1642" s="3" t="s">
        <v>1643</v>
      </c>
      <c r="C1642" s="3" t="str">
        <f>IFERROR(__xludf.DUMMYFUNCTION("GOOGLETRANSLATE(B1642,""id"",""en"")"),"['Bad', 'buy', 'package', 'know', 'use', 'signal', 'bar', 'internet', 'bad', 'used', 'fall', 'action', ' Fraud ',' Telkomsel ',' KPD ',' VELITIONS ',' ']")</f>
        <v>['Bad', 'buy', 'package', 'know', 'use', 'signal', 'bar', 'internet', 'bad', 'used', 'fall', 'action', ' Fraud ',' Telkomsel ',' KPD ',' VELITIONS ',' ']</v>
      </c>
      <c r="D1642" s="3">
        <v>1.0</v>
      </c>
    </row>
    <row r="1643" ht="15.75" customHeight="1">
      <c r="A1643" s="1">
        <v>1641.0</v>
      </c>
      <c r="B1643" s="3" t="s">
        <v>1644</v>
      </c>
      <c r="C1643" s="3" t="str">
        <f>IFERROR(__xludf.DUMMYFUNCTION("GOOGLETRANSLATE(B1643,""id"",""en"")"),"['Please', 'Fix', 'Quality', 'Internet', 'Telkomsel', 'Subdistrict', 'Jirak', 'Jaya', 'Regency', 'Musi', 'Banyuasin', 'Sumsel', ' Alhamdulillah ',' Telkomsel ',' Terbak ', ""]")</f>
        <v>['Please', 'Fix', 'Quality', 'Internet', 'Telkomsel', 'Subdistrict', 'Jirak', 'Jaya', 'Regency', 'Musi', 'Banyuasin', 'Sumsel', ' Alhamdulillah ',' Telkomsel ',' Terbak ', "]</v>
      </c>
      <c r="D1643" s="3">
        <v>4.0</v>
      </c>
    </row>
    <row r="1644" ht="15.75" customHeight="1">
      <c r="A1644" s="1">
        <v>1642.0</v>
      </c>
      <c r="B1644" s="3" t="s">
        <v>1645</v>
      </c>
      <c r="C1644" s="3" t="str">
        <f>IFERROR(__xludf.DUMMYFUNCTION("GOOGLETRANSLATE(B1644,""id"",""en"")"),"['Since', 'Talking', 'Network', 'Leet', 'Severe', 'Please', 'Repaired', 'Server', 'Member', 'Move', 'Provider']")</f>
        <v>['Since', 'Talking', 'Network', 'Leet', 'Severe', 'Please', 'Repaired', 'Server', 'Member', 'Move', 'Provider']</v>
      </c>
      <c r="D1644" s="3">
        <v>2.0</v>
      </c>
    </row>
    <row r="1645" ht="15.75" customHeight="1">
      <c r="A1645" s="1">
        <v>1643.0</v>
      </c>
      <c r="B1645" s="3" t="s">
        <v>1646</v>
      </c>
      <c r="C1645" s="3" t="str">
        <f>IFERROR(__xludf.DUMMYFUNCTION("GOOGLETRANSLATE(B1645,""id"",""en"")"),"['Provider', 'corruptor', 'anjeenk', 'buy', 'package', 'expensive', 'signal', 'missing', 'pdhal', 'stay', 'city', 'emng', ' Kntol ',' Provider ',' Disorders', 'Give', 'Compensation', ""]")</f>
        <v>['Provider', 'corruptor', 'anjeenk', 'buy', 'package', 'expensive', 'signal', 'missing', 'pdhal', 'stay', 'city', 'emng', ' Kntol ',' Provider ',' Disorders', 'Give', 'Compensation', "]</v>
      </c>
      <c r="D1645" s="3">
        <v>1.0</v>
      </c>
    </row>
    <row r="1646" ht="15.75" customHeight="1">
      <c r="A1646" s="1">
        <v>1644.0</v>
      </c>
      <c r="B1646" s="3" t="s">
        <v>1647</v>
      </c>
      <c r="C1646" s="3" t="str">
        <f>IFERROR(__xludf.DUMMYFUNCTION("GOOGLETRANSLATE(B1646,""id"",""en"")"),"['The application', 'broken', 'rich', 'gabisa', 'entry', 'already', 'enter', 'direct', 'kluar', 'gabisa', 'activation', 'package', ' Hopefully ',' in the future ',' APK ',' FIXED ',' Comfortable ',' Used ']")</f>
        <v>['The application', 'broken', 'rich', 'gabisa', 'entry', 'already', 'enter', 'direct', 'kluar', 'gabisa', 'activation', 'package', ' Hopefully ',' in the future ',' APK ',' FIXED ',' Comfortable ',' Used ']</v>
      </c>
      <c r="D1646" s="3">
        <v>1.0</v>
      </c>
    </row>
    <row r="1647" ht="15.75" customHeight="1">
      <c r="A1647" s="1">
        <v>1645.0</v>
      </c>
      <c r="B1647" s="3" t="s">
        <v>1648</v>
      </c>
      <c r="C1647" s="3" t="str">
        <f>IFERROR(__xludf.DUMMYFUNCTION("GOOGLETRANSLATE(B1647,""id"",""en"")"),"['Please', 'repaired', 'signal', 'change', 'Change', 'network', 'at the time', 'price', 'Sultan', 'Quality', 'Low', ""]")</f>
        <v>['Please', 'repaired', 'signal', 'change', 'Change', 'network', 'at the time', 'price', 'Sultan', 'Quality', 'Low', "]</v>
      </c>
      <c r="D1647" s="3">
        <v>1.0</v>
      </c>
    </row>
    <row r="1648" ht="15.75" customHeight="1">
      <c r="A1648" s="1">
        <v>1646.0</v>
      </c>
      <c r="B1648" s="3" t="s">
        <v>1649</v>
      </c>
      <c r="C1648" s="3" t="str">
        <f>IFERROR(__xludf.DUMMYFUNCTION("GOOGLETRANSLATE(B1648,""id"",""en"")"),"['Application', 'Difficult', 'Accessible', 'Log', 'Account', 'Link', 'Accessible', 'Service', 'Help', 'Veronika', 'Accessible', 'Times',' Disappointed ',' application ',' Telkomsel ',' version ']")</f>
        <v>['Application', 'Difficult', 'Accessible', 'Log', 'Account', 'Link', 'Accessible', 'Service', 'Help', 'Veronika', 'Accessible', 'Times',' Disappointed ',' application ',' Telkomsel ',' version ']</v>
      </c>
      <c r="D1648" s="3">
        <v>1.0</v>
      </c>
    </row>
    <row r="1649" ht="15.75" customHeight="1">
      <c r="A1649" s="1">
        <v>1647.0</v>
      </c>
      <c r="B1649" s="3" t="s">
        <v>1650</v>
      </c>
      <c r="C1649" s="3" t="str">
        <f>IFERROR(__xludf.DUMMYFUNCTION("GOOGLETRANSLATE(B1649,""id"",""en"")"),"['gave', 'star', 'below', 'minus',' severe ',' network ',' Telkomsel ',' know ',' lose ',' card ',' next door ',' Catet ',' Admin ',' Thinking ',' Benerin ',' Performance ']")</f>
        <v>['gave', 'star', 'below', 'minus',' severe ',' network ',' Telkomsel ',' know ',' lose ',' card ',' next door ',' Catet ',' Admin ',' Thinking ',' Benerin ',' Performance ']</v>
      </c>
      <c r="D1649" s="3">
        <v>1.0</v>
      </c>
    </row>
    <row r="1650" ht="15.75" customHeight="1">
      <c r="A1650" s="1">
        <v>1648.0</v>
      </c>
      <c r="B1650" s="3" t="s">
        <v>1651</v>
      </c>
      <c r="C1650" s="3" t="str">
        <f>IFERROR(__xludf.DUMMYFUNCTION("GOOGLETRANSLATE(B1650,""id"",""en"")"),"['I', 'already', 'top', 'gopay', 'get', 'discount', 'right', 'click', 'buy', 'pay', 'credit', 'choice', ' Pay ',' use ',' ngeselin ',' I ',' buy ',' package ',' Gopulsa ',' knuiiiii ',' keselllll ']")</f>
        <v>['I', 'already', 'top', 'gopay', 'get', 'discount', 'right', 'click', 'buy', 'pay', 'credit', 'choice', ' Pay ',' use ',' ngeselin ',' I ',' buy ',' package ',' Gopulsa ',' knuiiiii ',' keselllll ']</v>
      </c>
      <c r="D1650" s="3">
        <v>1.0</v>
      </c>
    </row>
    <row r="1651" ht="15.75" customHeight="1">
      <c r="A1651" s="1">
        <v>1649.0</v>
      </c>
      <c r="B1651" s="3" t="s">
        <v>1652</v>
      </c>
      <c r="C1651" s="3" t="str">
        <f>IFERROR(__xludf.DUMMYFUNCTION("GOOGLETRANSLATE(B1651,""id"",""en"")"),"['Quality', 'Signal', 'Telkomsel', 'Region', 'Gedong', 'Setanan', 'County', 'Pesawaran', 'Lampung', 'Bad', 'Signal', 'Operator', ' The quality ',' considered ',' moved ',' operator ',' ']")</f>
        <v>['Quality', 'Signal', 'Telkomsel', 'Region', 'Gedong', 'Setanan', 'County', 'Pesawaran', 'Lampung', 'Bad', 'Signal', 'Operator', ' The quality ',' considered ',' moved ',' operator ',' ']</v>
      </c>
      <c r="D1651" s="3">
        <v>1.0</v>
      </c>
    </row>
    <row r="1652" ht="15.75" customHeight="1">
      <c r="A1652" s="1">
        <v>1650.0</v>
      </c>
      <c r="B1652" s="3" t="s">
        <v>1653</v>
      </c>
      <c r="C1652" s="3" t="str">
        <f>IFERROR(__xludf.DUMMYFUNCTION("GOOGLETRANSLATE(B1652,""id"",""en"")"),"['Telkomsel', 'Badkkkk', 'signal', 'busuuukkk', 'application', 'update', 'failed', 'login', 'application', 'handy', 'price', 'Mahall', ' Quality ',' complaint ',' response ',' response ',' responsible ',' operator ',' operator ',' class', 'Telkomsel', 'ba"&amp;"d', 'compared', 'operator', 'Honest' , 'Review', 'as', 'user', 'service', '']")</f>
        <v>['Telkomsel', 'Badkkkk', 'signal', 'busuuukkk', 'application', 'update', 'failed', 'login', 'application', 'handy', 'price', 'Mahall', ' Quality ',' complaint ',' response ',' response ',' responsible ',' operator ',' operator ',' class', 'Telkomsel', 'bad', 'compared', 'operator', 'Honest' , 'Review', 'as', 'user', 'service', '']</v>
      </c>
      <c r="D1652" s="3">
        <v>1.0</v>
      </c>
    </row>
    <row r="1653" ht="15.75" customHeight="1">
      <c r="A1653" s="1">
        <v>1651.0</v>
      </c>
      <c r="B1653" s="3" t="s">
        <v>1654</v>
      </c>
      <c r="C1653" s="3" t="str">
        <f>IFERROR(__xludf.DUMMYFUNCTION("GOOGLETRANSLATE(B1653,""id"",""en"")"),"['Disney' package, 'free', 'use', 'Telkomsel', 'operator', 'oldest', 'experienced', 'mimin', 'omdo', 'talk', 'doang', ' Love ',' Action ',' ']")</f>
        <v>['Disney' package, 'free', 'use', 'Telkomsel', 'operator', 'oldest', 'experienced', 'mimin', 'omdo', 'talk', 'doang', ' Love ',' Action ',' ']</v>
      </c>
      <c r="D1653" s="3">
        <v>1.0</v>
      </c>
    </row>
    <row r="1654" ht="15.75" customHeight="1">
      <c r="A1654" s="1">
        <v>1652.0</v>
      </c>
      <c r="B1654" s="3" t="s">
        <v>1655</v>
      </c>
      <c r="C1654" s="3" t="str">
        <f>IFERROR(__xludf.DUMMYFUNCTION("GOOGLETRANSLATE(B1654,""id"",""en"")"),"['Sorry', 'offends',' APK ',' please ',' corrected ',' Many ',' times', 'log', 'enter', 'voucher', 'Telkomsel', 'Posts',' system ',' busy ',' beg ',' help ',' fast ',' corrected ',' ']")</f>
        <v>['Sorry', 'offends',' APK ',' please ',' corrected ',' Many ',' times', 'log', 'enter', 'voucher', 'Telkomsel', 'Posts',' system ',' busy ',' beg ',' help ',' fast ',' corrected ',' ']</v>
      </c>
      <c r="D1654" s="3">
        <v>1.0</v>
      </c>
    </row>
    <row r="1655" ht="15.75" customHeight="1">
      <c r="A1655" s="1">
        <v>1653.0</v>
      </c>
      <c r="B1655" s="3" t="s">
        <v>1656</v>
      </c>
      <c r="C1655" s="3" t="str">
        <f>IFERROR(__xludf.DUMMYFUNCTION("GOOGLETRANSLATE(B1655,""id"",""en"")"),"['Telkomsel', 'yesterday', 'entered', 'APK', 'no', 'signal', 'good', 'please', 'fix', 'really', 'error', 'no', ' Open ',' Like ',' Logout ']")</f>
        <v>['Telkomsel', 'yesterday', 'entered', 'APK', 'no', 'signal', 'good', 'please', 'fix', 'really', 'error', 'no', ' Open ',' Like ',' Logout ']</v>
      </c>
      <c r="D1655" s="3">
        <v>1.0</v>
      </c>
    </row>
    <row r="1656" ht="15.75" customHeight="1">
      <c r="A1656" s="1">
        <v>1654.0</v>
      </c>
      <c r="B1656" s="3" t="s">
        <v>1657</v>
      </c>
      <c r="C1656" s="3" t="str">
        <f>IFERROR(__xludf.DUMMYFUNCTION("GOOGLETRANSLATE(B1656,""id"",""en"")"),"['Change', 'loss',' cave ',' buy ',' quota ',' package ',' unlimited ',' game ',' GB ',' internet ',' local ',' GB ',' package ',' GB ',' run out ',' login ',' game ',' unlimited ',' game ',' whole ',' gymna ',' unlimited ',' telkomsel ',' rich ',' card '"&amp;" , 'Lian', 'pokonya', 'replace', 'loss']")</f>
        <v>['Change', 'loss',' cave ',' buy ',' quota ',' package ',' unlimited ',' game ',' GB ',' internet ',' local ',' GB ',' package ',' GB ',' run out ',' login ',' game ',' unlimited ',' game ',' whole ',' gymna ',' unlimited ',' telkomsel ',' rich ',' card ' , 'Lian', 'pokonya', 'replace', 'loss']</v>
      </c>
      <c r="D1656" s="3">
        <v>2.0</v>
      </c>
    </row>
    <row r="1657" ht="15.75" customHeight="1">
      <c r="A1657" s="1">
        <v>1655.0</v>
      </c>
      <c r="B1657" s="3" t="s">
        <v>1658</v>
      </c>
      <c r="C1657" s="3" t="str">
        <f>IFERROR(__xludf.DUMMYFUNCTION("GOOGLETRANSLATE(B1657,""id"",""en"")"),"['Complaints',' Ratting ',' ugly ',' Response ',' Improvement ',' How ',' Want ',' Litu ',' Features', 'Review', 'Package', 'Jngan', ' Divided ',' ckup ',' package ',' internet ',' ']")</f>
        <v>['Complaints',' Ratting ',' ugly ',' Response ',' Improvement ',' How ',' Want ',' Litu ',' Features', 'Review', 'Package', 'Jngan', ' Divided ',' ckup ',' package ',' internet ',' ']</v>
      </c>
      <c r="D1657" s="3">
        <v>1.0</v>
      </c>
    </row>
    <row r="1658" ht="15.75" customHeight="1">
      <c r="A1658" s="1">
        <v>1656.0</v>
      </c>
      <c r="B1658" s="3" t="s">
        <v>1659</v>
      </c>
      <c r="C1658" s="3" t="str">
        <f>IFERROR(__xludf.DUMMYFUNCTION("GOOGLETRANSLATE(B1658,""id"",""en"")"),"['network', 'Telkomsel', 'how', 'already', 'safe', 'try', 'buy', 'package', 'TPI', 'skarang', 'kayak', 'really', ' Stop ',' contents', 'package', 'telephone', 'traceless',' times', 'contents',' quota ',' telkomsel ',' slamama ',' bulain ',' switch ',' car"&amp;"d ' , 'satisfying', 'Thanks', 'Fill', 'Package', 'Telkomsel']")</f>
        <v>['network', 'Telkomsel', 'how', 'already', 'safe', 'try', 'buy', 'package', 'TPI', 'skarang', 'kayak', 'really', ' Stop ',' contents', 'package', 'telephone', 'traceless',' times', 'contents',' quota ',' telkomsel ',' slamama ',' bulain ',' switch ',' card ' , 'satisfying', 'Thanks', 'Fill', 'Package', 'Telkomsel']</v>
      </c>
      <c r="D1658" s="3">
        <v>1.0</v>
      </c>
    </row>
    <row r="1659" ht="15.75" customHeight="1">
      <c r="A1659" s="1">
        <v>1657.0</v>
      </c>
      <c r="B1659" s="3" t="s">
        <v>1660</v>
      </c>
      <c r="C1659" s="3" t="str">
        <f>IFERROR(__xludf.DUMMYFUNCTION("GOOGLETRANSLATE(B1659,""id"",""en"")"),"['Bener', 'Update', 'Try', 'Many', 'Login', 'Failed', 'Update', 'Given', 'Solution', 'Contact', 'Account', 'Sosmed', ' admin ',' Install ',' apk ',' sosmed ',' contact ',' admin ',' ribet ',' failed ',' login ',' bkn ',' please ',' love ',' solution ' , '"&amp;"logical', '']")</f>
        <v>['Bener', 'Update', 'Try', 'Many', 'Login', 'Failed', 'Update', 'Given', 'Solution', 'Contact', 'Account', 'Sosmed', ' admin ',' Install ',' apk ',' sosmed ',' contact ',' admin ',' ribet ',' failed ',' login ',' bkn ',' please ',' love ',' solution ' , 'logical', '']</v>
      </c>
      <c r="D1659" s="3">
        <v>1.0</v>
      </c>
    </row>
    <row r="1660" ht="15.75" customHeight="1">
      <c r="A1660" s="1">
        <v>1658.0</v>
      </c>
      <c r="B1660" s="3" t="s">
        <v>1661</v>
      </c>
      <c r="C1660" s="3" t="str">
        <f>IFERROR(__xludf.DUMMYFUNCTION("GOOGLETRANSLATE(B1660,""id"",""en"")"),"['Telkomsel', 'Gini', 'already', 'expensive', 'signal', 'no', 'stable', 'mah', 'network', 'full', 'please', 'repaired', ' ']")</f>
        <v>['Telkomsel', 'Gini', 'already', 'expensive', 'signal', 'no', 'stable', 'mah', 'network', 'full', 'please', 'repaired', ' ']</v>
      </c>
      <c r="D1660" s="3">
        <v>1.0</v>
      </c>
    </row>
    <row r="1661" ht="15.75" customHeight="1">
      <c r="A1661" s="1">
        <v>1659.0</v>
      </c>
      <c r="B1661" s="3" t="s">
        <v>1662</v>
      </c>
      <c r="C1661" s="3" t="str">
        <f>IFERROR(__xludf.DUMMYFUNCTION("GOOGLETRANSLATE(B1661,""id"",""en"")"),"['Kouta', 'expensive', 'network', 'already', 'rich', 'Telkomsel', 'kaga', 'bafring', 'Telkomsel', 'like', 'bafring', 'network', ' ',' Different ',' smaa ',' salluen ',' manteng ',' network ', ""]")</f>
        <v>['Kouta', 'expensive', 'network', 'already', 'rich', 'Telkomsel', 'kaga', 'bafring', 'Telkomsel', 'like', 'bafring', 'network', ' ',' Different ',' smaa ',' salluen ',' manteng ',' network ', "]</v>
      </c>
      <c r="D1661" s="3">
        <v>1.0</v>
      </c>
    </row>
    <row r="1662" ht="15.75" customHeight="1">
      <c r="A1662" s="1">
        <v>1660.0</v>
      </c>
      <c r="B1662" s="3" t="s">
        <v>1663</v>
      </c>
      <c r="C1662" s="3" t="str">
        <f>IFERROR(__xludf.DUMMYFUNCTION("GOOGLETRANSLATE(B1662,""id"",""en"")"),"['Package', 'data', 'run out', 'right', 'buy', 'disorder', 'system', 'nich', 'buy', 'logo', 'according to', 'quality', ' signal ',' ilang ',' price ',' package ',' monthly ',' severe ',' cheap ',' week ',' promo ',' expensive ',' name ',' ngeselin ',' fox"&amp;" ' , 'Miss', '']")</f>
        <v>['Package', 'data', 'run out', 'right', 'buy', 'disorder', 'system', 'nich', 'buy', 'logo', 'according to', 'quality', ' signal ',' ilang ',' price ',' package ',' monthly ',' severe ',' cheap ',' week ',' promo ',' expensive ',' name ',' ngeselin ',' fox ' , 'Miss', '']</v>
      </c>
      <c r="D1662" s="3">
        <v>1.0</v>
      </c>
    </row>
    <row r="1663" ht="15.75" customHeight="1">
      <c r="A1663" s="1">
        <v>1661.0</v>
      </c>
      <c r="B1663" s="3" t="s">
        <v>1664</v>
      </c>
      <c r="C1663" s="3" t="str">
        <f>IFERROR(__xludf.DUMMYFUNCTION("GOOGLETRANSLATE(B1663,""id"",""en"")"),"['strange', 'application', 'just', 'network', 'Telkomsel', 'take', 'package', 'network', 'Telkomsel', 'sendri', 'wiri', 'skrng']")</f>
        <v>['strange', 'application', 'just', 'network', 'Telkomsel', 'take', 'package', 'network', 'Telkomsel', 'sendri', 'wiri', 'skrng']</v>
      </c>
      <c r="D1663" s="3">
        <v>1.0</v>
      </c>
    </row>
    <row r="1664" ht="15.75" customHeight="1">
      <c r="A1664" s="1">
        <v>1662.0</v>
      </c>
      <c r="B1664" s="3" t="s">
        <v>1665</v>
      </c>
      <c r="C1664" s="3" t="str">
        <f>IFERROR(__xludf.DUMMYFUNCTION("GOOGLETRANSLATE(B1664,""id"",""en"")"),"['BLM', 'sympathy', 'wine', 'kab', 'bogor', 'signal', 'sgt', 'bad', 'use', 'indosat', 'kbition', 'card', ' Indosat ',' signal ',' mgkn ',' disorder ',' contents', 'reset', 'card', 'sympathy', 'Alhamdulillah', 'signal', 'strong', 'internet', 'home' , 'Sear"&amp;"ch', 'position', 'good', 'hope', 'sympathy', 'Telkomsel', 'fix', 'network', 'remote', 'darling', 'Telkomsel', 'signal', ' region ',' Mount ',' Salak ',' Bogor ']")</f>
        <v>['BLM', 'sympathy', 'wine', 'kab', 'bogor', 'signal', 'sgt', 'bad', 'use', 'indosat', 'kbition', 'card', ' Indosat ',' signal ',' mgkn ',' disorder ',' contents', 'reset', 'card', 'sympathy', 'Alhamdulillah', 'signal', 'strong', 'internet', 'home' , 'Search', 'position', 'good', 'hope', 'sympathy', 'Telkomsel', 'fix', 'network', 'remote', 'darling', 'Telkomsel', 'signal', ' region ',' Mount ',' Salak ',' Bogor ']</v>
      </c>
      <c r="D1664" s="3">
        <v>5.0</v>
      </c>
    </row>
    <row r="1665" ht="15.75" customHeight="1">
      <c r="A1665" s="1">
        <v>1663.0</v>
      </c>
      <c r="B1665" s="3" t="s">
        <v>1666</v>
      </c>
      <c r="C1665" s="3" t="str">
        <f>IFERROR(__xludf.DUMMYFUNCTION("GOOGLETRANSLATE(B1665,""id"",""en"")"),"['application', 'Telkomsel', 'opened', 'yaaa', 'buy', 'package', 'Telkomsel', 'now open', 'please', 'repair']")</f>
        <v>['application', 'Telkomsel', 'opened', 'yaaa', 'buy', 'package', 'Telkomsel', 'now open', 'please', 'repair']</v>
      </c>
      <c r="D1665" s="3">
        <v>3.0</v>
      </c>
    </row>
    <row r="1666" ht="15.75" customHeight="1">
      <c r="A1666" s="1">
        <v>1664.0</v>
      </c>
      <c r="B1666" s="3" t="s">
        <v>1667</v>
      </c>
      <c r="C1666" s="3" t="str">
        <f>IFERROR(__xludf.DUMMYFUNCTION("GOOGLETRANSLATE(B1666,""id"",""en"")"),"['Fill', 'Vouch', 'FAILUR', 'Telkomsel', 'Network', 'Mending', 'Indosat', 'Smartfren', 'Fill', 'Voucher', 'Customer', 'Current', ' Telkomt ',' already ',' Troubel ',' Ngertiin ',' trader ',' already ',' tried ',' restart ',' download ',' app ',' change ',"&amp;"' network ',' replace ' , 'Voucher', 'many', 'Tetep', 'Gini', ""]")</f>
        <v>['Fill', 'Vouch', 'FAILUR', 'Telkomsel', 'Network', 'Mending', 'Indosat', 'Smartfren', 'Fill', 'Voucher', 'Customer', 'Current', ' Telkomt ',' already ',' Troubel ',' Ngertiin ',' trader ',' already ',' tried ',' restart ',' download ',' app ',' change ',' network ',' replace ' , 'Voucher', 'many', 'Tetep', 'Gini', "]</v>
      </c>
      <c r="D1666" s="3">
        <v>1.0</v>
      </c>
    </row>
    <row r="1667" ht="15.75" customHeight="1">
      <c r="A1667" s="1">
        <v>1665.0</v>
      </c>
      <c r="B1667" s="3" t="s">
        <v>1668</v>
      </c>
      <c r="C1667" s="3" t="str">
        <f>IFERROR(__xludf.DUMMYFUNCTION("GOOGLETRANSLATE(B1667,""id"",""en"")"),"['application', 'error', 'login', 'failed', 'error', 'beg', 'repeat', 'reset', 'uninstall', 'the application', 'error', 'contents',' Credit ',' quota ', ""]")</f>
        <v>['application', 'error', 'login', 'failed', 'error', 'beg', 'repeat', 'reset', 'uninstall', 'the application', 'error', 'contents',' Credit ',' quota ', "]</v>
      </c>
      <c r="D1667" s="3">
        <v>2.0</v>
      </c>
    </row>
    <row r="1668" ht="15.75" customHeight="1">
      <c r="A1668" s="1">
        <v>1666.0</v>
      </c>
      <c r="B1668" s="3" t="s">
        <v>1669</v>
      </c>
      <c r="C1668" s="3" t="str">
        <f>IFERROR(__xludf.DUMMYFUNCTION("GOOGLETRANSLATE(B1668,""id"",""en"")"),"['open', 'application', 'error', 'trs',' install ',' reset ',' ttp ',' please ',' fix ',' should ',' company ',' plate ',' Red ',' dominates', 'network', 'cellular', 'land', 'water', ""]")</f>
        <v>['open', 'application', 'error', 'trs',' install ',' reset ',' ttp ',' please ',' fix ',' should ',' company ',' plate ',' Red ',' dominates', 'network', 'cellular', 'land', 'water', "]</v>
      </c>
      <c r="D1668" s="3">
        <v>1.0</v>
      </c>
    </row>
    <row r="1669" ht="15.75" customHeight="1">
      <c r="A1669" s="1">
        <v>1667.0</v>
      </c>
      <c r="B1669" s="3" t="s">
        <v>1670</v>
      </c>
      <c r="C1669" s="3" t="str">
        <f>IFERROR(__xludf.DUMMYFUNCTION("GOOGLETRANSLATE(B1669,""id"",""en"")"),"['', 'Telkomsel', 'application', 'where', 'class',' Telkomsel ',' application ',' Ngebug ',' Mulu ',' shame ',' yellow ',' blue ',' woy ',' Telkomsel ',' expensive ',' cook ',' application ',' ugly ',' hmm ']")</f>
        <v>['', 'Telkomsel', 'application', 'where', 'class',' Telkomsel ',' application ',' Ngebug ',' Mulu ',' shame ',' yellow ',' blue ',' woy ',' Telkomsel ',' expensive ',' cook ',' application ',' ugly ',' hmm ']</v>
      </c>
      <c r="D1669" s="3">
        <v>1.0</v>
      </c>
    </row>
    <row r="1670" ht="15.75" customHeight="1">
      <c r="A1670" s="1">
        <v>1668.0</v>
      </c>
      <c r="B1670" s="3" t="s">
        <v>1671</v>
      </c>
      <c r="C1670" s="3" t="str">
        <f>IFERROR(__xludf.DUMMYFUNCTION("GOOGLETRANSLATE(B1670,""id"",""en"")"),"['confused', 'really', 'all day', 'gabisa', 'download', 'application', 'udh', 'delete', 'cache', 'playstore', 'jga', 'according to' instructions', 'activated', 'package', 'difficult', 'confused', 'activation', 'no', 'package', 'buy', 'please', 'interferen"&amp;"ce', 'repair', ""]")</f>
        <v>['confused', 'really', 'all day', 'gabisa', 'download', 'application', 'udh', 'delete', 'cache', 'playstore', 'jga', 'according to' instructions', 'activated', 'package', 'difficult', 'confused', 'activation', 'no', 'package', 'buy', 'please', 'interference', 'repair', "]</v>
      </c>
      <c r="D1670" s="3">
        <v>1.0</v>
      </c>
    </row>
    <row r="1671" ht="15.75" customHeight="1">
      <c r="A1671" s="1">
        <v>1669.0</v>
      </c>
      <c r="B1671" s="3" t="s">
        <v>1672</v>
      </c>
      <c r="C1671" s="3" t="str">
        <f>IFERROR(__xludf.DUMMYFUNCTION("GOOGLETRANSLATE(B1671,""id"",""en"")"),"['', 'Application', 'Network', 'rich', 'garbage', 'price', 'expensive', 'online', 'Gaada', 'Bener', 'right', 'Telkomsel', 'it seems ',' weve ',' already ',' replace ',' provider ',' Telkomsel ',' already ',' can ')")</f>
        <v>['', 'Application', 'Network', 'rich', 'garbage', 'price', 'expensive', 'online', 'Gaada', 'Bener', 'right', 'Telkomsel', 'it seems ',' weve ',' already ',' replace ',' provider ',' Telkomsel ',' already ',' can ')</v>
      </c>
      <c r="D1671" s="3">
        <v>1.0</v>
      </c>
    </row>
    <row r="1672" ht="15.75" customHeight="1">
      <c r="A1672" s="1">
        <v>1670.0</v>
      </c>
      <c r="B1672" s="3" t="s">
        <v>1673</v>
      </c>
      <c r="C1672" s="3" t="str">
        <f>IFERROR(__xludf.DUMMYFUNCTION("GOOGLETRANSLATE(B1672,""id"",""en"")"),"['service', 'subscribe', 'package', 'pulse', 'already', 'pulse', 'truncated', 'automatic', 'theft', 'name']")</f>
        <v>['service', 'subscribe', 'package', 'pulse', 'already', 'pulse', 'truncated', 'automatic', 'theft', 'name']</v>
      </c>
      <c r="D1672" s="3">
        <v>1.0</v>
      </c>
    </row>
    <row r="1673" ht="15.75" customHeight="1">
      <c r="A1673" s="1">
        <v>1671.0</v>
      </c>
      <c r="B1673" s="3" t="s">
        <v>1674</v>
      </c>
      <c r="C1673" s="3" t="str">
        <f>IFERROR(__xludf.DUMMYFUNCTION("GOOGLETRANSLATE(B1673,""id"",""en"")"),"['Telkomsel', 'oath', 'pulse', 'bought', 'lapse', 'youtube', 'used', 'right', 'live', 'data', 'leftover', 'pulses',' lost ',' emang ',' expensive ',' kayak ',' return ',' pulse ',' cave ',' woii ',' telkomsel ',' sleepy ',' yaa ',' service ',' bad ' , 'pr"&amp;"ice', 'pretentious',' luxury ',' network ',' ugly ',' quota ',' package ',' Ajalah ',' stupid ',' stupid ',' people ',' you ',' Nyari ',' money ',' easy ',' kmi ',' rich ',' need ',' kmi ',' telkomsel ',' kmi ',' bring ',' wifi ',' portable ', ""]")</f>
        <v>['Telkomsel', 'oath', 'pulse', 'bought', 'lapse', 'youtube', 'used', 'right', 'live', 'data', 'leftover', 'pulses',' lost ',' emang ',' expensive ',' kayak ',' return ',' pulse ',' cave ',' woii ',' telkomsel ',' sleepy ',' yaa ',' service ',' bad ' , 'price', 'pretentious',' luxury ',' network ',' ugly ',' quota ',' package ',' Ajalah ',' stupid ',' stupid ',' people ',' you ',' Nyari ',' money ',' easy ',' kmi ',' rich ',' need ',' kmi ',' telkomsel ',' kmi ',' bring ',' wifi ',' portable ', "]</v>
      </c>
      <c r="D1673" s="3">
        <v>1.0</v>
      </c>
    </row>
    <row r="1674" ht="15.75" customHeight="1">
      <c r="A1674" s="1">
        <v>1672.0</v>
      </c>
      <c r="B1674" s="3" t="s">
        <v>1675</v>
      </c>
      <c r="C1674" s="3" t="str">
        <f>IFERROR(__xludf.DUMMYFUNCTION("GOOGLETRANSLATE(B1674,""id"",""en"")"),"['users', 'Telkomsel', 'network', 'disappear', 'comfortable', 'use', 'decide', 'move', 'card', 'thanks', ""]")</f>
        <v>['users', 'Telkomsel', 'network', 'disappear', 'comfortable', 'use', 'decide', 'move', 'card', 'thanks', "]</v>
      </c>
      <c r="D1674" s="3">
        <v>1.0</v>
      </c>
    </row>
    <row r="1675" ht="15.75" customHeight="1">
      <c r="A1675" s="1">
        <v>1673.0</v>
      </c>
      <c r="B1675" s="3" t="s">
        <v>1676</v>
      </c>
      <c r="C1675" s="3" t="str">
        <f>IFERROR(__xludf.DUMMYFUNCTION("GOOGLETRANSLATE(B1675,""id"",""en"")"),"['Application', 'Bener', 'Bad', 'Mending', 'Application', 'Fix', 'Name', 'Telkomsel', 'Guarantee', 'Service', 'Good']")</f>
        <v>['Application', 'Bener', 'Bad', 'Mending', 'Application', 'Fix', 'Name', 'Telkomsel', 'Guarantee', 'Service', 'Good']</v>
      </c>
      <c r="D1675" s="3">
        <v>1.0</v>
      </c>
    </row>
    <row r="1676" ht="15.75" customHeight="1">
      <c r="A1676" s="1">
        <v>1674.0</v>
      </c>
      <c r="B1676" s="3" t="s">
        <v>1677</v>
      </c>
      <c r="C1676" s="3" t="str">
        <f>IFERROR(__xludf.DUMMYFUNCTION("GOOGLETRANSLATE(B1676,""id"",""en"")"),"['cellular', 'worst', 'lost', 'signal', 'total', 'signal', 'weak', 'already', 'report', 'Telkomsel', 'respond', 'populat']")</f>
        <v>['cellular', 'worst', 'lost', 'signal', 'total', 'signal', 'weak', 'already', 'report', 'Telkomsel', 'respond', 'populat']</v>
      </c>
      <c r="D1676" s="3">
        <v>1.0</v>
      </c>
    </row>
    <row r="1677" ht="15.75" customHeight="1">
      <c r="A1677" s="1">
        <v>1675.0</v>
      </c>
      <c r="B1677" s="3" t="s">
        <v>1678</v>
      </c>
      <c r="C1677" s="3" t="str">
        <f>IFERROR(__xludf.DUMMYFUNCTION("GOOGLETRANSLATE(B1677,""id"",""en"")"),"['slow', 'really', 'please', 'repaired', 'log', 'difficult', 'really', 'use', 'method', 'anything', 'right', 'enter', ' Loading ',' Please ',' Repaired ',' Focus', 'Display', 'Doang', 'Comfort', 'Recorded', '']")</f>
        <v>['slow', 'really', 'please', 'repaired', 'log', 'difficult', 'really', 'use', 'method', 'anything', 'right', 'enter', ' Loading ',' Please ',' Repaired ',' Focus', 'Display', 'Doang', 'Comfort', 'Recorded', '']</v>
      </c>
      <c r="D1677" s="3">
        <v>1.0</v>
      </c>
    </row>
    <row r="1678" ht="15.75" customHeight="1">
      <c r="A1678" s="1">
        <v>1676.0</v>
      </c>
      <c r="B1678" s="3" t="s">
        <v>1679</v>
      </c>
      <c r="C1678" s="3" t="str">
        <f>IFERROR(__xludf.DUMMYFUNCTION("GOOGLETRANSLATE(B1678,""id"",""en"")"),"['silly', 'buy', 'package', 'game', 'MOBA', 'PKE', 'already', 'matchmaking', 'failed', 'already', 'credit', 'score', ' "", 'tire', 'intention', 'prodak', 'PKET', 'Game', 'Moba', 'GB', 'Mubazir', 'Najiss', 'Discard', 'Money',""]")</f>
        <v>['silly', 'buy', 'package', 'game', 'MOBA', 'PKE', 'already', 'matchmaking', 'failed', 'already', 'credit', 'score', ' ", 'tire', 'intention', 'prodak', 'PKET', 'Game', 'Moba', 'GB', 'Mubazir', 'Najiss', 'Discard', 'Money',"]</v>
      </c>
      <c r="D1678" s="3">
        <v>1.0</v>
      </c>
    </row>
    <row r="1679" ht="15.75" customHeight="1">
      <c r="A1679" s="1">
        <v>1677.0</v>
      </c>
      <c r="B1679" s="3" t="s">
        <v>1680</v>
      </c>
      <c r="C1679" s="3" t="str">
        <f>IFERROR(__xludf.DUMMYFUNCTION("GOOGLETRANSLATE(B1679,""id"",""en"")"),"['MILLION', 'MILLION', 'Telkomsel', 'seconds',' Swear ',' Disappointed ',' Changing ',' Card ',' Telkomsel ',' Card ',' Daatah ',' Kayumanis', ' Jakarta ',' Signal ',' sympathy ',' bad ',' expensive ',' congratulations', 'live', 'sympathy', 'service', 'ba"&amp;"d', 'price', 'expensive', 'accordingly' , 'service', 'hate', 'Telkomsel', '']")</f>
        <v>['MILLION', 'MILLION', 'Telkomsel', 'seconds',' Swear ',' Disappointed ',' Changing ',' Card ',' Telkomsel ',' Card ',' Daatah ',' Kayumanis', ' Jakarta ',' Signal ',' sympathy ',' bad ',' expensive ',' congratulations', 'live', 'sympathy', 'service', 'bad', 'price', 'expensive', 'accordingly' , 'service', 'hate', 'Telkomsel', '']</v>
      </c>
      <c r="D1679" s="3">
        <v>1.0</v>
      </c>
    </row>
    <row r="1680" ht="15.75" customHeight="1">
      <c r="A1680" s="1">
        <v>1678.0</v>
      </c>
      <c r="B1680" s="3" t="s">
        <v>1681</v>
      </c>
      <c r="C1680" s="3" t="str">
        <f>IFERROR(__xludf.DUMMYFUNCTION("GOOGLETRANSLATE(B1680,""id"",""en"")"),"['Please', 'repaired', 'the application', 'buy', 'pulse', 'package', 'package', 'GB', 'pay', 'stlah', 'package', 'active', ' The rest of ',' pulse ',' notification ',' subscribe ',' package ',' tip ',' sucking ',' pulse ',' rb ',' so ',' pulse ',' blm ','"&amp;" run out ' , 'appears', 'Notif', 'Please', 'Telkomsel', 'Repaired', 'Constraints', 'Customer', 'Comfortable', 'Thank', 'Love']")</f>
        <v>['Please', 'repaired', 'the application', 'buy', 'pulse', 'package', 'package', 'GB', 'pay', 'stlah', 'package', 'active', ' The rest of ',' pulse ',' notification ',' subscribe ',' package ',' tip ',' sucking ',' pulse ',' rb ',' so ',' pulse ',' blm ',' run out ' , 'appears', 'Notif', 'Please', 'Telkomsel', 'Repaired', 'Constraints', 'Customer', 'Comfortable', 'Thank', 'Love']</v>
      </c>
      <c r="D1680" s="3">
        <v>1.0</v>
      </c>
    </row>
    <row r="1681" ht="15.75" customHeight="1">
      <c r="A1681" s="1">
        <v>1679.0</v>
      </c>
      <c r="B1681" s="3" t="s">
        <v>1682</v>
      </c>
      <c r="C1681" s="3" t="str">
        <f>IFERROR(__xludf.DUMMYFUNCTION("GOOGLETRANSLATE(B1681,""id"",""en"")"),"['Gara', 'Signal', 'Telkomsel', 'Bad', 'Place', 'FAIL', 'INTERVIEW', 'Job', 'Online', 'Hopefully', 'represents', 'Telkomsel']")</f>
        <v>['Gara', 'Signal', 'Telkomsel', 'Bad', 'Place', 'FAIL', 'INTERVIEW', 'Job', 'Online', 'Hopefully', 'represents', 'Telkomsel']</v>
      </c>
      <c r="D1681" s="3">
        <v>1.0</v>
      </c>
    </row>
    <row r="1682" ht="15.75" customHeight="1">
      <c r="A1682" s="1">
        <v>1680.0</v>
      </c>
      <c r="B1682" s="3" t="s">
        <v>1683</v>
      </c>
      <c r="C1682" s="3" t="str">
        <f>IFERROR(__xludf.DUMMYFUNCTION("GOOGLETRANSLATE(B1682,""id"",""en"")"),"['bad', 'signal', 'difficult', 'contents',' quota ',' failed ',' abis', 'renewed', 'log', 'astagfirullahhal', 'azim', 'promotion', ' Increase ',' Quality ',' ']")</f>
        <v>['bad', 'signal', 'difficult', 'contents',' quota ',' failed ',' abis', 'renewed', 'log', 'astagfirullahhal', 'azim', 'promotion', ' Increase ',' Quality ',' ']</v>
      </c>
      <c r="D1682" s="3">
        <v>1.0</v>
      </c>
    </row>
    <row r="1683" ht="15.75" customHeight="1">
      <c r="A1683" s="1">
        <v>1681.0</v>
      </c>
      <c r="B1683" s="3" t="s">
        <v>1684</v>
      </c>
      <c r="C1683" s="3" t="str">
        <f>IFERROR(__xludf.DUMMYFUNCTION("GOOGLETRANSLATE(B1683,""id"",""en"")"),"['update', 'application', 'Telkomsel', 'hard', 'really', 'entry', 'application', 'loading', 'slesai', 'signal', 'ngelag', 'like', ' really ',' use ',' Telkomsel ',' card ',' declined ',' actually ',' gamau ',' turn ',' how ',' forced ',' bye ', ""]")</f>
        <v>['update', 'application', 'Telkomsel', 'hard', 'really', 'entry', 'application', 'loading', 'slesai', 'signal', 'ngelag', 'like', ' really ',' use ',' Telkomsel ',' card ',' declined ',' actually ',' gamau ',' turn ',' how ',' forced ',' bye ', "]</v>
      </c>
      <c r="D1683" s="3">
        <v>2.0</v>
      </c>
    </row>
    <row r="1684" ht="15.75" customHeight="1">
      <c r="A1684" s="1">
        <v>1682.0</v>
      </c>
      <c r="B1684" s="3" t="s">
        <v>1685</v>
      </c>
      <c r="C1684" s="3" t="str">
        <f>IFERROR(__xludf.DUMMYFUNCTION("GOOGLETRANSLATE(B1684,""id"",""en"")"),"['application', 'Telkomsel', 'knapa', 'update', 'no', 'update', 'already', 'soum', 'bug', 'tip', 'add', 'bug', ' Ampe ',' cave ',' login ',' handling ',' slow ',' rich ',' turtle ',' Kura ',' road ',' relax ',' conscious', 'Telkomsel', 'propider' , 'expen"&amp;"sive', 'propider', 'prime', 'until', 'price', 'package', 'sentence', 'price', 'quality', 'apply', 'Telkomsel', 'btw', ' Cave ',' Hate ',' Gakan ',' Move ',' Propider ',' Ngangkapin ',' Unek ',' Love ',' Telkontol ', ""]")</f>
        <v>['application', 'Telkomsel', 'knapa', 'update', 'no', 'update', 'already', 'soum', 'bug', 'tip', 'add', 'bug', ' Ampe ',' cave ',' login ',' handling ',' slow ',' rich ',' turtle ',' Kura ',' road ',' relax ',' conscious', 'Telkomsel', 'propider' , 'expensive', 'propider', 'prime', 'until', 'price', 'package', 'sentence', 'price', 'quality', 'apply', 'Telkomsel', 'btw', ' Cave ',' Hate ',' Gakan ',' Move ',' Propider ',' Ngangkapin ',' Unek ',' Love ',' Telkontol ', "]</v>
      </c>
      <c r="D1684" s="3">
        <v>1.0</v>
      </c>
    </row>
    <row r="1685" ht="15.75" customHeight="1">
      <c r="A1685" s="1">
        <v>1683.0</v>
      </c>
      <c r="B1685" s="3" t="s">
        <v>1686</v>
      </c>
      <c r="C1685" s="3" t="str">
        <f>IFERROR(__xludf.DUMMYFUNCTION("GOOGLETRANSLATE(B1685,""id"",""en"")"),"['package', 'expensive', 'changed', 'change', 'according to', 'ad', 'hope', 'operator', 'replace you', '']")</f>
        <v>['package', 'expensive', 'changed', 'change', 'according to', 'ad', 'hope', 'operator', 'replace you', '']</v>
      </c>
      <c r="D1685" s="3">
        <v>1.0</v>
      </c>
    </row>
    <row r="1686" ht="15.75" customHeight="1">
      <c r="A1686" s="1">
        <v>1684.0</v>
      </c>
      <c r="B1686" s="3" t="s">
        <v>1687</v>
      </c>
      <c r="C1686" s="3" t="str">
        <f>IFERROR(__xludf.DUMMYFUNCTION("GOOGLETRANSLATE(B1686,""id"",""en"")"),"['already', 'clean', 'cache', 'restrart', 'macem', 'tetep', 'open', 'apps', 'how', 'update', 'bother']")</f>
        <v>['already', 'clean', 'cache', 'restrart', 'macem', 'tetep', 'open', 'apps', 'how', 'update', 'bother']</v>
      </c>
      <c r="D1686" s="3">
        <v>1.0</v>
      </c>
    </row>
    <row r="1687" ht="15.75" customHeight="1">
      <c r="A1687" s="1">
        <v>1685.0</v>
      </c>
      <c r="B1687" s="3" t="s">
        <v>1688</v>
      </c>
      <c r="C1687" s="3" t="str">
        <f>IFERROR(__xludf.DUMMYFUNCTION("GOOGLETRANSLATE(B1687,""id"",""en"")"),"['ugly', 'cheating', 'right', 'choose', 'Calim', 'gift', 'suru', 'pay', 'pulse', 'shocked', 'bgtt', 'cheater', ' The prize ',' cmn ',' brocci ',' hr ',' cheating ',' Please ',' prbaiki ', ""]")</f>
        <v>['ugly', 'cheating', 'right', 'choose', 'Calim', 'gift', 'suru', 'pay', 'pulse', 'shocked', 'bgtt', 'cheater', ' The prize ',' cmn ',' brocci ',' hr ',' cheating ',' Please ',' prbaiki ', "]</v>
      </c>
      <c r="D1687" s="3">
        <v>1.0</v>
      </c>
    </row>
    <row r="1688" ht="15.75" customHeight="1">
      <c r="A1688" s="1">
        <v>1686.0</v>
      </c>
      <c r="B1688" s="3" t="s">
        <v>1689</v>
      </c>
      <c r="C1688" s="3" t="str">
        <f>IFERROR(__xludf.DUMMYFUNCTION("GOOGLETRANSLATE(B1688,""id"",""en"")"),"['poor', 'expensive', 'doang', 'dilapidated', 'service', 'satisfying', 'since' update ',' the application ',' loading ',' opened ',' Telkomsel ',' Payaaaaaahhh ',' ']")</f>
        <v>['poor', 'expensive', 'doang', 'dilapidated', 'service', 'satisfying', 'since' update ',' the application ',' loading ',' opened ',' Telkomsel ',' Payaaaaaahhh ',' ']</v>
      </c>
      <c r="D1688" s="3">
        <v>1.0</v>
      </c>
    </row>
    <row r="1689" ht="15.75" customHeight="1">
      <c r="A1689" s="1">
        <v>1687.0</v>
      </c>
      <c r="B1689" s="3" t="s">
        <v>1690</v>
      </c>
      <c r="C1689" s="3" t="str">
        <f>IFERROR(__xludf.DUMMYFUNCTION("GOOGLETRANSLATE(B1689,""id"",""en"")"),"['The application', 'chaotic', 'ugly', 'login', 'update', 'updated']")</f>
        <v>['The application', 'chaotic', 'ugly', 'login', 'update', 'updated']</v>
      </c>
      <c r="D1689" s="3">
        <v>1.0</v>
      </c>
    </row>
    <row r="1690" ht="15.75" customHeight="1">
      <c r="A1690" s="1">
        <v>1688.0</v>
      </c>
      <c r="B1690" s="3" t="s">
        <v>1691</v>
      </c>
      <c r="C1690" s="3" t="str">
        <f>IFERROR(__xludf.DUMMYFUNCTION("GOOGLETRANSLATE(B1690,""id"",""en"")"),"['unfortunate', 'application', 'no', 'open', 'except', 'use', 'package', 'data', 'Telkomsel', 'how', 'buy', 'package', ' Apps', 'packages',' internet ',' run out ',' use ',' package ',' data ',' access', 'apps',' application ',' open ']")</f>
        <v>['unfortunate', 'application', 'no', 'open', 'except', 'use', 'package', 'data', 'Telkomsel', 'how', 'buy', 'package', ' Apps', 'packages',' internet ',' run out ',' use ',' package ',' data ',' access', 'apps',' application ',' open ']</v>
      </c>
      <c r="D1690" s="3">
        <v>1.0</v>
      </c>
    </row>
    <row r="1691" ht="15.75" customHeight="1">
      <c r="A1691" s="1">
        <v>1689.0</v>
      </c>
      <c r="B1691" s="3" t="s">
        <v>1692</v>
      </c>
      <c r="C1691" s="3" t="str">
        <f>IFERROR(__xludf.DUMMYFUNCTION("GOOGLETRANSLATE(B1691,""id"",""en"")"),"['chaotic', 'signal', 'emergency', 'city', 'remote', 'search', 'signal', 'manual', 'loss',' report ',' use ',' the application ',' Bot ',' Veronika ',' told ',' replace ',' APN ',' Ngeselin ',' love ',' picture ',' tutorial ',' his writing ',' anth ',' en"&amp;"larged ',' already ' , 'told', 'report', 'use', 'letter', 'solution', 'Weslah', 'tired', 'typing']")</f>
        <v>['chaotic', 'signal', 'emergency', 'city', 'remote', 'search', 'signal', 'manual', 'loss',' report ',' use ',' the application ',' Bot ',' Veronika ',' told ',' replace ',' APN ',' Ngeselin ',' love ',' picture ',' tutorial ',' his writing ',' anth ',' enlarged ',' already ' , 'told', 'report', 'use', 'letter', 'solution', 'Weslah', 'tired', 'typing']</v>
      </c>
      <c r="D1691" s="3">
        <v>1.0</v>
      </c>
    </row>
    <row r="1692" ht="15.75" customHeight="1">
      <c r="A1692" s="1">
        <v>1690.0</v>
      </c>
      <c r="B1692" s="3" t="s">
        <v>1693</v>
      </c>
      <c r="C1692" s="3" t="str">
        <f>IFERROR(__xludf.DUMMYFUNCTION("GOOGLETRANSLATE(B1692,""id"",""en"")"),"['Disappointed', 'Telkomsel', 'Login', 'Ribet', 'enter', 'offer', 'quota', 'internet', 'according to', 'contents', 'hoax', ""]")</f>
        <v>['Disappointed', 'Telkomsel', 'Login', 'Ribet', 'enter', 'offer', 'quota', 'internet', 'according to', 'contents', 'hoax', "]</v>
      </c>
      <c r="D1692" s="3">
        <v>1.0</v>
      </c>
    </row>
    <row r="1693" ht="15.75" customHeight="1">
      <c r="A1693" s="1">
        <v>1691.0</v>
      </c>
      <c r="B1693" s="3" t="s">
        <v>1694</v>
      </c>
      <c r="C1693" s="3" t="str">
        <f>IFERROR(__xludf.DUMMYFUNCTION("GOOGLETRANSLATE(B1693,""id"",""en"")"),"['update', 'the application', 'difficult', 'entry', 'buy', 'kouta', 'intention', 'update', 'the application', ""]")</f>
        <v>['update', 'the application', 'difficult', 'entry', 'buy', 'kouta', 'intention', 'update', 'the application', "]</v>
      </c>
      <c r="D1693" s="3">
        <v>1.0</v>
      </c>
    </row>
    <row r="1694" ht="15.75" customHeight="1">
      <c r="A1694" s="1">
        <v>1692.0</v>
      </c>
      <c r="B1694" s="3" t="s">
        <v>1695</v>
      </c>
      <c r="C1694" s="3" t="str">
        <f>IFERROR(__xludf.DUMMYFUNCTION("GOOGLETRANSLATE(B1694,""id"",""en"")"),"['application', 'stressed', 'buy', 'package', 'Try', 'Telkomsel', 'Pngen', 'Move', 'Provider', 'Season', 'Bngt', 'keselelllll']")</f>
        <v>['application', 'stressed', 'buy', 'package', 'Try', 'Telkomsel', 'Pngen', 'Move', 'Provider', 'Season', 'Bngt', 'keselelllll']</v>
      </c>
      <c r="D1694" s="3">
        <v>1.0</v>
      </c>
    </row>
    <row r="1695" ht="15.75" customHeight="1">
      <c r="A1695" s="1">
        <v>1693.0</v>
      </c>
      <c r="B1695" s="3" t="s">
        <v>1696</v>
      </c>
      <c r="C1695" s="3" t="str">
        <f>IFERROR(__xludf.DUMMYFUNCTION("GOOGLETRANSLATE(B1695,""id"",""en"")"),"['application', 'bad', 'proof', 'repeat', 'times', 'enter', 'applied', ""]")</f>
        <v>['application', 'bad', 'proof', 'repeat', 'times', 'enter', 'applied', "]</v>
      </c>
      <c r="D1695" s="3">
        <v>1.0</v>
      </c>
    </row>
    <row r="1696" ht="15.75" customHeight="1">
      <c r="A1696" s="1">
        <v>1694.0</v>
      </c>
      <c r="B1696" s="3" t="s">
        <v>1697</v>
      </c>
      <c r="C1696" s="3" t="str">
        <f>IFERROR(__xludf.DUMMYFUNCTION("GOOGLETRANSLATE(B1696,""id"",""en"")"),"['entry', 'Telkomsel', 'continuedsss', 'number', 'cellphone', 'access', 'Telkomsel', 'entered', '']")</f>
        <v>['entry', 'Telkomsel', 'continuedsss', 'number', 'cellphone', 'access', 'Telkomsel', 'entered', '']</v>
      </c>
      <c r="D1696" s="3">
        <v>1.0</v>
      </c>
    </row>
    <row r="1697" ht="15.75" customHeight="1">
      <c r="A1697" s="1">
        <v>1695.0</v>
      </c>
      <c r="B1697" s="3" t="s">
        <v>1698</v>
      </c>
      <c r="C1697" s="3" t="str">
        <f>IFERROR(__xludf.DUMMYFUNCTION("GOOGLETRANSLATE(B1697,""id"",""en"")"),"['right', 'update', 'changed', 'menu', 'confused', 'update', 'menu', 'already', 'memorized', 'menu', ""]")</f>
        <v>['right', 'update', 'changed', 'menu', 'confused', 'update', 'menu', 'already', 'memorized', 'menu', "]</v>
      </c>
      <c r="D1697" s="3">
        <v>2.0</v>
      </c>
    </row>
    <row r="1698" ht="15.75" customHeight="1">
      <c r="A1698" s="1">
        <v>1696.0</v>
      </c>
      <c r="B1698" s="3" t="s">
        <v>1699</v>
      </c>
      <c r="C1698" s="3" t="str">
        <f>IFERROR(__xludf.DUMMYFUNCTION("GOOGLETRANSLATE(B1698,""id"",""en"")"),"['Good', 'really', 'blessings', 'application', 'save', 'credit', 'money', 'provide', 'package', 'internet', 'price', 'below' The package is', 'Under', 'Thank you', 'MyTelkomsel', '']")</f>
        <v>['Good', 'really', 'blessings', 'application', 'save', 'credit', 'money', 'provide', 'package', 'internet', 'price', 'below' The package is', 'Under', 'Thank you', 'MyTelkomsel', '']</v>
      </c>
      <c r="D1698" s="3">
        <v>5.0</v>
      </c>
    </row>
    <row r="1699" ht="15.75" customHeight="1">
      <c r="A1699" s="1">
        <v>1697.0</v>
      </c>
      <c r="B1699" s="3" t="s">
        <v>1700</v>
      </c>
      <c r="C1699" s="3" t="str">
        <f>IFERROR(__xludf.DUMMYFUNCTION("GOOGLETRANSLATE(B1699,""id"",""en"")"),"['Application', 'updated', 'tdak', 'updated', 'right', 'updated', 'playstore', 'already', 'open', 'version', 'new', '']")</f>
        <v>['Application', 'updated', 'tdak', 'updated', 'right', 'updated', 'playstore', 'already', 'open', 'version', 'new', '']</v>
      </c>
      <c r="D1699" s="3">
        <v>1.0</v>
      </c>
    </row>
    <row r="1700" ht="15.75" customHeight="1">
      <c r="A1700" s="1">
        <v>1698.0</v>
      </c>
      <c r="B1700" s="3" t="s">
        <v>1701</v>
      </c>
      <c r="C1700" s="3" t="str">
        <f>IFERROR(__xludf.DUMMYFUNCTION("GOOGLETRANSLATE(B1700,""id"",""en"")"),"['Application', 'Update', 'Open', 'Error', 'Oops',' Something ',' Wrong ',' just ',' Update ',' Bener ',' Release ',' Dipake ',' It's better ',' version ']")</f>
        <v>['Application', 'Update', 'Open', 'Error', 'Oops',' Something ',' Wrong ',' just ',' Update ',' Bener ',' Release ',' Dipake ',' It's better ',' version ']</v>
      </c>
      <c r="D1700" s="3">
        <v>1.0</v>
      </c>
    </row>
    <row r="1701" ht="15.75" customHeight="1">
      <c r="A1701" s="1">
        <v>1699.0</v>
      </c>
      <c r="B1701" s="3" t="s">
        <v>1702</v>
      </c>
      <c r="C1701" s="3" t="str">
        <f>IFERROR(__xludf.DUMMYFUNCTION("GOOGLETRANSLATE(B1701,""id"",""en"")"),"['notification', 'message', 'printed', 'active', 'package', 'internet', 'counted', 'details', 'purchase', 'worry']")</f>
        <v>['notification', 'message', 'printed', 'active', 'package', 'internet', 'counted', 'details', 'purchase', 'worry']</v>
      </c>
      <c r="D1701" s="3">
        <v>3.0</v>
      </c>
    </row>
    <row r="1702" ht="15.75" customHeight="1">
      <c r="A1702" s="1">
        <v>1700.0</v>
      </c>
      <c r="B1702" s="3" t="s">
        <v>1703</v>
      </c>
      <c r="C1702" s="3" t="str">
        <f>IFERROR(__xludf.DUMMYFUNCTION("GOOGLETRANSLATE(B1702,""id"",""en"")"),"['Telkomsel', 'Buriq', 'right', 'login', 'App', 'price', 'package', 'expensive', 'expensive', 'plus',' little ',' different ',' App ',' yellow ',' price ',' cheap ',' plus', 'rare', 'name', 'slow', 'network', 'lemoot', 'severe', 'daily', 'checkin' , 'Noti"&amp;"f', 'Turn on', 'Tapiii', 'Notif', 'just', 'digital', 'slow', 'SIH', 'Please', 'Increase', 'App', 'The network', ' Leet ',' loss', 'donk', 'buy', 'package', '']")</f>
        <v>['Telkomsel', 'Buriq', 'right', 'login', 'App', 'price', 'package', 'expensive', 'expensive', 'plus',' little ',' different ',' App ',' yellow ',' price ',' cheap ',' plus', 'rare', 'name', 'slow', 'network', 'lemoot', 'severe', 'daily', 'checkin' , 'Notif', 'Turn on', 'Tapiii', 'Notif', 'just', 'digital', 'slow', 'SIH', 'Please', 'Increase', 'App', 'The network', ' Leet ',' loss', 'donk', 'buy', 'package', '']</v>
      </c>
      <c r="D1702" s="3">
        <v>1.0</v>
      </c>
    </row>
    <row r="1703" ht="15.75" customHeight="1">
      <c r="A1703" s="1">
        <v>1701.0</v>
      </c>
      <c r="B1703" s="3" t="s">
        <v>1704</v>
      </c>
      <c r="C1703" s="3" t="str">
        <f>IFERROR(__xludf.DUMMYFUNCTION("GOOGLETRANSLATE(B1703,""id"",""en"")"),"['Operator', 'disappointing', 'Komsumen', 'price', 'spec', 'compared', 'price', 'expensive', 'signal', 'ugly', 'forgiveness',' please ',' Telkomsel ',' moved ',' his heart ',' impressing ',' obstacles', 'consumers',' price ',' doang ',' quality ',' low ',"&amp;"' Kec ',' resident ',' kab ' , 'Demak', 'Prov', 'Java', '']")</f>
        <v>['Operator', 'disappointing', 'Komsumen', 'price', 'spec', 'compared', 'price', 'expensive', 'signal', 'ugly', 'forgiveness',' please ',' Telkomsel ',' moved ',' his heart ',' impressing ',' obstacles', 'consumers',' price ',' doang ',' quality ',' low ',' Kec ',' resident ',' kab ' , 'Demak', 'Prov', 'Java', '']</v>
      </c>
      <c r="D1703" s="3">
        <v>1.0</v>
      </c>
    </row>
    <row r="1704" ht="15.75" customHeight="1">
      <c r="A1704" s="1">
        <v>1702.0</v>
      </c>
      <c r="B1704" s="3" t="s">
        <v>1705</v>
      </c>
      <c r="C1704" s="3" t="str">
        <f>IFERROR(__xludf.DUMMYFUNCTION("GOOGLETRANSLATE(B1704,""id"",""en"")"),"['update', 'Telkomsel', 'stingy', 'check', 'abil', 'gift', 'paid', 'steadfast', 'lgi', 'exchange', 'point', 'difficult', ' Pay ',' kpan ',' user ',' loyal ',' Telkomsel ',' special ',' Telkomsel ',' greetings', 'katu', 'gold']")</f>
        <v>['update', 'Telkomsel', 'stingy', 'check', 'abil', 'gift', 'paid', 'steadfast', 'lgi', 'exchange', 'point', 'difficult', ' Pay ',' kpan ',' user ',' loyal ',' Telkomsel ',' special ',' Telkomsel ',' greetings', 'katu', 'gold']</v>
      </c>
      <c r="D1704" s="3">
        <v>5.0</v>
      </c>
    </row>
    <row r="1705" ht="15.75" customHeight="1">
      <c r="A1705" s="1">
        <v>1703.0</v>
      </c>
      <c r="B1705" s="3" t="s">
        <v>1706</v>
      </c>
      <c r="C1705" s="3" t="str">
        <f>IFERROR(__xludf.DUMMYFUNCTION("GOOGLETRANSLATE(B1705,""id"",""en"")"),"['application', 'Telkomsel', 'here', 'strange', 'difficult', 'login', 'send', 'data', 'application', 'loading', 'really', 'network', ' good', '']")</f>
        <v>['application', 'Telkomsel', 'here', 'strange', 'difficult', 'login', 'send', 'data', 'application', 'loading', 'really', 'network', ' good', '']</v>
      </c>
      <c r="D1705" s="3">
        <v>1.0</v>
      </c>
    </row>
    <row r="1706" ht="15.75" customHeight="1">
      <c r="A1706" s="1">
        <v>1704.0</v>
      </c>
      <c r="B1706" s="3" t="s">
        <v>1707</v>
      </c>
      <c r="C1706" s="3" t="str">
        <f>IFERROR(__xludf.DUMMYFUNCTION("GOOGLETRANSLATE(B1706,""id"",""en"")"),"['application', 'please', 'raise', 'salary', 'pecatten', 'Telkomsel', 'pay', 'programmer', 'application', 'smart', 'search', 'programmer', ' Application ',' application ',' application ',' error ',' ']")</f>
        <v>['application', 'please', 'raise', 'salary', 'pecatten', 'Telkomsel', 'pay', 'programmer', 'application', 'smart', 'search', 'programmer', ' Application ',' application ',' application ',' error ',' ']</v>
      </c>
      <c r="D1706" s="3">
        <v>1.0</v>
      </c>
    </row>
    <row r="1707" ht="15.75" customHeight="1">
      <c r="A1707" s="1">
        <v>1705.0</v>
      </c>
      <c r="B1707" s="3" t="s">
        <v>1708</v>
      </c>
      <c r="C1707" s="3" t="str">
        <f>IFERROR(__xludf.DUMMYFUNCTION("GOOGLETRANSLATE(B1707,""id"",""en"")"),"['user', 'loyal', 'tsel', 'here', 'threat', 'signal', 'expensive', 'doang', 'card', 'different', 'type', 'the package', ' Strange ',' Open ',' Mytsel ',' Ribet ',' really ',' ']")</f>
        <v>['user', 'loyal', 'tsel', 'here', 'threat', 'signal', 'expensive', 'doang', 'card', 'different', 'type', 'the package', ' Strange ',' Open ',' Mytsel ',' Ribet ',' really ',' ']</v>
      </c>
      <c r="D1707" s="3">
        <v>1.0</v>
      </c>
    </row>
    <row r="1708" ht="15.75" customHeight="1">
      <c r="A1708" s="1">
        <v>1706.0</v>
      </c>
      <c r="B1708" s="3" t="s">
        <v>1709</v>
      </c>
      <c r="C1708" s="3" t="str">
        <f>IFERROR(__xludf.DUMMYFUNCTION("GOOGLETRANSLATE(B1708,""id"",""en"")"),"['Please', 'Fix', 'Upgrade', 'Application', 'Enter', 'Weekly', 'Open', 'Try', 'Failed', 'Area', 'Kal', 'Cell', ' ']")</f>
        <v>['Please', 'Fix', 'Upgrade', 'Application', 'Enter', 'Weekly', 'Open', 'Try', 'Failed', 'Area', 'Kal', 'Cell', ' ']</v>
      </c>
      <c r="D1708" s="3">
        <v>2.0</v>
      </c>
    </row>
    <row r="1709" ht="15.75" customHeight="1">
      <c r="A1709" s="1">
        <v>1707.0</v>
      </c>
      <c r="B1709" s="3" t="s">
        <v>1710</v>
      </c>
      <c r="C1709" s="3" t="str">
        <f>IFERROR(__xludf.DUMMYFUNCTION("GOOGLETRANSLATE(B1709,""id"",""en"")"),"['Install', 'reset', 'application', 'list', 'package', 'nlfn', 'difficult', 'times',' enter ',' application ',' telkomsel ',' wish ',' ']")</f>
        <v>['Install', 'reset', 'application', 'list', 'package', 'nlfn', 'difficult', 'times',' enter ',' application ',' telkomsel ',' wish ',' ']</v>
      </c>
      <c r="D1709" s="3">
        <v>1.0</v>
      </c>
    </row>
    <row r="1710" ht="15.75" customHeight="1">
      <c r="A1710" s="1">
        <v>1708.0</v>
      </c>
      <c r="B1710" s="3" t="s">
        <v>1711</v>
      </c>
      <c r="C1710" s="3" t="str">
        <f>IFERROR(__xludf.DUMMYFUNCTION("GOOGLETRANSLATE(B1710,""id"",""en"")"),"['already', 'really', 'subscribe', 'slow', 'really', 'application', 'suits',' selemot ',' deh ',' application ',' please ',' kak ',' policy ',' application ',' slow ',' enter ',' application ',' ']")</f>
        <v>['already', 'really', 'subscribe', 'slow', 'really', 'application', 'suits',' selemot ',' deh ',' application ',' please ',' kak ',' policy ',' application ',' slow ',' enter ',' application ',' ']</v>
      </c>
      <c r="D1710" s="3">
        <v>4.0</v>
      </c>
    </row>
    <row r="1711" ht="15.75" customHeight="1">
      <c r="A1711" s="1">
        <v>1709.0</v>
      </c>
      <c r="B1711" s="3" t="s">
        <v>1712</v>
      </c>
      <c r="C1711" s="3" t="str">
        <f>IFERROR(__xludf.DUMMYFUNCTION("GOOGLETRANSLATE(B1711,""id"",""en"")"),"['Dihampe', 'crash', 'application', 'MyTelkomsel', 'right', 'open', 'MyTelkomsel', 'appears',' warning ',' google ',' play ',' stop ',' MyTelkomsel ',' reset ',' continuous', '']")</f>
        <v>['Dihampe', 'crash', 'application', 'MyTelkomsel', 'right', 'open', 'MyTelkomsel', 'appears',' warning ',' google ',' play ',' stop ',' MyTelkomsel ',' reset ',' continuous', '']</v>
      </c>
      <c r="D1711" s="3">
        <v>1.0</v>
      </c>
    </row>
    <row r="1712" ht="15.75" customHeight="1">
      <c r="A1712" s="1">
        <v>1710.0</v>
      </c>
      <c r="B1712" s="3" t="s">
        <v>1713</v>
      </c>
      <c r="C1712" s="3" t="str">
        <f>IFERROR(__xludf.DUMMYFUNCTION("GOOGLETRANSLATE(B1712,""id"",""en"")"),"['please', 'Telkomsel', 'change', 'card', 'postpaid', 'prbay', 'person', 'disappointed', 'card', 'postpaid', 'price', 'expensive']")</f>
        <v>['please', 'Telkomsel', 'change', 'card', 'postpaid', 'prbay', 'person', 'disappointed', 'card', 'postpaid', 'price', 'expensive']</v>
      </c>
      <c r="D1712" s="3">
        <v>1.0</v>
      </c>
    </row>
    <row r="1713" ht="15.75" customHeight="1">
      <c r="A1713" s="1">
        <v>1711.0</v>
      </c>
      <c r="B1713" s="3" t="s">
        <v>1714</v>
      </c>
      <c r="C1713" s="3" t="str">
        <f>IFERROR(__xludf.DUMMYFUNCTION("GOOGLETRANSLATE(B1713,""id"",""en"")"),"['Sefulum', 'Times', 'Open', 'Application', 'Telkomsel', 'Credit', 'Cut "",' Since ',' Change ',' Logo ',' The Application ',' Opened ',' Install ',' reset ',' the application ',' screen ',' loading ',' please ',' repaired ', ""]")</f>
        <v>['Sefulum', 'Times', 'Open', 'Application', 'Telkomsel', 'Credit', 'Cut ",' Since ',' Change ',' Logo ',' The Application ',' Opened ',' Install ',' reset ',' the application ',' screen ',' loading ',' please ',' repaired ', "]</v>
      </c>
      <c r="D1713" s="3">
        <v>1.0</v>
      </c>
    </row>
    <row r="1714" ht="15.75" customHeight="1">
      <c r="A1714" s="1">
        <v>1712.0</v>
      </c>
      <c r="B1714" s="3" t="s">
        <v>1715</v>
      </c>
      <c r="C1714" s="3" t="str">
        <f>IFERROR(__xludf.DUMMYFUNCTION("GOOGLETRANSLATE(B1714,""id"",""en"")"),"['How', 'opened', 'Telkomsel', 'buy', 'quota', 'ama', 'check', 'quota', 'emang', 'error', 'times',' hope ',' Cepet ',' Dibenarin ',' ']")</f>
        <v>['How', 'opened', 'Telkomsel', 'buy', 'quota', 'ama', 'check', 'quota', 'emang', 'error', 'times',' hope ',' Cepet ',' Dibenarin ',' ']</v>
      </c>
      <c r="D1714" s="3">
        <v>1.0</v>
      </c>
    </row>
    <row r="1715" ht="15.75" customHeight="1">
      <c r="A1715" s="1">
        <v>1713.0</v>
      </c>
      <c r="B1715" s="3" t="s">
        <v>1716</v>
      </c>
      <c r="C1715" s="3" t="str">
        <f>IFERROR(__xludf.DUMMYFUNCTION("GOOGLETRANSLATE(B1715,""id"",""en"")"),"['Like', 'signal', 'menu', 'lock', 'pulse', 'automatic', 'sucked', 'package', 'pakit', 'surfing', 'internet', 'chuckles',' Knp ',' locking ',' pulse ',' because ',' chasing ',' profit ',' uncertain ',' tauan ',' user ',' mmg ',' telkomsel ',' intention ',"&amp;"' cheat ' , '']")</f>
        <v>['Like', 'signal', 'menu', 'lock', 'pulse', 'automatic', 'sucked', 'package', 'pakit', 'surfing', 'internet', 'chuckles',' Knp ',' locking ',' pulse ',' because ',' chasing ',' profit ',' uncertain ',' tauan ',' user ',' mmg ',' telkomsel ',' intention ',' cheat ' , '']</v>
      </c>
      <c r="D1715" s="3">
        <v>1.0</v>
      </c>
    </row>
    <row r="1716" ht="15.75" customHeight="1">
      <c r="A1716" s="1">
        <v>1714.0</v>
      </c>
      <c r="B1716" s="3" t="s">
        <v>1717</v>
      </c>
      <c r="C1716" s="3" t="str">
        <f>IFERROR(__xludf.DUMMYFUNCTION("GOOGLETRANSLATE(B1716,""id"",""en"")"),"['price', 'Doang', 'expensive', 'network', 'super', 'slow', 'plus',' signal ',' blur ',' merchant ',' move ',' operator ',' Next to ',' Harm ',' ']")</f>
        <v>['price', 'Doang', 'expensive', 'network', 'super', 'slow', 'plus',' signal ',' blur ',' merchant ',' move ',' operator ',' Next to ',' Harm ',' ']</v>
      </c>
      <c r="D1716" s="3">
        <v>1.0</v>
      </c>
    </row>
    <row r="1717" ht="15.75" customHeight="1">
      <c r="A1717" s="1">
        <v>1715.0</v>
      </c>
      <c r="B1717" s="3" t="s">
        <v>1718</v>
      </c>
      <c r="C1717" s="3" t="str">
        <f>IFERROR(__xludf.DUMMYFUNCTION("GOOGLETRANSLATE(B1717,""id"",""en"")"),"['', 'comment', 'dizziness',' card ',' Different ',' price ',' package ',' lose ',' AXIS ',' Indosat ',' cheap ',' festive ',' understand ',' Need ',' Customer ',' ']")</f>
        <v>['', 'comment', 'dizziness',' card ',' Different ',' price ',' package ',' lose ',' AXIS ',' Indosat ',' cheap ',' festive ',' understand ',' Need ',' Customer ',' ']</v>
      </c>
      <c r="D1717" s="3">
        <v>1.0</v>
      </c>
    </row>
    <row r="1718" ht="15.75" customHeight="1">
      <c r="A1718" s="1">
        <v>1716.0</v>
      </c>
      <c r="B1718" s="3" t="s">
        <v>1719</v>
      </c>
      <c r="C1718" s="3" t="str">
        <f>IFERROR(__xludf.DUMMYFUNCTION("GOOGLETRANSLATE(B1718,""id"",""en"")"),"['Network', 'please', 'repairs',' aba ',' aba ',' sudden ',' lost ',' signal ',' dokkung ',' crowded ',' resident ',' village ',' Remote ']")</f>
        <v>['Network', 'please', 'repairs',' aba ',' aba ',' sudden ',' lost ',' signal ',' dokkung ',' crowded ',' resident ',' village ',' Remote ']</v>
      </c>
      <c r="D1718" s="3">
        <v>1.0</v>
      </c>
    </row>
    <row r="1719" ht="15.75" customHeight="1">
      <c r="A1719" s="1">
        <v>1717.0</v>
      </c>
      <c r="B1719" s="3" t="s">
        <v>1720</v>
      </c>
      <c r="C1719" s="3" t="str">
        <f>IFERROR(__xludf.DUMMYFUNCTION("GOOGLETRANSLATE(B1719,""id"",""en"")"),"['Age', 'school', 'junior high school', 'sampei', 'family', 'loyal', 'Telkomsel', 'family', 'use', 'number', 'Telkomsel', 'establish', ' Communication ',' System ',' Network ',' Good ',' Sampei ',' Movers', 'Telkomsel', 'King', 'Signal', 'Harapan', 'Ended"&amp;"', 'Loyalty', 'Telkomsel' , 'Win', 'Wrong', 'Lottery', 'Telkomsel', 'Points', 'Aamiin', 'Gratitude', 'Motor', 'Work', 'Hard', 'Entrepreneur']")</f>
        <v>['Age', 'school', 'junior high school', 'sampei', 'family', 'loyal', 'Telkomsel', 'family', 'use', 'number', 'Telkomsel', 'establish', ' Communication ',' System ',' Network ',' Good ',' Sampei ',' Movers', 'Telkomsel', 'King', 'Signal', 'Harapan', 'Ended', 'Loyalty', 'Telkomsel' , 'Win', 'Wrong', 'Lottery', 'Telkomsel', 'Points', 'Aamiin', 'Gratitude', 'Motor', 'Work', 'Hard', 'Entrepreneur']</v>
      </c>
      <c r="D1719" s="3">
        <v>5.0</v>
      </c>
    </row>
    <row r="1720" ht="15.75" customHeight="1">
      <c r="A1720" s="1">
        <v>1718.0</v>
      </c>
      <c r="B1720" s="3" t="s">
        <v>1721</v>
      </c>
      <c r="C1720" s="3" t="str">
        <f>IFERROR(__xludf.DUMMYFUNCTION("GOOGLETRANSLATE(B1720,""id"",""en"")"),"['Sorry', 'Sis',' Complaints', 'Application', 'Telkomsel', 'Mimin', 'Help', 'Sister', 'Optimal', 'Please', 'Contact', 'Mimin', ' Features', 'Help', 'Application', 'Telkomsel', 'Twitter', 'Facebook', 'Messenger', 'Telkomsel', 'Line', 'WhatsApp', 'Telkomsel"&amp;"', 'Virtual', 'Assistant' , 'Thanks',' See ',' The answer ',' Action ',' Fix ',' Application ',' Application ',' Lemoootttt ',' Opened ',' Muter ',' Muter ',' Update ',' Improvement ',' Decrease ',' Pekah ',' ']")</f>
        <v>['Sorry', 'Sis',' Complaints', 'Application', 'Telkomsel', 'Mimin', 'Help', 'Sister', 'Optimal', 'Please', 'Contact', 'Mimin', ' Features', 'Help', 'Application', 'Telkomsel', 'Twitter', 'Facebook', 'Messenger', 'Telkomsel', 'Line', 'WhatsApp', 'Telkomsel', 'Virtual', 'Assistant' , 'Thanks',' See ',' The answer ',' Action ',' Fix ',' Application ',' Application ',' Lemoootttt ',' Opened ',' Muter ',' Muter ',' Update ',' Improvement ',' Decrease ',' Pekah ',' ']</v>
      </c>
      <c r="D1720" s="3">
        <v>1.0</v>
      </c>
    </row>
    <row r="1721" ht="15.75" customHeight="1">
      <c r="A1721" s="1">
        <v>1719.0</v>
      </c>
      <c r="B1721" s="3" t="s">
        <v>1722</v>
      </c>
      <c r="C1721" s="3" t="str">
        <f>IFERROR(__xludf.DUMMYFUNCTION("GOOGLETRANSLATE(B1721,""id"",""en"")"),"['Provider', 'buy', 'quota', 'gamemax', 'no', 'play', 'game', 'description', 'play', 'pub', 'etc.', 'play', ' pubg ',' request ',' time ',' out ',' play ',' no "", 'matching', 'please', 'fixed', 'quota', 'run out', 'pulses', 'directly' , 'Sumpot', ""]")</f>
        <v>['Provider', 'buy', 'quota', 'gamemax', 'no', 'play', 'game', 'description', 'play', 'pub', 'etc.', 'play', ' pubg ',' request ',' time ',' out ',' play ',' no ", 'matching', 'please', 'fixed', 'quota', 'run out', 'pulses', 'directly' , 'Sumpot', "]</v>
      </c>
      <c r="D1721" s="3">
        <v>1.0</v>
      </c>
    </row>
    <row r="1722" ht="15.75" customHeight="1">
      <c r="A1722" s="1">
        <v>1720.0</v>
      </c>
      <c r="B1722" s="3" t="s">
        <v>1723</v>
      </c>
      <c r="C1722" s="3" t="str">
        <f>IFERROR(__xludf.DUMMYFUNCTION("GOOGLETRANSLATE(B1722,""id"",""en"")"),"['Woy', 'Telkomsel', 'Please', 'Benerin', 'Signal', 'Buy', 'Paketan', 'Expensive', 'Free', 'Ngelag', 'Please', 'Urusin', ' signal ',' kgak ',' really ',' ngellag ',' nggk ',' ush ',' selling ',' paketan ',' expensive ',' disappointed ',' Telkomsel ',' nge"&amp;"llag ',' play ' , 'Game', 'Xiaomi', 'Note', 'signal', 'mabar', 'friend', 'Vivo', 'card', 'Indosat', 'smooth', 'Please', 'Benerin', ' take ',' profit ',' sell ',' expensive ',' lose ',' card ',' cheap ',' kek ',' im ',' indst ']")</f>
        <v>['Woy', 'Telkomsel', 'Please', 'Benerin', 'Signal', 'Buy', 'Paketan', 'Expensive', 'Free', 'Ngelag', 'Please', 'Urusin', ' signal ',' kgak ',' really ',' ngellag ',' nggk ',' ush ',' selling ',' paketan ',' expensive ',' disappointed ',' Telkomsel ',' ngellag ',' play ' , 'Game', 'Xiaomi', 'Note', 'signal', 'mabar', 'friend', 'Vivo', 'card', 'Indosat', 'smooth', 'Please', 'Benerin', ' take ',' profit ',' sell ',' expensive ',' lose ',' card ',' cheap ',' kek ',' im ',' indst ']</v>
      </c>
      <c r="D1722" s="3">
        <v>1.0</v>
      </c>
    </row>
    <row r="1723" ht="15.75" customHeight="1">
      <c r="A1723" s="1">
        <v>1721.0</v>
      </c>
      <c r="B1723" s="3" t="s">
        <v>1724</v>
      </c>
      <c r="C1723" s="3" t="str">
        <f>IFERROR(__xludf.DUMMYFUNCTION("GOOGLETRANSLATE(B1723,""id"",""en"")"),"['Buy', 'Package', 'Credit', 'Cut', 'Package', 'Internet', 'Enter', 'System', 'Troubled', 'Writing', 'Telkomsel', 'Loading', ' his writing ',' error ',' system ',' blah ',' blah ',' blah ',' ampunnnnnn ',' moved ',' provider ',' sang ',' commissioner ',' "&amp;"please ',' donk ' , 'breakthrough', 'kapok', 'already', 'expensive', 'package', 'compared to', 'competitor', 'TPI', 'service', 'kayak', 'gini', 'signal', ' Sometimes', 'labile', 'klu', 'facility', 'moved', 'cross',' provider ', ""]")</f>
        <v>['Buy', 'Package', 'Credit', 'Cut', 'Package', 'Internet', 'Enter', 'System', 'Troubled', 'Writing', 'Telkomsel', 'Loading', ' his writing ',' error ',' system ',' blah ',' blah ',' blah ',' ampunnnnnn ',' moved ',' provider ',' sang ',' commissioner ',' please ',' donk ' , 'breakthrough', 'kapok', 'already', 'expensive', 'package', 'compared to', 'competitor', 'TPI', 'service', 'kayak', 'gini', 'signal', ' Sometimes', 'labile', 'klu', 'facility', 'moved', 'cross',' provider ', "]</v>
      </c>
      <c r="D1723" s="3">
        <v>1.0</v>
      </c>
    </row>
    <row r="1724" ht="15.75" customHeight="1">
      <c r="A1724" s="1">
        <v>1722.0</v>
      </c>
      <c r="B1724" s="3" t="s">
        <v>1725</v>
      </c>
      <c r="C1724" s="3" t="str">
        <f>IFERROR(__xludf.DUMMYFUNCTION("GOOGLETRANSLATE(B1724,""id"",""en"")"),"['Sinyal', 'stable', 'play', 'game', 'village', 'signal', 'good', 'play', 'game', 'quota', 'local', 'stable', ' quota ',' game ',' stable ',' signal ',' please ',' repaired ',' repaired ',' signal ',' love ',' star ',' deh ',' ']")</f>
        <v>['Sinyal', 'stable', 'play', 'game', 'village', 'signal', 'good', 'play', 'game', 'quota', 'local', 'stable', ' quota ',' game ',' stable ',' signal ',' please ',' repaired ',' repaired ',' signal ',' love ',' star ',' deh ',' ']</v>
      </c>
      <c r="D1724" s="3">
        <v>1.0</v>
      </c>
    </row>
    <row r="1725" ht="15.75" customHeight="1">
      <c r="A1725" s="1">
        <v>1723.0</v>
      </c>
      <c r="B1725" s="3" t="s">
        <v>1726</v>
      </c>
      <c r="C1725" s="3" t="str">
        <f>IFERROR(__xludf.DUMMYFUNCTION("GOOGLETRANSLATE(B1725,""id"",""en"")"),"['Congratulations',' Morning ',' noon ',' night ',' Admind ',' Telkomsel ',' Please ',' Assisted ',' Increases', 'Quality', 'Signal', 'Yupz', ' Users', 'priority', 'main', 'regular', 'priority', 'limit', 'times',' refresh ',' mode ',' plane ',' functionin"&amp;"g ',' dependent ',' network ' , 'times',' task ',' via ',' internet ',' slow ',' according to ',' location ',' stay ',' safe ',' obstacle ',' blm ',' parallel ',' Signal ',' Region ',' Stay ',' Thank "", 'Love', 'Attention', 'Cooperation', 'Say']")</f>
        <v>['Congratulations',' Morning ',' noon ',' night ',' Admind ',' Telkomsel ',' Please ',' Assisted ',' Increases', 'Quality', 'Signal', 'Yupz', ' Users', 'priority', 'main', 'regular', 'priority', 'limit', 'times',' refresh ',' mode ',' plane ',' functioning ',' dependent ',' network ' , 'times',' task ',' via ',' internet ',' slow ',' according to ',' location ',' stay ',' safe ',' obstacle ',' blm ',' parallel ',' Signal ',' Region ',' Stay ',' Thank ", 'Love', 'Attention', 'Cooperation', 'Say']</v>
      </c>
      <c r="D1725" s="3">
        <v>5.0</v>
      </c>
    </row>
    <row r="1726" ht="15.75" customHeight="1">
      <c r="A1726" s="1">
        <v>1724.0</v>
      </c>
      <c r="B1726" s="3" t="s">
        <v>1727</v>
      </c>
      <c r="C1726" s="3" t="str">
        <f>IFERROR(__xludf.DUMMYFUNCTION("GOOGLETRANSLATE(B1726,""id"",""en"")"),"['Customer', 'Telkomsel', 'Stay', 'City', 'Sidoarjo', 'Hazed', 'Name', 'Telkomsel', 'Network', 'Internet', 'Leet', 'Lemot', ' Already ',' Activate ',' Package ',' Internet ',' Karna ',' Idon ',' Try ',' Buy ',' Package ',' Internet ',' Yng ',' Offered ','"&amp;" Asil ' , 'slow', 'signal', 'NUL', 'Took', 'Divert', 'NUL', 'please', 'repaired', 'the network', 'cook', 'kyk', 'gini', ' 'Ntar,' Left ',' Customer ',' ']")</f>
        <v>['Customer', 'Telkomsel', 'Stay', 'City', 'Sidoarjo', 'Hazed', 'Name', 'Telkomsel', 'Network', 'Internet', 'Leet', 'Lemot', ' Already ',' Activate ',' Package ',' Internet ',' Karna ',' Idon ',' Try ',' Buy ',' Package ',' Internet ',' Yng ',' Offered ',' Asil ' , 'slow', 'signal', 'NUL', 'Took', 'Divert', 'NUL', 'please', 'repaired', 'the network', 'cook', 'kyk', 'gini', ' 'Ntar,' Left ',' Customer ',' ']</v>
      </c>
      <c r="D1726" s="3">
        <v>1.0</v>
      </c>
    </row>
    <row r="1727" ht="15.75" customHeight="1">
      <c r="A1727" s="1">
        <v>1725.0</v>
      </c>
      <c r="B1727" s="3" t="s">
        <v>1728</v>
      </c>
      <c r="C1727" s="3" t="str">
        <f>IFERROR(__xludf.DUMMYFUNCTION("GOOGLETRANSLATE(B1727,""id"",""en"")"),"['', 'signal', 'weak', 'signal', 'full', 'slow', 'severe', 'jakarta', 'ping', 'auto', 'nge', 'lag', 'game ',' Application ',' Telkomsel ',' Error ']")</f>
        <v>['', 'signal', 'weak', 'signal', 'full', 'slow', 'severe', 'jakarta', 'ping', 'auto', 'nge', 'lag', 'game ',' Application ',' Telkomsel ',' Error ']</v>
      </c>
      <c r="D1727" s="3">
        <v>1.0</v>
      </c>
    </row>
    <row r="1728" ht="15.75" customHeight="1">
      <c r="A1728" s="1">
        <v>1726.0</v>
      </c>
      <c r="B1728" s="3" t="s">
        <v>1729</v>
      </c>
      <c r="C1728" s="3" t="str">
        <f>IFERROR(__xludf.DUMMYFUNCTION("GOOGLETRANSLATE(B1728,""id"",""en"")"),"['Telkomsel', 'network', 'good', 'stable', 'already', 'buy', 'expensive', 'stable', 'already', 'so', 'quota', 'emang', ' Ngilake ',' Telkomsel ',' Telkomsel ',' Taik ']")</f>
        <v>['Telkomsel', 'network', 'good', 'stable', 'already', 'buy', 'expensive', 'stable', 'already', 'so', 'quota', 'emang', ' Ngilake ',' Telkomsel ',' Telkomsel ',' Taik ']</v>
      </c>
      <c r="D1728" s="3">
        <v>1.0</v>
      </c>
    </row>
    <row r="1729" ht="15.75" customHeight="1">
      <c r="A1729" s="1">
        <v>1727.0</v>
      </c>
      <c r="B1729" s="3" t="s">
        <v>1730</v>
      </c>
      <c r="C1729" s="3" t="str">
        <f>IFERROR(__xludf.DUMMYFUNCTION("GOOGLETRANSLATE(B1729,""id"",""en"")"),"['Aihhj', 'Telkomsel', 'Malesin', 'already', 'update', 'package', 'expensive', 'all', 'GB', 'gada', 'cheap', 'GB', ' the price ',' Asikkk ',' really ',' oath ',' package ',' ']")</f>
        <v>['Aihhj', 'Telkomsel', 'Malesin', 'already', 'update', 'package', 'expensive', 'all', 'GB', 'gada', 'cheap', 'GB', ' the price ',' Asikkk ',' really ',' oath ',' package ',' ']</v>
      </c>
      <c r="D1729" s="3">
        <v>1.0</v>
      </c>
    </row>
    <row r="1730" ht="15.75" customHeight="1">
      <c r="A1730" s="1">
        <v>1728.0</v>
      </c>
      <c r="B1730" s="3" t="s">
        <v>1731</v>
      </c>
      <c r="C1730" s="3" t="str">
        <f>IFERROR(__xludf.DUMMYFUNCTION("GOOGLETRANSLATE(B1730,""id"",""en"")"),"['Application', 'login', 'melted', 'difficult', 'login', 'network', 'good', 'little', 'little', 'error', 'read', ' Min ',' reply ',' told ',' complain ',' application ',' Burikkkkkkkkkkkkkkkkkkkk ',' logo ',' good ',' contents', 'burikkkkkkkk', 'download'"&amp;", 'loss',' kouta ' , '']")</f>
        <v>['Application', 'login', 'melted', 'difficult', 'login', 'network', 'good', 'little', 'little', 'error', 'read', ' Min ',' reply ',' told ',' complain ',' application ',' Burikkkkkkkkkkkkkkkkkkkk ',' logo ',' good ',' contents', 'burikkkkkkkk', 'download', 'loss',' kouta ' , '']</v>
      </c>
      <c r="D1730" s="3">
        <v>1.0</v>
      </c>
    </row>
    <row r="1731" ht="15.75" customHeight="1">
      <c r="A1731" s="1">
        <v>1729.0</v>
      </c>
      <c r="B1731" s="3" t="s">
        <v>1732</v>
      </c>
      <c r="C1731" s="3" t="str">
        <f>IFERROR(__xludf.DUMMYFUNCTION("GOOGLETRANSLATE(B1731,""id"",""en"")"),"['love', 'star', 'according to', 'service', 'expensive', 'buy', 'package', 'signal', 'network', 'Lek', 'wonder', 'city', ' loading ',' muter ',' for him ',' jengkelllllllll ',' ']")</f>
        <v>['love', 'star', 'according to', 'service', 'expensive', 'buy', 'package', 'signal', 'network', 'Lek', 'wonder', 'city', ' loading ',' muter ',' for him ',' jengkelllllllll ',' ']</v>
      </c>
      <c r="D1731" s="3">
        <v>1.0</v>
      </c>
    </row>
    <row r="1732" ht="15.75" customHeight="1">
      <c r="A1732" s="1">
        <v>1730.0</v>
      </c>
      <c r="B1732" s="3" t="s">
        <v>1733</v>
      </c>
      <c r="C1732" s="3" t="str">
        <f>IFERROR(__xludf.DUMMYFUNCTION("GOOGLETRANSLATE(B1732,""id"",""en"")"),"['Please', 'fix', 'signal', 'good', 'open', 'application', 'anything', 'open', 'application', 'doang', 'fix', '' years ',' Telkomsel ',' SLLU ',' Application ',' Disappointed ',' ']")</f>
        <v>['Please', 'fix', 'signal', 'good', 'open', 'application', 'anything', 'open', 'application', 'doang', 'fix', '' years ',' Telkomsel ',' SLLU ',' Application ',' Disappointed ',' ']</v>
      </c>
      <c r="D1732" s="3">
        <v>1.0</v>
      </c>
    </row>
    <row r="1733" ht="15.75" customHeight="1">
      <c r="A1733" s="1">
        <v>1731.0</v>
      </c>
      <c r="B1733" s="3" t="s">
        <v>1734</v>
      </c>
      <c r="C1733" s="3" t="str">
        <f>IFERROR(__xludf.DUMMYFUNCTION("GOOGLETRANSLATE(B1733,""id"",""en"")"),"['Hopefully', 'Telkomsel', 'Jaya', 'Planted', 'Water', 'Indonesia', 'Growing', 'Rapid', 'Package', 'Internet', 'Lebeh', 'Cheap', ' ']")</f>
        <v>['Hopefully', 'Telkomsel', 'Jaya', 'Planted', 'Water', 'Indonesia', 'Growing', 'Rapid', 'Package', 'Internet', 'Lebeh', 'Cheap', ' ']</v>
      </c>
      <c r="D1733" s="3">
        <v>5.0</v>
      </c>
    </row>
    <row r="1734" ht="15.75" customHeight="1">
      <c r="A1734" s="1">
        <v>1732.0</v>
      </c>
      <c r="B1734" s="3" t="s">
        <v>1735</v>
      </c>
      <c r="C1734" s="3" t="str">
        <f>IFERROR(__xludf.DUMMYFUNCTION("GOOGLETRANSLATE(B1734,""id"",""en"")"),"['Telkomsel', 'stable', 'open', 'application', 'loading', 'forging', 'please', 'repaired', 'min', 'telkomsel', 'expensive', 'utamain', ' Quality ',' home ',' stability ',' network ',' lose ',' provider ',' cheap ',' network ',' fast ']")</f>
        <v>['Telkomsel', 'stable', 'open', 'application', 'loading', 'forging', 'please', 'repaired', 'min', 'telkomsel', 'expensive', 'utamain', ' Quality ',' home ',' stability ',' network ',' lose ',' provider ',' cheap ',' network ',' fast ']</v>
      </c>
      <c r="D1734" s="3">
        <v>1.0</v>
      </c>
    </row>
    <row r="1735" ht="15.75" customHeight="1">
      <c r="A1735" s="1">
        <v>1733.0</v>
      </c>
      <c r="B1735" s="3" t="s">
        <v>1736</v>
      </c>
      <c r="C1735" s="3" t="str">
        <f>IFERROR(__xludf.DUMMYFUNCTION("GOOGLETRANSLATE(B1735,""id"",""en"")"),"['according to', 'promise', 'star', 'because', 'business',' smooth ',' internet ',' Telkomsel ',' obstacle ',' in the area ',' installed ',' tower ',' Telkomsel ',' Strong ',' Sinyal ',' Thanks', 'Telkomsel', 'Good', 'Luck', 'Love', 'You', '']")</f>
        <v>['according to', 'promise', 'star', 'because', 'business',' smooth ',' internet ',' Telkomsel ',' obstacle ',' in the area ',' installed ',' tower ',' Telkomsel ',' Strong ',' Sinyal ',' Thanks', 'Telkomsel', 'Good', 'Luck', 'Love', 'You', '']</v>
      </c>
      <c r="D1735" s="3">
        <v>5.0</v>
      </c>
    </row>
    <row r="1736" ht="15.75" customHeight="1">
      <c r="A1736" s="1">
        <v>1734.0</v>
      </c>
      <c r="B1736" s="3" t="s">
        <v>1737</v>
      </c>
      <c r="C1736" s="3" t="str">
        <f>IFERROR(__xludf.DUMMYFUNCTION("GOOGLETRANSLATE(B1736,""id"",""en"")"),"['update', 'application', 'access',' login ',' difficult ',' complicated ',' experience ',' failed ',' login ',' many ',' times', 'test', ' Patience ',' Application ',' Error ',' Please ',' Repaired ',' Related ',' Login ', ""]")</f>
        <v>['update', 'application', 'access',' login ',' difficult ',' complicated ',' experience ',' failed ',' login ',' many ',' times', 'test', ' Patience ',' Application ',' Error ',' Please ',' Repaired ',' Related ',' Login ', "]</v>
      </c>
      <c r="D1736" s="3">
        <v>1.0</v>
      </c>
    </row>
    <row r="1737" ht="15.75" customHeight="1">
      <c r="A1737" s="1">
        <v>1735.0</v>
      </c>
      <c r="B1737" s="3" t="s">
        <v>1738</v>
      </c>
      <c r="C1737" s="3" t="str">
        <f>IFERROR(__xludf.DUMMYFUNCTION("GOOGLETRANSLATE(B1737,""id"",""en"")"),"['Fix', 'Signal', 'Tangerang', 'Mekar', 'Sari', 'Expensive', 'Doank', 'Age', 'Cook', 'Network', 'Quality', 'Telkomsel', ' "", 'embarrassing',""]")</f>
        <v>['Fix', 'Signal', 'Tangerang', 'Mekar', 'Sari', 'Expensive', 'Doank', 'Age', 'Cook', 'Network', 'Quality', 'Telkomsel', ' ", 'embarrassing',"]</v>
      </c>
      <c r="D1737" s="3">
        <v>1.0</v>
      </c>
    </row>
    <row r="1738" ht="15.75" customHeight="1">
      <c r="A1738" s="1">
        <v>1736.0</v>
      </c>
      <c r="B1738" s="3" t="s">
        <v>1739</v>
      </c>
      <c r="C1738" s="3" t="str">
        <f>IFERROR(__xludf.DUMMYFUNCTION("GOOGLETRANSLATE(B1738,""id"",""en"")"),"['Change', 'card', 'Safe', 'Save', 'Credit', 'Content', 'Cut', 'Package', 'Registered', 'Repeat', 'Times',' friend ',' It seems like ',' intentional ', ""]")</f>
        <v>['Change', 'card', 'Safe', 'Save', 'Credit', 'Content', 'Cut', 'Package', 'Registered', 'Repeat', 'Times',' friend ',' It seems like ',' intentional ', "]</v>
      </c>
      <c r="D1738" s="3">
        <v>1.0</v>
      </c>
    </row>
    <row r="1739" ht="15.75" customHeight="1">
      <c r="A1739" s="1">
        <v>1737.0</v>
      </c>
      <c r="B1739" s="3" t="s">
        <v>1740</v>
      </c>
      <c r="C1739" s="3" t="str">
        <f>IFERROR(__xludf.DUMMYFUNCTION("GOOGLETRANSLATE(B1739,""id"",""en"")"),"['application', 'perfect', 'upgrade', 'enter', 'please', 'fixed', 'application', 'handy', 'user', 'Telkomsel', ""]")</f>
        <v>['application', 'perfect', 'upgrade', 'enter', 'please', 'fixed', 'application', 'handy', 'user', 'Telkomsel', "]</v>
      </c>
      <c r="D1739" s="3">
        <v>1.0</v>
      </c>
    </row>
    <row r="1740" ht="15.75" customHeight="1">
      <c r="A1740" s="1">
        <v>1738.0</v>
      </c>
      <c r="B1740" s="3" t="s">
        <v>1741</v>
      </c>
      <c r="C1740" s="3" t="str">
        <f>IFERROR(__xludf.DUMMYFUNCTION("GOOGLETRANSLATE(B1740,""id"",""en"")"),"['knapa', 'login', 'difficult', 'muter', 'times',' sorry ',' application ',' for example ',' sorry ',' error ',' system ',' beg ',' Repeat ',' Minutes', 'Ntar', 'SDAH', 'SERIES', 'Normal', 'Love', 'APK', 'APK', 'HOAX', 'YAA', ""]")</f>
        <v>['knapa', 'login', 'difficult', 'muter', 'times',' sorry ',' application ',' for example ',' sorry ',' error ',' system ',' beg ',' Repeat ',' Minutes', 'Ntar', 'SDAH', 'SERIES', 'Normal', 'Love', 'APK', 'APK', 'HOAX', 'YAA', "]</v>
      </c>
      <c r="D1740" s="3">
        <v>1.0</v>
      </c>
    </row>
    <row r="1741" ht="15.75" customHeight="1">
      <c r="A1741" s="1">
        <v>1739.0</v>
      </c>
      <c r="B1741" s="3" t="s">
        <v>1742</v>
      </c>
      <c r="C1741" s="3" t="str">
        <f>IFERROR(__xludf.DUMMYFUNCTION("GOOGLETRANSLATE(B1741,""id"",""en"")"),"['Dear', 'Telkomsel', 'subscribe', 'Telkomsel', 'here', 'network', 'threat', 'like', 'good', 'open', 'application', 'requires',' Please ',' repaired ',' Thank you ']")</f>
        <v>['Dear', 'Telkomsel', 'subscribe', 'Telkomsel', 'here', 'network', 'threat', 'like', 'good', 'open', 'application', 'requires',' Please ',' repaired ',' Thank you ']</v>
      </c>
      <c r="D1741" s="3">
        <v>2.0</v>
      </c>
    </row>
    <row r="1742" ht="15.75" customHeight="1">
      <c r="A1742" s="1">
        <v>1740.0</v>
      </c>
      <c r="B1742" s="3" t="s">
        <v>1743</v>
      </c>
      <c r="C1742" s="3" t="str">
        <f>IFERROR(__xludf.DUMMYFUNCTION("GOOGLETRANSLATE(B1742,""id"",""en"")"),"['The application', 'ngak', 'package', 'signal', 'good', 'TPI', 'ngak', 'access',' application ',' turn ',' use ',' wifi ',' HOSPORT ',' Current ',' Open ',' Application ',' Developer ',' Please ',' Check ']")</f>
        <v>['The application', 'ngak', 'package', 'signal', 'good', 'TPI', 'ngak', 'access',' application ',' turn ',' use ',' wifi ',' HOSPORT ',' Current ',' Open ',' Application ',' Developer ',' Please ',' Check ']</v>
      </c>
      <c r="D1742" s="3">
        <v>1.0</v>
      </c>
    </row>
    <row r="1743" ht="15.75" customHeight="1">
      <c r="A1743" s="1">
        <v>1741.0</v>
      </c>
      <c r="B1743" s="3" t="s">
        <v>1744</v>
      </c>
      <c r="C1743" s="3" t="str">
        <f>IFERROR(__xludf.DUMMYFUNCTION("GOOGLETRANSLATE(B1743,""id"",""en"")"),"['Login', 'APL', 'Telkomsel', 'UDH', 'Times',' Time ',' Take ',' Tetep ',' Failed ',' Kali ',' Please ',' Help ',' Telkomsel ',' difficult ',' entered ',' APL ',' Telkomsel ',' failed ']")</f>
        <v>['Login', 'APL', 'Telkomsel', 'UDH', 'Times',' Time ',' Take ',' Tetep ',' Failed ',' Kali ',' Please ',' Help ',' Telkomsel ',' difficult ',' entered ',' APL ',' Telkomsel ',' failed ']</v>
      </c>
      <c r="D1743" s="3">
        <v>3.0</v>
      </c>
    </row>
    <row r="1744" ht="15.75" customHeight="1">
      <c r="A1744" s="1">
        <v>1742.0</v>
      </c>
      <c r="B1744" s="3" t="s">
        <v>1745</v>
      </c>
      <c r="C1744" s="3" t="str">
        <f>IFERROR(__xludf.DUMMYFUNCTION("GOOGLETRANSLATE(B1744,""id"",""en"")"),"['Sorry', 'ask', 'good', 'application', 'updated', 'opened', 'application', 'please', 'explanation', 'Telkomsel', ""]")</f>
        <v>['Sorry', 'ask', 'good', 'application', 'updated', 'opened', 'application', 'please', 'explanation', 'Telkomsel', "]</v>
      </c>
      <c r="D1744" s="3">
        <v>1.0</v>
      </c>
    </row>
    <row r="1745" ht="15.75" customHeight="1">
      <c r="A1745" s="1">
        <v>1743.0</v>
      </c>
      <c r="B1745" s="3" t="s">
        <v>1746</v>
      </c>
      <c r="C1745" s="3" t="str">
        <f>IFERROR(__xludf.DUMMYFUNCTION("GOOGLETRANSLATE(B1745,""id"",""en"")"),"['Bener', 'Telkomsel', 'Buy', 'Package', 'GB', 'Combo', 'Sakti', 'Morning', 'Date', 'yes',' GB ',' Exhaustible ',' Date ',' Naturally ',' logic ',' Seboros', 'wasteful', 'Watch', 'YouTube', 'Video', 'Facebook', 'Fast', 'Exhausted', 'Week', 'Loss' , 'dikar"&amp;"na', 'a month', 'buy', 'package', 'UDH', 'network', 'internet', 'game', 'stable', 'Please', 'fix', 'customer', ' Telkomsel ',' Covid ',' ']]")</f>
        <v>['Bener', 'Telkomsel', 'Buy', 'Package', 'GB', 'Combo', 'Sakti', 'Morning', 'Date', 'yes',' GB ',' Exhaustible ',' Date ',' Naturally ',' logic ',' Seboros', 'wasteful', 'Watch', 'YouTube', 'Video', 'Facebook', 'Fast', 'Exhausted', 'Week', 'Loss' , 'dikarna', 'a month', 'buy', 'package', 'UDH', 'network', 'internet', 'game', 'stable', 'Please', 'fix', 'customer', ' Telkomsel ',' Covid ',' ']]</v>
      </c>
      <c r="D1745" s="3">
        <v>1.0</v>
      </c>
    </row>
    <row r="1746" ht="15.75" customHeight="1">
      <c r="A1746" s="1">
        <v>1744.0</v>
      </c>
      <c r="B1746" s="3" t="s">
        <v>1747</v>
      </c>
      <c r="C1746" s="3" t="str">
        <f>IFERROR(__xludf.DUMMYFUNCTION("GOOGLETRANSLATE(B1746,""id"",""en"")"),"['entry', 'application', 'connects',' wifi ',' brother ',' Telkomsel ',' ugly ',' contents', 'pulse', 'directly', 'chick', 'until', ' hbs', 'pulse', 'pesa', 'please', 'fix', 'update', 'ugly']")</f>
        <v>['entry', 'application', 'connects',' wifi ',' brother ',' Telkomsel ',' ugly ',' contents', 'pulse', 'directly', 'chick', 'until', ' hbs', 'pulse', 'pesa', 'please', 'fix', 'update', 'ugly']</v>
      </c>
      <c r="D1746" s="3">
        <v>1.0</v>
      </c>
    </row>
    <row r="1747" ht="15.75" customHeight="1">
      <c r="A1747" s="1">
        <v>1745.0</v>
      </c>
      <c r="B1747" s="3" t="s">
        <v>1748</v>
      </c>
      <c r="C1747" s="3" t="str">
        <f>IFERROR(__xludf.DUMMYFUNCTION("GOOGLETRANSLATE(B1747,""id"",""en"")"),"['Cook', 'Login', 'Sampa', 'Difficult', 'Play', 'Beribuk', 'No', 'Kayak', 'Tetanga', 'Unistal', 'TRS', 'Donlot', ' App ',' cook ',' donlot ',' already ',' update ',' already ',' so ',' no ',' entry ',' ']")</f>
        <v>['Cook', 'Login', 'Sampa', 'Difficult', 'Play', 'Beribuk', 'No', 'Kayak', 'Tetanga', 'Unistal', 'TRS', 'Donlot', ' App ',' cook ',' donlot ',' already ',' update ',' already ',' so ',' no ',' entry ',' ']</v>
      </c>
      <c r="D1747" s="3">
        <v>1.0</v>
      </c>
    </row>
    <row r="1748" ht="15.75" customHeight="1">
      <c r="A1748" s="1">
        <v>1746.0</v>
      </c>
      <c r="B1748" s="3" t="s">
        <v>1749</v>
      </c>
      <c r="C1748" s="3" t="str">
        <f>IFERROR(__xludf.DUMMYFUNCTION("GOOGLETRANSLATE(B1748,""id"",""en"")"),"['package', 'expensive', 'expensive', 'network', 'lost', 'embossed', 'Telkomsel', 'like', 'network', 'strong', 'disappointed', ""]")</f>
        <v>['package', 'expensive', 'expensive', 'network', 'lost', 'embossed', 'Telkomsel', 'like', 'network', 'strong', 'disappointed', "]</v>
      </c>
      <c r="D1748" s="3">
        <v>1.0</v>
      </c>
    </row>
    <row r="1749" ht="15.75" customHeight="1">
      <c r="A1749" s="1">
        <v>1747.0</v>
      </c>
      <c r="B1749" s="3" t="s">
        <v>1750</v>
      </c>
      <c r="C1749" s="3" t="str">
        <f>IFERROR(__xludf.DUMMYFUNCTION("GOOGLETRANSLATE(B1749,""id"",""en"")"),"['knp', 'udh', 'login', 'difficult', 'really', 'different', 'sided', 'admit', 'best', 'rich', 'gini', 'masi', ' slow', '']")</f>
        <v>['knp', 'udh', 'login', 'difficult', 'really', 'different', 'sided', 'admit', 'best', 'rich', 'gini', 'masi', ' slow', '']</v>
      </c>
      <c r="D1749" s="3">
        <v>1.0</v>
      </c>
    </row>
    <row r="1750" ht="15.75" customHeight="1">
      <c r="A1750" s="1">
        <v>1748.0</v>
      </c>
      <c r="B1750" s="3" t="s">
        <v>1751</v>
      </c>
      <c r="C1750" s="3" t="str">
        <f>IFERROR(__xludf.DUMMYFUNCTION("GOOGLETRANSLATE(B1750,""id"",""en"")"),"['already', 'updated', 'right', 'opened', 'updated', 'playstorenya', 'already', 'writing', 'update', 'updated', 'how', 'Telkomsel', ' Buy ',' Package ',' Data ']")</f>
        <v>['already', 'updated', 'right', 'opened', 'updated', 'playstorenya', 'already', 'writing', 'update', 'updated', 'how', 'Telkomsel', ' Buy ',' Package ',' Data ']</v>
      </c>
      <c r="D1750" s="3">
        <v>1.0</v>
      </c>
    </row>
    <row r="1751" ht="15.75" customHeight="1">
      <c r="A1751" s="1">
        <v>1749.0</v>
      </c>
      <c r="B1751" s="3" t="s">
        <v>1752</v>
      </c>
      <c r="C1751" s="3" t="str">
        <f>IFERROR(__xludf.DUMMYFUNCTION("GOOGLETRANSLATE(B1751,""id"",""en"")"),"['Login', 'Difficult', 'Internet', 'Kenceng', 'Muter', 'Failed', 'Transaction', 'Severe', 'Handle', 'Feedback', 'Consumer', 'Fast']")</f>
        <v>['Login', 'Difficult', 'Internet', 'Kenceng', 'Muter', 'Failed', 'Transaction', 'Severe', 'Handle', 'Feedback', 'Consumer', 'Fast']</v>
      </c>
      <c r="D1751" s="3">
        <v>1.0</v>
      </c>
    </row>
    <row r="1752" ht="15.75" customHeight="1">
      <c r="A1752" s="1">
        <v>1750.0</v>
      </c>
      <c r="B1752" s="3" t="s">
        <v>1753</v>
      </c>
      <c r="C1752" s="3" t="str">
        <f>IFERROR(__xludf.DUMMYFUNCTION("GOOGLETRANSLATE(B1752,""id"",""en"")"),"['Provider', 'bad', 'service', 'loss',' customer ',' enter ',' application ',' MyTelkomsel ',' difficult ',' Bangat ',' error ',' etc. ',' Quota ',' Internet ',' Out ',' Details', 'Use', 'Exhibiting', '']")</f>
        <v>['Provider', 'bad', 'service', 'loss',' customer ',' enter ',' application ',' MyTelkomsel ',' difficult ',' Bangat ',' error ',' etc. ',' Quota ',' Internet ',' Out ',' Details', 'Use', 'Exhibiting', '']</v>
      </c>
      <c r="D1752" s="3">
        <v>1.0</v>
      </c>
    </row>
    <row r="1753" ht="15.75" customHeight="1">
      <c r="A1753" s="1">
        <v>1751.0</v>
      </c>
      <c r="B1753" s="3" t="s">
        <v>1754</v>
      </c>
      <c r="C1753" s="3" t="str">
        <f>IFERROR(__xludf.DUMMYFUNCTION("GOOGLETRANSLATE(B1753,""id"",""en"")"),"['Telkomsel', 'operator', 'expensive', 'like', 'begging', 'sms',' nsp ',' sometimes', 'facebook', 'free', 'told', 'buy', ' package ',' Nipu ',' sms', 'wise', 'Telkomsel', 'no', 'users',' Telkomsel ',' stupid ', ""]")</f>
        <v>['Telkomsel', 'operator', 'expensive', 'like', 'begging', 'sms',' nsp ',' sometimes', 'facebook', 'free', 'told', 'buy', ' package ',' Nipu ',' sms', 'wise', 'Telkomsel', 'no', 'users',' Telkomsel ',' stupid ', "]</v>
      </c>
      <c r="D1753" s="3">
        <v>1.0</v>
      </c>
    </row>
    <row r="1754" ht="15.75" customHeight="1">
      <c r="A1754" s="1">
        <v>1752.0</v>
      </c>
      <c r="B1754" s="3" t="s">
        <v>1755</v>
      </c>
      <c r="C1754" s="3" t="str">
        <f>IFERROR(__xludf.DUMMYFUNCTION("GOOGLETRANSLATE(B1754,""id"",""en"")"),"['Please', 'APK', 'Restore', 'Telkomsel', 'mAh', 'enter', 'enter', 'screen', 'sllu', 'white', 'apk', 'delete', ' download ',' kmbli ',' ber ',' reset ',' reset ',' ttep ',' display ',' menu ']")</f>
        <v>['Please', 'APK', 'Restore', 'Telkomsel', 'mAh', 'enter', 'enter', 'screen', 'sllu', 'white', 'apk', 'delete', ' download ',' kmbli ',' ber ',' reset ',' reset ',' ttep ',' display ',' menu ']</v>
      </c>
      <c r="D1754" s="3">
        <v>1.0</v>
      </c>
    </row>
    <row r="1755" ht="15.75" customHeight="1">
      <c r="A1755" s="1">
        <v>1753.0</v>
      </c>
      <c r="B1755" s="3" t="s">
        <v>1756</v>
      </c>
      <c r="C1755" s="3" t="str">
        <f>IFERROR(__xludf.DUMMYFUNCTION("GOOGLETRANSLATE(B1755,""id"",""en"")"),"['Update', 'heavy', 'Loading', 'Open', 'APL', 'MyTelkomsel', 'Features', 'Delicious', 'Version', 'Simple', ""]")</f>
        <v>['Update', 'heavy', 'Loading', 'Open', 'APL', 'MyTelkomsel', 'Features', 'Delicious', 'Version', 'Simple', "]</v>
      </c>
      <c r="D1755" s="3">
        <v>1.0</v>
      </c>
    </row>
    <row r="1756" ht="15.75" customHeight="1">
      <c r="A1756" s="1">
        <v>1754.0</v>
      </c>
      <c r="B1756" s="3" t="s">
        <v>1757</v>
      </c>
      <c r="C1756" s="3" t="str">
        <f>IFERROR(__xludf.DUMMYFUNCTION("GOOGLETRANSLATE(B1756,""id"",""en"")"),"['Rates', 'expensive', 'network', 'guarded', 'quality', 'all day', 'stable', 'job', 'disturbed', 'managed', 'BUMN', ""]")</f>
        <v>['Rates', 'expensive', 'network', 'guarded', 'quality', 'all day', 'stable', 'job', 'disturbed', 'managed', 'BUMN', "]</v>
      </c>
      <c r="D1756" s="3">
        <v>1.0</v>
      </c>
    </row>
    <row r="1757" ht="15.75" customHeight="1">
      <c r="A1757" s="1">
        <v>1755.0</v>
      </c>
      <c r="B1757" s="3" t="s">
        <v>1758</v>
      </c>
      <c r="C1757" s="3" t="str">
        <f>IFERROR(__xludf.DUMMYFUNCTION("GOOGLETRANSLATE(B1757,""id"",""en"")"),"['package', 'maketin', 'kirain', 'love', 'promo', 'then', 'naek', 'package', 'already', 'network', 'nge', 'lag', ' then ',' love ',' star ',' dlo ',' klw ',' nnti ',' promo ',' network ',' good ',' love ',' star ',' ']")</f>
        <v>['package', 'maketin', 'kirain', 'love', 'promo', 'then', 'naek', 'package', 'already', 'network', 'nge', 'lag', ' then ',' love ',' star ',' dlo ',' klw ',' nnti ',' promo ',' network ',' good ',' love ',' star ',' ']</v>
      </c>
      <c r="D1757" s="3">
        <v>1.0</v>
      </c>
    </row>
    <row r="1758" ht="15.75" customHeight="1">
      <c r="A1758" s="1">
        <v>1756.0</v>
      </c>
      <c r="B1758" s="3" t="s">
        <v>1759</v>
      </c>
      <c r="C1758" s="3" t="str">
        <f>IFERROR(__xludf.DUMMYFUNCTION("GOOGLETRANSLATE(B1758,""id"",""en"")"),"['severe', 'application', 'update', 'display', 'difficult', 'enter', 'application', 'log', 'log', 'difficult', 'delay', 'fail', ' Version ',' Not bad ',' easy ',' smooth ',' entered ',' application ',' Severe ',' Anyway ',' ']")</f>
        <v>['severe', 'application', 'update', 'display', 'difficult', 'enter', 'application', 'log', 'log', 'difficult', 'delay', 'fail', ' Version ',' Not bad ',' easy ',' smooth ',' entered ',' application ',' Severe ',' Anyway ',' ']</v>
      </c>
      <c r="D1758" s="3">
        <v>1.0</v>
      </c>
    </row>
    <row r="1759" ht="15.75" customHeight="1">
      <c r="A1759" s="1">
        <v>1757.0</v>
      </c>
      <c r="B1759" s="3" t="s">
        <v>1760</v>
      </c>
      <c r="C1759" s="3" t="str">
        <f>IFERROR(__xludf.DUMMYFUNCTION("GOOGLETRANSLATE(B1759,""id"",""en"")"),"['Telkomsel', 'Gedeg', 'yaa', 'old', 'plus',' version ',' difficult ',' really ',' broke ',' kagak ',' connect ',' mulu ',' Quota ',' Mending ',' Ajj ',' Discard ']")</f>
        <v>['Telkomsel', 'Gedeg', 'yaa', 'old', 'plus',' version ',' difficult ',' really ',' broke ',' kagak ',' connect ',' mulu ',' Quota ',' Mending ',' Ajj ',' Discard ']</v>
      </c>
      <c r="D1759" s="3">
        <v>1.0</v>
      </c>
    </row>
    <row r="1760" ht="15.75" customHeight="1">
      <c r="A1760" s="1">
        <v>1758.0</v>
      </c>
      <c r="B1760" s="3" t="s">
        <v>1761</v>
      </c>
      <c r="C1760" s="3" t="str">
        <f>IFERROR(__xludf.DUMMYFUNCTION("GOOGLETRANSLATE(B1760,""id"",""en"")"),"['buy', 'package', 'application', 'difficult', 'enter', 'think', 'trobel', 'bbra', 'minute', 'okay', 'hose', 'bbrpa', ' Enter ',' Application ',' Log ',' Out ',' SNDRI ',' SMPE ',' SKRG ',' SCHOOL ',' ']")</f>
        <v>['buy', 'package', 'application', 'difficult', 'enter', 'think', 'trobel', 'bbra', 'minute', 'okay', 'hose', 'bbrpa', ' Enter ',' Application ',' Log ',' Out ',' SNDRI ',' SMPE ',' SKRG ',' SCHOOL ',' ']</v>
      </c>
      <c r="D1760" s="3">
        <v>2.0</v>
      </c>
    </row>
    <row r="1761" ht="15.75" customHeight="1">
      <c r="A1761" s="1">
        <v>1759.0</v>
      </c>
      <c r="B1761" s="3" t="s">
        <v>1762</v>
      </c>
      <c r="C1761" s="3" t="str">
        <f>IFERROR(__xludf.DUMMYFUNCTION("GOOGLETRANSLATE(B1761,""id"",""en"")"),"['Telkomsel', 'bankrupt', 'strength', 'signal', 'difficult', 'connected', 'internet', 'fund', 'fix', 'tower', ""]")</f>
        <v>['Telkomsel', 'bankrupt', 'strength', 'signal', 'difficult', 'connected', 'internet', 'fund', 'fix', 'tower', "]</v>
      </c>
      <c r="D1761" s="3">
        <v>1.0</v>
      </c>
    </row>
    <row r="1762" ht="15.75" customHeight="1">
      <c r="A1762" s="1">
        <v>1760.0</v>
      </c>
      <c r="B1762" s="3" t="s">
        <v>1763</v>
      </c>
      <c r="C1762" s="3" t="str">
        <f>IFERROR(__xludf.DUMMYFUNCTION("GOOGLETRANSLATE(B1762,""id"",""en"")"),"['bad', 'application', 'heavy', 'accessed', 'enter', 'application', 'safe', 'troublesome', 'failed', 'link', 'sms',' function ',' Failed ',' in ',' many ',' times', 'for days',' think ',' application ',' easy ',' use ',' fast ',' access', 'request', 'link"&amp;"' , 'Via', 'SMS', 'second', 'directly', 'calculated', 'request', 'sms',' obtained ',' run out ',' input ',' via ',' bot ',' Telegram ',' Unfortunately ',' Bot ',' Function ',' ']")</f>
        <v>['bad', 'application', 'heavy', 'accessed', 'enter', 'application', 'safe', 'troublesome', 'failed', 'link', 'sms',' function ',' Failed ',' in ',' many ',' times', 'for days',' think ',' application ',' easy ',' use ',' fast ',' access', 'request', 'link' , 'Via', 'SMS', 'second', 'directly', 'calculated', 'request', 'sms',' obtained ',' run out ',' input ',' via ',' bot ',' Telegram ',' Unfortunately ',' Bot ',' Function ',' ']</v>
      </c>
      <c r="D1762" s="3">
        <v>1.0</v>
      </c>
    </row>
    <row r="1763" ht="15.75" customHeight="1">
      <c r="A1763" s="1">
        <v>1761.0</v>
      </c>
      <c r="B1763" s="3" t="s">
        <v>1764</v>
      </c>
      <c r="C1763" s="3" t="str">
        <f>IFERROR(__xludf.DUMMYFUNCTION("GOOGLETRANSLATE(B1763,""id"",""en"")"),"['activation', 'package', 'the application', 'error', 'signal', 'ugly', 'restart', 'repeat', 'the application', 'error', ""]")</f>
        <v>['activation', 'package', 'the application', 'error', 'signal', 'ugly', 'restart', 'repeat', 'the application', 'error', "]</v>
      </c>
      <c r="D1763" s="3">
        <v>1.0</v>
      </c>
    </row>
    <row r="1764" ht="15.75" customHeight="1">
      <c r="A1764" s="1">
        <v>1762.0</v>
      </c>
      <c r="B1764" s="3" t="s">
        <v>1765</v>
      </c>
      <c r="C1764" s="3" t="str">
        <f>IFERROR(__xludf.DUMMYFUNCTION("GOOGLETRANSLATE(B1764,""id"",""en"")"),"['already', 'updated', 'APK', 'told', 'update', 'updated', 'hmm', 'already', 'newest', 'right', 'verification', 'Lemit', ' TimeLyahabis', 'repeated']")</f>
        <v>['already', 'updated', 'APK', 'told', 'update', 'updated', 'hmm', 'already', 'newest', 'right', 'verification', 'Lemit', ' TimeLyahabis', 'repeated']</v>
      </c>
      <c r="D1764" s="3">
        <v>1.0</v>
      </c>
    </row>
    <row r="1765" ht="15.75" customHeight="1">
      <c r="A1765" s="1">
        <v>1763.0</v>
      </c>
      <c r="B1765" s="3" t="s">
        <v>1766</v>
      </c>
      <c r="C1765" s="3" t="str">
        <f>IFERROR(__xludf.DUMMYFUNCTION("GOOGLETRANSLATE(B1765,""id"",""en"")"),"['Severe', 'really', 'disorder', 'open', 'sudh', 'for days',' open ',' network ',' wifi ',' application ',' heavy ',' urban ',' Users', 'in the area', 'Telkomsel', 'login', 'boss',' wifi ',' Telkomsel ',' slow ',' Telkomsel ',' strengthen ',' speed ',' st"&amp;"rategy ',' minimize ' , 'access', 'application', 'looks', 'really', 'Telkomsel', 'bad']")</f>
        <v>['Severe', 'really', 'disorder', 'open', 'sudh', 'for days',' open ',' network ',' wifi ',' application ',' heavy ',' urban ',' Users', 'in the area', 'Telkomsel', 'login', 'boss',' wifi ',' Telkomsel ',' slow ',' Telkomsel ',' strengthen ',' speed ',' strategy ',' minimize ' , 'access', 'application', 'looks', 'really', 'Telkomsel', 'bad']</v>
      </c>
      <c r="D1765" s="3">
        <v>1.0</v>
      </c>
    </row>
    <row r="1766" ht="15.75" customHeight="1">
      <c r="A1766" s="1">
        <v>1764.0</v>
      </c>
      <c r="B1766" s="3" t="s">
        <v>1767</v>
      </c>
      <c r="C1766" s="3" t="str">
        <f>IFERROR(__xludf.DUMMYFUNCTION("GOOGLETRANSLATE(B1766,""id"",""en"")"),"['Application', 'Telkomsel', 'Come on', 'Flocking', 'Blanion', 'Move', 'Application', 'Next to', 'Normal', 'Lanjay', 'Use', 'Application', ' Already ',' download ',' uninstall ',' many ',' times', 'tetep', 'disorder', 'system', 'professional', 'really', '"&amp;"performance', ""]")</f>
        <v>['Application', 'Telkomsel', 'Come on', 'Flocking', 'Blanion', 'Move', 'Application', 'Next to', 'Normal', 'Lanjay', 'Use', 'Application', ' Already ',' download ',' uninstall ',' many ',' times', 'tetep', 'disorder', 'system', 'professional', 'really', 'performance', "]</v>
      </c>
      <c r="D1766" s="3">
        <v>1.0</v>
      </c>
    </row>
    <row r="1767" ht="15.75" customHeight="1">
      <c r="A1767" s="1">
        <v>1765.0</v>
      </c>
      <c r="B1767" s="3" t="s">
        <v>1768</v>
      </c>
      <c r="C1767" s="3" t="str">
        <f>IFERROR(__xludf.DUMMYFUNCTION("GOOGLETRANSLATE(B1767,""id"",""en"")"),"['team', 'maker', 'application', 'please', 'complicated', 'open', 'enter', 'application', 'at home', 'replace', 'OFRATOR', 'Masi', ' Dear ',' card ',' number ',' Buru ',' contents', 'quota', 'package', 'disgrace', 'open', 'message', 'sms',' sent ',' opene"&amp;"d ' , 'SMS', 'enter', 'customer', 'settled', 'please', 'made easier', 'package', 'quota', 'cry', 'buy', 'expensive', 'expensive']")</f>
        <v>['team', 'maker', 'application', 'please', 'complicated', 'open', 'enter', 'application', 'at home', 'replace', 'OFRATOR', 'Masi', ' Dear ',' card ',' number ',' Buru ',' contents', 'quota', 'package', 'disgrace', 'open', 'message', 'sms',' sent ',' opened ' , 'SMS', 'enter', 'customer', 'settled', 'please', 'made easier', 'package', 'quota', 'cry', 'buy', 'expensive', 'expensive']</v>
      </c>
      <c r="D1767" s="3">
        <v>2.0</v>
      </c>
    </row>
    <row r="1768" ht="15.75" customHeight="1">
      <c r="A1768" s="1">
        <v>1766.0</v>
      </c>
      <c r="B1768" s="3" t="s">
        <v>1769</v>
      </c>
      <c r="C1768" s="3" t="str">
        <f>IFERROR(__xludf.DUMMYFUNCTION("GOOGLETRANSLATE(B1768,""id"",""en"")"),"['told', 'update', 'right', 'update', 'knp', 'the application', 'opened', 'Mlah', 'told', 'update', 'press',' button ',' Update ',' Play ',' Store ',' Open ',' Please ',' Please ',' Repair ',' ']")</f>
        <v>['told', 'update', 'right', 'update', 'knp', 'the application', 'opened', 'Mlah', 'told', 'update', 'press',' button ',' Update ',' Play ',' Store ',' Open ',' Please ',' Please ',' Repair ',' ']</v>
      </c>
      <c r="D1768" s="3">
        <v>1.0</v>
      </c>
    </row>
    <row r="1769" ht="15.75" customHeight="1">
      <c r="A1769" s="1">
        <v>1767.0</v>
      </c>
      <c r="B1769" s="3" t="s">
        <v>1770</v>
      </c>
      <c r="C1769" s="3" t="str">
        <f>IFERROR(__xludf.DUMMYFUNCTION("GOOGLETRANSLATE(B1769,""id"",""en"")"),"['Come', 'expensive', 'System', 'The application', 'Fucking', 'Peguna', 'Times',' Buy ',' Quota ',' Balance ',' Promo ',' discount ',' Gede ',' right ',' contents', 'balance', 'price', 'normal', 'annoyed', '']")</f>
        <v>['Come', 'expensive', 'System', 'The application', 'Fucking', 'Peguna', 'Times',' Buy ',' Quota ',' Balance ',' Promo ',' discount ',' Gede ',' right ',' contents', 'balance', 'price', 'normal', 'annoyed', '']</v>
      </c>
      <c r="D1769" s="3">
        <v>1.0</v>
      </c>
    </row>
    <row r="1770" ht="15.75" customHeight="1">
      <c r="A1770" s="1">
        <v>1768.0</v>
      </c>
      <c r="B1770" s="3" t="s">
        <v>1771</v>
      </c>
      <c r="C1770" s="3" t="str">
        <f>IFERROR(__xludf.DUMMYFUNCTION("GOOGLETRANSLATE(B1770,""id"",""en"")"),"['Sorry', 'collapsed', 'star', 'subscribe', 'Telkomsel', 'enhanced', 'expensive', 'price', 'package', 'disappointed', ""]")</f>
        <v>['Sorry', 'collapsed', 'star', 'subscribe', 'Telkomsel', 'enhanced', 'expensive', 'price', 'package', 'disappointed', "]</v>
      </c>
      <c r="D1770" s="3">
        <v>3.0</v>
      </c>
    </row>
    <row r="1771" ht="15.75" customHeight="1">
      <c r="A1771" s="1">
        <v>1769.0</v>
      </c>
      <c r="B1771" s="3" t="s">
        <v>1772</v>
      </c>
      <c r="C1771" s="3" t="str">
        <f>IFERROR(__xludf.DUMMYFUNCTION("GOOGLETRANSLATE(B1771,""id"",""en"")"),"['Nidak', 'Enter', 'Clear', 'Chace', 'Login', 'Open', 'URL', 'SMS', 'FAILURE', 'Update', 'Android', 'Telkomsel', ' Communication ',' Telkomsel ',' Care ',' Guided ',' Email ',' Position ',' Data ',' Change ',' SIM ',' Indo ',' FAILURE ',' MKN ',' DEVEVER "&amp;"' , 'application', 'change', 'policy', 'access', 'network', 'Telkomsel', 'events', 'mobile', 'banking', 'accessible', 'accessed', 'data' SIM ',' ']")</f>
        <v>['Nidak', 'Enter', 'Clear', 'Chace', 'Login', 'Open', 'URL', 'SMS', 'FAILURE', 'Update', 'Android', 'Telkomsel', ' Communication ',' Telkomsel ',' Care ',' Guided ',' Email ',' Position ',' Data ',' Change ',' SIM ',' Indo ',' FAILURE ',' MKN ',' DEVEVER ' , 'application', 'change', 'policy', 'access', 'network', 'Telkomsel', 'events', 'mobile', 'banking', 'accessible', 'accessed', 'data' SIM ',' ']</v>
      </c>
      <c r="D1771" s="3">
        <v>5.0</v>
      </c>
    </row>
    <row r="1772" ht="15.75" customHeight="1">
      <c r="A1772" s="1">
        <v>1770.0</v>
      </c>
      <c r="B1772" s="3" t="s">
        <v>1773</v>
      </c>
      <c r="C1772" s="3" t="str">
        <f>IFERROR(__xludf.DUMMYFUNCTION("GOOGLETRANSLATE(B1772,""id"",""en"")"),"['Please', 'Cook', 'Update', 'Application', 'Telkomsel', 'Screen', 'White', 'Application', 'Telkomsel', 'Easy', 'Gampan', 'How', ' Kalok ',' difficult ',' signal ',' Ribet ']")</f>
        <v>['Please', 'Cook', 'Update', 'Application', 'Telkomsel', 'Screen', 'White', 'Application', 'Telkomsel', 'Easy', 'Gampan', 'How', ' Kalok ',' difficult ',' signal ',' Ribet ']</v>
      </c>
      <c r="D1772" s="3">
        <v>2.0</v>
      </c>
    </row>
    <row r="1773" ht="15.75" customHeight="1">
      <c r="A1773" s="1">
        <v>1771.0</v>
      </c>
      <c r="B1773" s="3" t="s">
        <v>1774</v>
      </c>
      <c r="C1773" s="3" t="str">
        <f>IFERROR(__xludf.DUMMYFUNCTION("GOOGLETRANSLATE(B1773,""id"",""en"")"),"['', 'MyTelkomsel', 'Open', 'already', 'enter', 'Gmail', 'Tetep', 'Failed', 'Veronica', 'Mute', ""]")</f>
        <v>['', 'MyTelkomsel', 'Open', 'already', 'enter', 'Gmail', 'Tetep', 'Failed', 'Veronica', 'Mute', "]</v>
      </c>
      <c r="D1773" s="3">
        <v>2.0</v>
      </c>
    </row>
    <row r="1774" ht="15.75" customHeight="1">
      <c r="A1774" s="1">
        <v>1772.0</v>
      </c>
      <c r="B1774" s="3" t="s">
        <v>1775</v>
      </c>
      <c r="C1774" s="3" t="str">
        <f>IFERROR(__xludf.DUMMYFUNCTION("GOOGLETRANSLATE(B1774,""id"",""en"")"),"['entry', 'application', 'network', 'Telkomsel', 'data', 'internet', 'run out', 'fill', 'pulse', 'sucked', 'data', 'cellular', ' Active ',' Enter ',' MyTelkomsel ',' buy ',' package ',' internet ',' MyTelkomsel ',' paying ',' use ',' method ',' pulse ',' "&amp;"package ',' internet ' , 'Telkomsel', 'Out', 'Network', 'Package', 'Internet', 'DPT', 'MyTelkomsel', 'Refuses', 'Network']")</f>
        <v>['entry', 'application', 'network', 'Telkomsel', 'data', 'internet', 'run out', 'fill', 'pulse', 'sucked', 'data', 'cellular', ' Active ',' Enter ',' MyTelkomsel ',' buy ',' package ',' internet ',' MyTelkomsel ',' paying ',' use ',' method ',' pulse ',' package ',' internet ' , 'Telkomsel', 'Out', 'Network', 'Package', 'Internet', 'DPT', 'MyTelkomsel', 'Refuses', 'Network']</v>
      </c>
      <c r="D1774" s="3">
        <v>1.0</v>
      </c>
    </row>
    <row r="1775" ht="15.75" customHeight="1">
      <c r="A1775" s="1">
        <v>1773.0</v>
      </c>
      <c r="B1775" s="3" t="s">
        <v>1776</v>
      </c>
      <c r="C1775" s="3" t="str">
        <f>IFERROR(__xludf.DUMMYFUNCTION("GOOGLETRANSLATE(B1775,""id"",""en"")"),"['actually', 'sometimes',' application ',' operator ',' like ',' troubling ',' for example ',' like ',' log ',' out ',' like ',' Selection ',' Package ',' Signal ',' Current ',' Streaming ',' Features', 'Auto', 'Safe', 'Cuman', 'Cuman', 'Version', 'Packag"&amp;"e', 'Doang' , 'deh', 'odd', '']")</f>
        <v>['actually', 'sometimes',' application ',' operator ',' like ',' troubling ',' for example ',' like ',' log ',' out ',' like ',' Selection ',' Package ',' Signal ',' Current ',' Streaming ',' Features', 'Auto', 'Safe', 'Cuman', 'Cuman', 'Version', 'Package', 'Doang' , 'deh', 'odd', '']</v>
      </c>
      <c r="D1775" s="3">
        <v>5.0</v>
      </c>
    </row>
    <row r="1776" ht="15.75" customHeight="1">
      <c r="A1776" s="1">
        <v>1774.0</v>
      </c>
      <c r="B1776" s="3" t="s">
        <v>1777</v>
      </c>
      <c r="C1776" s="3" t="str">
        <f>IFERROR(__xludf.DUMMYFUNCTION("GOOGLETRANSLATE(B1776,""id"",""en"")"),"['network', 'Telkomsel', 'Gabagus',' buy ',' quota ',' already ',' expensive ',' expensive ',' already ',' buy ',' quota ',' thousand ',' Promos', 'expensive', 'price', 'disappointed', 'Telkomsel', '']")</f>
        <v>['network', 'Telkomsel', 'Gabagus',' buy ',' quota ',' already ',' expensive ',' expensive ',' already ',' buy ',' quota ',' thousand ',' Promos', 'expensive', 'price', 'disappointed', 'Telkomsel', '']</v>
      </c>
      <c r="D1776" s="3">
        <v>2.0</v>
      </c>
    </row>
    <row r="1777" ht="15.75" customHeight="1">
      <c r="A1777" s="1">
        <v>1775.0</v>
      </c>
      <c r="B1777" s="3" t="s">
        <v>1778</v>
      </c>
      <c r="C1777" s="3" t="str">
        <f>IFERROR(__xludf.DUMMYFUNCTION("GOOGLETRANSLATE(B1777,""id"",""en"")"),"['update', 'newest', 'user', 'friendly', 'erorr', 'loading', 'interfacce', 'objection', 'deh', 'seems',' surfing ',' please ',' Repaired ',' ']")</f>
        <v>['update', 'newest', 'user', 'friendly', 'erorr', 'loading', 'interfacce', 'objection', 'deh', 'seems',' surfing ',' please ',' Repaired ',' ']</v>
      </c>
      <c r="D1777" s="3">
        <v>1.0</v>
      </c>
    </row>
    <row r="1778" ht="15.75" customHeight="1">
      <c r="A1778" s="1">
        <v>1776.0</v>
      </c>
      <c r="B1778" s="3" t="s">
        <v>1779</v>
      </c>
      <c r="C1778" s="3" t="str">
        <f>IFERROR(__xludf.DUMMYFUNCTION("GOOGLETRANSLATE(B1778,""id"",""en"")"),"['Login', 'Network', 'Telkomsel', 'Register', 'PDAH', 'quota', 'as a result', 'Cut', 'Credit', 'Buy', 'Quota', 'Failed', ' Notif ',' Normal ',' buy ',' promo ',' gmn ',' promo ',' buy ',' display ',' application ',' display ',' emang ',' bought ',' veroni"&amp;"ca ' , 'hope', 'repair']")</f>
        <v>['Login', 'Network', 'Telkomsel', 'Register', 'PDAH', 'quota', 'as a result', 'Cut', 'Credit', 'Buy', 'Quota', 'Failed', ' Notif ',' Normal ',' buy ',' promo ',' gmn ',' promo ',' buy ',' display ',' application ',' display ',' emang ',' bought ',' veronica ' , 'hope', 'repair']</v>
      </c>
      <c r="D1778" s="3">
        <v>3.0</v>
      </c>
    </row>
    <row r="1779" ht="15.75" customHeight="1">
      <c r="A1779" s="1">
        <v>1777.0</v>
      </c>
      <c r="B1779" s="3" t="s">
        <v>1780</v>
      </c>
      <c r="C1779" s="3" t="str">
        <f>IFERROR(__xludf.DUMMYFUNCTION("GOOGLETRANSLATE(B1779,""id"",""en"")"),"['Update', 'KOG', 'Log', 'SMS', 'ACOUNT', 'Media', 'Social', 'Email', 'Exit', 'OPSS', 'Error', 'The solution', ' ']")</f>
        <v>['Update', 'KOG', 'Log', 'SMS', 'ACOUNT', 'Media', 'Social', 'Email', 'Exit', 'OPSS', 'Error', 'The solution', ' ']</v>
      </c>
      <c r="D1779" s="3">
        <v>1.0</v>
      </c>
    </row>
    <row r="1780" ht="15.75" customHeight="1">
      <c r="A1780" s="1">
        <v>1778.0</v>
      </c>
      <c r="B1780" s="3" t="s">
        <v>1781</v>
      </c>
      <c r="C1780" s="3" t="str">
        <f>IFERROR(__xludf.DUMMYFUNCTION("GOOGLETRANSLATE(B1780,""id"",""en"")"),"['Gembel', 'Service', 'yes',' submit ',' Help ',' Robot ',' Viona ',' Males', 'Use', 'Telkomsel', 'Tuker', 'Points',' Sense ',' Akalan ',' provider ',' number ',' name ',' winner ',' set ',' person ', ""]")</f>
        <v>['Gembel', 'Service', 'yes',' submit ',' Help ',' Robot ',' Viona ',' Males', 'Use', 'Telkomsel', 'Tuker', 'Points',' Sense ',' Akalan ',' provider ',' number ',' name ',' winner ',' set ',' person ', "]</v>
      </c>
      <c r="D1780" s="3">
        <v>1.0</v>
      </c>
    </row>
    <row r="1781" ht="15.75" customHeight="1">
      <c r="A1781" s="1">
        <v>1779.0</v>
      </c>
      <c r="B1781" s="3" t="s">
        <v>1782</v>
      </c>
      <c r="C1781" s="3" t="str">
        <f>IFERROR(__xludf.DUMMYFUNCTION("GOOGLETRANSLATE(B1781,""id"",""en"")"),"['ugly', 'gini', 'buy', 'quota', 'enter', 'Telkomsel', 'log', 'out', 'entry', 'until', 'already', 'update', ' Tetep ',' signal ',' stable ',' really ',' ']")</f>
        <v>['ugly', 'gini', 'buy', 'quota', 'enter', 'Telkomsel', 'log', 'out', 'entry', 'until', 'already', 'update', ' Tetep ',' signal ',' stable ',' really ',' ']</v>
      </c>
      <c r="D1781" s="3">
        <v>1.0</v>
      </c>
    </row>
    <row r="1782" ht="15.75" customHeight="1">
      <c r="A1782" s="1">
        <v>1780.0</v>
      </c>
      <c r="B1782" s="3" t="s">
        <v>1783</v>
      </c>
      <c r="C1782" s="3" t="str">
        <f>IFERROR(__xludf.DUMMYFUNCTION("GOOGLETRANSLATE(B1782,""id"",""en"")"),"['Yesterday', 'morning', 'already', 'Uninstall', 'downld', 'reset', 'affordable', 'login', 'APK', 'MyTelkomsel', 'Soon', 'Something', ' Wrong ',' Clock ',' Application ',' Accessible ',' Troubled ',' DIAPK ',' SCRG ',' Signal ',' Slow ',' Down ',' Yaa ','"&amp;" Rating ',' Telkomsel ' , 'according to', 'price', 'quota', 'expensive', 'problem', 'updated']")</f>
        <v>['Yesterday', 'morning', 'already', 'Uninstall', 'downld', 'reset', 'affordable', 'login', 'APK', 'MyTelkomsel', 'Soon', 'Something', ' Wrong ',' Clock ',' Application ',' Accessible ',' Troubled ',' DIAPK ',' SCRG ',' Signal ',' Slow ',' Down ',' Yaa ',' Rating ',' Telkomsel ' , 'according to', 'price', 'quota', 'expensive', 'problem', 'updated']</v>
      </c>
      <c r="D1782" s="3">
        <v>1.0</v>
      </c>
    </row>
    <row r="1783" ht="15.75" customHeight="1">
      <c r="A1783" s="1">
        <v>1781.0</v>
      </c>
      <c r="B1783" s="3" t="s">
        <v>1784</v>
      </c>
      <c r="C1783" s="3" t="str">
        <f>IFERROR(__xludf.DUMMYFUNCTION("GOOGLETRANSLATE(B1783,""id"",""en"")"),"['buy', 'package', 'subscription', 'Disney', 'Hotstar', 'offer', 'Telkomsel', 'already', 'buy', 'notification', 'description', 'quota', ' Gabisa ',' watch ',' DisneyHotstar ',' pulse ',' troted ',' what ', ""]")</f>
        <v>['buy', 'package', 'subscription', 'Disney', 'Hotstar', 'offer', 'Telkomsel', 'already', 'buy', 'notification', 'description', 'quota', ' Gabisa ',' watch ',' DisneyHotstar ',' pulse ',' troted ',' what ', "]</v>
      </c>
      <c r="D1783" s="3">
        <v>1.0</v>
      </c>
    </row>
    <row r="1784" ht="15.75" customHeight="1">
      <c r="A1784" s="1">
        <v>1782.0</v>
      </c>
      <c r="B1784" s="3" t="s">
        <v>1785</v>
      </c>
      <c r="C1784" s="3" t="str">
        <f>IFERROR(__xludf.DUMMYFUNCTION("GOOGLETRANSLATE(B1784,""id"",""en"")"),"['ugly', 'ugly', 'difficult', 'entry', 'error', 'company', 'application', 'ugly', 'thing', 'internet', 'provided', 'company', ' Leet ',' expensive ']")</f>
        <v>['ugly', 'ugly', 'difficult', 'entry', 'error', 'company', 'application', 'ugly', 'thing', 'internet', 'provided', 'company', ' Leet ',' expensive ']</v>
      </c>
      <c r="D1784" s="3">
        <v>1.0</v>
      </c>
    </row>
    <row r="1785" ht="15.75" customHeight="1">
      <c r="A1785" s="1">
        <v>1783.0</v>
      </c>
      <c r="B1785" s="3" t="s">
        <v>1786</v>
      </c>
      <c r="C1785" s="3" t="str">
        <f>IFERROR(__xludf.DUMMYFUNCTION("GOOGLETRANSLATE(B1785,""id"",""en"")"),"['Wear', 'Telkomsel', 'Network', 'Extensive', 'Kecuali', 'Daera', 'Valley', 'Ter', 'Reach', 'Lost', 'Sinyal', 'Difficulties',' Users', 'fingers',' gan ',' Telkomsel ']")</f>
        <v>['Wear', 'Telkomsel', 'Network', 'Extensive', 'Kecuali', 'Daera', 'Valley', 'Ter', 'Reach', 'Lost', 'Sinyal', 'Difficulties',' Users', 'fingers',' gan ',' Telkomsel ']</v>
      </c>
      <c r="D1785" s="3">
        <v>2.0</v>
      </c>
    </row>
    <row r="1786" ht="15.75" customHeight="1">
      <c r="A1786" s="1">
        <v>1784.0</v>
      </c>
      <c r="B1786" s="3" t="s">
        <v>1787</v>
      </c>
      <c r="C1786" s="3" t="str">
        <f>IFERROR(__xludf.DUMMYFUNCTION("GOOGLETRANSLATE(B1786,""id"",""en"")"),"['upgraded', 'opened', 'BSA', 'enter', 'error', 'please', 'Telkomsel', 'yoooo', 'fix', 'system', 'really', 'inhibits',' interests', 'SBGI', 'user', 'skrng', 'signal', 'stable', '']")</f>
        <v>['upgraded', 'opened', 'BSA', 'enter', 'error', 'please', 'Telkomsel', 'yoooo', 'fix', 'system', 'really', 'inhibits',' interests', 'SBGI', 'user', 'skrng', 'signal', 'stable', '']</v>
      </c>
      <c r="D1786" s="3">
        <v>1.0</v>
      </c>
    </row>
    <row r="1787" ht="15.75" customHeight="1">
      <c r="A1787" s="1">
        <v>1785.0</v>
      </c>
      <c r="B1787" s="3" t="s">
        <v>1788</v>
      </c>
      <c r="C1787" s="3" t="str">
        <f>IFERROR(__xludf.DUMMYFUNCTION("GOOGLETRANSLATE(B1787,""id"",""en"")"),"['Hello', 'please', 'confirm', 'quota', 'internet', 'local', 'use', 'buy', 'loss']")</f>
        <v>['Hello', 'please', 'confirm', 'quota', 'internet', 'local', 'use', 'buy', 'loss']</v>
      </c>
      <c r="D1787" s="3">
        <v>1.0</v>
      </c>
    </row>
    <row r="1788" ht="15.75" customHeight="1">
      <c r="A1788" s="1">
        <v>1786.0</v>
      </c>
      <c r="B1788" s="3" t="s">
        <v>1789</v>
      </c>
      <c r="C1788" s="3" t="str">
        <f>IFERROR(__xludf.DUMMYFUNCTION("GOOGLETRANSLATE(B1788,""id"",""en"")"),"['updated', 'slow', 'feature', 'run', 'login', 'many', 'times',' open ',' Application ',' Out ',' Login ',' ']")</f>
        <v>['updated', 'slow', 'feature', 'run', 'login', 'many', 'times',' open ',' Application ',' Out ',' Login ',' ']</v>
      </c>
      <c r="D1788" s="3">
        <v>1.0</v>
      </c>
    </row>
    <row r="1789" ht="15.75" customHeight="1">
      <c r="A1789" s="1">
        <v>1787.0</v>
      </c>
      <c r="B1789" s="3" t="s">
        <v>1790</v>
      </c>
      <c r="C1789" s="3" t="str">
        <f>IFERROR(__xludf.DUMMYFUNCTION("GOOGLETRANSLATE(B1789,""id"",""en"")"),"['parahh', 'application', 'Telkomsel', 'ugly', 'cave', 'already', 'application', 'cave', 'login', 'disappointed', 'cave', 'tired', ' Cave ',' Change ',' Card ',' Males', 'Telkomsel']")</f>
        <v>['parahh', 'application', 'Telkomsel', 'ugly', 'cave', 'already', 'application', 'cave', 'login', 'disappointed', 'cave', 'tired', ' Cave ',' Change ',' Card ',' Males', 'Telkomsel']</v>
      </c>
      <c r="D1789" s="3">
        <v>1.0</v>
      </c>
    </row>
    <row r="1790" ht="15.75" customHeight="1">
      <c r="A1790" s="1">
        <v>1788.0</v>
      </c>
      <c r="B1790" s="3" t="s">
        <v>1791</v>
      </c>
      <c r="C1790" s="3" t="str">
        <f>IFERROR(__xludf.DUMMYFUNCTION("GOOGLETRANSLATE(B1790,""id"",""en"")"),"['Signal', 'Telkomsel', 'pincant', 'connection', 'already', 'replace', 'share', 'connection', 'work', 'hampered', 'Telkomsel', 'signal', ' Good ',' drastic ',' connection ',' Please ',' sorry ',' ']")</f>
        <v>['Signal', 'Telkomsel', 'pincant', 'connection', 'already', 'replace', 'share', 'connection', 'work', 'hampered', 'Telkomsel', 'signal', ' Good ',' drastic ',' connection ',' Please ',' sorry ',' ']</v>
      </c>
      <c r="D1790" s="3">
        <v>1.0</v>
      </c>
    </row>
    <row r="1791" ht="15.75" customHeight="1">
      <c r="A1791" s="1">
        <v>1789.0</v>
      </c>
      <c r="B1791" s="3" t="s">
        <v>1792</v>
      </c>
      <c r="C1791" s="3" t="str">
        <f>IFERROR(__xludf.DUMMYFUNCTION("GOOGLETRANSLATE(B1791,""id"",""en"")"),"['Help', 'Severe', 'Yesterday', 'Buy', 'Package', 'Data', 'Difficult', 'Complement', 'Customer', 'Sorry', 'Dadness',' Serbu ',' Solution ',' Solution ',' Fix ']")</f>
        <v>['Help', 'Severe', 'Yesterday', 'Buy', 'Package', 'Data', 'Difficult', 'Complement', 'Customer', 'Sorry', 'Dadness',' Serbu ',' Solution ',' Solution ',' Fix ']</v>
      </c>
      <c r="D1791" s="3">
        <v>1.0</v>
      </c>
    </row>
    <row r="1792" ht="15.75" customHeight="1">
      <c r="A1792" s="1">
        <v>1790.0</v>
      </c>
      <c r="B1792" s="3" t="s">
        <v>1793</v>
      </c>
      <c r="C1792" s="3" t="str">
        <f>IFERROR(__xludf.DUMMYFUNCTION("GOOGLETRANSLATE(B1792,""id"",""en"")"),"['active', 'kouta', 'cave', 'sasuai', 'buy', 'buy', 'package', 'GB', 'right', 'active', 'just', 'my computer', ' The rest of ',' GB ',' BANGJE ',' System ',' repay ',' Deceived ',' Customer ']")</f>
        <v>['active', 'kouta', 'cave', 'sasuai', 'buy', 'buy', 'package', 'GB', 'right', 'active', 'just', 'my computer', ' The rest of ',' GB ',' BANGJE ',' System ',' repay ',' Deceived ',' Customer ']</v>
      </c>
      <c r="D1792" s="3">
        <v>1.0</v>
      </c>
    </row>
    <row r="1793" ht="15.75" customHeight="1">
      <c r="A1793" s="1">
        <v>1791.0</v>
      </c>
      <c r="B1793" s="3" t="s">
        <v>1794</v>
      </c>
      <c r="C1793" s="3" t="str">
        <f>IFERROR(__xludf.DUMMYFUNCTION("GOOGLETRANSLATE(B1793,""id"",""en"")"),"['WOI', 'Benerin', 'Application', 'Update', 'Open', 'Application', 'Telkomsel', 'Error', 'Check', 'Quota', 'Difficult', 'Very', ' Already ',' network ',' wifi ',' go ',' please ',' fix ',' must ',' manual ',' rich ',' era ', ""]")</f>
        <v>['WOI', 'Benerin', 'Application', 'Update', 'Open', 'Application', 'Telkomsel', 'Error', 'Check', 'Quota', 'Difficult', 'Very', ' Already ',' network ',' wifi ',' go ',' please ',' fix ',' must ',' manual ',' rich ',' era ', "]</v>
      </c>
      <c r="D1793" s="3">
        <v>1.0</v>
      </c>
    </row>
    <row r="1794" ht="15.75" customHeight="1">
      <c r="A1794" s="1">
        <v>1792.0</v>
      </c>
      <c r="B1794" s="3" t="s">
        <v>1795</v>
      </c>
      <c r="C1794" s="3" t="str">
        <f>IFERROR(__xludf.DUMMYFUNCTION("GOOGLETRANSLATE(B1794,""id"",""en"")"),"['update', 'the application', 'poor', 'login', 'accept', 'magic', 'link', 'already', 'click', 'Link', 'enter', 'his writing', ' Error ',' System ',' Try ',' Wrong ',' smpe ',' Judgment ',' Msuk ',' Application ',' Useful ',' Application ',' Tlong ',' repa"&amp;"ired ']")</f>
        <v>['update', 'the application', 'poor', 'login', 'accept', 'magic', 'link', 'already', 'click', 'Link', 'enter', 'his writing', ' Error ',' System ',' Try ',' Wrong ',' smpe ',' Judgment ',' Msuk ',' Application ',' Useful ',' Application ',' Tlong ',' repaired ']</v>
      </c>
      <c r="D1794" s="3">
        <v>1.0</v>
      </c>
    </row>
    <row r="1795" ht="15.75" customHeight="1">
      <c r="A1795" s="1">
        <v>1793.0</v>
      </c>
      <c r="B1795" s="3" t="s">
        <v>1796</v>
      </c>
      <c r="C1795" s="3" t="str">
        <f>IFERROR(__xludf.DUMMYFUNCTION("GOOGLETRANSLATE(B1795,""id"",""en"")"),"['Ribet', 'Login', 'Email', 'Connect', 'Media', 'Social', 'NMR', 'Different', 'Application', 'Telkomsel', 'Ribet', 'Operator', ' Easy ',' difficult ',' ']")</f>
        <v>['Ribet', 'Login', 'Email', 'Connect', 'Media', 'Social', 'NMR', 'Different', 'Application', 'Telkomsel', 'Ribet', 'Operator', ' Easy ',' difficult ',' ']</v>
      </c>
      <c r="D1795" s="3">
        <v>1.0</v>
      </c>
    </row>
    <row r="1796" ht="15.75" customHeight="1">
      <c r="A1796" s="1">
        <v>1794.0</v>
      </c>
      <c r="B1796" s="3" t="s">
        <v>1797</v>
      </c>
      <c r="C1796" s="3" t="str">
        <f>IFERROR(__xludf.DUMMYFUNCTION("GOOGLETRANSLATE(B1796,""id"",""en"")"),"['Veronika', 'Operator', 'Bener', 'Direct', 'Communication', 'Assisted', 'Complete', 'Problems', 'Bener', 'Pekah', 'Veronika', 'System']")</f>
        <v>['Veronika', 'Operator', 'Bener', 'Direct', 'Communication', 'Assisted', 'Complete', 'Problems', 'Bener', 'Pekah', 'Veronika', 'System']</v>
      </c>
      <c r="D1796" s="3">
        <v>2.0</v>
      </c>
    </row>
    <row r="1797" ht="15.75" customHeight="1">
      <c r="A1797" s="1">
        <v>1795.0</v>
      </c>
      <c r="B1797" s="3" t="s">
        <v>1798</v>
      </c>
      <c r="C1797" s="3" t="str">
        <f>IFERROR(__xludf.DUMMYFUNCTION("GOOGLETRANSLATE(B1797,""id"",""en"")"),"['Please', 'The application', 'enhanced', 'updated', 'heavy', 'how', 'best-selling', 'selling', 'Cell', 'Closed', 'Try', ""]")</f>
        <v>['Please', 'The application', 'enhanced', 'updated', 'heavy', 'how', 'best-selling', 'selling', 'Cell', 'Closed', 'Try', "]</v>
      </c>
      <c r="D1797" s="3">
        <v>1.0</v>
      </c>
    </row>
    <row r="1798" ht="15.75" customHeight="1">
      <c r="A1798" s="1">
        <v>1796.0</v>
      </c>
      <c r="B1798" s="3" t="s">
        <v>1799</v>
      </c>
      <c r="C1798" s="3" t="str">
        <f>IFERROR(__xludf.DUMMYFUNCTION("GOOGLETRANSLATE(B1798,""id"",""en"")"),"['Telkomsel', 'card', 'cellphone', 'expensive', 'area', 'network', 'card', 'move', 'card', 'use', 'card', 'hello', ' DIECE ',' IMINGI ',' Award ',' Use ',' Card ',' Telkomsel ',' Squeezed ',' ']")</f>
        <v>['Telkomsel', 'card', 'cellphone', 'expensive', 'area', 'network', 'card', 'move', 'card', 'use', 'card', 'hello', ' DIECE ',' IMINGI ',' Award ',' Use ',' Card ',' Telkomsel ',' Squeezed ',' ']</v>
      </c>
      <c r="D1798" s="3">
        <v>1.0</v>
      </c>
    </row>
    <row r="1799" ht="15.75" customHeight="1">
      <c r="A1799" s="1">
        <v>1797.0</v>
      </c>
      <c r="B1799" s="3" t="s">
        <v>1800</v>
      </c>
      <c r="C1799" s="3" t="str">
        <f>IFERROR(__xludf.DUMMYFUNCTION("GOOGLETRANSLATE(B1799,""id"",""en"")"),"['Application', 'Telkomsel', 'poor', 'UDH', 'Enter', 'UDH', 'Uninstall', 'Download', 'msuk', 'difficult', 'times',' appears', ' error ',' login ',' please ',' repaired ',' the application ']")</f>
        <v>['Application', 'Telkomsel', 'poor', 'UDH', 'Enter', 'UDH', 'Uninstall', 'Download', 'msuk', 'difficult', 'times',' appears', ' error ',' login ',' please ',' repaired ',' the application ']</v>
      </c>
      <c r="D1799" s="3">
        <v>1.0</v>
      </c>
    </row>
    <row r="1800" ht="15.75" customHeight="1">
      <c r="A1800" s="1">
        <v>1798.0</v>
      </c>
      <c r="B1800" s="3" t="s">
        <v>1801</v>
      </c>
      <c r="C1800" s="3" t="str">
        <f>IFERROR(__xludf.DUMMYFUNCTION("GOOGLETRANSLATE(B1800,""id"",""en"")"),"['UDH', 'alternating', 'Install', 'Uninstall', 'Login', 'Sent', 'Link', 'Loading', 'Edge', 'UDH', 'Cobain', 'PKE', ' Device ',' TTP ',' GMN ',' Buy ',' Package ',' Before ',' Logout ',' Open ',' Login ',' Click ',' Link ',' Ribet ',' Wew ' ]")</f>
        <v>['UDH', 'alternating', 'Install', 'Uninstall', 'Login', 'Sent', 'Link', 'Loading', 'Edge', 'UDH', 'Cobain', 'PKE', ' Device ',' TTP ',' GMN ',' Buy ',' Package ',' Before ',' Logout ',' Open ',' Login ',' Click ',' Link ',' Ribet ',' Wew ' ]</v>
      </c>
      <c r="D1800" s="3">
        <v>1.0</v>
      </c>
    </row>
    <row r="1801" ht="15.75" customHeight="1">
      <c r="A1801" s="1">
        <v>1799.0</v>
      </c>
      <c r="B1801" s="3" t="s">
        <v>1802</v>
      </c>
      <c r="C1801" s="3" t="str">
        <f>IFERROR(__xludf.DUMMYFUNCTION("GOOGLETRANSLATE(B1801,""id"",""en"")"),"['Telokomsel', 'please', 'network', 'fix', 'application', 'ugly']")</f>
        <v>['Telokomsel', 'please', 'network', 'fix', 'application', 'ugly']</v>
      </c>
      <c r="D1801" s="3">
        <v>1.0</v>
      </c>
    </row>
    <row r="1802" ht="15.75" customHeight="1">
      <c r="A1802" s="1">
        <v>1800.0</v>
      </c>
      <c r="B1802" s="3" t="s">
        <v>1803</v>
      </c>
      <c r="C1802" s="3" t="str">
        <f>IFERROR(__xludf.DUMMYFUNCTION("GOOGLETRANSLATE(B1802,""id"",""en"")"),"['Come', 'Telkomsel', 'Threat', 'Sousal', 'Severe', 'The Capital', 'Application', 'MyTelkomsel', 'Facilitates',' Ribet ',' Application ',' Heavy ',' slow ',' list ',' price ',' quota ',' expensive ',' doang ',' comparable ',' service ',' stay ',' wait ','"&amp;" destroyed ',' improve ' , 'System', '']")</f>
        <v>['Come', 'Telkomsel', 'Threat', 'Sousal', 'Severe', 'The Capital', 'Application', 'MyTelkomsel', 'Facilitates',' Ribet ',' Application ',' Heavy ',' slow ',' list ',' price ',' quota ',' expensive ',' doang ',' comparable ',' service ',' stay ',' wait ',' destroyed ',' improve ' , 'System', '']</v>
      </c>
      <c r="D1802" s="3">
        <v>1.0</v>
      </c>
    </row>
    <row r="1803" ht="15.75" customHeight="1">
      <c r="A1803" s="1">
        <v>1801.0</v>
      </c>
      <c r="B1803" s="3" t="s">
        <v>1804</v>
      </c>
      <c r="C1803" s="3" t="str">
        <f>IFERROR(__xludf.DUMMYFUNCTION("GOOGLETRANSLATE(B1803,""id"",""en"")"),"['poor', 'no', 'login', 'since', 'update', 'please', 'fix', 'disappointed', 'customer', 'blur', 'operator', 'disappointed', ' repair']")</f>
        <v>['poor', 'no', 'login', 'since', 'update', 'please', 'fix', 'disappointed', 'customer', 'blur', 'operator', 'disappointed', ' repair']</v>
      </c>
      <c r="D1803" s="3">
        <v>1.0</v>
      </c>
    </row>
    <row r="1804" ht="15.75" customHeight="1">
      <c r="A1804" s="1">
        <v>1802.0</v>
      </c>
      <c r="B1804" s="3" t="s">
        <v>1805</v>
      </c>
      <c r="C1804" s="3" t="str">
        <f>IFERROR(__xludf.DUMMYFUNCTION("GOOGLETRANSLATE(B1804,""id"",""en"")"),"['chaotic', 'Telkomsel', 'developed', 'finished', 'update', 'Telkomsel', 'login', 'difficult', 'forgiveness',' fix ',' system ',' abandoned ',' loyal customers', '']")</f>
        <v>['chaotic', 'Telkomsel', 'developed', 'finished', 'update', 'Telkomsel', 'login', 'difficult', 'forgiveness',' fix ',' system ',' abandoned ',' loyal customers', '']</v>
      </c>
      <c r="D1804" s="3">
        <v>1.0</v>
      </c>
    </row>
    <row r="1805" ht="15.75" customHeight="1">
      <c r="A1805" s="1">
        <v>1803.0</v>
      </c>
      <c r="B1805" s="3" t="s">
        <v>1806</v>
      </c>
      <c r="C1805" s="3" t="str">
        <f>IFERROR(__xludf.DUMMYFUNCTION("GOOGLETRANSLATE(B1805,""id"",""en"")"),"['Good', 'really', 'PKE', 'Telkomsel', 'buy', 'Package', 'Double', 'Gakan', 'Discard', 'Package', 'Kyk', 'card', ' Next to ',' UDH ',' P it ',' Package ',' Gede ',' Taka ',' GB ',' Package ',' Angus', 'Package', 'Crazy', 'Times',' Provider ' ]")</f>
        <v>['Good', 'really', 'PKE', 'Telkomsel', 'buy', 'Package', 'Double', 'Gakan', 'Discard', 'Package', 'Kyk', 'card', ' Next to ',' UDH ',' P it ',' Package ',' Gede ',' Taka ',' GB ',' Package ',' Angus', 'Package', 'Crazy', 'Times',' Provider ' ]</v>
      </c>
      <c r="D1805" s="3">
        <v>5.0</v>
      </c>
    </row>
    <row r="1806" ht="15.75" customHeight="1">
      <c r="A1806" s="1">
        <v>1804.0</v>
      </c>
      <c r="B1806" s="3" t="s">
        <v>1807</v>
      </c>
      <c r="C1806" s="3" t="str">
        <f>IFERROR(__xludf.DUMMYFUNCTION("GOOGLETRANSLATE(B1806,""id"",""en"")"),"['Good', 'leftover', 'package', 'point', 'direct', 'use', 'complicated', 'thank', 'love', 'application', 'telkomsel', 'pulses',' Cutting ',' contents', 'pulse']")</f>
        <v>['Good', 'leftover', 'package', 'point', 'direct', 'use', 'complicated', 'thank', 'love', 'application', 'telkomsel', 'pulses',' Cutting ',' contents', 'pulse']</v>
      </c>
      <c r="D1806" s="3">
        <v>1.0</v>
      </c>
    </row>
    <row r="1807" ht="15.75" customHeight="1">
      <c r="A1807" s="1">
        <v>1805.0</v>
      </c>
      <c r="B1807" s="3" t="s">
        <v>1808</v>
      </c>
      <c r="C1807" s="3" t="str">
        <f>IFERROR(__xludf.DUMMYFUNCTION("GOOGLETRANSLATE(B1807,""id"",""en"")"),"['loading', 'entry', 'application', 'Telkomsel', 'network', 'Telkomsel', 'application', 'optimal', 'sad', 'ngakunya', 'network', 'the widest', ' Indonesia ',' Indonesia ',' Leet ']")</f>
        <v>['loading', 'entry', 'application', 'Telkomsel', 'network', 'Telkomsel', 'application', 'optimal', 'sad', 'ngakunya', 'network', 'the widest', ' Indonesia ',' Indonesia ',' Leet ']</v>
      </c>
      <c r="D1807" s="3">
        <v>1.0</v>
      </c>
    </row>
    <row r="1808" ht="15.75" customHeight="1">
      <c r="A1808" s="1">
        <v>1806.0</v>
      </c>
      <c r="B1808" s="3" t="s">
        <v>1809</v>
      </c>
      <c r="C1808" s="3" t="str">
        <f>IFERROR(__xludf.DUMMYFUNCTION("GOOGLETRANSLATE(B1808,""id"",""en"")"),"['enter', 'use', 'wifi', 'open', 'activate', 'package']")</f>
        <v>['enter', 'use', 'wifi', 'open', 'activate', 'package']</v>
      </c>
      <c r="D1808" s="3">
        <v>1.0</v>
      </c>
    </row>
    <row r="1809" ht="15.75" customHeight="1">
      <c r="A1809" s="1">
        <v>1807.0</v>
      </c>
      <c r="B1809" s="3" t="s">
        <v>1810</v>
      </c>
      <c r="C1809" s="3" t="str">
        <f>IFERROR(__xludf.DUMMYFUNCTION("GOOGLETRANSLATE(B1809,""id"",""en"")"),"['quality', 'network', 'tower', 'tower', 'home', 'malem', 'week', 'mandatory', 'network', 'disruption', 'application', 'upgrade', ' slow ',' slow ',' staple ',' threat ',' quality ',' fix ',' rates', 'internet', 'ride', 'kwalutas',' bad ']")</f>
        <v>['quality', 'network', 'tower', 'tower', 'home', 'malem', 'week', 'mandatory', 'network', 'disruption', 'application', 'upgrade', ' slow ',' slow ',' staple ',' threat ',' quality ',' fix ',' rates', 'internet', 'ride', 'kwalutas',' bad ']</v>
      </c>
      <c r="D1809" s="3">
        <v>2.0</v>
      </c>
    </row>
    <row r="1810" ht="15.75" customHeight="1">
      <c r="A1810" s="1">
        <v>1808.0</v>
      </c>
      <c r="B1810" s="3" t="s">
        <v>1811</v>
      </c>
      <c r="C1810" s="3" t="str">
        <f>IFERROR(__xludf.DUMMYFUNCTION("GOOGLETRANSLATE(B1810,""id"",""en"")"),"['apk', 'Telkomsel', 'error', 'yesterday', 'NGK', 'entered', 'already', 'update', 'already', 'uninstall', 'download', 'login', ' Network ',' Telkomsel ',' ugly ',' Severe ',' Kayak ',' Good ',' Network ',' Telkomsel ',' Destroyed ',' Severe ',' The Networ"&amp;"k ',' Kalw ',' Kayak ' , 'Gini', 'Move', 'Heart', '']")</f>
        <v>['apk', 'Telkomsel', 'error', 'yesterday', 'NGK', 'entered', 'already', 'update', 'already', 'uninstall', 'download', 'login', ' Network ',' Telkomsel ',' ugly ',' Severe ',' Kayak ',' Good ',' Network ',' Telkomsel ',' Destroyed ',' Severe ',' The Network ',' Kalw ',' Kayak ' , 'Gini', 'Move', 'Heart', '']</v>
      </c>
      <c r="D1810" s="3">
        <v>1.0</v>
      </c>
    </row>
    <row r="1811" ht="15.75" customHeight="1">
      <c r="A1811" s="1">
        <v>1809.0</v>
      </c>
      <c r="B1811" s="3" t="s">
        <v>1812</v>
      </c>
      <c r="C1811" s="3" t="str">
        <f>IFERROR(__xludf.DUMMYFUNCTION("GOOGLETRANSLATE(B1811,""id"",""en"")"),"['ugly', 'disappointing', 'uninstall', 'install', 'open', 'transaction', 'complayn', 'via', 'help', 'tsel', 'please', 'sgr', ' repair', '']")</f>
        <v>['ugly', 'disappointing', 'uninstall', 'install', 'open', 'transaction', 'complayn', 'via', 'help', 'tsel', 'please', 'sgr', ' repair', '']</v>
      </c>
      <c r="D1811" s="3">
        <v>1.0</v>
      </c>
    </row>
    <row r="1812" ht="15.75" customHeight="1">
      <c r="A1812" s="1">
        <v>1810.0</v>
      </c>
      <c r="B1812" s="3" t="s">
        <v>1813</v>
      </c>
      <c r="C1812" s="3" t="str">
        <f>IFERROR(__xludf.DUMMYFUNCTION("GOOGLETRANSLATE(B1812,""id"",""en"")"),"['Yesterday', 'buy', 'paker', 'application', 'pulse', 'run out', 'package', 'no', 'enter', 'package', 'expensive', 'expensive', ' Application ',' ugly ',' makes it easier ',' make it difficult ',' customer ',' quota ',' nipu ',' rbb ',' used ',' applicati"&amp;"on ',' sosmed ',' no ',' used ' , 'Disosmed', 'watch', 'Tiktok', 'quota', 'main', 'cut', '']")</f>
        <v>['Yesterday', 'buy', 'paker', 'application', 'pulse', 'run out', 'package', 'no', 'enter', 'package', 'expensive', 'expensive', ' Application ',' ugly ',' makes it easier ',' make it difficult ',' customer ',' quota ',' nipu ',' rbb ',' used ',' application ',' sosmed ',' no ',' used ' , 'Disosmed', 'watch', 'Tiktok', 'quota', 'main', 'cut', '']</v>
      </c>
      <c r="D1812" s="3">
        <v>1.0</v>
      </c>
    </row>
    <row r="1813" ht="15.75" customHeight="1">
      <c r="A1813" s="1">
        <v>1811.0</v>
      </c>
      <c r="B1813" s="3" t="s">
        <v>1814</v>
      </c>
      <c r="C1813" s="3" t="str">
        <f>IFERROR(__xludf.DUMMYFUNCTION("GOOGLETRANSLATE(B1813,""id"",""en"")"),"['Paketan', 'expensive', 'network', 'slow', 'amyuun', 'gorge', 'network', 'widest', 'the fastest', 'klu', 'proof', 'network', ' Ancuur ',' Loading ',' then ',' Credit ',' Reduced ',' WiFi ',' Telkomsel ']")</f>
        <v>['Paketan', 'expensive', 'network', 'slow', 'amyuun', 'gorge', 'network', 'widest', 'the fastest', 'klu', 'proof', 'network', ' Ancuur ',' Loading ',' then ',' Credit ',' Reduced ',' WiFi ',' Telkomsel ']</v>
      </c>
      <c r="D1813" s="3">
        <v>1.0</v>
      </c>
    </row>
    <row r="1814" ht="15.75" customHeight="1">
      <c r="A1814" s="1">
        <v>1812.0</v>
      </c>
      <c r="B1814" s="3" t="s">
        <v>1815</v>
      </c>
      <c r="C1814" s="3" t="str">
        <f>IFERROR(__xludf.DUMMYFUNCTION("GOOGLETRANSLATE(B1814,""id"",""en"")"),"['Change', 'card', 'Smartfreen', 'Telkomsel', 'ugly', 'severe', 'use', 'zoom', 'googlemeet', 'network', 'broken', 'disappointed', ' Telkomsel ',' already ',' use ',' tsel ',' card ',' waste ',' change ',' use ',' smartfrend ', ""]")</f>
        <v>['Change', 'card', 'Smartfreen', 'Telkomsel', 'ugly', 'severe', 'use', 'zoom', 'googlemeet', 'network', 'broken', 'disappointed', ' Telkomsel ',' already ',' use ',' tsel ',' card ',' waste ',' change ',' use ',' smartfrend ', "]</v>
      </c>
      <c r="D1814" s="3">
        <v>1.0</v>
      </c>
    </row>
    <row r="1815" ht="15.75" customHeight="1">
      <c r="A1815" s="1">
        <v>1813.0</v>
      </c>
      <c r="B1815" s="3" t="s">
        <v>1816</v>
      </c>
      <c r="C1815" s="3" t="str">
        <f>IFERROR(__xludf.DUMMYFUNCTION("GOOGLETRANSLATE(B1815,""id"",""en"")"),"['use', 'Telkomsel', 'yrs',' display ',' Telkomsel ',' ugly ',' service ',' bad ',' for example ',' activation ',' package ',' activation ',' TGL ',' AGT ',' date ',' ']")</f>
        <v>['use', 'Telkomsel', 'yrs',' display ',' Telkomsel ',' ugly ',' service ',' bad ',' for example ',' activation ',' package ',' activation ',' TGL ',' AGT ',' date ',' ']</v>
      </c>
      <c r="D1815" s="3">
        <v>1.0</v>
      </c>
    </row>
    <row r="1816" ht="15.75" customHeight="1">
      <c r="A1816" s="1">
        <v>1814.0</v>
      </c>
      <c r="B1816" s="3" t="s">
        <v>1817</v>
      </c>
      <c r="C1816" s="3" t="str">
        <f>IFERROR(__xludf.DUMMYFUNCTION("GOOGLETRANSLATE(B1816,""id"",""en"")"),"['Layday', 'Undi', 'Hepi', 'organized', 'Telkomsel', 'Exchange', 'Points',' PERSHU ',' HEAR ',' People ',' winner ',' Direct ',' The winner ',' Change ',' replaced ',' ']")</f>
        <v>['Layday', 'Undi', 'Hepi', 'organized', 'Telkomsel', 'Exchange', 'Points',' PERSHU ',' HEAR ',' People ',' winner ',' Direct ',' The winner ',' Change ',' replaced ',' ']</v>
      </c>
      <c r="D1816" s="3">
        <v>1.0</v>
      </c>
    </row>
    <row r="1817" ht="15.75" customHeight="1">
      <c r="A1817" s="1">
        <v>1815.0</v>
      </c>
      <c r="B1817" s="3" t="s">
        <v>1818</v>
      </c>
      <c r="C1817" s="3" t="str">
        <f>IFERROR(__xludf.DUMMYFUNCTION("GOOGLETRANSLATE(B1817,""id"",""en"")"),"['transaction', 'buy', 'package', 'choice', 'funds',' buy ',' package ',' use ',' funds', 'Males',' buy ',' pulses', ' Please, 'Hair', 'admin', 'Telkom', 'Choice', 'Fund', 'The network', 'Dragus', 'ilang', 'Nilagan', 'right', 'play', 'game' ]")</f>
        <v>['transaction', 'buy', 'package', 'choice', 'funds',' buy ',' package ',' use ',' funds', 'Males',' buy ',' pulses', ' Please, 'Hair', 'admin', 'Telkom', 'Choice', 'Fund', 'The network', 'Dragus', 'ilang', 'Nilagan', 'right', 'play', 'game' ]</v>
      </c>
      <c r="D1817" s="3">
        <v>3.0</v>
      </c>
    </row>
    <row r="1818" ht="15.75" customHeight="1">
      <c r="A1818" s="1">
        <v>1816.0</v>
      </c>
      <c r="B1818" s="3" t="s">
        <v>1819</v>
      </c>
      <c r="C1818" s="3" t="str">
        <f>IFERROR(__xludf.DUMMYFUNCTION("GOOGLETRANSLATE(B1818,""id"",""en"")"),"['application', 'Telkomsel', 'bad', 'yes',' connection ',' stabilah ',' chance ',' systemalah ',' verry ',' ama ',' no ',' obstacle ',' TPI ',' KNP ',' Since ',' Update ',' Apartments', 'BURIK', 'OK', 'KLW', 'TIME', 'TIME', 'Masi', 'Uklum', 'France' , 'Bn"&amp;"gat', 'Mending', 'I', 'Pinda', 'Haluan', 'Indosat', ""]")</f>
        <v>['application', 'Telkomsel', 'bad', 'yes',' connection ',' stabilah ',' chance ',' systemalah ',' verry ',' ama ',' no ',' obstacle ',' TPI ',' KNP ',' Since ',' Update ',' Apartments', 'BURIK', 'OK', 'KLW', 'TIME', 'TIME', 'Masi', 'Uklum', 'France' , 'Bngat', 'Mending', 'I', 'Pinda', 'Haluan', 'Indosat', "]</v>
      </c>
      <c r="D1818" s="3">
        <v>1.0</v>
      </c>
    </row>
    <row r="1819" ht="15.75" customHeight="1">
      <c r="A1819" s="1">
        <v>1817.0</v>
      </c>
      <c r="B1819" s="3" t="s">
        <v>1820</v>
      </c>
      <c r="C1819" s="3" t="str">
        <f>IFERROR(__xludf.DUMMYFUNCTION("GOOGLETRANSLATE(B1819,""id"",""en"")"),"['The application', 'broken', 'quota', 'sometimes', 'sucked', 'pulse', 'strange', 'pulses', 'use', 'buy', 'quota', ""]")</f>
        <v>['The application', 'broken', 'quota', 'sometimes', 'sucked', 'pulse', 'strange', 'pulses', 'use', 'buy', 'quota', "]</v>
      </c>
      <c r="D1819" s="3">
        <v>1.0</v>
      </c>
    </row>
    <row r="1820" ht="15.75" customHeight="1">
      <c r="A1820" s="1">
        <v>1818.0</v>
      </c>
      <c r="B1820" s="3" t="s">
        <v>1821</v>
      </c>
      <c r="C1820" s="3" t="str">
        <f>IFERROR(__xludf.DUMMYFUNCTION("GOOGLETRANSLATE(B1820,""id"",""en"")"),"['shed', 'already', 'card', 'Telkomsel', 'strong', 'network', 'network', 'internet', 'already', 'concentrated', 'Call', 'center', ' repeated ',' times', 'made', 'report', 'emang', 'think', 'my', 'gtratis',' internet ',' like ',' game ',' Telkomsel ',' iss"&amp;"uing ' , 'Network', 'heart', 'heart', 'customer', 'blur']")</f>
        <v>['shed', 'already', 'card', 'Telkomsel', 'strong', 'network', 'network', 'internet', 'already', 'concentrated', 'Call', 'center', ' repeated ',' times', 'made', 'report', 'emang', 'think', 'my', 'gtratis',' internet ',' like ',' game ',' Telkomsel ',' issuing ' , 'Network', 'heart', 'heart', 'customer', 'blur']</v>
      </c>
      <c r="D1820" s="3">
        <v>1.0</v>
      </c>
    </row>
    <row r="1821" ht="15.75" customHeight="1">
      <c r="A1821" s="1">
        <v>1819.0</v>
      </c>
      <c r="B1821" s="3" t="s">
        <v>1822</v>
      </c>
      <c r="C1821" s="3" t="str">
        <f>IFERROR(__xludf.DUMMYFUNCTION("GOOGLETRANSLATE(B1821,""id"",""en"")"),"['Wooooy', 'Package', 'Mahalin', 'Signal', 'Dragus',' Expensive ',' Buy ',' Package ',' Feed ',' Game ',' Vangke ',' Disappointed ',' Ama ',' Telkomsel ',' Network ',' plump ',' Segeek ']")</f>
        <v>['Wooooy', 'Package', 'Mahalin', 'Signal', 'Dragus',' Expensive ',' Buy ',' Package ',' Feed ',' Game ',' Vangke ',' Disappointed ',' Ama ',' Telkomsel ',' Network ',' plump ',' Segeek ']</v>
      </c>
      <c r="D1821" s="3">
        <v>1.0</v>
      </c>
    </row>
    <row r="1822" ht="15.75" customHeight="1">
      <c r="A1822" s="1">
        <v>1820.0</v>
      </c>
      <c r="B1822" s="3" t="s">
        <v>1823</v>
      </c>
      <c r="C1822" s="3" t="str">
        <f>IFERROR(__xludf.DUMMYFUNCTION("GOOGLETRANSLATE(B1822,""id"",""en"")"),"['GraPARI', 'Telkomsel', 'Location', 'Clock', 'Help', 'Complaints',' Citizens', 'Jakarta', 'users',' Telkomsel ',' Special ',' DKI ',' Jakarta ',' multiptenizes', 'GraPARI', 'Telkomsel', 'people', 'eat', 'road', 'alias',' jammed ',' enthusiasts', 'use', '"&amp;"Telkomsel', 'application' , 'Link', 'Personal', 'Sometimes', 'like', 'a distance', 'home', 'GraPARI', 'Telkomsel', ""]")</f>
        <v>['GraPARI', 'Telkomsel', 'Location', 'Clock', 'Help', 'Complaints',' Citizens', 'Jakarta', 'users',' Telkomsel ',' Special ',' DKI ',' Jakarta ',' multiptenizes', 'GraPARI', 'Telkomsel', 'people', 'eat', 'road', 'alias',' jammed ',' enthusiasts', 'use', 'Telkomsel', 'application' , 'Link', 'Personal', 'Sometimes', 'like', 'a distance', 'home', 'GraPARI', 'Telkomsel', "]</v>
      </c>
      <c r="D1822" s="3">
        <v>5.0</v>
      </c>
    </row>
    <row r="1823" ht="15.75" customHeight="1">
      <c r="A1823" s="1">
        <v>1821.0</v>
      </c>
      <c r="B1823" s="3" t="s">
        <v>1824</v>
      </c>
      <c r="C1823" s="3" t="str">
        <f>IFERROR(__xludf.DUMMYFUNCTION("GOOGLETRANSLATE(B1823,""id"",""en"")"),"['merger', 'service', 'provider', 'biggest', 'customer', 'supported', 'government', 'performance', 'service', 'application', 'qualified', 'where', ' Master ',' loss', 'customer', 'loyal', 'signal', 'quota', 'failed', 'authenticate', 'enter', 'the applicat"&amp;"ion', 'cache', 'uda', 'deleted' , 'Uda', 'Reinstall', 'Tetep', 'authenticate', 'entry', 'application', 'now', 'Load', 'Load', 'Interface', 'the application', 'already', ' Prices', 'expensive', 'network', 'declined', 'launch', 'moved', 'provider', 'gini', "&amp;"'']")</f>
        <v>['merger', 'service', 'provider', 'biggest', 'customer', 'supported', 'government', 'performance', 'service', 'application', 'qualified', 'where', ' Master ',' loss', 'customer', 'loyal', 'signal', 'quota', 'failed', 'authenticate', 'enter', 'the application', 'cache', 'uda', 'deleted' , 'Uda', 'Reinstall', 'Tetep', 'authenticate', 'entry', 'application', 'now', 'Load', 'Load', 'Interface', 'the application', 'already', ' Prices', 'expensive', 'network', 'declined', 'launch', 'moved', 'provider', 'gini', '']</v>
      </c>
      <c r="D1823" s="3">
        <v>1.0</v>
      </c>
    </row>
    <row r="1824" ht="15.75" customHeight="1">
      <c r="A1824" s="1">
        <v>1822.0</v>
      </c>
      <c r="B1824" s="3" t="s">
        <v>1825</v>
      </c>
      <c r="C1824" s="3" t="str">
        <f>IFERROR(__xludf.DUMMYFUNCTION("GOOGLETRANSLATE(B1824,""id"",""en"")"),"['application', 'Telkomsel', 'entered', 'already', 'a week', 'check', 'pulse', 'quota', 'update', 'newest', 'chaother', 'poor', ' very', '']")</f>
        <v>['application', 'Telkomsel', 'entered', 'already', 'a week', 'check', 'pulse', 'quota', 'update', 'newest', 'chaother', 'poor', ' very', '']</v>
      </c>
      <c r="D1824" s="3">
        <v>1.0</v>
      </c>
    </row>
    <row r="1825" ht="15.75" customHeight="1">
      <c r="A1825" s="1">
        <v>1823.0</v>
      </c>
      <c r="B1825" s="3" t="s">
        <v>1826</v>
      </c>
      <c r="C1825" s="3" t="str">
        <f>IFERROR(__xludf.DUMMYFUNCTION("GOOGLETRANSLATE(B1825,""id"",""en"")"),"['ugly', 'network', 'sympathy', 'long', 'quality', 'network', 'card', 'sultan', 'package', 'expensive', 'network', 'taik', ' style ',' ad ',' pretentious', 'pretentious',' good ', ""]")</f>
        <v>['ugly', 'network', 'sympathy', 'long', 'quality', 'network', 'card', 'sultan', 'package', 'expensive', 'network', 'taik', ' style ',' ad ',' pretentious', 'pretentious',' good ', "]</v>
      </c>
      <c r="D1825" s="3">
        <v>1.0</v>
      </c>
    </row>
    <row r="1826" ht="15.75" customHeight="1">
      <c r="A1826" s="1">
        <v>1824.0</v>
      </c>
      <c r="B1826" s="3" t="s">
        <v>1827</v>
      </c>
      <c r="C1826" s="3" t="str">
        <f>IFERROR(__xludf.DUMMYFUNCTION("GOOGLETRANSLATE(B1826,""id"",""en"")"),"['slow', 'checked', 'quota', 'update', 'potatoes',' understand ',' trapped ',' bnyk ',' apk ',' learn ',' udh ',' signal ',' ugly ',' Males', 'told', 'Learning', 'Karna', '']")</f>
        <v>['slow', 'checked', 'quota', 'update', 'potatoes',' understand ',' trapped ',' bnyk ',' apk ',' learn ',' udh ',' signal ',' ugly ',' Males', 'told', 'Learning', 'Karna', '']</v>
      </c>
      <c r="D1826" s="3">
        <v>2.0</v>
      </c>
    </row>
    <row r="1827" ht="15.75" customHeight="1">
      <c r="A1827" s="1">
        <v>1825.0</v>
      </c>
      <c r="B1827" s="3" t="s">
        <v>1828</v>
      </c>
      <c r="C1827" s="3" t="str">
        <f>IFERROR(__xludf.DUMMYFUNCTION("GOOGLETRANSLATE(B1827,""id"",""en"")"),"['signal', 'bad', 'really', 'network', 'slow', 'open', 'sometimes',' keep ',' quality ',' delete ',' package ',' expensive ',' Quality ',' lowly ']")</f>
        <v>['signal', 'bad', 'really', 'network', 'slow', 'open', 'sometimes',' keep ',' quality ',' delete ',' package ',' expensive ',' Quality ',' lowly ']</v>
      </c>
      <c r="D1827" s="3">
        <v>1.0</v>
      </c>
    </row>
    <row r="1828" ht="15.75" customHeight="1">
      <c r="A1828" s="1">
        <v>1826.0</v>
      </c>
      <c r="B1828" s="3" t="s">
        <v>1829</v>
      </c>
      <c r="C1828" s="3" t="str">
        <f>IFERROR(__xludf.DUMMYFUNCTION("GOOGLETRANSLATE(B1828,""id"",""en"")"),"['Woii', 'Telkomsel', 'price', 'expensive', 'expensive', 'signal', 'more', 'card', 'cheap', 'ngelag', 'play', 'sumpaaahhhhhhhhhhhhhhhhhhhhhhhhhhhhhhhhhhhhhhhhhhhhhhhhhhhhhhhhhhhhhhhhhhhhhhhhhhhhhhhhhhhhhhhhhhhhhhhhhhhhhhhhhh Ryesel ',' cave ',' buy ',' ca"&amp;"rd ',' Telkomsel ',' makes it easier ',' make it difficult ']")</f>
        <v>['Woii', 'Telkomsel', 'price', 'expensive', 'expensive', 'signal', 'more', 'card', 'cheap', 'ngelag', 'play', 'sumpaaahhhhhhhhhhhhhhhhhhhhhhhhhhhhhhhhhhhhhhhhhhhhhhhhhhhhhhhhhhhhhhhhhhhhhhhhhhhhhhhhhhhhhhhhhhhhhhhhhhhhhhhhhh Ryesel ',' cave ',' buy ',' card ',' Telkomsel ',' makes it easier ',' make it difficult ']</v>
      </c>
      <c r="D1828" s="3">
        <v>1.0</v>
      </c>
    </row>
    <row r="1829" ht="15.75" customHeight="1">
      <c r="A1829" s="1">
        <v>1827.0</v>
      </c>
      <c r="B1829" s="3" t="s">
        <v>1830</v>
      </c>
      <c r="C1829" s="3" t="str">
        <f>IFERROR(__xludf.DUMMYFUNCTION("GOOGLETRANSLATE(B1829,""id"",""en"")"),"['Update', 'login', 'reset', 'Biarin', 'update', 'the application', 'open', 'turn', 'update', 'login', 'reset', 'already', ' Magic ',' Link ',' DLL ',' FAILURE ',' Mulu ',' Error ',' Mulu ',' Update ',' Make it easier ',' make it difficult ']")</f>
        <v>['Update', 'login', 'reset', 'Biarin', 'update', 'the application', 'open', 'turn', 'update', 'login', 'reset', 'already', ' Magic ',' Link ',' DLL ',' FAILURE ',' Mulu ',' Error ',' Mulu ',' Update ',' Make it easier ',' make it difficult ']</v>
      </c>
      <c r="D1829" s="3">
        <v>1.0</v>
      </c>
    </row>
    <row r="1830" ht="15.75" customHeight="1">
      <c r="A1830" s="1">
        <v>1828.0</v>
      </c>
      <c r="B1830" s="3" t="s">
        <v>1831</v>
      </c>
      <c r="C1830" s="3" t="str">
        <f>IFERROR(__xludf.DUMMYFUNCTION("GOOGLETRANSLATE(B1830,""id"",""en"")"),"['Telkomsel', 'Seksek', 'Karna', 'Inet', 'Standard', 'Price', 'Package', 'Standard', 'Inbox', 'Telkomsel', 'CMA', 'Refres',' Have ',' Restar ',' Trimakasih ',' accompany ']")</f>
        <v>['Telkomsel', 'Seksek', 'Karna', 'Inet', 'Standard', 'Price', 'Package', 'Standard', 'Inbox', 'Telkomsel', 'CMA', 'Refres',' Have ',' Restar ',' Trimakasih ',' accompany ']</v>
      </c>
      <c r="D1830" s="3">
        <v>1.0</v>
      </c>
    </row>
    <row r="1831" ht="15.75" customHeight="1">
      <c r="A1831" s="1">
        <v>1829.0</v>
      </c>
      <c r="B1831" s="3" t="s">
        <v>1832</v>
      </c>
      <c r="C1831" s="3" t="str">
        <f>IFERROR(__xludf.DUMMYFUNCTION("GOOGLETRANSLATE(B1831,""id"",""en"")"),"['application', 'Nihh', 'quota', 'TPI', 'Open', 'Open', 'Hadehh', 'Packagein', 'ehh', 'pulse', 'suck', 'take', ' Telkomsel ',' Gajelas', 'please', 'Telkomsel', 'Benerin', 'system', 'here', 'person', 'mah', 'really', 'mah', 'dilapok']")</f>
        <v>['application', 'Nihh', 'quota', 'TPI', 'Open', 'Open', 'Hadehh', 'Packagein', 'ehh', 'pulse', 'suck', 'take', ' Telkomsel ',' Gajelas', 'please', 'Telkomsel', 'Benerin', 'system', 'here', 'person', 'mah', 'really', 'mah', 'dilapok']</v>
      </c>
      <c r="D1831" s="3">
        <v>1.0</v>
      </c>
    </row>
    <row r="1832" ht="15.75" customHeight="1">
      <c r="A1832" s="1">
        <v>1830.0</v>
      </c>
      <c r="B1832" s="3" t="s">
        <v>1833</v>
      </c>
      <c r="C1832" s="3" t="str">
        <f>IFERROR(__xludf.DUMMYFUNCTION("GOOGLETRANSLATE(B1832,""id"",""en"")"),"['signal', 'please', 'Dnk', 'Muluu', 'yaa', 'haduhh', 'times',' normal ',' really ',' fix ',' lahh ',' program ',' Veronika ',' Nailing ',' Muter ',' Muter ',' Ayahhh ',' Duku ',' Telkomsel ',' Famous', 'card', 'expensive', 'yes',' card ',' expensive ' , "&amp;"'quality', 'rich', 'cheap', '']")</f>
        <v>['signal', 'please', 'Dnk', 'Muluu', 'yaa', 'haduhh', 'times',' normal ',' really ',' fix ',' lahh ',' program ',' Veronika ',' Nailing ',' Muter ',' Muter ',' Ayahhh ',' Duku ',' Telkomsel ',' Famous', 'card', 'expensive', 'yes',' card ',' expensive ' , 'quality', 'rich', 'cheap', '']</v>
      </c>
      <c r="D1832" s="3">
        <v>1.0</v>
      </c>
    </row>
    <row r="1833" ht="15.75" customHeight="1">
      <c r="A1833" s="1">
        <v>1831.0</v>
      </c>
      <c r="B1833" s="3" t="s">
        <v>1834</v>
      </c>
      <c r="C1833" s="3" t="str">
        <f>IFERROR(__xludf.DUMMYFUNCTION("GOOGLETRANSLATE(B1833,""id"",""en"")"),"['already', 'update', 'open', 'right', 'open', 'application', 'told', 'update', 'udh', 'click', 'update', 'playstore', ' UDH ',' BSA ',' Open ',' Want ','A']")</f>
        <v>['already', 'update', 'open', 'right', 'open', 'application', 'told', 'update', 'udh', 'click', 'update', 'playstore', ' UDH ',' BSA ',' Open ',' Want ','A']</v>
      </c>
      <c r="D1833" s="3">
        <v>1.0</v>
      </c>
    </row>
    <row r="1834" ht="15.75" customHeight="1">
      <c r="A1834" s="1">
        <v>1832.0</v>
      </c>
      <c r="B1834" s="3" t="s">
        <v>1835</v>
      </c>
      <c r="C1834" s="3" t="str">
        <f>IFERROR(__xludf.DUMMYFUNCTION("GOOGLETRANSLATE(B1834,""id"",""en"")"),"['Please,' Application ',' Latest ',' Lined ',' Kali ',' Access ',' APK ',' Internet ',' Yellow ',' Credit ',' Telkomsel ',' Tetep ',' Cutting ',' the way ',' internet ',' derite ',' internet ',' sikuning ',' repottt ',' deh ']")</f>
        <v>['Please,' Application ',' Latest ',' Lined ',' Kali ',' Access ',' APK ',' Internet ',' Yellow ',' Credit ',' Telkomsel ',' Tetep ',' Cutting ',' the way ',' internet ',' derite ',' internet ',' sikuning ',' repottt ',' deh ']</v>
      </c>
      <c r="D1834" s="3">
        <v>2.0</v>
      </c>
    </row>
    <row r="1835" ht="15.75" customHeight="1">
      <c r="A1835" s="1">
        <v>1833.0</v>
      </c>
      <c r="B1835" s="3" t="s">
        <v>1836</v>
      </c>
      <c r="C1835" s="3" t="str">
        <f>IFERROR(__xludf.DUMMYFUNCTION("GOOGLETRANSLATE(B1835,""id"",""en"")"),"['Application', 'Useful', 'Slow', 'Response', 'Buy', 'Quota', 'Application', 'Damaged', 'Chat', 'Twitter', 'BLM', 'BALES', ' Kaka ',' ']")</f>
        <v>['Application', 'Useful', 'Slow', 'Response', 'Buy', 'Quota', 'Application', 'Damaged', 'Chat', 'Twitter', 'BLM', 'BALES', ' Kaka ',' ']</v>
      </c>
      <c r="D1835" s="3">
        <v>1.0</v>
      </c>
    </row>
    <row r="1836" ht="15.75" customHeight="1">
      <c r="A1836" s="1">
        <v>1834.0</v>
      </c>
      <c r="B1836" s="3" t="s">
        <v>1837</v>
      </c>
      <c r="C1836" s="3" t="str">
        <f>IFERROR(__xludf.DUMMYFUNCTION("GOOGLETRANSLATE(B1836,""id"",""en"")"),"['Telkomsel', 'a year', 'card', 'Telkomsel', 'telephone', 'internet', 'signal', 'bad', 'sorry', 'Telkomsel', 'moved', 'car', ' heart', '']")</f>
        <v>['Telkomsel', 'a year', 'card', 'Telkomsel', 'telephone', 'internet', 'signal', 'bad', 'sorry', 'Telkomsel', 'moved', 'car', ' heart', '']</v>
      </c>
      <c r="D1836" s="3">
        <v>2.0</v>
      </c>
    </row>
    <row r="1837" ht="15.75" customHeight="1">
      <c r="A1837" s="1">
        <v>1835.0</v>
      </c>
      <c r="B1837" s="3" t="s">
        <v>1838</v>
      </c>
      <c r="C1837" s="3" t="str">
        <f>IFERROR(__xludf.DUMMYFUNCTION("GOOGLETRANSLATE(B1837,""id"",""en"")"),"['subscription', 'loyal', 'Telkomsel', 'Network', 'Telkomsel', 'ugly', 'please', 'improve', 'network', 'Kejuwe', 'subscription', 'Telkomsel', ' play ',' game ',' difficult ',' ngeleq ',' bacotin ',' team ',' gara ',' ngeleq ',' so ',' thank ',' ']]")</f>
        <v>['subscription', 'loyal', 'Telkomsel', 'Network', 'Telkomsel', 'ugly', 'please', 'improve', 'network', 'Kejuwe', 'subscription', 'Telkomsel', ' play ',' game ',' difficult ',' ngeleq ',' bacotin ',' team ',' gara ',' ngeleq ',' so ',' thank ',' ']]</v>
      </c>
      <c r="D1837" s="3">
        <v>1.0</v>
      </c>
    </row>
    <row r="1838" ht="15.75" customHeight="1">
      <c r="A1838" s="1">
        <v>1836.0</v>
      </c>
      <c r="B1838" s="3" t="s">
        <v>1839</v>
      </c>
      <c r="C1838" s="3" t="str">
        <f>IFERROR(__xludf.DUMMYFUNCTION("GOOGLETRANSLATE(B1838,""id"",""en"")"),"['use', 'provider', 'thought', 'money', 'run out', 'disappointed', 'Telkomsel', 'service', 'aspect', 'connection', 'network', 'bad', ' bad ',' destroyed ',' stay ',' forest ',' signal ',' mending ',' search ',' stable ',' network ',' cheap ',' use ',' pro"&amp;"vider ',' disappointed ' , '']")</f>
        <v>['use', 'provider', 'thought', 'money', 'run out', 'disappointed', 'Telkomsel', 'service', 'aspect', 'connection', 'network', 'bad', ' bad ',' destroyed ',' stay ',' forest ',' signal ',' mending ',' search ',' stable ',' network ',' cheap ',' use ',' provider ',' disappointed ' , '']</v>
      </c>
      <c r="D1838" s="3">
        <v>1.0</v>
      </c>
    </row>
    <row r="1839" ht="15.75" customHeight="1">
      <c r="A1839" s="1">
        <v>1837.0</v>
      </c>
      <c r="B1839" s="3" t="s">
        <v>1840</v>
      </c>
      <c r="C1839" s="3" t="str">
        <f>IFERROR(__xludf.DUMMYFUNCTION("GOOGLETRANSLATE(B1839,""id"",""en"")"),"['UDH', 'Good', 'right', 'update', 'complicated', 'card', 'quota', 'doang', 'until', 'email', 'dizzy', 'min', ' Email ',' ']")</f>
        <v>['UDH', 'Good', 'right', 'update', 'complicated', 'card', 'quota', 'doang', 'until', 'email', 'dizzy', 'min', ' Email ',' ']</v>
      </c>
      <c r="D1839" s="3">
        <v>2.0</v>
      </c>
    </row>
    <row r="1840" ht="15.75" customHeight="1">
      <c r="A1840" s="1">
        <v>1838.0</v>
      </c>
      <c r="B1840" s="3" t="s">
        <v>1841</v>
      </c>
      <c r="C1840" s="3" t="str">
        <f>IFERROR(__xludf.DUMMYFUNCTION("GOOGLETRANSLATE(B1840,""id"",""en"")"),"['My APK', 'Bgus',' Easy ',' Mmbeli ',' Package ',' Remnant ',' Credit ',' Type ',' Package ',' Bought ',' Telkomsel ',' Package ',' Price ',' Mhal ',' Drpda ',' Telkomsel ',' ']")</f>
        <v>['My APK', 'Bgus',' Easy ',' Mmbeli ',' Package ',' Remnant ',' Credit ',' Type ',' Package ',' Bought ',' Telkomsel ',' Package ',' Price ',' Mhal ',' Drpda ',' Telkomsel ',' ']</v>
      </c>
      <c r="D1840" s="3">
        <v>5.0</v>
      </c>
    </row>
    <row r="1841" ht="15.75" customHeight="1">
      <c r="A1841" s="1">
        <v>1839.0</v>
      </c>
      <c r="B1841" s="3" t="s">
        <v>1842</v>
      </c>
      <c r="C1841" s="3" t="str">
        <f>IFERROR(__xludf.DUMMYFUNCTION("GOOGLETRANSLATE(B1841,""id"",""en"")"),"['Application', 'Check', 'Status',' Buy ',' Quota ',' Basic ',' Costumer ',' service ',' Bot ',' Help ',' Contact ',' Mending ',' Via ',' via ',' chat ',' response ',' please ',' package ',' promo ',' expired ',' send ',' end ',' click ',' promo ',' expla"&amp;"nation ' , 'package', 'product', 'detail', 'description', 'product', 'spy', 'consumer']")</f>
        <v>['Application', 'Check', 'Status',' Buy ',' Quota ',' Basic ',' Costumer ',' service ',' Bot ',' Help ',' Contact ',' Mending ',' Via ',' via ',' chat ',' response ',' please ',' package ',' promo ',' expired ',' send ',' end ',' click ',' promo ',' explanation ' , 'package', 'product', 'detail', 'description', 'product', 'spy', 'consumer']</v>
      </c>
      <c r="D1841" s="3">
        <v>1.0</v>
      </c>
    </row>
    <row r="1842" ht="15.75" customHeight="1">
      <c r="A1842" s="1">
        <v>1840.0</v>
      </c>
      <c r="B1842" s="3" t="s">
        <v>1843</v>
      </c>
      <c r="C1842" s="3" t="str">
        <f>IFERROR(__xludf.DUMMYFUNCTION("GOOGLETRANSLATE(B1842,""id"",""en"")"),"['', 'signal', 'Telkomsel', 'Lemott', 'package', 'awmua', 'expensive', 'signal', 'then', 'package', 'keuang', 'active', 'run out ',' bonus', 'package', 'try', 'bonus',' use ',' cave ',' already ',' make ',' telkomsel ',' yrs', 'ampe', '']")</f>
        <v>['', 'signal', 'Telkomsel', 'Lemott', 'package', 'awmua', 'expensive', 'signal', 'then', 'package', 'keuang', 'active', 'run out ',' bonus', 'package', 'try', 'bonus',' use ',' cave ',' already ',' make ',' telkomsel ',' yrs', 'ampe', '']</v>
      </c>
      <c r="D1842" s="3">
        <v>1.0</v>
      </c>
    </row>
    <row r="1843" ht="15.75" customHeight="1">
      <c r="A1843" s="1">
        <v>1841.0</v>
      </c>
      <c r="B1843" s="3" t="s">
        <v>1844</v>
      </c>
      <c r="C1843" s="3" t="str">
        <f>IFERROR(__xludf.DUMMYFUNCTION("GOOGLETRANSLATE(B1843,""id"",""en"")"),"['lag', 'play', 'youtube', 'smooth', 'Jaya', 'enter', 'application', 'lag', 'forgiveness', 'please', 'note', 'connection']")</f>
        <v>['lag', 'play', 'youtube', 'smooth', 'Jaya', 'enter', 'application', 'lag', 'forgiveness', 'please', 'note', 'connection']</v>
      </c>
      <c r="D1843" s="3">
        <v>1.0</v>
      </c>
    </row>
    <row r="1844" ht="15.75" customHeight="1">
      <c r="A1844" s="1">
        <v>1842.0</v>
      </c>
      <c r="B1844" s="3" t="s">
        <v>1845</v>
      </c>
      <c r="C1844" s="3" t="str">
        <f>IFERROR(__xludf.DUMMYFUNCTION("GOOGLETRANSLATE(B1844,""id"",""en"")"),"['Please', 'Notification', 'Event', 'Watch', 'Anime', 'Over', 'Rupiah', 'Event', 'Interesting', 'Please', 'Send', 'Message', ' Notifications', 'Direct', 'Nongol', 'Screen', 'Disturbs',' Push ',' Rank ',' Frame ',' Drop ',' lag ',' right ',' War ',' emotio"&amp;"n ' , 'already', 'serious',' play ',' TPI ',' right ',' War ',' direct ',' nongol ',' notification ',' event ',' disturbing ',' really ',' thank you', '']")</f>
        <v>['Please', 'Notification', 'Event', 'Watch', 'Anime', 'Over', 'Rupiah', 'Event', 'Interesting', 'Please', 'Send', 'Message', ' Notifications', 'Direct', 'Nongol', 'Screen', 'Disturbs',' Push ',' Rank ',' Frame ',' Drop ',' lag ',' right ',' War ',' emotion ' , 'already', 'serious',' play ',' TPI ',' right ',' War ',' direct ',' nongol ',' notification ',' event ',' disturbing ',' really ',' thank you', '']</v>
      </c>
      <c r="D1844" s="3">
        <v>4.0</v>
      </c>
    </row>
    <row r="1845" ht="15.75" customHeight="1">
      <c r="A1845" s="1">
        <v>1843.0</v>
      </c>
      <c r="B1845" s="3" t="s">
        <v>1846</v>
      </c>
      <c r="C1845" s="3" t="str">
        <f>IFERROR(__xludf.DUMMYFUNCTION("GOOGLETRANSLATE(B1845,""id"",""en"")"),"['signal', 'maximum', 'sometimes',' lost ',' disturbed ',' sometimes', 'like', 'setabilia', 'network', 'sometimes',' like ',' help ',' buffing ',' please ',' fix ',' network ']")</f>
        <v>['signal', 'maximum', 'sometimes',' lost ',' disturbed ',' sometimes', 'like', 'setabilia', 'network', 'sometimes',' like ',' help ',' buffing ',' please ',' fix ',' network ']</v>
      </c>
      <c r="D1845" s="3">
        <v>1.0</v>
      </c>
    </row>
    <row r="1846" ht="15.75" customHeight="1">
      <c r="A1846" s="1">
        <v>1844.0</v>
      </c>
      <c r="B1846" s="3" t="s">
        <v>1847</v>
      </c>
      <c r="C1846" s="3" t="str">
        <f>IFERROR(__xludf.DUMMYFUNCTION("GOOGLETRANSLATE(B1846,""id"",""en"")"),"['Disappointed', 'service', 'Telkomsel', 'a year', 'signal', 'difficult', 'missing', 'momenta', 'urgent', 'application', 'service', 'Veronika', ' Solution ',' submit ',' credit ',' reduced ',' transaction ',' anything ',' annoying ']")</f>
        <v>['Disappointed', 'service', 'Telkomsel', 'a year', 'signal', 'difficult', 'missing', 'momenta', 'urgent', 'application', 'service', 'Veronika', ' Solution ',' submit ',' credit ',' reduced ',' transaction ',' anything ',' annoying ']</v>
      </c>
      <c r="D1846" s="3">
        <v>1.0</v>
      </c>
    </row>
    <row r="1847" ht="15.75" customHeight="1">
      <c r="A1847" s="1">
        <v>1845.0</v>
      </c>
      <c r="B1847" s="3" t="s">
        <v>1848</v>
      </c>
      <c r="C1847" s="3" t="str">
        <f>IFERROR(__xludf.DUMMYFUNCTION("GOOGLETRANSLATE(B1847,""id"",""en"")"),"['Buy', 'Package', 'Combo', 'Sakti', 'Pay', 'Via', 'Linkaja', 'Package', 'On', 'Balance', 'Linkaja', 'Already', ' Pulled ',' ']")</f>
        <v>['Buy', 'Package', 'Combo', 'Sakti', 'Pay', 'Via', 'Linkaja', 'Package', 'On', 'Balance', 'Linkaja', 'Already', ' Pulled ',' ']</v>
      </c>
      <c r="D1847" s="3">
        <v>3.0</v>
      </c>
    </row>
    <row r="1848" ht="15.75" customHeight="1">
      <c r="A1848" s="1">
        <v>1846.0</v>
      </c>
      <c r="B1848" s="3" t="s">
        <v>1849</v>
      </c>
      <c r="C1848" s="3" t="str">
        <f>IFERROR(__xludf.DUMMYFUNCTION("GOOGLETRANSLATE(B1848,""id"",""en"")"),"['no', 'access',' There ',' Something ',' Wrong ',' already ',' wifi ',' jga ',' ttp ',' no ',' please ',' repair']")</f>
        <v>['no', 'access',' There ',' Something ',' Wrong ',' already ',' wifi ',' jga ',' ttp ',' no ',' please ',' repair']</v>
      </c>
      <c r="D1848" s="3">
        <v>1.0</v>
      </c>
    </row>
    <row r="1849" ht="15.75" customHeight="1">
      <c r="A1849" s="1">
        <v>1847.0</v>
      </c>
      <c r="B1849" s="3" t="s">
        <v>1850</v>
      </c>
      <c r="C1849" s="3" t="str">
        <f>IFERROR(__xludf.DUMMYFUNCTION("GOOGLETRANSLATE(B1849,""id"",""en"")"),"['What', 'Application', 'Update', 'No "",' Options', 'Update', 'Playstore', 'Please', 'Fix', 'User', 'Telkomsel', 'already']")</f>
        <v>['What', 'Application', 'Update', 'No ",' Options', 'Update', 'Playstore', 'Please', 'Fix', 'User', 'Telkomsel', 'already']</v>
      </c>
      <c r="D1849" s="3">
        <v>1.0</v>
      </c>
    </row>
    <row r="1850" ht="15.75" customHeight="1">
      <c r="A1850" s="1">
        <v>1848.0</v>
      </c>
      <c r="B1850" s="3" t="s">
        <v>1851</v>
      </c>
      <c r="C1850" s="3" t="str">
        <f>IFERROR(__xludf.DUMMYFUNCTION("GOOGLETRANSLATE(B1850,""id"",""en"")"),"['Slow', 'really', 'complicated', 'Make', 'simple', 'as simple', 'fyi', 'remote', 'remote', 'APK', 'Feature', 'Phone', ' Try ',' solution ']")</f>
        <v>['Slow', 'really', 'complicated', 'Make', 'simple', 'as simple', 'fyi', 'remote', 'remote', 'APK', 'Feature', 'Phone', ' Try ',' solution ']</v>
      </c>
      <c r="D1850" s="3">
        <v>1.0</v>
      </c>
    </row>
    <row r="1851" ht="15.75" customHeight="1">
      <c r="A1851" s="1">
        <v>1849.0</v>
      </c>
      <c r="B1851" s="3" t="s">
        <v>1852</v>
      </c>
      <c r="C1851" s="3" t="str">
        <f>IFERROR(__xludf.DUMMYFUNCTION("GOOGLETRANSLATE(B1851,""id"",""en"")"),"['week', 'difficult', 'open', 'application', 'telkomasel', 'signal', 'sometimes',' lost ',' upgrade ',' postpaid ',' hello ',' check ',' Via ',' application ',' difficult ',' ']")</f>
        <v>['week', 'difficult', 'open', 'application', 'telkomasel', 'signal', 'sometimes',' lost ',' upgrade ',' postpaid ',' hello ',' check ',' Via ',' application ',' difficult ',' ']</v>
      </c>
      <c r="D1851" s="3">
        <v>1.0</v>
      </c>
    </row>
    <row r="1852" ht="15.75" customHeight="1">
      <c r="A1852" s="1">
        <v>1850.0</v>
      </c>
      <c r="B1852" s="3" t="s">
        <v>1853</v>
      </c>
      <c r="C1852" s="3" t="str">
        <f>IFERROR(__xludf.DUMMYFUNCTION("GOOGLETRANSLATE(B1852,""id"",""en"")"),"['The application', 'enter', 'Login', 'already', 'DiNinstall', 'installed', 'Lafi', 'Tetep', 'Dipake', 'please', 'check', 'the application', ' Upgrade ',' version ',' newest ',' used ',' hope ',' evaluated ']")</f>
        <v>['The application', 'enter', 'Login', 'already', 'DiNinstall', 'installed', 'Lafi', 'Tetep', 'Dipake', 'please', 'check', 'the application', ' Upgrade ',' version ',' newest ',' used ',' hope ',' evaluated ']</v>
      </c>
      <c r="D1852" s="3">
        <v>1.0</v>
      </c>
    </row>
    <row r="1853" ht="15.75" customHeight="1">
      <c r="A1853" s="1">
        <v>1851.0</v>
      </c>
      <c r="B1853" s="3" t="s">
        <v>1854</v>
      </c>
      <c r="C1853" s="3" t="str">
        <f>IFERROR(__xludf.DUMMYFUNCTION("GOOGLETRANSLATE(B1853,""id"",""en"")"),"['', 'Telkomsel', 'understand', 'useful', 'anywhere', 'connected', 'proud', 'application', 'telkomsen', 'hope', 'useful', 'child' ',' ']")</f>
        <v>['', 'Telkomsel', 'understand', 'useful', 'anywhere', 'connected', 'proud', 'application', 'telkomsen', 'hope', 'useful', 'child' ',' ']</v>
      </c>
      <c r="D1853" s="3">
        <v>5.0</v>
      </c>
    </row>
    <row r="1854" ht="15.75" customHeight="1">
      <c r="A1854" s="1">
        <v>1852.0</v>
      </c>
      <c r="B1854" s="3" t="s">
        <v>1855</v>
      </c>
      <c r="C1854" s="3" t="str">
        <f>IFERROR(__xludf.DUMMYFUNCTION("GOOGLETRANSLATE(B1854,""id"",""en"")"),"['Bad', 'buy', 'package', 'internet', 'enter', 'Telkomsel', 'Available', 'package', 'night', 'along with', 'Gigamax', 'person', ' Like ',' application ',' have ',' specification ',' appeal ',' network ',' Telkomsel ',' has', 'application', 'bad', 'hope', "&amp;"'Telkomsel', 'overcome' , 'as soon as possible', '']")</f>
        <v>['Bad', 'buy', 'package', 'internet', 'enter', 'Telkomsel', 'Available', 'package', 'night', 'along with', 'Gigamax', 'person', ' Like ',' application ',' have ',' specification ',' appeal ',' network ',' Telkomsel ',' has', 'application', 'bad', 'hope', 'Telkomsel', 'overcome' , 'as soon as possible', '']</v>
      </c>
      <c r="D1854" s="3">
        <v>1.0</v>
      </c>
    </row>
    <row r="1855" ht="15.75" customHeight="1">
      <c r="A1855" s="1">
        <v>1853.0</v>
      </c>
      <c r="B1855" s="3" t="s">
        <v>1856</v>
      </c>
      <c r="C1855" s="3" t="str">
        <f>IFERROR(__xludf.DUMMYFUNCTION("GOOGLETRANSLATE(B1855,""id"",""en"")"),"['fit', 'enter', 'Telkomsel', 'failure', 'connection', 'package', 'data', 'already', 'updated', 'uninstall', 'annoying', 'please', ' Repaired ',' that's']")</f>
        <v>['fit', 'enter', 'Telkomsel', 'failure', 'connection', 'package', 'data', 'already', 'updated', 'uninstall', 'annoying', 'please', ' Repaired ',' that's']</v>
      </c>
      <c r="D1855" s="3">
        <v>1.0</v>
      </c>
    </row>
    <row r="1856" ht="15.75" customHeight="1">
      <c r="A1856" s="1">
        <v>1854.0</v>
      </c>
      <c r="B1856" s="3" t="s">
        <v>1857</v>
      </c>
      <c r="C1856" s="3" t="str">
        <f>IFERROR(__xludf.DUMMYFUNCTION("GOOGLETRANSLATE(B1856,""id"",""en"")"),"['Open', 'MyTelkomsel', 'Have', 'Login', 'Mulu', 'Already', 'Login', 'Fuss',' Fitting ',' Enter ',' Really ',' Load ',' network ',' smooth ',' please ',' min ', ""]")</f>
        <v>['Open', 'MyTelkomsel', 'Have', 'Login', 'Mulu', 'Already', 'Login', 'Fuss',' Fitting ',' Enter ',' Really ',' Load ',' network ',' smooth ',' please ',' min ', "]</v>
      </c>
      <c r="D1856" s="3">
        <v>1.0</v>
      </c>
    </row>
    <row r="1857" ht="15.75" customHeight="1">
      <c r="A1857" s="1">
        <v>1855.0</v>
      </c>
      <c r="B1857" s="3" t="s">
        <v>1858</v>
      </c>
      <c r="C1857" s="3" t="str">
        <f>IFERROR(__xludf.DUMMYFUNCTION("GOOGLETRANSLATE(B1857,""id"",""en"")"),"['Please', 'Sorry', 'Update', 'APL', 'Telkomsel', 'Helping', 'Walking', 'Smooth', 'Updated', 'Lemot', 'Hard', 'Login', ' HARD ',' Thank you ']")</f>
        <v>['Please', 'Sorry', 'Update', 'APL', 'Telkomsel', 'Helping', 'Walking', 'Smooth', 'Updated', 'Lemot', 'Hard', 'Login', ' HARD ',' Thank you ']</v>
      </c>
      <c r="D1857" s="3">
        <v>1.0</v>
      </c>
    </row>
    <row r="1858" ht="15.75" customHeight="1">
      <c r="A1858" s="1">
        <v>1856.0</v>
      </c>
      <c r="B1858" s="3" t="s">
        <v>1859</v>
      </c>
      <c r="C1858" s="3" t="str">
        <f>IFERROR(__xludf.DUMMYFUNCTION("GOOGLETRANSLATE(B1858,""id"",""en"")"),"['Severe', 'Difficult', 'Open', 'Application', 'Telkomsel', 'Data', 'Provider', 'Liat', 'Credit', 'Promo', 'Open', 'The Reasons',' network ',' weak ',' Telkomsel ',' access', 'data', 'Telkomsel', 'Please', 'repair']")</f>
        <v>['Severe', 'Difficult', 'Open', 'Application', 'Telkomsel', 'Data', 'Provider', 'Liat', 'Credit', 'Promo', 'Open', 'The Reasons',' network ',' weak ',' Telkomsel ',' access', 'data', 'Telkomsel', 'Please', 'repair']</v>
      </c>
      <c r="D1858" s="3">
        <v>1.0</v>
      </c>
    </row>
    <row r="1859" ht="15.75" customHeight="1">
      <c r="A1859" s="1">
        <v>1857.0</v>
      </c>
      <c r="B1859" s="3" t="s">
        <v>1860</v>
      </c>
      <c r="C1859" s="3" t="str">
        <f>IFERROR(__xludf.DUMMYFUNCTION("GOOGLETRANSLATE(B1859,""id"",""en"")"),"['The application', 'good', 'checks',' balance ',' quota ',' phone ',' sms', 'internet', 'entry', 'mytelkomsel', 'typing', 'star', ' fence ',' concrete ',' fence ',' wood ',' etc. ',' ']")</f>
        <v>['The application', 'good', 'checks',' balance ',' quota ',' phone ',' sms', 'internet', 'entry', 'mytelkomsel', 'typing', 'star', ' fence ',' concrete ',' fence ',' wood ',' etc. ',' ']</v>
      </c>
      <c r="D1859" s="3">
        <v>4.0</v>
      </c>
    </row>
    <row r="1860" ht="15.75" customHeight="1">
      <c r="A1860" s="1">
        <v>1858.0</v>
      </c>
      <c r="B1860" s="3" t="s">
        <v>1861</v>
      </c>
      <c r="C1860" s="3" t="str">
        <f>IFERROR(__xludf.DUMMYFUNCTION("GOOGLETRANSLATE(B1860,""id"",""en"")"),"['', 'conditions',' price ',' package ',' expensive ',' expensive ',' help ',' lightening ',' package ',' quota ',' signal ',' ugly ',' give it ',' lightening ',' price ',' package ',' quota ',' person ',' buy ',' package ',' expensive ',' please ',' unde"&amp;"rstand ',' situation ',' package ', 'main', 'GB', 'price', 'thousand', 'buy', 'price', 'package', 'cheap', 'buy', ""]")</f>
        <v>['', 'conditions',' price ',' package ',' expensive ',' expensive ',' help ',' lightening ',' package ',' quota ',' signal ',' ugly ',' give it ',' lightening ',' price ',' package ',' quota ',' person ',' buy ',' package ',' expensive ',' please ',' understand ',' situation ',' package ', 'main', 'GB', 'price', 'thousand', 'buy', 'price', 'package', 'cheap', 'buy', "]</v>
      </c>
      <c r="D1860" s="3">
        <v>1.0</v>
      </c>
    </row>
    <row r="1861" ht="15.75" customHeight="1">
      <c r="A1861" s="1">
        <v>1859.0</v>
      </c>
      <c r="B1861" s="3" t="s">
        <v>1862</v>
      </c>
      <c r="C1861" s="3" t="str">
        <f>IFERROR(__xludf.DUMMYFUNCTION("GOOGLETRANSLATE(B1861,""id"",""en"")"),"['Please', 'Sorry', 'Network', 'Telkomsel', 'ugly', 'really', 'right', 'mabar', 'ngeleg', 'near', 'ama', 'tower', ' Open ',' YouTube ',' Ngeleg ',' LGI ',' Please ',' Fix ',' As soon as possible]")</f>
        <v>['Please', 'Sorry', 'Network', 'Telkomsel', 'ugly', 'really', 'right', 'mabar', 'ngeleg', 'near', 'ama', 'tower', ' Open ',' YouTube ',' Ngeleg ',' LGI ',' Please ',' Fix ',' As soon as possible]</v>
      </c>
      <c r="D1861" s="3">
        <v>1.0</v>
      </c>
    </row>
    <row r="1862" ht="15.75" customHeight="1">
      <c r="A1862" s="1">
        <v>1860.0</v>
      </c>
      <c r="B1862" s="3" t="s">
        <v>1863</v>
      </c>
      <c r="C1862" s="3" t="str">
        <f>IFERROR(__xludf.DUMMYFUNCTION("GOOGLETRANSLATE(B1862,""id"",""en"")"),"['Satisfied', 'really', 'package', 'promo', 'offer', 'hope', 'package', 'promo', 'promo', 'good', 'customer', 'choice', ' Satisfied ',' Reward ',' user ',' user ',' loyal ',' use ',' Telkomsel ',' ']")</f>
        <v>['Satisfied', 'really', 'package', 'promo', 'offer', 'hope', 'package', 'promo', 'promo', 'good', 'customer', 'choice', ' Satisfied ',' Reward ',' user ',' user ',' loyal ',' use ',' Telkomsel ',' ']</v>
      </c>
      <c r="D1862" s="3">
        <v>5.0</v>
      </c>
    </row>
    <row r="1863" ht="15.75" customHeight="1">
      <c r="A1863" s="1">
        <v>1861.0</v>
      </c>
      <c r="B1863" s="3" t="s">
        <v>1864</v>
      </c>
      <c r="C1863" s="3" t="str">
        <f>IFERROR(__xludf.DUMMYFUNCTION("GOOGLETRANSLATE(B1863,""id"",""en"")"),"['complicated', 'ubek', 'ubek', 'application', 'buy', 'package', 'price', 'package', 'expensive', 'subscription', 'many years',' pessel ',' expensive']")</f>
        <v>['complicated', 'ubek', 'ubek', 'application', 'buy', 'package', 'price', 'package', 'expensive', 'subscription', 'many years',' pessel ',' expensive']</v>
      </c>
      <c r="D1863" s="3">
        <v>1.0</v>
      </c>
    </row>
    <row r="1864" ht="15.75" customHeight="1">
      <c r="A1864" s="1">
        <v>1862.0</v>
      </c>
      <c r="B1864" s="3" t="s">
        <v>1865</v>
      </c>
      <c r="C1864" s="3" t="str">
        <f>IFERROR(__xludf.DUMMYFUNCTION("GOOGLETRANSLATE(B1864,""id"",""en"")"),"['application', 'strange', 'update', 'package', 'lost', 'expensive', 'cave', 'pakek', 'telkomsell', 'ehhh', 'mahalin', 'package', ' Internet ',' Balikin ',' Donk ',' Paketan ',' cave ',' Malahh ',' card ',' card ',' cheap ',' package ',' udh ',' mahalin '"&amp;",' please ' , 'Donk', 'Telkomsell', 'Turns', 'Paketan', 'cave', 'RBAN', 'already', 'get', 'ehh', 'sekrang', 'hemzzzzzzzz "",' application ',' Rotten ',' Anjjeng ']")</f>
        <v>['application', 'strange', 'update', 'package', 'lost', 'expensive', 'cave', 'pakek', 'telkomsell', 'ehhh', 'mahalin', 'package', ' Internet ',' Balikin ',' Donk ',' Paketan ',' cave ',' Malahh ',' card ',' card ',' cheap ',' package ',' udh ',' mahalin ',' please ' , 'Donk', 'Telkomsell', 'Turns', 'Paketan', 'cave', 'RBAN', 'already', 'get', 'ehh', 'sekrang', 'hemzzzzzzzz ",' application ',' Rotten ',' Anjjeng ']</v>
      </c>
      <c r="D1864" s="3">
        <v>1.0</v>
      </c>
    </row>
    <row r="1865" ht="15.75" customHeight="1">
      <c r="A1865" s="1">
        <v>1863.0</v>
      </c>
      <c r="B1865" s="3" t="s">
        <v>1866</v>
      </c>
      <c r="C1865" s="3" t="str">
        <f>IFERROR(__xludf.DUMMYFUNCTION("GOOGLETRANSLATE(B1865,""id"",""en"")"),"['belief', 'connected', 'internet', 'Telkomsel', 'open', 'application', 'think', 'quota', 'internet', 'finished', 'use', 'network', ' internet ',' use ',' wifi ',' contents', 'quota', 'internet', 'ehh', 'application', 'open', 'monopoly', 'application', 'p"&amp;"arahhhh', 'quality' , 'Network', 'internet', 'said', 'Good', 'Provide', 'quality', 'Telkomsel', 'Place', '']")</f>
        <v>['belief', 'connected', 'internet', 'Telkomsel', 'open', 'application', 'think', 'quota', 'internet', 'finished', 'use', 'network', ' internet ',' use ',' wifi ',' contents', 'quota', 'internet', 'ehh', 'application', 'open', 'monopoly', 'application', 'parahhhh', 'quality' , 'Network', 'internet', 'said', 'Good', 'Provide', 'quality', 'Telkomsel', 'Place', '']</v>
      </c>
      <c r="D1865" s="3">
        <v>1.0</v>
      </c>
    </row>
    <row r="1866" ht="15.75" customHeight="1">
      <c r="A1866" s="1">
        <v>1864.0</v>
      </c>
      <c r="B1866" s="3" t="s">
        <v>1867</v>
      </c>
      <c r="C1866" s="3" t="str">
        <f>IFERROR(__xludf.DUMMYFUNCTION("GOOGLETRANSLATE(B1866,""id"",""en"")"),"['Update', 'Login', 'App', 'Telkomsel', 'Difficult', 'Kirain', 'The card', 'Troubled', 'Try', 'Login', 'Card', 'Tselku', ' Card ',' Adek ',' TTP ',' Login ',' then ',' Benefits', 'Install', 'App', 'Tsel', 'Dipake', 'Please', 'Fix', ""]")</f>
        <v>['Update', 'Login', 'App', 'Telkomsel', 'Difficult', 'Kirain', 'The card', 'Troubled', 'Try', 'Login', 'Card', 'Tselku', ' Card ',' Adek ',' TTP ',' Login ',' then ',' Benefits', 'Install', 'App', 'Tsel', 'Dipake', 'Please', 'Fix', "]</v>
      </c>
      <c r="D1866" s="3">
        <v>2.0</v>
      </c>
    </row>
    <row r="1867" ht="15.75" customHeight="1">
      <c r="A1867" s="1">
        <v>1865.0</v>
      </c>
      <c r="B1867" s="3" t="s">
        <v>1868</v>
      </c>
      <c r="C1867" s="3" t="str">
        <f>IFERROR(__xludf.DUMMYFUNCTION("GOOGLETRANSLATE(B1867,""id"",""en"")"),"['Original', 'Severe', 'The application', 'bandwidth', 'internet', 'Kenceng', 'heavy', 'loading', 'content', 'suggestion', 'return', 'version', ' Prioritizing ',' Function ',' Service ',' User ',' Display ',' Interesting ',' Reducing ',' Services', 'Conve"&amp;"nient', 'User', 'Application', 'Weigh', 'Loading' , 'Content', 'function', 'Optimal', '']")</f>
        <v>['Original', 'Severe', 'The application', 'bandwidth', 'internet', 'Kenceng', 'heavy', 'loading', 'content', 'suggestion', 'return', 'version', ' Prioritizing ',' Function ',' Service ',' User ',' Display ',' Interesting ',' Reducing ',' Services', 'Convenient', 'User', 'Application', 'Weigh', 'Loading' , 'Content', 'function', 'Optimal', '']</v>
      </c>
      <c r="D1867" s="3">
        <v>1.0</v>
      </c>
    </row>
    <row r="1868" ht="15.75" customHeight="1">
      <c r="A1868" s="1">
        <v>1866.0</v>
      </c>
      <c r="B1868" s="3" t="s">
        <v>1869</v>
      </c>
      <c r="C1868" s="3" t="str">
        <f>IFERROR(__xludf.DUMMYFUNCTION("GOOGLETRANSLATE(B1868,""id"",""en"")"),"['Hello', 'Congratulations',' noon ',' Please ',' Sorry ',' User ',' Quota ',' Learning ',' Telkomsel ',' Conference ',' Zoom ',' Meeting ',' Google ',' Meet ',' etc. ',' in fact ',' clock ',' training ',' preparation ',' KSN ',' Google ',' Meet ',' alrea"&amp;"dy ',' times', 'enter' , 'Karuan', 'presentation', 'appears',' sound ',' speaker ',' appears', 'mean', 'disappointed', 'regret', 'use', 'Telkomsel', 'price', ' thousand ',' cheap ',' so ',' greetings', 'disappointed', '']")</f>
        <v>['Hello', 'Congratulations',' noon ',' Please ',' Sorry ',' User ',' Quota ',' Learning ',' Telkomsel ',' Conference ',' Zoom ',' Meeting ',' Google ',' Meet ',' etc. ',' in fact ',' clock ',' training ',' preparation ',' KSN ',' Google ',' Meet ',' already ',' times', 'enter' , 'Karuan', 'presentation', 'appears',' sound ',' speaker ',' appears', 'mean', 'disappointed', 'regret', 'use', 'Telkomsel', 'price', ' thousand ',' cheap ',' so ',' greetings', 'disappointed', '']</v>
      </c>
      <c r="D1868" s="3">
        <v>1.0</v>
      </c>
    </row>
    <row r="1869" ht="15.75" customHeight="1">
      <c r="A1869" s="1">
        <v>1867.0</v>
      </c>
      <c r="B1869" s="3" t="s">
        <v>1870</v>
      </c>
      <c r="C1869" s="3" t="str">
        <f>IFERROR(__xludf.DUMMYFUNCTION("GOOGLETRANSLATE(B1869,""id"",""en"")"),"['Samsung', 'Plus',' iPhone ',' Pro ',' Max ',' Application ',' MyTelkomsel ',' Access', 'Try', 'Uninstall', 'Download', 'Enter', ' ',' application ',' MyTelkomsel ',' Change ',' System ',' Application ',' MyTelkomsel ',' Delete ',' Delete ',' Permanent '"&amp;",' Application ',' MyTelkomsel ',' Please ' , 'The info', 'MyTelkomsel', 'Thank you', ""]")</f>
        <v>['Samsung', 'Plus',' iPhone ',' Pro ',' Max ',' Application ',' MyTelkomsel ',' Access', 'Try', 'Uninstall', 'Download', 'Enter', ' ',' application ',' MyTelkomsel ',' Change ',' System ',' Application ',' MyTelkomsel ',' Delete ',' Delete ',' Permanent ',' Application ',' MyTelkomsel ',' Please ' , 'The info', 'MyTelkomsel', 'Thank you', "]</v>
      </c>
      <c r="D1869" s="3">
        <v>1.0</v>
      </c>
    </row>
    <row r="1870" ht="15.75" customHeight="1">
      <c r="A1870" s="1">
        <v>1868.0</v>
      </c>
      <c r="B1870" s="3" t="s">
        <v>1871</v>
      </c>
      <c r="C1870" s="3" t="str">
        <f>IFERROR(__xludf.DUMMYFUNCTION("GOOGLETRANSLATE(B1870,""id"",""en"")"),"['Hey', 'package', 'quota', 'lap', 'unlimited', 'youtube', 'use', 'youtube', 'see', 'reduced', 'quota', 'main', ' Just now ',' buy ',' On ',' ']")</f>
        <v>['Hey', 'package', 'quota', 'lap', 'unlimited', 'youtube', 'use', 'youtube', 'see', 'reduced', 'quota', 'main', ' Just now ',' buy ',' On ',' ']</v>
      </c>
      <c r="D1870" s="3">
        <v>1.0</v>
      </c>
    </row>
    <row r="1871" ht="15.75" customHeight="1">
      <c r="A1871" s="1">
        <v>1869.0</v>
      </c>
      <c r="B1871" s="3" t="s">
        <v>1872</v>
      </c>
      <c r="C1871" s="3" t="str">
        <f>IFERROR(__xludf.DUMMYFUNCTION("GOOGLETRANSLATE(B1871,""id"",""en"")"),"['Sorry', 'apk', 'knp', 'login', 'open', 'please', 'user', 'disappointed', '']")</f>
        <v>['Sorry', 'apk', 'knp', 'login', 'open', 'please', 'user', 'disappointed', '']</v>
      </c>
      <c r="D1871" s="3">
        <v>1.0</v>
      </c>
    </row>
    <row r="1872" ht="15.75" customHeight="1">
      <c r="A1872" s="1">
        <v>1870.0</v>
      </c>
      <c r="B1872" s="3" t="s">
        <v>1873</v>
      </c>
      <c r="C1872" s="3" t="str">
        <f>IFERROR(__xludf.DUMMYFUNCTION("GOOGLETRANSLATE(B1872,""id"",""en"")"),"['open', 'application', 'LOLA', 'Loading', 'slow', 'signal', 'log', 'reset', 'like', 'error', 'let', 'made easier', ' already ',' customer ',' make ',' disappointed ']")</f>
        <v>['open', 'application', 'LOLA', 'Loading', 'slow', 'signal', 'log', 'reset', 'like', 'error', 'let', 'made easier', ' already ',' customer ',' make ',' disappointed ']</v>
      </c>
      <c r="D1872" s="3">
        <v>1.0</v>
      </c>
    </row>
    <row r="1873" ht="15.75" customHeight="1">
      <c r="A1873" s="1">
        <v>1871.0</v>
      </c>
      <c r="B1873" s="3" t="s">
        <v>1874</v>
      </c>
      <c r="C1873" s="3" t="str">
        <f>IFERROR(__xludf.DUMMYFUNCTION("GOOGLETRANSLATE(B1873,""id"",""en"")"),"['Update', 'Open', 'Difficult', 'Loading', 'Mending', 'Update', 'Disappointed', 'Telkomsel', 'Mending', 'Rich', 'Simple', 'Cepet', ' Good ',' cheap ',' ']")</f>
        <v>['Update', 'Open', 'Difficult', 'Loading', 'Mending', 'Update', 'Disappointed', 'Telkomsel', 'Mending', 'Rich', 'Simple', 'Cepet', ' Good ',' cheap ',' ']</v>
      </c>
      <c r="D1873" s="3">
        <v>2.0</v>
      </c>
    </row>
    <row r="1874" ht="15.75" customHeight="1">
      <c r="A1874" s="1">
        <v>1872.0</v>
      </c>
      <c r="B1874" s="3" t="s">
        <v>1875</v>
      </c>
      <c r="C1874" s="3" t="str">
        <f>IFERROR(__xludf.DUMMYFUNCTION("GOOGLETRANSLATE(B1874,""id"",""en"")"),"['Congratulations',' noon ',' Min ',' Min ',' Loading ',' Telkomsel ',' Buy ',' Package ',' Telfon ',' Telkomsel ',' Please ',' Help ',' ']")</f>
        <v>['Congratulations',' noon ',' Min ',' Min ',' Loading ',' Telkomsel ',' Buy ',' Package ',' Telfon ',' Telkomsel ',' Please ',' Help ',' ']</v>
      </c>
      <c r="D1874" s="3">
        <v>3.0</v>
      </c>
    </row>
    <row r="1875" ht="15.75" customHeight="1">
      <c r="A1875" s="1">
        <v>1873.0</v>
      </c>
      <c r="B1875" s="3" t="s">
        <v>1876</v>
      </c>
      <c r="C1875" s="3" t="str">
        <f>IFERROR(__xludf.DUMMYFUNCTION("GOOGLETRANSLATE(B1875,""id"",""en"")"),"['apps',' already ',' apps', 'mytelkomsel', 'until', 'already', 'uninstall', 'login', 'result', 'tetep', 'please', 'help', ' Min ',' thank ',' love ']")</f>
        <v>['apps',' already ',' apps', 'mytelkomsel', 'until', 'already', 'uninstall', 'login', 'result', 'tetep', 'please', 'help', ' Min ',' thank ',' love ']</v>
      </c>
      <c r="D1875" s="3">
        <v>3.0</v>
      </c>
    </row>
    <row r="1876" ht="15.75" customHeight="1">
      <c r="A1876" s="1">
        <v>1874.0</v>
      </c>
      <c r="B1876" s="3" t="s">
        <v>1877</v>
      </c>
      <c r="C1876" s="3" t="str">
        <f>IFERROR(__xludf.DUMMYFUNCTION("GOOGLETRANSLATE(B1876,""id"",""en"")"),"['overnight', 'login', 'error', 'network', 'ugly', 'app', 'smooth', 'except', 'app', ""]")</f>
        <v>['overnight', 'login', 'error', 'network', 'ugly', 'app', 'smooth', 'except', 'app', "]</v>
      </c>
      <c r="D1876" s="3">
        <v>1.0</v>
      </c>
    </row>
    <row r="1877" ht="15.75" customHeight="1">
      <c r="A1877" s="1">
        <v>1875.0</v>
      </c>
      <c r="B1877" s="3" t="s">
        <v>1878</v>
      </c>
      <c r="C1877" s="3" t="str">
        <f>IFERROR(__xludf.DUMMYFUNCTION("GOOGLETRANSLATE(B1877,""id"",""en"")"),"['Sorry', 'min', 'subscribe', 'Telkomsel', 'yrs',' upgrade ',' network ',' ahir ',' disappointed ',' network ',' signal ',' log ',' game ',' difficult ',' forgiveness', 'quota', 'internet', 'card', 'Telkomsel', 'network', 'please', 'min', 'love', 'explana"&amp;"tion', 'thank you' , '']")</f>
        <v>['Sorry', 'min', 'subscribe', 'Telkomsel', 'yrs',' upgrade ',' network ',' ahir ',' disappointed ',' network ',' signal ',' log ',' game ',' difficult ',' forgiveness', 'quota', 'internet', 'card', 'Telkomsel', 'network', 'please', 'min', 'love', 'explanation', 'thank you' , '']</v>
      </c>
      <c r="D1877" s="3">
        <v>2.0</v>
      </c>
    </row>
    <row r="1878" ht="15.75" customHeight="1">
      <c r="A1878" s="1">
        <v>1876.0</v>
      </c>
      <c r="B1878" s="3" t="s">
        <v>1879</v>
      </c>
      <c r="C1878" s="3" t="str">
        <f>IFERROR(__xludf.DUMMYFUNCTION("GOOGLETRANSLATE(B1878,""id"",""en"")"),"['Asalamualaikum', 'BPK', 'Debt', 'Telkomsel', 'Card', 'Lost', 'Nth', 'Where', 'GMNA', 'Pay', 'Debt', 'Debt', ' Bring ',' Hereafter ',' please ',' Telkomsel ',' help ',' Allah ',' bad ',' really ',' email ',' block ', ""]")</f>
        <v>['Asalamualaikum', 'BPK', 'Debt', 'Telkomsel', 'Card', 'Lost', 'Nth', 'Where', 'GMNA', 'Pay', 'Debt', 'Debt', ' Bring ',' Hereafter ',' please ',' Telkomsel ',' help ',' Allah ',' bad ',' really ',' email ',' block ', "]</v>
      </c>
      <c r="D1878" s="3">
        <v>1.0</v>
      </c>
    </row>
    <row r="1879" ht="15.75" customHeight="1">
      <c r="A1879" s="1">
        <v>1877.0</v>
      </c>
      <c r="B1879" s="3" t="s">
        <v>1880</v>
      </c>
      <c r="C1879" s="3" t="str">
        <f>IFERROR(__xludf.DUMMYFUNCTION("GOOGLETRANSLATE(B1879,""id"",""en"")"),"['Login', 'application', 'login', 'appears', 'message', 'ooops', 'error', 'try', 'repeated', 'star', 'repair']")</f>
        <v>['Login', 'application', 'login', 'appears', 'message', 'ooops', 'error', 'try', 'repeated', 'star', 'repair']</v>
      </c>
      <c r="D1879" s="3">
        <v>1.0</v>
      </c>
    </row>
    <row r="1880" ht="15.75" customHeight="1">
      <c r="A1880" s="1">
        <v>1878.0</v>
      </c>
      <c r="B1880" s="3" t="s">
        <v>1881</v>
      </c>
      <c r="C1880" s="3" t="str">
        <f>IFERROR(__xludf.DUMMYFUNCTION("GOOGLETRANSLATE(B1880,""id"",""en"")"),"['Ambush', 'signal', 'boskuh', 'price', 'so', 'network', 'chaotic', 'th', 'provider', 'disappointed', 'severe', 'sorry', ' Wrong ',' Review ',' Full ',' Disappointment ',' Leader ',' Read ']")</f>
        <v>['Ambush', 'signal', 'boskuh', 'price', 'so', 'network', 'chaotic', 'th', 'provider', 'disappointed', 'severe', 'sorry', ' Wrong ',' Review ',' Full ',' Disappointment ',' Leader ',' Read ']</v>
      </c>
      <c r="D1880" s="3">
        <v>1.0</v>
      </c>
    </row>
    <row r="1881" ht="15.75" customHeight="1">
      <c r="A1881" s="1">
        <v>1879.0</v>
      </c>
      <c r="B1881" s="3" t="s">
        <v>1882</v>
      </c>
      <c r="C1881" s="3" t="str">
        <f>IFERROR(__xludf.DUMMYFUNCTION("GOOGLETRANSLATE(B1881,""id"",""en"")"),"['quota', 'GB', 'Network', 'HR', 'RB', 'RB', 'Activate', 'Package', 'Reply', 'RB', 'SMS', 'Tsel', ' Hotoffer ',' promo ',' Aug ',' accessed ',' promo ',' disappointed ',' tsel ']")</f>
        <v>['quota', 'GB', 'Network', 'HR', 'RB', 'RB', 'Activate', 'Package', 'Reply', 'RB', 'SMS', 'Tsel', ' Hotoffer ',' promo ',' Aug ',' accessed ',' promo ',' disappointed ',' tsel ']</v>
      </c>
      <c r="D1881" s="3">
        <v>1.0</v>
      </c>
    </row>
    <row r="1882" ht="15.75" customHeight="1">
      <c r="A1882" s="1">
        <v>1880.0</v>
      </c>
      <c r="B1882" s="3" t="s">
        <v>1883</v>
      </c>
      <c r="C1882" s="3" t="str">
        <f>IFERROR(__xludf.DUMMYFUNCTION("GOOGLETRANSLATE(B1882,""id"",""en"")"),"['open', 'application', 'provider', 'difficult', 'really', 'open', 'application', 'need', 'signal', 'strong', 'fill', 'quota', ' Provider ',' difficult ',' really ']")</f>
        <v>['open', 'application', 'provider', 'difficult', 'really', 'open', 'application', 'need', 'signal', 'strong', 'fill', 'quota', ' Provider ',' difficult ',' really ']</v>
      </c>
      <c r="D1882" s="3">
        <v>2.0</v>
      </c>
    </row>
    <row r="1883" ht="15.75" customHeight="1">
      <c r="A1883" s="1">
        <v>1881.0</v>
      </c>
      <c r="B1883" s="3" t="s">
        <v>1884</v>
      </c>
      <c r="C1883" s="3" t="str">
        <f>IFERROR(__xludf.DUMMYFUNCTION("GOOGLETRANSLATE(B1883,""id"",""en"")"),"['error', 'times',' open ',' buy ',' quota ',' error ',' many ',' times', 'price', 'expensive', 'cook', 'error', ' all day ',' please ',' repaired ',' island ',' Java ',' area ',' urban ',' work ',' really ',' so ',' thank ',' love ',' hope ' , 'Amin']")</f>
        <v>['error', 'times',' open ',' buy ',' quota ',' error ',' many ',' times', 'price', 'expensive', 'cook', 'error', ' all day ',' please ',' repaired ',' island ',' Java ',' area ',' urban ',' work ',' really ',' so ',' thank ',' love ',' hope ' , 'Amin']</v>
      </c>
      <c r="D1883" s="3">
        <v>1.0</v>
      </c>
    </row>
    <row r="1884" ht="15.75" customHeight="1">
      <c r="A1884" s="1">
        <v>1882.0</v>
      </c>
      <c r="B1884" s="3" t="s">
        <v>1885</v>
      </c>
      <c r="C1884" s="3" t="str">
        <f>IFERROR(__xludf.DUMMYFUNCTION("GOOGLETRANSLATE(B1884,""id"",""en"")"),"['Buy', 'Package', 'Combo', 'Sakti', 'Telkomsel', 'GB', 'RB', 'Lost', 'Buy', 'Package', 'Telkom', 'GB', ' rb ',' missing ',' replace ',' GB ',' RB ',' GB ',' RB ',' missing ',' gnti ',' so ',' gmn ',' please ',' developer ' , 'Sorry', 'star', 'TPI', 'plea"&amp;"se', 'in the future', 'fix', 'star']")</f>
        <v>['Buy', 'Package', 'Combo', 'Sakti', 'Telkomsel', 'GB', 'RB', 'Lost', 'Buy', 'Package', 'Telkom', 'GB', ' rb ',' missing ',' replace ',' GB ',' RB ',' GB ',' RB ',' missing ',' gnti ',' so ',' gmn ',' please ',' developer ' , 'Sorry', 'star', 'TPI', 'please', 'in the future', 'fix', 'star']</v>
      </c>
      <c r="D1884" s="3">
        <v>4.0</v>
      </c>
    </row>
    <row r="1885" ht="15.75" customHeight="1">
      <c r="A1885" s="1">
        <v>1883.0</v>
      </c>
      <c r="B1885" s="3" t="s">
        <v>1886</v>
      </c>
      <c r="C1885" s="3" t="str">
        <f>IFERROR(__xludf.DUMMYFUNCTION("GOOGLETRANSLATE(B1885,""id"",""en"")"),"['purchase', 'thousand', 'phone', 'application', 'run out', 'removed', 'ajh', 'hope', 'pulses', 'minimal', ""]")</f>
        <v>['purchase', 'thousand', 'phone', 'application', 'run out', 'removed', 'ajh', 'hope', 'pulses', 'minimal', "]</v>
      </c>
      <c r="D1885" s="3">
        <v>1.0</v>
      </c>
    </row>
    <row r="1886" ht="15.75" customHeight="1">
      <c r="A1886" s="1">
        <v>1884.0</v>
      </c>
      <c r="B1886" s="3" t="s">
        <v>1887</v>
      </c>
      <c r="C1886" s="3" t="str">
        <f>IFERROR(__xludf.DUMMYFUNCTION("GOOGLETRANSLATE(B1886,""id"",""en"")"),"['steady', 'the network', 'expensive', 'price', 'klw', 'use', 'big', 'klw', 'klw', 'rb', 'a week', 'economy', ' Medium ',' down ',' donations', 'Telkomsel', 'The', 'Best', ""]")</f>
        <v>['steady', 'the network', 'expensive', 'price', 'klw', 'use', 'big', 'klw', 'klw', 'rb', 'a week', 'economy', ' Medium ',' down ',' donations', 'Telkomsel', 'The', 'Best', "]</v>
      </c>
      <c r="D1886" s="3">
        <v>5.0</v>
      </c>
    </row>
    <row r="1887" ht="15.75" customHeight="1">
      <c r="A1887" s="1">
        <v>1885.0</v>
      </c>
      <c r="B1887" s="3" t="s">
        <v>1888</v>
      </c>
      <c r="C1887" s="3" t="str">
        <f>IFERROR(__xludf.DUMMYFUNCTION("GOOGLETRANSLATE(B1887,""id"",""en"")"),"['Please', 'Sorry', 'Review', 'Corporation', 'Dilapidated', 'Costs',' Service ',' Expensive ',' Quality ',' Low ',' Want ',' Enter ',' Application ',' Kasi ',' hassle ',' forced ',' forced ',' customer ',' buy ',' package ',' expensive ', ""]")</f>
        <v>['Please', 'Sorry', 'Review', 'Corporation', 'Dilapidated', 'Costs',' Service ',' Expensive ',' Quality ',' Low ',' Want ',' Enter ',' Application ',' Kasi ',' hassle ',' forced ',' forced ',' customer ',' buy ',' package ',' expensive ', "]</v>
      </c>
      <c r="D1887" s="3">
        <v>1.0</v>
      </c>
    </row>
    <row r="1888" ht="15.75" customHeight="1">
      <c r="A1888" s="1">
        <v>1886.0</v>
      </c>
      <c r="B1888" s="3" t="s">
        <v>1889</v>
      </c>
      <c r="C1888" s="3" t="str">
        <f>IFERROR(__xludf.DUMMYFUNCTION("GOOGLETRANSLATE(B1888,""id"",""en"")"),"['App', 'Ngeselin', 'Login', 'Telkomsel', 'GMN', 'Dri', 'Morning', 'Sampe', 'Afternoon', 'Jga', 'Change', 'Card']")</f>
        <v>['App', 'Ngeselin', 'Login', 'Telkomsel', 'GMN', 'Dri', 'Morning', 'Sampe', 'Afternoon', 'Jga', 'Change', 'Card']</v>
      </c>
      <c r="D1888" s="3">
        <v>1.0</v>
      </c>
    </row>
    <row r="1889" ht="15.75" customHeight="1">
      <c r="A1889" s="1">
        <v>1887.0</v>
      </c>
      <c r="B1889" s="3" t="s">
        <v>1890</v>
      </c>
      <c r="C1889" s="3" t="str">
        <f>IFERROR(__xludf.DUMMYFUNCTION("GOOGLETRANSLATE(B1889,""id"",""en"")"),"['Telkomsel', 'UDH', 'MOVER', 'USE', 'Telkomsel', 'Disappointed', 'Skrg', 'Disappointed', 'Really', 'Karna', 'Signal', 'Low', ' really ',' package ',' data ',' use ',' please ',' help ',' honest ',' difficult ',' signal ',' weak ',' difficult ',' use ',' "&amp;"package ' , 'data', 'tetep', 'signal', 'improved', 'please', 'help', 'comfortable', 'use', 'Telkomsel']")</f>
        <v>['Telkomsel', 'UDH', 'MOVER', 'USE', 'Telkomsel', 'Disappointed', 'Skrg', 'Disappointed', 'Really', 'Karna', 'Signal', 'Low', ' really ',' package ',' data ',' use ',' please ',' help ',' honest ',' difficult ',' signal ',' weak ',' difficult ',' use ',' package ' , 'data', 'tetep', 'signal', 'improved', 'please', 'help', 'comfortable', 'use', 'Telkomsel']</v>
      </c>
      <c r="D1889" s="3">
        <v>2.0</v>
      </c>
    </row>
    <row r="1890" ht="15.75" customHeight="1">
      <c r="A1890" s="1">
        <v>1888.0</v>
      </c>
      <c r="B1890" s="3" t="s">
        <v>1891</v>
      </c>
      <c r="C1890" s="3" t="str">
        <f>IFERROR(__xludf.DUMMYFUNCTION("GOOGLETRANSLATE(B1890,""id"",""en"")"),"['signal', 'slow', 'forgiveness',' towards', 'night', 'territory', 'binjai', 'sumatera', 'north', 'quota', 'GB', 'please', ' Telkomsel ',' Benahin ',' complain ',' Condition ',' Network ',' Tsel ']")</f>
        <v>['signal', 'slow', 'forgiveness',' towards', 'night', 'territory', 'binjai', 'sumatera', 'north', 'quota', 'GB', 'please', ' Telkomsel ',' Benahin ',' complain ',' Condition ',' Network ',' Tsel ']</v>
      </c>
      <c r="D1890" s="3">
        <v>1.0</v>
      </c>
    </row>
    <row r="1891" ht="15.75" customHeight="1">
      <c r="A1891" s="1">
        <v>1889.0</v>
      </c>
      <c r="B1891" s="3" t="s">
        <v>1892</v>
      </c>
      <c r="C1891" s="3" t="str">
        <f>IFERROR(__xludf.DUMMYFUNCTION("GOOGLETRANSLATE(B1891,""id"",""en"")"),"['Most', 'error', 'enter', 'difficult', 'right', 'number', 'right', 'dapa', 'link', 'sms',' right ',' open ',' Boro ',' enter ',' spend ',' pulse ']")</f>
        <v>['Most', 'error', 'enter', 'difficult', 'right', 'number', 'right', 'dapa', 'link', 'sms',' right ',' open ',' Boro ',' enter ',' spend ',' pulse ']</v>
      </c>
      <c r="D1891" s="3">
        <v>1.0</v>
      </c>
    </row>
    <row r="1892" ht="15.75" customHeight="1">
      <c r="A1892" s="1">
        <v>1890.0</v>
      </c>
      <c r="B1892" s="3" t="s">
        <v>1893</v>
      </c>
      <c r="C1892" s="3" t="str">
        <f>IFERROR(__xludf.DUMMYFUNCTION("GOOGLETRANSLATE(B1892,""id"",""en"")"),"['liar', 'NGK', 'Honest', 'promo', 'buy', 'NGK', 'person', 'answer', 'taille', 'ngk', 'according to', 'stupid', ' Please ',' work ',' Search ',' Debt ',' World ',' Bro ',' Bercik ',' Package ',' Offers', '']")</f>
        <v>['liar', 'NGK', 'Honest', 'promo', 'buy', 'NGK', 'person', 'answer', 'taille', 'ngk', 'according to', 'stupid', ' Please ',' work ',' Search ',' Debt ',' World ',' Bro ',' Bercik ',' Package ',' Offers', '']</v>
      </c>
      <c r="D1892" s="3">
        <v>1.0</v>
      </c>
    </row>
    <row r="1893" ht="15.75" customHeight="1">
      <c r="A1893" s="1">
        <v>1891.0</v>
      </c>
      <c r="B1893" s="3" t="s">
        <v>1894</v>
      </c>
      <c r="C1893" s="3" t="str">
        <f>IFERROR(__xludf.DUMMYFUNCTION("GOOGLETRANSLATE(B1893,""id"",""en"")"),"['Open', 'min', 'buy', 'package', 'data', 'service', 'Telkomsel', 'problematic', 'Please', 'help', 'min']")</f>
        <v>['Open', 'min', 'buy', 'package', 'data', 'service', 'Telkomsel', 'problematic', 'Please', 'help', 'min']</v>
      </c>
      <c r="D1893" s="3">
        <v>2.0</v>
      </c>
    </row>
    <row r="1894" ht="15.75" customHeight="1">
      <c r="A1894" s="1">
        <v>1892.0</v>
      </c>
      <c r="B1894" s="3" t="s">
        <v>1895</v>
      </c>
      <c r="C1894" s="3" t="str">
        <f>IFERROR(__xludf.DUMMYFUNCTION("GOOGLETRANSLATE(B1894,""id"",""en"")"),"['Dismat', 'head', 'dev', 'apps',' application ',' provider ',' telecommunications', 'failed', 'load', 'appear', 'display', 'information', ' Try ',' Provider ',' Smartphone ',' Healthy ',' Daya ',' ']")</f>
        <v>['Dismat', 'head', 'dev', 'apps',' application ',' provider ',' telecommunications', 'failed', 'load', 'appear', 'display', 'information', ' Try ',' Provider ',' Smartphone ',' Healthy ',' Daya ',' ']</v>
      </c>
      <c r="D1894" s="3">
        <v>1.0</v>
      </c>
    </row>
    <row r="1895" ht="15.75" customHeight="1">
      <c r="A1895" s="1">
        <v>1893.0</v>
      </c>
      <c r="B1895" s="3" t="s">
        <v>1896</v>
      </c>
      <c r="C1895" s="3" t="str">
        <f>IFERROR(__xludf.DUMMYFUNCTION("GOOGLETRANSLATE(B1895,""id"",""en"")"),"['The application', 'ngak', 'login', 'yesterday', 'already', 'login', 'safe', 'now', 'buy', 'package', 'right', 'open', ' the application ',' ngak ',' login ',' please ',' donk ',' telkomsel ',' how ',' solution ']")</f>
        <v>['The application', 'ngak', 'login', 'yesterday', 'already', 'login', 'safe', 'now', 'buy', 'package', 'right', 'open', ' the application ',' ngak ',' login ',' please ',' donk ',' telkomsel ',' how ',' solution ']</v>
      </c>
      <c r="D1895" s="3">
        <v>3.0</v>
      </c>
    </row>
    <row r="1896" ht="15.75" customHeight="1">
      <c r="A1896" s="1">
        <v>1894.0</v>
      </c>
      <c r="B1896" s="3" t="s">
        <v>1897</v>
      </c>
      <c r="C1896" s="3" t="str">
        <f>IFERROR(__xludf.DUMMYFUNCTION("GOOGLETRANSLATE(B1896,""id"",""en"")"),"['Confirmation', 'Twitter', 'Download', 'Review', 'User', 'HandPhone', 'Min', 'Social', 'Media', 'Twitter', 'Confirm', 'Twitter', ' Voice ',' Listen ',' Please ',' Persulit ']")</f>
        <v>['Confirmation', 'Twitter', 'Download', 'Review', 'User', 'HandPhone', 'Min', 'Social', 'Media', 'Twitter', 'Confirm', 'Twitter', ' Voice ',' Listen ',' Please ',' Persulit ']</v>
      </c>
      <c r="D1896" s="3">
        <v>1.0</v>
      </c>
    </row>
    <row r="1897" ht="15.75" customHeight="1">
      <c r="A1897" s="1">
        <v>1895.0</v>
      </c>
      <c r="B1897" s="3" t="s">
        <v>1898</v>
      </c>
      <c r="C1897" s="3" t="str">
        <f>IFERROR(__xludf.DUMMYFUNCTION("GOOGLETRANSLATE(B1897,""id"",""en"")"),"['Please', 'Love', 'Features',' Option ',' Points', 'Redeem', 'Ticket', 'Lottery', 'Points',' Ingen ',' Tuker ',' Points', ' Tickets', 'Lottery', 'Ung', 'click']")</f>
        <v>['Please', 'Love', 'Features',' Option ',' Points', 'Redeem', 'Ticket', 'Lottery', 'Points',' Ingen ',' Tuker ',' Points', ' Tickets', 'Lottery', 'Ung', 'click']</v>
      </c>
      <c r="D1897" s="3">
        <v>1.0</v>
      </c>
    </row>
    <row r="1898" ht="15.75" customHeight="1">
      <c r="A1898" s="1">
        <v>1896.0</v>
      </c>
      <c r="B1898" s="3" t="s">
        <v>1899</v>
      </c>
      <c r="C1898" s="3" t="str">
        <f>IFERROR(__xludf.DUMMYFUNCTION("GOOGLETRANSLATE(B1898,""id"",""en"")"),"['application', 'bad', 'feeling', 'quota', 'internet', 'wasteful', 'Naturally', 'yesterday', 'user', 'Naturally', 'biodtu', 'use', ' WiFi ']")</f>
        <v>['application', 'bad', 'feeling', 'quota', 'internet', 'wasteful', 'Naturally', 'yesterday', 'user', 'Naturally', 'biodtu', 'use', ' WiFi ']</v>
      </c>
      <c r="D1898" s="3">
        <v>1.0</v>
      </c>
    </row>
    <row r="1899" ht="15.75" customHeight="1">
      <c r="A1899" s="1">
        <v>1897.0</v>
      </c>
      <c r="B1899" s="3" t="s">
        <v>1900</v>
      </c>
      <c r="C1899" s="3" t="str">
        <f>IFERROR(__xludf.DUMMYFUNCTION("GOOGLETRANSLATE(B1899,""id"",""en"")"),"['emang', 'application', 'update', 'updated', 'login', 'Come', 'Telkomsel', 'BUMN', 'telecommunications',' application ',' full ',' bug ',' Gini ']")</f>
        <v>['emang', 'application', 'update', 'updated', 'login', 'Come', 'Telkomsel', 'BUMN', 'telecommunications',' application ',' full ',' bug ',' Gini ']</v>
      </c>
      <c r="D1899" s="3">
        <v>1.0</v>
      </c>
    </row>
    <row r="1900" ht="15.75" customHeight="1">
      <c r="A1900" s="1">
        <v>1898.0</v>
      </c>
      <c r="B1900" s="3" t="s">
        <v>1901</v>
      </c>
      <c r="C1900" s="3" t="str">
        <f>IFERROR(__xludf.DUMMYFUNCTION("GOOGLETRANSLATE(B1900,""id"",""en"")"),"['Vero', 'Application', 'Update', 'Claim', 'Bonus',' Quota ',' Daily ',' Check ',' Update ',' Msh ',' Current ',' Take ',' bonus', 'quota', 'update', 'severe', 'bsa', 'take', 'bonus',' jdi ',' fix ',' program ',' daily ',' check ',' claim ' , 'please', 'f"&amp;"ix', 'application', '']")</f>
        <v>['Vero', 'Application', 'Update', 'Claim', 'Bonus',' Quota ',' Daily ',' Check ',' Update ',' Msh ',' Current ',' Take ',' bonus', 'quota', 'update', 'severe', 'bsa', 'take', 'bonus',' jdi ',' fix ',' program ',' daily ',' check ',' claim ' , 'please', 'fix', 'application', '']</v>
      </c>
      <c r="D1900" s="3">
        <v>1.0</v>
      </c>
    </row>
    <row r="1901" ht="15.75" customHeight="1">
      <c r="A1901" s="1">
        <v>1899.0</v>
      </c>
      <c r="B1901" s="3" t="s">
        <v>1902</v>
      </c>
      <c r="C1901" s="3" t="str">
        <f>IFERROR(__xludf.DUMMYFUNCTION("GOOGLETRANSLATE(B1901,""id"",""en"")"),"['Application', 'What', 'Lod', 'Enter', 'Login', 'Use', 'Number', 'Telkom', 'Use', 'Account', 'Send', 'Notof', ' SMS ',' expiration ',' Mulu ',' UDH ',' Install ',' application ']")</f>
        <v>['Application', 'What', 'Lod', 'Enter', 'Login', 'Use', 'Number', 'Telkom', 'Use', 'Account', 'Send', 'Notof', ' SMS ',' expiration ',' Mulu ',' UDH ',' Install ',' application ']</v>
      </c>
      <c r="D1901" s="3">
        <v>1.0</v>
      </c>
    </row>
    <row r="1902" ht="15.75" customHeight="1">
      <c r="A1902" s="1">
        <v>1900.0</v>
      </c>
      <c r="B1902" s="3" t="s">
        <v>1903</v>
      </c>
      <c r="C1902" s="3" t="str">
        <f>IFERROR(__xludf.DUMMYFUNCTION("GOOGLETRANSLATE(B1902,""id"",""en"")"),"['Telkomsel', 'Ancur', 'Region', 'Bintan', 'Severe', 'Gini', 'Change', 'Card', 'Smnjak', 'Out', 'Genesis',' Fire ',' The building ',' Threat ',' Network ',' Tmpat ',' Please ',' Fix ',' Sayankesel ',' Karna ',' Buy ',' Package ',' Expensive ',' Dibpake ',"&amp;"' Senagat ' , 'satisfying', 'Costumeer', '']")</f>
        <v>['Telkomsel', 'Ancur', 'Region', 'Bintan', 'Severe', 'Gini', 'Change', 'Card', 'Smnjak', 'Out', 'Genesis',' Fire ',' The building ',' Threat ',' Network ',' Tmpat ',' Please ',' Fix ',' Sayankesel ',' Karna ',' Buy ',' Package ',' Expensive ',' Dibpake ',' Senagat ' , 'satisfying', 'Costumeer', '']</v>
      </c>
      <c r="D1902" s="3">
        <v>1.0</v>
      </c>
    </row>
    <row r="1903" ht="15.75" customHeight="1">
      <c r="A1903" s="1">
        <v>1901.0</v>
      </c>
      <c r="B1903" s="3" t="s">
        <v>1904</v>
      </c>
      <c r="C1903" s="3" t="str">
        <f>IFERROR(__xludf.DUMMYFUNCTION("GOOGLETRANSLATE(B1903,""id"",""en"")"),"['', 'Telkomsel', 'enter', 'account', 'gabisaaa', 'log', 'something', 'Went', 'Wrong', 'already', 'update', 'network', 'safe ',' already ',' gini ',' gini ',' mulu ',' hopefully ',' fast ',' resolved ',' aga ',' gedeg ',' cman ',' what ',' ']")</f>
        <v>['', 'Telkomsel', 'enter', 'account', 'gabisaaa', 'log', 'something', 'Went', 'Wrong', 'already', 'update', 'network', 'safe ',' already ',' gini ',' gini ',' mulu ',' hopefully ',' fast ',' resolved ',' aga ',' gedeg ',' cman ',' what ',' ']</v>
      </c>
      <c r="D1903" s="3">
        <v>4.0</v>
      </c>
    </row>
    <row r="1904" ht="15.75" customHeight="1">
      <c r="A1904" s="1">
        <v>1902.0</v>
      </c>
      <c r="B1904" s="3" t="s">
        <v>1905</v>
      </c>
      <c r="C1904" s="3" t="str">
        <f>IFERROR(__xludf.DUMMYFUNCTION("GOOGLETRANSLATE(B1904,""id"",""en"")"),"['solution', 'buy', 'quota', 'gamemax', 'quota', 'condition', 'written', 'car', 'LEGENDS', 'Free', 'Fire', 'pub', ' mobile ',' right ',' play ',' wrong ',' game ',' quota ',' GB ',' solution ',' ']")</f>
        <v>['solution', 'buy', 'quota', 'gamemax', 'quota', 'condition', 'written', 'car', 'LEGENDS', 'Free', 'Fire', 'pub', ' mobile ',' right ',' play ',' wrong ',' game ',' quota ',' GB ',' solution ',' ']</v>
      </c>
      <c r="D1904" s="3">
        <v>3.0</v>
      </c>
    </row>
    <row r="1905" ht="15.75" customHeight="1">
      <c r="A1905" s="1">
        <v>1903.0</v>
      </c>
      <c r="B1905" s="3" t="s">
        <v>1906</v>
      </c>
      <c r="C1905" s="3" t="str">
        <f>IFERROR(__xludf.DUMMYFUNCTION("GOOGLETRANSLATE(B1905,""id"",""en"")"),"['', 'The meaning', 'how', 'updated', 'login', 'team', 'Developer', 'told', 'update', 'padaha', 'update', 'tracet', 'application ',' Ngebug ',' launch ',' ']")</f>
        <v>['', 'The meaning', 'how', 'updated', 'login', 'team', 'Developer', 'told', 'update', 'padaha', 'update', 'tracet', 'application ',' Ngebug ',' launch ',' ']</v>
      </c>
      <c r="D1905" s="3">
        <v>1.0</v>
      </c>
    </row>
    <row r="1906" ht="15.75" customHeight="1">
      <c r="A1906" s="1">
        <v>1904.0</v>
      </c>
      <c r="B1906" s="3" t="s">
        <v>1907</v>
      </c>
      <c r="C1906" s="3" t="str">
        <f>IFERROR(__xludf.DUMMYFUNCTION("GOOGLETRANSLATE(B1906,""id"",""en"")"),"['Please', 'Increase', 'APL', 'Credit', 'Suck', 'Package', 'Internet', 'Confused', 'Run', 'Where', 'Credit', 'Call', ' SMS ',' strange ',' Yesterday ',' Take ',' Bonus', 'Daily', 'Check', 'GB', 'Confirmed', 'Enter', 'cellphone', 'Try', 'Telkomsel' , 'resp"&amp;"onding', 'complaints', 'please', 'love', 'solution', 'explanation', 'border', 'blank']")</f>
        <v>['Please', 'Increase', 'APL', 'Credit', 'Suck', 'Package', 'Internet', 'Confused', 'Run', 'Where', 'Credit', 'Call', ' SMS ',' strange ',' Yesterday ',' Take ',' Bonus', 'Daily', 'Check', 'GB', 'Confirmed', 'Enter', 'cellphone', 'Try', 'Telkomsel' , 'responding', 'complaints', 'please', 'love', 'solution', 'explanation', 'border', 'blank']</v>
      </c>
      <c r="D1906" s="3">
        <v>1.0</v>
      </c>
    </row>
    <row r="1907" ht="15.75" customHeight="1">
      <c r="A1907" s="1">
        <v>1905.0</v>
      </c>
      <c r="B1907" s="3" t="s">
        <v>1908</v>
      </c>
      <c r="C1907" s="3" t="str">
        <f>IFERROR(__xludf.DUMMYFUNCTION("GOOGLETRANSLATE(B1907,""id"",""en"")"),"['application', 'cell', 'logo', 'really', 'disappointing', 'AGT', 'Log', 'smooth', 'Jaya', 'Change', 'logo', 'what', ' Already ',' signal ',' stingy ',' pakrtan ',' expensive ',' open ',' application ',' error ',' kersips', '']")</f>
        <v>['application', 'cell', 'logo', 'really', 'disappointing', 'AGT', 'Log', 'smooth', 'Jaya', 'Change', 'logo', 'what', ' Already ',' signal ',' stingy ',' pakrtan ',' expensive ',' open ',' application ',' error ',' kersips', '']</v>
      </c>
      <c r="D1907" s="3">
        <v>1.0</v>
      </c>
    </row>
    <row r="1908" ht="15.75" customHeight="1">
      <c r="A1908" s="1">
        <v>1906.0</v>
      </c>
      <c r="B1908" s="3" t="s">
        <v>1909</v>
      </c>
      <c r="C1908" s="3" t="str">
        <f>IFERROR(__xludf.DUMMYFUNCTION("GOOGLETRANSLATE(B1908,""id"",""en"")"),"['representing', 'name', 'user', 'Telkomsel', 'begging', 'Telkomsel', 'consistent', 'convenience', 'network', 'area', 'service', 'difficult', ' Access', 'Hang', 'Present', 'MyTelkomsel', 'Her Day', 'Theme', 'Spirit', 'Different', 'Talking', 'Update', 'App"&amp;"lication', 'Difficult', 'Accessible' , 'Logo', 'Loading', 'Trludu', 'access', 'security', 'late', 'send', 'SMS', 'activation', 'Telkomsel', ""]")</f>
        <v>['representing', 'name', 'user', 'Telkomsel', 'begging', 'Telkomsel', 'consistent', 'convenience', 'network', 'area', 'service', 'difficult', ' Access', 'Hang', 'Present', 'MyTelkomsel', 'Her Day', 'Theme', 'Spirit', 'Different', 'Talking', 'Update', 'Application', 'Difficult', 'Accessible' , 'Logo', 'Loading', 'Trludu', 'access', 'security', 'late', 'send', 'SMS', 'activation', 'Telkomsel', "]</v>
      </c>
      <c r="D1908" s="3">
        <v>5.0</v>
      </c>
    </row>
    <row r="1909" ht="15.75" customHeight="1">
      <c r="A1909" s="1">
        <v>1907.0</v>
      </c>
      <c r="B1909" s="3" t="s">
        <v>1910</v>
      </c>
      <c r="C1909" s="3" t="str">
        <f>IFERROR(__xludf.DUMMYFUNCTION("GOOGLETRANSLATE(B1909,""id"",""en"")"),"['enter', 'application', 'error', 'network', 'okay', 'contents',' pulse ',' credit ',' enter ',' sent ',' message ',' contents', ' pulse ',' extend ',' active ',' server ',' Telkomsel ',' here ',' ugly ',' service ']")</f>
        <v>['enter', 'application', 'error', 'network', 'okay', 'contents',' pulse ',' credit ',' enter ',' sent ',' message ',' contents', ' pulse ',' extend ',' active ',' server ',' Telkomsel ',' here ',' ugly ',' service ']</v>
      </c>
      <c r="D1909" s="3">
        <v>1.0</v>
      </c>
    </row>
    <row r="1910" ht="15.75" customHeight="1">
      <c r="A1910" s="1">
        <v>1908.0</v>
      </c>
      <c r="B1910" s="3" t="s">
        <v>1911</v>
      </c>
      <c r="C1910" s="3" t="str">
        <f>IFERROR(__xludf.DUMMYFUNCTION("GOOGLETRANSLATE(B1910,""id"",""en"")"),"['Open', 'APL', 'Difficult', 'Caskek', 'Pulse', 'Load', 'Finish', 'Advertising', 'Provider', 'Telecommunications',' Sell ',' Feature ',' burdensome ',' ']")</f>
        <v>['Open', 'APL', 'Difficult', 'Caskek', 'Pulse', 'Load', 'Finish', 'Advertising', 'Provider', 'Telecommunications',' Sell ',' Feature ',' burdensome ',' ']</v>
      </c>
      <c r="D1910" s="3">
        <v>2.0</v>
      </c>
    </row>
    <row r="1911" ht="15.75" customHeight="1">
      <c r="A1911" s="1">
        <v>1909.0</v>
      </c>
      <c r="B1911" s="3" t="s">
        <v>1912</v>
      </c>
      <c r="C1911" s="3" t="str">
        <f>IFERROR(__xludf.DUMMYFUNCTION("GOOGLETRANSLATE(B1911,""id"",""en"")"),"['Uda', 'a week', 'Try', 'Belik', 'Package', 'GB', 'TPI', 'Process',' Bgus', 'MMG', 'Disruption', 'GMNA', ' signs', 'black', 'closed', 'mna', 'package', 'pakek', 'kek', 'gni', 'hbis',' bnyak ',' eat ',' pulse ',' fill ' , 'Kirai', 'Uda', 'TPI', 'JGA', 'SA"&amp;"MPE', 'SKRG', 'Please', 'Fix', 'Mna', 'Package', 'Pakek', 'Disorders',' Close ',' disappointing ',' customer ']")</f>
        <v>['Uda', 'a week', 'Try', 'Belik', 'Package', 'GB', 'TPI', 'Process',' Bgus', 'MMG', 'Disruption', 'GMNA', ' signs', 'black', 'closed', 'mna', 'package', 'pakek', 'kek', 'gni', 'hbis',' bnyak ',' eat ',' pulse ',' fill ' , 'Kirai', 'Uda', 'TPI', 'JGA', 'SAMPE', 'SKRG', 'Please', 'Fix', 'Mna', 'Package', 'Pakek', 'Disorders',' Close ',' disappointing ',' customer ']</v>
      </c>
      <c r="D1911" s="3">
        <v>1.0</v>
      </c>
    </row>
    <row r="1912" ht="15.75" customHeight="1">
      <c r="A1912" s="1">
        <v>1910.0</v>
      </c>
      <c r="B1912" s="3" t="s">
        <v>1913</v>
      </c>
      <c r="C1912" s="3" t="str">
        <f>IFERROR(__xludf.DUMMYFUNCTION("GOOGLETRANSLATE(B1912,""id"",""en"")"),"['Please', 'Telkomsel', 'ugly', 'times',' service ',' network ',' cave ',' loyal ',' card ',' imagine ',' taekk ',' service ',' network ',' area ',' Bogor ',' Ciomas', 'check', '']")</f>
        <v>['Please', 'Telkomsel', 'ugly', 'times',' service ',' network ',' cave ',' loyal ',' card ',' imagine ',' taekk ',' service ',' network ',' area ',' Bogor ',' Ciomas', 'check', '']</v>
      </c>
      <c r="D1912" s="3">
        <v>1.0</v>
      </c>
    </row>
    <row r="1913" ht="15.75" customHeight="1">
      <c r="A1913" s="1">
        <v>1911.0</v>
      </c>
      <c r="B1913" s="3" t="s">
        <v>1914</v>
      </c>
      <c r="C1913" s="3" t="str">
        <f>IFERROR(__xludf.DUMMYFUNCTION("GOOGLETRANSLATE(B1913,""id"",""en"")"),"['Dear', 'Developer', 'Disappointed', 'Very', 'Update', 'Times',' Application ',' Network ',' Telkomsel ',' Buy ',' Packet ',' Through ',' hotspots', 'operator', 'enter', 'the application', 'now', 'slow', 'forgiveness',' try ',' network ',' telkom ',' buy"&amp;" ',' package ',' pulses' , 'Direct', 'sucked', 'use it', 'for a while', 'Please', 'noticed', 'Telkomsel', 'satisfaction', 'customer', '']")</f>
        <v>['Dear', 'Developer', 'Disappointed', 'Very', 'Update', 'Times',' Application ',' Network ',' Telkomsel ',' Buy ',' Packet ',' Through ',' hotspots', 'operator', 'enter', 'the application', 'now', 'slow', 'forgiveness',' try ',' network ',' telkom ',' buy ',' package ',' pulses' , 'Direct', 'sucked', 'use it', 'for a while', 'Please', 'noticed', 'Telkomsel', 'satisfaction', 'customer', '']</v>
      </c>
      <c r="D1913" s="3">
        <v>1.0</v>
      </c>
    </row>
    <row r="1914" ht="15.75" customHeight="1">
      <c r="A1914" s="1">
        <v>1912.0</v>
      </c>
      <c r="B1914" s="3" t="s">
        <v>1915</v>
      </c>
      <c r="C1914" s="3" t="str">
        <f>IFERROR(__xludf.DUMMYFUNCTION("GOOGLETRANSLATE(B1914,""id"",""en"")"),"['YTH', 'Telkomsel', 'Network', 'Setabil', 'lag', 'Gunannya', 'buy', 'package', 'expensive', 'expensive', 'signal', 'luck', ' Loss', 'Please', 'Explanation', 'Fast', 'Fix', 'Learning', '']")</f>
        <v>['YTH', 'Telkomsel', 'Network', 'Setabil', 'lag', 'Gunannya', 'buy', 'package', 'expensive', 'expensive', 'signal', 'luck', ' Loss', 'Please', 'Explanation', 'Fast', 'Fix', 'Learning', '']</v>
      </c>
      <c r="D1914" s="3">
        <v>1.0</v>
      </c>
    </row>
    <row r="1915" ht="15.75" customHeight="1">
      <c r="A1915" s="1">
        <v>1913.0</v>
      </c>
      <c r="B1915" s="3" t="s">
        <v>1916</v>
      </c>
      <c r="C1915" s="3" t="str">
        <f>IFERROR(__xludf.DUMMYFUNCTION("GOOGLETRANSLATE(B1915,""id"",""en"")"),"['mandatory', 'use', 'quota', 'Telkomsel', 'open', 'application', 'quota', 'run out', 'jdi', 'forced', 'use', 'pulse', ' Open ',' application ',' buy ',' quota ',' tetring ',' card ',' open ',' application ',' error ']")</f>
        <v>['mandatory', 'use', 'quota', 'Telkomsel', 'open', 'application', 'quota', 'run out', 'jdi', 'forced', 'use', 'pulse', ' Open ',' application ',' buy ',' quota ',' tetring ',' card ',' open ',' application ',' error ']</v>
      </c>
      <c r="D1915" s="3">
        <v>1.0</v>
      </c>
    </row>
    <row r="1916" ht="15.75" customHeight="1">
      <c r="A1916" s="1">
        <v>1914.0</v>
      </c>
      <c r="B1916" s="3" t="s">
        <v>1917</v>
      </c>
      <c r="C1916" s="3" t="str">
        <f>IFERROR(__xludf.DUMMYFUNCTION("GOOGLETRANSLATE(B1916,""id"",""en"")"),"['Update', 'feature', 'automatic', 'closed', 'quota', 'buy', 'package', 'difficult']")</f>
        <v>['Update', 'feature', 'automatic', 'closed', 'quota', 'buy', 'package', 'difficult']</v>
      </c>
      <c r="D1916" s="3">
        <v>5.0</v>
      </c>
    </row>
    <row r="1917" ht="15.75" customHeight="1">
      <c r="A1917" s="1">
        <v>1915.0</v>
      </c>
      <c r="B1917" s="3" t="s">
        <v>1918</v>
      </c>
      <c r="C1917" s="3" t="str">
        <f>IFERROR(__xludf.DUMMYFUNCTION("GOOGLETRANSLATE(B1917,""id"",""en"")"),"['Network', 'Method', 'Loading', 'Loading', 'Hadehhh', 'Telkomsel', 'Telkomsel', 'Already', 'Defended', 'Belain', 'TTP', 'Telkomsel', ' Expensive ',' TTP ',' Loading ',' Wonder ', ""]")</f>
        <v>['Network', 'Method', 'Loading', 'Loading', 'Hadehhh', 'Telkomsel', 'Telkomsel', 'Already', 'Defended', 'Belain', 'TTP', 'Telkomsel', ' Expensive ',' TTP ',' Loading ',' Wonder ', "]</v>
      </c>
      <c r="D1917" s="3">
        <v>1.0</v>
      </c>
    </row>
    <row r="1918" ht="15.75" customHeight="1">
      <c r="A1918" s="1">
        <v>1916.0</v>
      </c>
      <c r="B1918" s="3" t="s">
        <v>1919</v>
      </c>
      <c r="C1918" s="3" t="str">
        <f>IFERROR(__xludf.DUMMYFUNCTION("GOOGLETRANSLATE(B1918,""id"",""en"")"),"['Price', 'Package', 'Customer', 'Based', 'App', 'Telkomsel', 'Friend', 'BNYK', 'Choice', 'Package', 'Package', 'Sakti', ' App ',' ']")</f>
        <v>['Price', 'Package', 'Customer', 'Based', 'App', 'Telkomsel', 'Friend', 'BNYK', 'Choice', 'Package', 'Package', 'Sakti', ' App ',' ']</v>
      </c>
      <c r="D1918" s="3">
        <v>3.0</v>
      </c>
    </row>
    <row r="1919" ht="15.75" customHeight="1">
      <c r="A1919" s="1">
        <v>1917.0</v>
      </c>
      <c r="B1919" s="3" t="s">
        <v>1920</v>
      </c>
      <c r="C1919" s="3" t="str">
        <f>IFERROR(__xludf.DUMMYFUNCTION("GOOGLETRANSLATE(B1919,""id"",""en"")"),"['Woyy', 'Telkomsel', 'please', 'repaired', 'application', 'signal', 'good', 'muter', 'muter', 'surprised', 'disorder', 'severe', ' Speed ​​',' internet ',' good ',' right ',' open ',' application ',' muter ',' muter ',' description ',' network ',' proble"&amp;"m ',' mah ',' good ' , 'Network', 'please', 'fix', 'price', 'quota', 'cheap', 'little', 'napa', 'already', 'quota', 'expensive', 'mah', ' SAY ',' Fix ',' Performance ',' Okay ',' ']")</f>
        <v>['Woyy', 'Telkomsel', 'please', 'repaired', 'application', 'signal', 'good', 'muter', 'muter', 'surprised', 'disorder', 'severe', ' Speed ​​',' internet ',' good ',' right ',' open ',' application ',' muter ',' muter ',' description ',' network ',' problem ',' mah ',' good ' , 'Network', 'please', 'fix', 'price', 'quota', 'cheap', 'little', 'napa', 'already', 'quota', 'expensive', 'mah', ' SAY ',' Fix ',' Performance ',' Okay ',' ']</v>
      </c>
      <c r="D1919" s="3">
        <v>1.0</v>
      </c>
    </row>
    <row r="1920" ht="15.75" customHeight="1">
      <c r="A1920" s="1">
        <v>1918.0</v>
      </c>
      <c r="B1920" s="3" t="s">
        <v>1921</v>
      </c>
      <c r="C1920" s="3" t="str">
        <f>IFERROR(__xludf.DUMMYFUNCTION("GOOGLETRANSLATE(B1920,""id"",""en"")"),"['Your signal', 'rotten', 'package', 'expensive', 'signal', 'dependable', 'stay', 'area', 'urban', 'signal', 'becus',' signal ',' Customize ',' Price ',' Paketanmu ',' Gataau ',' Shy ',' ']")</f>
        <v>['Your signal', 'rotten', 'package', 'expensive', 'signal', 'dependable', 'stay', 'area', 'urban', 'signal', 'becus',' signal ',' Customize ',' Price ',' Paketanmu ',' Gataau ',' Shy ',' ']</v>
      </c>
      <c r="D1920" s="3">
        <v>1.0</v>
      </c>
    </row>
    <row r="1921" ht="15.75" customHeight="1">
      <c r="A1921" s="1">
        <v>1919.0</v>
      </c>
      <c r="B1921" s="3" t="s">
        <v>1922</v>
      </c>
      <c r="C1921" s="3" t="str">
        <f>IFERROR(__xludf.DUMMYFUNCTION("GOOGLETRANSLATE(B1921,""id"",""en"")"),"['repeated', 'times',' change ',' daybrying ',' buy ',' offer ',' package ',' promo ',' cheerful ',' week ',' managed ',' Veronica ',' Serata ',' Delete ',' Application ',' Donwlot ',' reset ',' SUCCESS ',' Help ',' Help ',' Process', 'Thank you']")</f>
        <v>['repeated', 'times',' change ',' daybrying ',' buy ',' offer ',' package ',' promo ',' cheerful ',' week ',' managed ',' Veronica ',' Serata ',' Delete ',' Application ',' Donwlot ',' reset ',' SUCCESS ',' Help ',' Help ',' Process', 'Thank you']</v>
      </c>
      <c r="D1921" s="3">
        <v>1.0</v>
      </c>
    </row>
    <row r="1922" ht="15.75" customHeight="1">
      <c r="A1922" s="1">
        <v>1920.0</v>
      </c>
      <c r="B1922" s="3" t="s">
        <v>1923</v>
      </c>
      <c r="C1922" s="3" t="str">
        <f>IFERROR(__xludf.DUMMYFUNCTION("GOOGLETRANSLATE(B1922,""id"",""en"")"),"['Mao', 'activation', 'Package', 'Open', 'Application', 'Errrooorrrr', 'Teruusss',' Restart ',' Many ',' Times', 'cellphone', 'Install', ' re-reset ',' ttp ',' go ',' ngadu ',' twitter ',' igninant ',' solution ',' haaaahh ',' talk ',' rough ',' star ',' "&amp;"zero ', ""]")</f>
        <v>['Mao', 'activation', 'Package', 'Open', 'Application', 'Errrooorrrr', 'Teruusss',' Restart ',' Many ',' Times', 'cellphone', 'Install', ' re-reset ',' ttp ',' go ',' ngadu ',' twitter ',' igninant ',' solution ',' haaaahh ',' talk ',' rough ',' star ',' zero ', "]</v>
      </c>
      <c r="D1922" s="3">
        <v>1.0</v>
      </c>
    </row>
    <row r="1923" ht="15.75" customHeight="1">
      <c r="A1923" s="1">
        <v>1921.0</v>
      </c>
      <c r="B1923" s="3" t="s">
        <v>1924</v>
      </c>
      <c r="C1923" s="3" t="str">
        <f>IFERROR(__xludf.DUMMYFUNCTION("GOOGLETRANSLATE(B1923,""id"",""en"")"),"['suprise', 'Deal', 'Unlimited', 'Adin', 'Min', 'Before', 'Friday', 'APLGI', 'APPLY', 'BLN', 'LIKE', 'TLG', ' List ',' Details', 'MyTlkmsl', 'quota', 'use', 'just', 'quota', 'access',' ksh ',' lbh ',' details', ""]")</f>
        <v>['suprise', 'Deal', 'Unlimited', 'Adin', 'Min', 'Before', 'Friday', 'APLGI', 'APPLY', 'BLN', 'LIKE', 'TLG', ' List ',' Details', 'MyTlkmsl', 'quota', 'use', 'just', 'quota', 'access',' ksh ',' lbh ',' details', "]</v>
      </c>
      <c r="D1923" s="3">
        <v>3.0</v>
      </c>
    </row>
    <row r="1924" ht="15.75" customHeight="1">
      <c r="A1924" s="1">
        <v>1922.0</v>
      </c>
      <c r="B1924" s="3" t="s">
        <v>1925</v>
      </c>
      <c r="C1924" s="3" t="str">
        <f>IFERROR(__xludf.DUMMYFUNCTION("GOOGLETRANSLATE(B1924,""id"",""en"")"),"['sucked', 'credit', 'data', 'already', 'Matiin', 'sucked', 'Sampe', 'fed up', 'Telkomsel']")</f>
        <v>['sucked', 'credit', 'data', 'already', 'Matiin', 'sucked', 'Sampe', 'fed up', 'Telkomsel']</v>
      </c>
      <c r="D1924" s="3">
        <v>1.0</v>
      </c>
    </row>
    <row r="1925" ht="15.75" customHeight="1">
      <c r="A1925" s="1">
        <v>1923.0</v>
      </c>
      <c r="B1925" s="3" t="s">
        <v>1926</v>
      </c>
      <c r="C1925" s="3" t="str">
        <f>IFERROR(__xludf.DUMMYFUNCTION("GOOGLETRANSLATE(B1925,""id"",""en"")"),"['Hello', 'UDH', 'Open', 'Application', 'Telkomsel', 'Muter', 'Package', 'Application', 'Move', 'Server', 'Confused', 'Greget', ' Udh ',' Update ',' Hadeh ',' Please ',' Fix ']")</f>
        <v>['Hello', 'UDH', 'Open', 'Application', 'Telkomsel', 'Muter', 'Package', 'Application', 'Move', 'Server', 'Confused', 'Greget', ' Udh ',' Update ',' Hadeh ',' Please ',' Fix ']</v>
      </c>
      <c r="D1925" s="3">
        <v>3.0</v>
      </c>
    </row>
    <row r="1926" ht="15.75" customHeight="1">
      <c r="A1926" s="1">
        <v>1924.0</v>
      </c>
      <c r="B1926" s="3" t="s">
        <v>1927</v>
      </c>
      <c r="C1926" s="3" t="str">
        <f>IFERROR(__xludf.DUMMYFUNCTION("GOOGLETRANSLATE(B1926,""id"",""en"")"),"['Telkomsel', 'yrs',' number ',' bbrp ',' update ',' app ',' telkomsel ',' latest ',' result ',' disappointing ',' menu ',' point ',' Prizes', 'accessed', 'SLL', 'Normal', 'GraPARI', 'Wisma', 'Alia', 'solution', 'made', 'report', 'improvement', 'promised'"&amp;", 'Telkomsel' , 'Contact', 'nihil', '']")</f>
        <v>['Telkomsel', 'yrs',' number ',' bbrp ',' update ',' app ',' telkomsel ',' latest ',' result ',' disappointing ',' menu ',' point ',' Prizes', 'accessed', 'SLL', 'Normal', 'GraPARI', 'Wisma', 'Alia', 'solution', 'made', 'report', 'improvement', 'promised', 'Telkomsel' , 'Contact', 'nihil', '']</v>
      </c>
      <c r="D1926"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2022-02-26T07:16:52Z</dcterms:created>
  <dc:creator>openpyxl</dc:creator>
</cp:coreProperties>
</file>