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tjiNmRT6PH1lmbkZ4wkTvEkUQQQ=="/>
    </ext>
  </extLst>
</workbook>
</file>

<file path=xl/sharedStrings.xml><?xml version="1.0" encoding="utf-8"?>
<sst xmlns="http://schemas.openxmlformats.org/spreadsheetml/2006/main" count="5244" uniqueCount="5242">
  <si>
    <t>text_review</t>
  </si>
  <si>
    <t>text_review_english</t>
  </si>
  <si>
    <t>score</t>
  </si>
  <si>
    <t>['tolong', 'telkomsel', 'paket', 'darurat', 'mohon', 'tindak', 'lanjuti']</t>
  </si>
  <si>
    <t>['telkomsel', 'susah', 'jaringan', 'ngegame', 'kesel', 'jaringan', 'lancar', 'main', 'game', 'patah', 'perbaiki', 'jaringan', 'didaerah', 'maju', 'diperkotaan']</t>
  </si>
  <si>
    <t>['the', 'best', 'aplikasi', 'mytelkomsel', 'memudahkan', 'pengecekan', 'kuota', '']</t>
  </si>
  <si>
    <t>['nama', 'koneksi', 'jaringan', 'hancur', 'terusan', 'knpa', 'beres', 'kualitas', 'jaringan', 'profesional', 'telkomsel', 'dasar', 'lemot', 'keg', 'gini', 'seterus', 'mending', 'gua', 'tekan', 'tanda', 'titik', 'pojok', 'kanan', 'tandai', 'sbg', 'sngat', 'merugikan', 'skrg', 'koneksi', 'jaringan']</t>
  </si>
  <si>
    <t>['hidupin', 'data', 'biaya', 'transaksi', 'pemakaian', 'data', 'terpotong', 'pulsa']</t>
  </si>
  <si>
    <t>['ohh', 'provider', 'termahal', 'terbaik', 'sinyal', 'bagus', 'malam', 'wowwwww', 'kebanggaan', 'indonesia', 'mending', 'bubarin', 'yak', 'makasih', '']</t>
  </si>
  <si>
    <t>['paraahhhhhh', 'muat', 'ulang', 'sekelas', 'telkomsel', 'aplikasi', 'kek', 'gini', 'kalah', 'laen', 'wkwkwkwk']</t>
  </si>
  <si>
    <t>['dear', 'admin', 'staff', 'kasih', 'saran', 'paket', 'data', 'aktif', 'mendaftar', 'ato', 'paket', 'data', 'kuota', 'data', 'roli', 'didahulukan', 'dipakai', 'kuota', 'data', 'berlaku', 'paketnya', 'mubajir', 'trims']</t>
  </si>
  <si>
    <t>['istimewah', 'bangga', 'nomor', 'simpati', 'telkomsel']</t>
  </si>
  <si>
    <t>['telkomsel', 'telpon', 'batas', 'detik', 'banget', 'tolong', 'diperbaiki']</t>
  </si>
  <si>
    <t>['jaringan', 'soak', 'suruh', 'bayar', 'mahal', 'menyesal', 'indosat', 'ganti', 'telkomsel', 'membagongkan', 'gtu', 'respon', '']</t>
  </si>
  <si>
    <t>['sinyal', 'jelek', 'internet', 'lemot', 'pas', 'speedtest', 'jaringan', 'parah', 'daerah', 'pelosok', 'pesisir', 'pantai', 'udh', 'gitu', 'harga', 'paketannya', 'muahaaall', 'dibandingkan', 'operator', 'sebelah', 'cob', 'perbaiki', 'paketannya', 'dihilangkan', 'internet', 'cepat', 'paket', 'bla', 'bla', 'gausah', 'deh', '']</t>
  </si>
  <si>
    <t>['pilihannya', 'menyenangkan', 'menang', 'jaringan', 'dimana', 'kuy', 'tambai', 'lintah', 'darat', 'licik', 'pencuri', 'pindah', 'kawan', 'tinggalkan', '']</t>
  </si>
  <si>
    <t>['telkomsel', 'parah', 'sinyal', 'bagus', 'jelek', 'masuk', 'youtube', 'instagram', 'game', 'loading', 'gimana', 'udah', 'update', 'berubah', 'sinyal', 'tetep', 'gitu', '']</t>
  </si>
  <si>
    <t>['telkomsel', 'terbaik', 'jaringan', 'memuaskan', 'love', 'you', 'telkomsel']</t>
  </si>
  <si>
    <t>['jaringan', 'rusak', 'kuota', 'mahal', 'telkomsel', 'ajg', 'emang', 'aswwww', '']</t>
  </si>
  <si>
    <t>['bagus', 'data', 'buanyak', 'loadingnya', 'kebangetan', 'belinya', 'muahal']</t>
  </si>
  <si>
    <t>['jaringan', 'normal', 'udah', 'minggu', 'hilang', 'mulu', 'jaringan', 'parah', 'banget', 'sich', '']</t>
  </si>
  <si>
    <t>['telkomsel', 'tolong', 'perbaiki', 'jaringan', 'kawasan', 'kota', 'bukittinggi', 'jaringan', 'ngelag', 'pas', 'maen', 'game', 'tolong', 'udah', 'bayar', 'mahal', 'kualitas', 'kayak', 'provider']</t>
  </si>
  <si>
    <t>['kuota', 'unlimited', 'dibikin', 'lemot', 'nggk', 'banget']</t>
  </si>
  <si>
    <t>['kecewa', 'jaringan', 'buruk', 'paketan', 'mahal', 'mahal', 'jaringan', 'memuaskan', 'auto', 'ganti', 'provider', 'pilihan', 'minus', 'bintang', 'gua', 'kasih', 'minus', '']</t>
  </si>
  <si>
    <t>['anjeng', 'tuker', 'poin', 'paket', 'internet', 'telkomsel', '']</t>
  </si>
  <si>
    <t>['semoga', 'undian', 'telkomsel', 'poin', 'hehehe', 'aamiin', 'percaya', 'setia', 'pakai', 'telkomsel', '']</t>
  </si>
  <si>
    <t>['bicara', 'keluhan', 'capek', 'ngetiknya', 'bintang', 'menilai', 'komentar', 'tentangga', 'diperhatikan', 'indonesia', 'raya', 'batu', 'tanaman', '']</t>
  </si>
  <si>
    <t>['parah', 'internet', 'males', 'beli', 'data', 'main', 'game', 'lag', 'mulun']</t>
  </si>
  <si>
    <t>['operator', 'termahal', 'jaringan', 'payah', 'menjangkau', 'plosok', 'kalah', 'sebelah', 'kecewa', 'udah', 'maketin', 'telkomsel', 'xx', '']</t>
  </si>
  <si>
    <t>['pengguna', 'setia', 'telkomsel', 'bertahun', 'pke', 'knp', 'jelek', 'banget', 'kuota', 'msh', 'manteng', 'dipake', 'aplikasi', 'jelek', 'banget', 'sumpah', 'mohon', 'diperbaiki', 'min', '']</t>
  </si>
  <si>
    <t>['jaringan', 'internet', 'buruk', 'wilayah', 'cengkareng', 'jakarta', 'barat', 'mohon', 'perhatiannya', 'pegawai', 'telkomsel', 'tersayang', 'terima', 'kasih', 'sayang']</t>
  </si>
  <si>
    <t>['pelayanan', 'sangatt', 'burukk', 'pulsa', 'terbuang', 'sia', 'disedot', 'terussss', 'capek', 'telkom', 'gini', 'korupsi', 'pulsa', 'dipungut', 'sisa', 'diisi', 'kuota', 'dahlahhh', 'ganti', 'provider', 'ajaaaaa', '']</t>
  </si>
  <si>
    <t>['membeli', 'paket', 'promo', 'masuk', 'jam', 'sumpah', 'pengguna', 'setia', 'telkomsel', 'pembelian', 'paket', 'kuota', 'internet', 'promoin', 'harapan', 'palsu', 'beli', 'paket', 'promo', 'semoga', 'harapan', 'palsu', 'telkomsel', 'masyarakat', 'indonesia', '']</t>
  </si>
  <si>
    <t>['kasih', 'bitang', 'beli', 'paket', 'internet', 'malam', 'harga', 'ribu', 'pulsa', 'ribu', '']</t>
  </si>
  <si>
    <t>['harga', 'paketnya', 'mahal', 'jaringan', 'lemot', 'pertahanin', 'enak', 'ehh', 'lemot', 'download', 'apk', 'yng', 'cma', 'mb', 'nyampe', 'detik', 'skrng', 'mah', 'bsa', 'nyampe', 'jam', 'emg', 'fiks', 'hrus', 'ganti', 'trimakasih', 'bnyak', 'pelayanannya', 'bye']</t>
  </si>
  <si>
    <t>['jaringannya', 'jelek', 'mahal', 'doang', 'kualitas', 'jaringan', 'payah', 'udah', 'telpon', 'care', 'line', 'dikasih', 'tenggat', 'untu', 'perbaikan', 'jam', 'nihil', 'posisi', 'rumah', 'dikawasan', 'perbukitan', 'rimbunan', 'pohon', 'tolong', 'terkait', 'follow', 'bosen', 'menghubungi', 'care', 'line', 'hasilnya', '']</t>
  </si>
  <si>
    <t>['lelet', 'pke', 'tkomsel', 'bagus', 'payah', 'trpksa', 'nganggur', 'tlkomselnya', 'jrang', 'kepake', '']</t>
  </si>
  <si>
    <t>['undian', 'poin', 'telkomsel', 'nyata', 'setidak', 'kasih', 'org', 'undian', 'nyata', 'nggak', 'terima', 'kasih']</t>
  </si>
  <si>
    <t>['ngotak', 'dikit', 'anjg', 'mahal', 'bukanya', 'lancar', 'internetnya', 'lemot', 'bertahun', 'telkomsel', 'kecewa', 'anjg']</t>
  </si>
  <si>
    <t>['pliss', 'telkomselnya', 'ngasih', 'pilihan', 'paket', 'bener', 'butuh', 'banget', 'paket', 'internet', 'operator', 'pelajar', 'orang', 'kaya', 'pliss', 'mahalin', 'paket', 'datanya', 'pilihannya', 'paket', 'data', 'all', 'operator', 'mahal', 'mah', 'gpp', 'paket', 'nonton', 'tambahin', 'aitu', 'mahal', 'mah', 'butuh', 'gituan', 'jual', 'paket', 'data', 'bener', 'pilihan', 'banyakin', 'mahal', 'mahal', 'njerr']</t>
  </si>
  <si>
    <t>['kecewa', 'telkomsel', 'pas', 'siang', 'pas', 'hujan', 'jaringan', 'lambat', 'banget']</t>
  </si>
  <si>
    <t>['koneksi', 'stabil', 'turunnya', 'ekstrim', 'keluhan', 'jaringan', 'diatasi', '']</t>
  </si>
  <si>
    <t>['njir', 'gwe', 'make', 'apk', 'error', 'error', 'udah', 'minggu', 'apk', 'download', 'apk', 'jelek']</t>
  </si>
  <si>
    <t>['membantu', 'mengontrol', 'tagihan', 'aplikasi', 'bagus', '']</t>
  </si>
  <si>
    <t>['telkomsel', 'busuk', 'jaringan', 'data', 'seluler', 'daerah', 'jakarta']</t>
  </si>
  <si>
    <t>['aplikasinya', 'mempermudahkan', 'pembelian', 'paket', 'data', 'tpi', 'varian', 'paket', 'tolong', 'diperbanyak', 'paket', 'nelpon', 'pulsa', 'kesedot', 'gratis', 'nelpon', 'menit', 'tolong', 'diperbaiki', 'good', 'job', '']</t>
  </si>
  <si>
    <t>['customer', 'telkomsel', 'kecewa', 'kondisi', 'internet', 'burukk', 'berhari', 'sinyal', 'mohon', 'tindak', 'lanjuti', '']</t>
  </si>
  <si>
    <t>['smoga', 'udah', 'telkomsel', 'pngen', 'nyicipi', 'rezeki', 'telkomsel']</t>
  </si>
  <si>
    <t>['jelek', 'bagus', 'ngak', 'download', 'ngak', 'update', '']</t>
  </si>
  <si>
    <t>['telkomsel', 'motong', 'pulsa', 'uda', 'isi', 'pulsa', 'tertekan', 'data', 'langsung', 'habis', 'jaringannya', 'bermasalah', 'mahal', 'telkomsel', 'menang', 'daerah', 'pelosok', 'doang', 'kesel', 'gua', 'tolong', 'perbaiki', 'depannya', '']</t>
  </si>
  <si>
    <t>['telkom', 'bgsat', 'becus', 'gara', 'kau', 'kredit', 'skor', 'turun', 'tolol', 'kasih', 'bintang', 'beli', 'paketnya', 'rugi', 'ganti', 'kartu', 'teman', 'bodoh', 'jaringan', 'diatasin', 'dibiarin', 'tolol', 'kau', 'develover', 'atasin', 'jaringan', 'murah', 'babi', 'ganti', 'rugi', 'maaf', 'doang', 'pala', 'otak', 'kau', 'maaf']</t>
  </si>
  <si>
    <t>['telkomsel', 'curang', 'ngisi', 'paketan', 'beli', 'sesuai', 'nominal', 'pulsa', 'udah', 'berkurang', 'otomatis', 'ndk', 'bayangkan', 'juta', 'pelanggan', 'diginiin']</t>
  </si>
  <si>
    <t>['maaf', 'buka', 'aplikasi', 'telkomsel', 'ngak', 'trus', 'layar', 'utama', '']</t>
  </si>
  <si>
    <t>['buka', 'telkomsel', 'susah', 'uninstall', 'dlu', '']</t>
  </si>
  <si>
    <t>['aplikasi', 'bagus', 'jaringan', 'luas', 'pokoknya', 'nyesel', 'telkomsel']</t>
  </si>
  <si>
    <t>['jaringan', 'telkomsel', 'ditempat', 'baaanget', 'bawahnya', 'im', 'jaringan', 'im', 'ditempat', 'bagus', 'banget', 'ditambah', 'kuota', 'datanya', 'muuuurah', 'banget', 'telkomsel', 'kuota', 'datanya', 'mahaaal', 'jaringannya', 'jellek', 'banget', 'jelek', 'jaringannya', 'emosi', 'dipake', 'main', 'game', 'ditambah', 'diisi', 'pulsa', 'banget', 'nyuri', 'pulsa', 'ngedaftar', 'paket', 'darurat', 'berlangganan', 'apapa', 'langsung', 'terdaftar', 'marah', '']</t>
  </si>
  <si>
    <t>['gua', 'gabisa', 'masuk', 'telkomsel', 'tulisan', 'memuat', 'halaman', 'jaringan', 'nonton', 'lanjay', 'buka', 'telkomsel', 'buffering', 'parah', 'telkomsel', '']</t>
  </si>
  <si>
    <t>['jaringan', 'bermasalah', 'diakses', '']</t>
  </si>
  <si>
    <t>['koneksi', 'jaringan', '']</t>
  </si>
  <si>
    <t>['promo', 'sesuai', 'bugget', 'menengah', 'kebawah', 'apl', 'terjawab', 'kegunaan', 'fungsinya', '']</t>
  </si>
  <si>
    <t>['menu', 'paket', 'harga', 'merakyat', 'murah', 'membantu', 'masyarakat', 'kebawah', 'minim', 'pendapatan', '']</t>
  </si>
  <si>
    <t>['membuka', 'aplikasi', 'telkomsel', 'tulisan', 'kesalahan', 'sistem']</t>
  </si>
  <si>
    <t>['tolong', 'developer', 'aplikasi', 'menambah', 'fitur', 'lock', 'pulsa', 'aplikasi', 'axisnet', 'kuota', 'habis', 'pulsa', 'yng', 'udah', 'siapin', 'beli', 'paket', 'engga', 'habis', 'tersedot', '']</t>
  </si>
  <si>
    <t>['provider', 'motong', 'pulsa', '']</t>
  </si>
  <si>
    <t>['tolong', 'telkom', 'pulsa', 'diambil', 'coba', 'isi', 'pulsa', 'data', 'mati', 'sms', 'pulsa', 'kedesot', 'aneh', 'banget', 'perusahaan', 'telkom', 'ngambilin', 'pulsa', 'rakyat', 'miskin', 'berharga']</t>
  </si>
  <si>
    <t>['telkomsel', 'udah', 'bertahun', 'pakai', 'telkomsel', 'bukanya', 'jaringan', 'eror', 'kuota', 'mahal', 'pakai', 'parah', 'serching', 'nunggu', 'ngerjain', 'tugas', 'darah', 'mahal', 'pakai', 'hissst', 'nyesel', 'gua']</t>
  </si>
  <si>
    <t>['mudah', 'cepat', 'install', 'bahasanya', 'mudah', 'dipahami', 'semoga', 'manfaat']</t>
  </si>
  <si>
    <t>['jaringan', 'terluas', 'indonesia', 'menjangkau', 'keseluruh', 'desa', 'terpencil', 'indonesia', 'terima', 'kasih', 'telkomsel', '']</t>
  </si>
  <si>
    <t>['', 'download', 'game', 'pakai', 'tethering', 'hape', 'ukuran', 'data', 'terpakai', 'korupsi', 'provider', 'sarankan', 'beli', 'paket', 'sekedar', 'whatsapp', 'download', 'wifi', 'rumahan', 'rugi', 'tetering', '']</t>
  </si>
  <si>
    <t>['isi', 'pulsa', 'pesan', 'paket', 'internet', 'rp', 'gb', 'aktif', 'berlangganan', 'paket', 'paketnya', 'habis', 'tagihan', 'pulsa', 'tolong', 'hapus', 'paket']</t>
  </si>
  <si>
    <t>['rugi', 'gue', 'udah', 'beli', 'paketan', 'unlimited', 'mahal', 'sinyal', 'ilang', 'ilang', 'parah', 'banget', 'internet', 'sinyal', 'ilang', 'seharian', 'fix', 'ganti', 'kartu', 'perdana', '']</t>
  </si>
  <si>
    <t>['gmn', 'buka', 'aplikasi', 'telkomsel', 'susah', 'banget', 'harga', 'paketanxpun', 'mahal', '']</t>
  </si>
  <si>
    <t>['aplikasi', 'penipu', 'daftar', 'paket', 'diproses', 'sms', 'pulsa', 'mencukupi', 'pulsa', 'sampe', 'pulsa', 'habis', 'buka', 'aplikasi', 'bodoh', 'aplikasi', 'kaya', 'myxl', 'aplikasinya', 'diakses', 'gratis', 'pulsa', 'kuota', 'merugikan', 'pelanggan']</t>
  </si>
  <si>
    <t>['parah', 'banget', 'aplikasi', 'udah', 'ngumpulin', 'poin', 'update', 'hilang', 'iming', 'undian', 'kalu', 'emang', 'ambil']</t>
  </si>
  <si>
    <t>['tolong', 'percepat', 'pesan', 'beli', 'paket', 'ribu', 'gb', 'banget', 'pemberitahuan']</t>
  </si>
  <si>
    <t>['dapet', 'sms', 'telkomsel', 'dapet', 'pulsa', 'ribu', 'diarahkan', 'cek', 'mytelkomsel', 'parah', 'roli', 'dapet', 'gb', 'dichek']</t>
  </si>
  <si>
    <t>['', 'sumpah', 'ngeselin', 'udah', 'update', 'muat', 'ulang', 'trus', 'hapus', 'download', 'mending', 'deh', 'pindah', 'provider', 'oke', 'guys']</t>
  </si>
  <si>
    <t>['', 'isi', 'saldo', 'potong', 'udah', 'pakai', 'kartu', 'tuyul']</t>
  </si>
  <si>
    <t>['fitur', 'telkomsel', 'disediakan', 'app', 'praktis']</t>
  </si>
  <si>
    <t>['pulsa', 'kali', 'potong', 'rb', 'dipakai', 'diluar', 'paket', 'internet', 'pdhl', 'pakai', 'internet', 'diluar', 'paket', 'hrs', 'potong', 'pulsa', 'pencuri', '']</t>
  </si>
  <si>
    <t>['beli', 'paket', 'rb', 'gb', 'kuota', 'internet', 'kuota', 'gb', 'multimedia', 'sosmed', 'yutub', 'aneh', 'kuota', 'gb', 'terkurangi', 'utuh', 'gb', 'taik', 'kenak', 'prank', 'udah', 'beli', 'bener', 'kasih', 'deskripsi', 'masak', 'bumn', 'kayak', 'gini', '']</t>
  </si>
  <si>
    <t>['update', 'pakai', 'parah', 'memuat', 'halaman', 'gagauan', 'sistem', 'payah', '']</t>
  </si>
  <si>
    <t>['maaf', 'aplikasi', 'telkomsel', 'bagusan', 'berat', 'sekedar', 'cek', 'kuota', 'loading', '']</t>
  </si>
  <si>
    <t>['jaringannya', 'lancar', 'pas', 'buka', 'youtube', 'doang', 'tembus', 'mbs', 'buka', 'apk', 'kaya', 'tiktok', 'facebook', 'dll', 'jaringan', 'mentok', 'tolong', 'perbaiki', 'orang', 'desa', 'tolonglh', 'emang', 'orang', 'desa', 'nggk', 'berhak', 'dapet', 'sinyal', 'bagus', 'pandemi', 'kaya', 'belajar', 'online', 'kadang', 'suka', 'telat', 'absen', 'alhasil', 'alpa', 'karna', 'batas', 'absen', '']</t>
  </si>
  <si>
    <t>['tingkat', 'berat', 'spesifikasi', 'rendah', 'versi', 'lite', 'love', 'this', 'app', '']</t>
  </si>
  <si>
    <t>['suka', 'telkomsel', 'mudah', 'beli', 'paket', 'tolong', 'nomor', 'paketan', 'mahal', '']</t>
  </si>
  <si>
    <t>['bagus', 'suka', 'aplikasi', 'rugi', 'pakai', 'telkomsel', 'download', 'telkomsel']</t>
  </si>
  <si>
    <t>['jaringan', 'lokasi', 'lelet', 'undian', 'poin', 'berhadiah', 'telkomsel', 'mempublikasi', 'pemenangnya', 'media', 'terimah', 'kasih', '']</t>
  </si>
  <si>
    <t>['aplikasi', 'kecewa', 'masak', 'pulsa', 'dipakai', 'luap', 'rekomendasi', 'langganan', 'dijaringan', 'axis', 'smartfren', 'im', '']</t>
  </si>
  <si>
    <t>['fungsinya', 'berguna', 'versi', 'lite', 'kawasan', 'susah', 'sinyal', 'pegunungan', 'sulit', 'akses', 'memuat', 'halaman', '']</t>
  </si>
  <si>
    <t>['', 'poin', 'klau', 'tukar', 'tolong', 'bos', 'diperbaiki', 'tpibkkau', 'sanggup', 'tutup', 'bos', '']</t>
  </si>
  <si>
    <t>['jaringan', 'telkomsel', 'rugi', 'pelanggan', 'ngisi', 'kuota', 'mahal', 'gangguan']</t>
  </si>
  <si>
    <t>['beli', 'paket', 'aplikasi', 'aplikasi', 'gangguan', 'beli', 'pulsa', 'beli', 'paketttt']</t>
  </si>
  <si>
    <t>['aplikasi', 'telkomsel', 'bagus', 'lengkap', 'bangettttttttttttttttttttt', 'beli', 'paket', 'harga', 'termurah', 'ayo', 'buruan', 'downlout', 'sekaran', 'buruan']</t>
  </si>
  <si>
    <t>['udah', 'tutup', 'udah', 'seminggu', 'beli', 'kuota', '']</t>
  </si>
  <si>
    <t>['unlimited', 'pas', 'kuota', 'utamanya', 'habis', 'unlimited', 'ngga', 'dipake', 'beli', 'mahal', 'gausah', 'nipu', 'gini', '']</t>
  </si>
  <si>
    <t>['telkomsel', 'harga', 'sesuai', 'kualitas', 'keluarga', 'sampe', 'orang', 'tua', 'orang', 'udah', 'pelanggan', 'telkomsel', 'pelayanan', 'tlpn', 'customer', 'sarvice', 'kesini', 'jelek', 'pelayanan', 'eror', 'sengaja', 'kuota', 'jam', 'ilang', 'kondisi', 'download', 'pembaruan', 'aplikasi', 'proses', 'makan', 'gara', 'ilang', 'ktp', 'data', 'lengkap', 'prbaiki']</t>
  </si>
  <si>
    <t>['harga', 'mahal', 'sinyal', 'stabil', 'emang', 'terbaik', 'note', 'memburuk', 'terbaik']</t>
  </si>
  <si>
    <t>['provider', 'sampah', 'slogan', 'jaringan', 'sampe', 'pelosok', 'negri', 'buktinya', 'kota', 'kek', 'ampas', 'kuota', 'mahal', 'tolong', 'telkomsel', 'tingkatkan', 'jaringan', 'sampe', 'pelanggan', 'beralih', 'provider']</t>
  </si>
  <si>
    <t>['jaringan', 'lelet', 'panggilan', 'terputus', 'putus', 'ngk', 'suara', 'akses', 'internet', 'gagal']</t>
  </si>
  <si>
    <t>['', 'pakai', 'kartu', 'knpa', 'mahal', 'paket', 'internetnya', 'kadang', 'paket', 'tlpnnya', 'pakai', 'kartu', 'knpa', 'harga', 'paketnya', 'beda', 'coba', 'diperbaiki', 'pelayanannya', 'pelanggan', 'setia', 'telkomsel', 'moso', 'iya', 'dikecewakan', '']</t>
  </si>
  <si>
    <t>['bonus', 'hilang', 'paket', 'telpon', 'all', 'operator', 'paket', 'sms', 'eeeh', 'pulsa', 'embat', 'bangsatttttttt']</t>
  </si>
  <si>
    <t>['sinyal', 'daerah', 'susah', 'internet', 'nelpon', 'gangguan']</t>
  </si>
  <si>
    <t>['tolong', 'telkomsel', 'akses', 'ngga', 'paket', 'data', 'loading', 'update', '']</t>
  </si>
  <si>
    <t>['internet', 'pulsa', 'kepotong', 'ribu', 'buln', 'pulak', 'bokek', 'pulsa', 'melayang', 'mengsedihhh', 'balikin', 'pulsa', '']</t>
  </si>
  <si>
    <t>['kritik', 'kurangnya', 'perlindungan', 'sisa', 'pulsa', 'paket', 'utama', 'habis', 'pemberitahuan', 'pulsa', 'habis', 'fitur', 'operator', 'indosat', 'operator', 'seluler', 'milik', 'telkomsel', 'harap', 'saran', 'ditanggapi', 'telkomsel', 'menerima', 'saran', 'perbaikan', 'penambahan', 'fitur', 'perlindungan', 'sisa', 'pulsa', '']</t>
  </si>
  <si>
    <t>['mantap', 'deh', 'ditingkatkan', 'nyaman', '']</t>
  </si>
  <si>
    <t>['puas', 'tampilan', 'simple', 'futuristik', 'semoga', 'mytelkomsel', 'pengalaman', 'fitur', '']</t>
  </si>
  <si>
    <t>['jaringannya', 'lelet', 'internet', 'cuman', 'jarang', 'beli', 'paketnya', 'mahal', 'sinyalnya', 'buruk', 'kirim', 'jam', 'buka', 'tik', 'tok', 'buffering', 'buka', 'gambarnya', 'kliatan', 'hadeh', 'diisi', 'pulsa', 'kesedot', 'mulu', 'operator', 'heran', 'deh', 'gunanya', 'aplikasi', 'pengunci', 'pulsa', 'aplikasi', 'sebelah', 'pengunci', 'pulsanya', 'kesedot', 'mahal', 'doank', 'kualitas', 'abal', 'jaringan', 'busuk', '']</t>
  </si>
  <si>
    <t>['kualitas', 'jaringan', 'terbaik', 'adlh', 'telkomsel', 'skrg', 'memburuk', 'kuota', 'internet', 'berasa', 'boros', 'memaksakan', 'pelanggan', 'pindah', 'dri', 'tsel', '']</t>
  </si>
  <si>
    <t>['', 'kebutuhan', 'pokok', 'buka', 'puasa', 'minggu']</t>
  </si>
  <si>
    <t>['jaringan', 'telkomsel', 'agats', 'stabil', 'log', 'telkomsel', 'cepat', 'pagi', 'siang', 'sore', 'malam', 'butuh', 'log', 'terima', 'kasih', '']</t>
  </si>
  <si>
    <t>['jaringannya', 'ancur', 'jelek', 'sinyal', 'dijakarta', 'pulsa', 'slalu', 'terpotong', 'sampe', 'habis', 'paket', 'data', 'paket', 'bermasalah', 'komplen', 'veronika', 'jam', 'tinjau', 'pulsa', 'jelek', 'jaringannya', '']</t>
  </si>
  <si>
    <t>['halaman', 'cek', 'buka', 'ditutup', 'buka', '']</t>
  </si>
  <si>
    <t>['combo', 'sakti', 'unlimited', 'update', 'bit', 'segitu', 'terpakai', 'lemot', '']</t>
  </si>
  <si>
    <t>['jaringan', 'sumatera', 'selatan', 'jelek', 'kabupaten', 'muara', 'enim', 'kecamatan', 'lawang', 'kidul', 'beli', 'good', 'bye', 'telkomsel', '']</t>
  </si>
  <si>
    <t>['sory', 'turunin', 'rate', 'harga', 'paket', 'diimbangi', 'pelayanan', 'susah', 'bener', 'beli', 'paket', 'app', 'habis', 'pulsa', 'dsedot', 'paket', 'masuk', 'tuk', 'app', 'beli', 'paket', 'enak', 'gunain', 'kode', 'dial', 'murah', 'susah', '']</t>
  </si>
  <si>
    <t>['memuaskan', 'jaringan', 'lemah', 'andalkan', 'telkomsel', 'jaman', 'layak', '']</t>
  </si>
  <si>
    <t>['isi', 'pulsa', 'tinggal', 'dasar', 'maling', 'modern', 'mengatas', 'namakan', 'gprs', 'ora', 'lucu', 'berharga', 'susah', 'mencarinya', 'wis', 'ora', 'iso', 'internet', 'ilang', 'ambyar', 'sri', 'solusi', 'terbaik', '']</t>
  </si>
  <si>
    <t>['', 'telkomsel', 'dbess', 'emng', 'telkomsel', 'wktu', 'sekolah']</t>
  </si>
  <si>
    <t>['nilai', 'beikan', 'nol', 'komen', 'saran', 'pakek', 'telkomsel', 'keluhan', 'pelanggan', 'diabaikan', 'kualitasnya', 'buruk', 'harga', 'melonjak', 'pindah', 'udah', 'pakek', 'telkomsel', 'nyesal', 'langganan']</t>
  </si>
  <si>
    <t>['membeli', 'paket', 'kuota', 'error', 'exp', 'kuota', 'tinggal', 'besok']</t>
  </si>
  <si>
    <t>['lemot', 'banget', 'apk', 'beli', 'paket', 'data', 'pdhl', 'pulsa', 'ngapain', 'kasih', 'promo', 'dibeli', '']</t>
  </si>
  <si>
    <t>['poin', 'kesulitan', 'tukar', 'poin', 'undian', 'poin', 'ditukar', 'pertransaksinya', 'aplikasi', 'jelek']</t>
  </si>
  <si>
    <t>['beli', 'kuota', 'daritadi', 'acc', 'samoai', 'layanan', 'jam', 'udh', 'hubungi', 'veronika', 'aplikasinya', 'balasan']</t>
  </si>
  <si>
    <t>['isi', 'paketan', 'mahal', 'mahal', 'buka', 'apk', 'tungguin', 'lari', 'provider', 'yaa', '']</t>
  </si>
  <si>
    <t>['paket', 'darurat', 'aktivasinya', 'balikin', 'pulsanya', 'sms', 'tolong', 'perbaiki', 'aktivasi', 'paket', 'daruratnya', 'kayak', 'gini', 'naikin', 'bintangnya']</t>
  </si>
  <si>
    <t>['next', 'pembayaran', 'pembelian', 'paket', 'data', 'kasih', 'fitur', 'pembayaran', 'via', 'gopay', 'dana', 'link', '']</t>
  </si>
  <si>
    <t>['perbaikin', 'gwa', 'beli', 'mahal', 'bela', 'belain', 'pengen', 'bagus', 'jaringan', 'ama', 'sinyal', 'kaya', 'pekok', 'kecewa', 'banget', 'sumpah', 'gwa', 'udh', 'gemes', 'telkomsel', 'parah', 'perbaiki', 'kacau', 'udah', 'pengen', 'ngacak', 'ngacak', 'gini', 'teh', 'nyepelein', 'bos', 'urusan', 'jaringan', 'jelek', 'gempor', 'netizin']</t>
  </si>
  <si>
    <t>['beli', 'paketan', 'enterprise', 'kuota', 'net', 'gb', 'kuota', 'chat', 'sosmed', 'gb', 'knp', 'kuota', 'net', 'terkuras', 'memakai', 'sosmed', 'whatsapp', 'gunanya', 'kuota', 'gb', 'kuota', 'net', 'habis', 'hrs', 'beli', 'gitu', 'nyesel', 'bngt', 'beli', 'paketan', 'telkomsel', 'udah', 'mahal', 'rugi', 'kya', 'gini', 'udah', 'chat', 'aplikasinya', 'jls', 'jawabannya', 'operator', 'gunanya', 'udah', 'kaga', 'bagus', 'sinyal']</t>
  </si>
  <si>
    <t>['', 'telkomsel', 'parah', 'diperbarui', 'bagus', 'emosi', 'dibuka', '']</t>
  </si>
  <si>
    <t>['siknial', 'siknialnya', 'dipake', 'biadab', 'mendingan', 'hancurkan', 'tower', '']</t>
  </si>
  <si>
    <t>['udah', 'komen', 'telkomsel', 'merespon', 'ayo', 'gua', 'tidur', 'devolder', 'tri', 'bagus', 'memperhatiin', 'pelanngannya']</t>
  </si>
  <si>
    <t>['suka', 'error', 'tampa', 'jaringan', 'kadang', 'susah', 'masuk', 'memuat', 'halaman', 'maaf', 'kesalahan', 'sistem', 'salah', 'ngk', 'masuk', 'aplikasi', 'mohon', 'perbaiki', 'karna', 'aplikasi', 'sebener', 'bagus', 'udah', 'aplikasi', 'kesini', 'parah', '']</t>
  </si>
  <si>
    <t>['telkomsel', 'parah', 'jaringan', 'stabil', 'paket', 'mahal', 'pengguna', 'kecewa', '']</t>
  </si>
  <si>
    <t>['', 'update', 'error', 'uninstall', 'istall', 'hasil', 'pas', 'siang', 'versi', '']</t>
  </si>
  <si>
    <t>['duapuluh', 'pakai', 'telkomsel', 'lemot', 'paket', 'mahal', 'operator', 'ditambah', 'jaringan', 'lemot', 'buffering', 'gimana', 'ditambah', 'iklan', 'bejibun', 'banyaknya', 'tolong', 'diperhatikan', 'pelanggan', 'tua', 'trims', '']</t>
  </si>
  <si>
    <t>['bru', 'aplikasi', 'jdi', 'blm', 'gmna', 'bagus', 'engga', 'semoga', 'bagus', 'pke', 'trs', 'bintang', 'nnti', 'tambahin', 'klu', 'emang', 'pengalaman', 'dlu']</t>
  </si>
  <si>
    <t>['isi', 'pulsa', 'paket', 'tlpon', 'isi', 'pulsa', 'murah', '']</t>
  </si>
  <si>
    <t>['kalok', 'emang', 'tahap', 'perbaikan', 'jaringan', 'matiin', 'maaf', 'kalok', 'cman', 'kasih', 'bintang', 'banget', 'ngeleg', 'game', 'paket', 'game', 'kegiatan', 'medsos', 'game', 'kuata', 'internet', 'mohon', 'solusi', '']</t>
  </si>
  <si>
    <t>['terpaksa', 'gua', 'ganti', 'provider', 'telkom', 'kalah', 'lancar', 'murah', 'ribu', 'kaya', 'telkom', 'udh', 'mahal', 'jaringan', 'busuk', 'mahal', 'lancar', 'sesuai', 'mahal', 'lemot', 'cuih', 'najis', 'telkom']</t>
  </si>
  <si>
    <t>['beli', 'paket', 'combo', 'habis', 'kuota', 'utama', 'duluan', 'diakses', 'multimedia', 'giliran', 'kuota', 'utama', 'habis', 'paket', 'multimedia', 'lemot', 'banget', 'gmn', 'habis', 'dipakai', '']</t>
  </si>
  <si>
    <t>['sinyal', 'telkomsel', 'buruk', 'gamers', 'dirugikan', 'dikecewakan', 'sinyal', 'telkomsel', 'cuaca', 'apapun', 'dimanapun', 'lokasinya', 'sinyal', 'telkomsel', 'stabil', 'kendala', 'sinyal', 'telkomsel', 'buruk', 'kualitas', 'pelayanannya', 'tinggal', 'daerah', 'palembang', 'kabupaten', 'ogan', 'ilir', 'desa', 'pemulutan', 'perbaiki', 'ditinggalkan', 'pengguna', 'telkomsel', 'dikota', '']</t>
  </si>
  <si>
    <t>['woi', 'babl', 'udah', 'mendominasi', 'pasar', 'jaringan', 'kek', 'ntol', 'kerja', 'pakai', 'internet', 'tpi', 'jaringan', 'kek', 'njing', 'kerja', 'terhambat', 'gara', 'kont', 'll', 'diperbaiki', 'dikit', 'jaringannya']</t>
  </si>
  <si>
    <t>['daerah', 'jatimulyo', 'lampung', 'selatan', 'internet', 'lelet', 'kalah', 'proferder']</t>
  </si>
  <si>
    <t>['telkomsel', 'game', 'apapun', 'mending', 'mikir', 'kali', 'sinyal', 'bagus', 'dibandingkan', 'emosi', 'paketan', 'mahal', 'kualitas', 'sinyal', 'perbaikan', 'peningkatan', 'payahhhhh']</t>
  </si>
  <si>
    <t>['hadeh', 'terkomsel', 'lelet', 'bayar', 'mahal', 'tpi', 'jaringan', 'kek', 'gini', 'boong', 'buka', 'aplikasi', 'error', 'tolong', 'kasih', 'layanan', 'mentang', 'pakai', 'trus']</t>
  </si>
  <si>
    <t>['sekian', 'masuk', 'aplikasi', 'telkomsel', 'terimakasih', 'telkomsel']</t>
  </si>
  <si>
    <t>['jaringan', 'nihh', 'make', 'kartu', 'jaringan', 'mantap', 'telkomsel', 'yok', 'pindah', 'kartu', 'kawan', 'jaringan', 'telkomsel', 'bagus']</t>
  </si>
  <si>
    <t>['poin', 'donasi', 'mending', 'kasih', 'bates', 'poin', 'kepake', 'mending', 'donasi', 'tolong', 'kasih', 'bates', 'berubung', 'inget', 'sedekah']</t>
  </si>
  <si>
    <t>['terkomsel', 'tolong', 'hapus', 'sistem', 'pulsa', 'gantikan', 'kuota', 'kecuali', 'beli', 'pack', 'kuota', 'gara', 'pulsa', 'rb', 'habis', 'makan', 'gara', 'kartu', 'telkom', 'aktif', 'kuota', 'telkomsel', 'wifi', 'gara', 'mati', 'lampu', 'kuotanya', 'makan', 'nyaa']</t>
  </si>
  <si>
    <t>['internet', 'lemot', 'udah', 'koutanya', 'mahal', 'gabisa', 'game']</t>
  </si>
  <si>
    <t>['masak', 'paket', 'internet', 'mahal', 'lemot', 'devoloper', 'ngembangin', 'membohongi', 'kecewa']</t>
  </si>
  <si>
    <t>['', 'telkomsel', 'kog', 'lemot', 'blaa', 'blaa', 'blaa', 'mohon', 'maaf', 'keluhan', 'mohon', 'kontak', 'twitter', 'bla', 'blaa', 'telkomsel', 'provider', 'buruk', '']</t>
  </si>
  <si>
    <t>['download', 'apk', 'sistem', 'layanan', 'apk', 'terhenti', 'gunain', 'samsung', 'mendukung', 'apk', '']</t>
  </si>
  <si>
    <t>['jengkel', 'deh', 'isi', 'pulsa', 'kesedot', 'habiskan', 'bener', 'deh', 'bener', 'emang', 'lintah']</t>
  </si>
  <si>
    <t>['sinyalnya', 'membaik', 'aplikasi', 'bagus', 'tinggal', 'sinyalnya', 'lemot']</t>
  </si>
  <si>
    <t>['jdi', 'buka', 'app', 'muat', 'ulang', 'trus', 'jaringan', 'bagus']</t>
  </si>
  <si>
    <t>['aplikasinya', 'ngak', 'kebuka', 'gimana', 'telkomsel', 'kesini', 'payah', 'bintang', 'kayaknya', 'cocok', 'apk']</t>
  </si>
  <si>
    <t>['yuk', 'rame', 'pindah', 'haluan', 'tetangga', 'sebelah', 'buruk', 'sinyalnya']</t>
  </si>
  <si>
    <t>['akses', 'sosial', 'media', 'instagram', 'tiktok', 'twitter', 'dll', 'bagus', 'main', 'game', 'gangguan', 'mulu', 'aneh']</t>
  </si>
  <si>
    <t>['beli', 'paket', 'jaringannya', 'buruk', 'lapor', 'nanya', 'alamat', 'doang', 'perubahan']</t>
  </si>
  <si>
    <t>['ngak', 'masuk', 'mulu', 'masuk', 'mesti', 'hapus', 'data', 'aplikasi', 'masuk', 'mesti', 'masukkin', 'nomer', 'telpon', 'mulu', 'tolong', 'bantuan']</t>
  </si>
  <si>
    <t>['hei', 'provider', 'ng', 'sinyal', 'merah', 'mulu', 'nomor', 'telpon', 'bos', 'niat', 'nyediain', 'layanan', 'internet', 'qualitas', 'kaya', '']</t>
  </si>
  <si>
    <t>['buruk', 'sampe', 'beli', 'paket', 'internet', 'uninstal', 'dlu']</t>
  </si>
  <si>
    <t>['jelek', 'kouta', 'mahal', 'jaringan', 'jelek', 'tolong', 'perbaikan', 'jaringan']</t>
  </si>
  <si>
    <t>['berhari', 'jaringan', 'jelek', 'skrg', 'serba', 'online', 'jaringan', 'jelek', 'gini', 'gmn', 'kerja', 'butuh', 'jaringan', 'internet', 'woyyyyyyy', 'harga', 'kuota', 'high', 'jaringan', 'low', 'parah', '']</t>
  </si>
  <si>
    <t>['lemooottttt', 'tolong', 'dibenerin', 'udah', 'diperbarui', 'buka', 'apk', 'gmna', '']</t>
  </si>
  <si>
    <t>['harga', 'paketan', 'ganjil', 'ribu', 'pas', 'gitu', 'ttep', 'ngisi', 'pulsa', 'mesti', 'bulat', 'kuota', 'habis', 'pulsa', 'sisa', 'ludes', 'bintang', 'prisedur', 'berubah', 'yng', 'mersakan']</t>
  </si>
  <si>
    <t>['mahal', 'doang', 'jaringan', 'jelek', 'hilang', 'jaringan', 'kota', '']</t>
  </si>
  <si>
    <t>['provieder', 'bermutu', 'langsung', 'benerin', 'wtf', '']</t>
  </si>
  <si>
    <t>['telkomsel', 'tolong', 'jaringan', 'data', 'daerah', 'gresik', 'jatim', 'perbaiki', 'jaringan', 'buka', 'aplikasi', 'game', 'sosmed', 'youtube', 'lelet', 'tolong', 'perbaiki', 'kelancaran', 'pengguna', 'mengeluh', 'teman', 'pengguna', 'telkomsel', 'mengeluh', 'jaringan', 'lemot', 'terima', 'kasih', '']</t>
  </si>
  <si>
    <t>['koq', 'masuk', 'udah', 'daftar', 'pske', 'koq', 'kaya', 'gini', 'muak', 'sma', 'aplikasi', 'telkomsel', 'mending', 'pindah', 'jaringan']</t>
  </si>
  <si>
    <t>['kayak', 'bagusnya', 'gangguan', 'dibiarkan', 'berlarut', 'larut', 'udah', 'mahal', 'jelek', 'mengecewakan', 'kabel', 'transmisi', 'main', 'kusut', 'merusak', 'keindahan', 'kota', '']</t>
  </si>
  <si>
    <t>['aplikasi', 'jarang', 'beli', 'paket', 'ngeselin', 'pas']</t>
  </si>
  <si>
    <t>['serasa', 'pingin', 'rasis', 'daerah', 'enak', 'jaringan', 'kutim', 'anak', 'tirikan', 'pelayanan']</t>
  </si>
  <si>
    <t>['kayaknya', 'telkomsel', 'pelit', 'udah', 'paket', 'internetnya', 'mahal', 'kadang', 'eror', 'voucher', 'visiknya', 'bangett', 'mohon', 'perhatikan', 'keinginnan', 'pelanggan', 'makasih', '']</t>
  </si>
  <si>
    <t>['parah', 'buka', 'suruh', 'upgrade', 'udh', 'upgrade', 'buka', '']</t>
  </si>
  <si>
    <t>['memuat', 'memuat', 'memuat', 'mempermudah', 'mempersulit', 'tetep', 'cek', 'pulsa', 'kuota', 'kode', 'dial', 'parah']</t>
  </si>
  <si>
    <t>['parah', 'sumpah', 'telkomsel', 'pkir', 'kuota', 'hbis', 'knp', 'intenetnya', 'muter', 'trus', 'stlh', 'isi', 'kuota', 'trnyta', 'sebulan', 'kesel', 'kartu', 'telkomsel', 'gerangan', '']</t>
  </si>
  <si>
    <t>['paket', 'mahal', 'jaringan', 'jelek', 'tinggal', 'kota', 'mengecewakan', 'telkomsel']</t>
  </si>
  <si>
    <t>['telkomsel', 'jelek', 'mahal', 'iya', 'sinyal', 'behh', 'jelekkkk', 'mohon', 'telkomsel', 'benerin', 'kesel', 'pelangan', 'jelek', 'iya', 'murah', 'mah', 'gpp']</t>
  </si>
  <si>
    <t>['alhamdulillah', 'pakai', 'app', 'telkomsel', 'aman', 'pemakaian', 'jaringan', 'kadang', 'lelet', 'karna', 'makai', 'orang', 'indonesia', 'memakai', 'cepat', 'jaringan', 'tower', '']</t>
  </si>
  <si>
    <t>['malas', 'pakek', 'telkom', 'sinyal', 'lag', 'jaringan', 'jaringan', 'palingan', 'bentar', 'ngelag', 'aduhhh', 'telkom', 'maaf', 'cuman', 'sinyal', 'telkomsel', 'ngeleg', 'semoga', 'lag', 'kedepan', 'semangat']</t>
  </si>
  <si>
    <t>['kesini', 'sinyal', 'parah', 'tolong', 'telkomsel', 'perbaiki', 'sinyal', 'parah', 'banget', 'kualitas', 'harga', 'ditambah']</t>
  </si>
  <si>
    <t>['maaf', 'kasih', 'bintang', 'aplikasi', 'lancar', 'isi', 'pulsa', 'memuat', 'halaman', 'gimana', 'daftar', 'paket', 'internet', 'aplikasi', 'eroro', 'mohon', 'perbaiki', 'masalhnya', 'terpaksa', 'beli', 'voucer', 'harian', 'akibat', 'daftar', 'paket', 'internet']</t>
  </si>
  <si>
    <t>['lemooot', 'sempet', 'pakai', 'operator', 'simpati', 'tetep', 'muter', 'muter', 'lemooot']</t>
  </si>
  <si>
    <t>['provider', 'terburuk', 'buruk', 'malam', 'sinyal', 'hilang', 'jaringan', 'hancur', 'parah', 'harga', 'paket', 'internet', 'ngotak', 'kualitas', 'akhlaq', 'telkomsel', 'mending', 'beli', 'telkomsel', 'rugi', 'nyesel', 'makan', 'duit', 'doang', 'ngasih', 'kualitas', 'kagak', '']</t>
  </si>
  <si>
    <t>['update', 'mulu', 'kualitasnya', 'adehh', 'pakai', 'tweeteran', 'udah', 'suruh', 'twiter', 'kebanyakan', 'update']</t>
  </si>
  <si>
    <t>['beralih', 'halo', 'simpati', 'pasca', 'bayar', 'pra', 'bayar', 'mohon', 'dibantu']</t>
  </si>
  <si>
    <t>['promo', 'tawarkan', 'mytelkomsel', 'memilih', 'sesuai', 'dengn', 'kebutuhan']</t>
  </si>
  <si>
    <t>['beli', 'paket', 'muuter', 'paket', 'langganan', 'hilang', 'aplikasi', 'hapus', 'download', 'apliksi', 'paketnya', 'nnt', 'cek', 'kuota', 'updt', 'versi', 'paket', 'habis', 'aplikasi', 'hrus', 'hapus', 'download', 'gitu', 'trus', 'beli', 'palet']</t>
  </si>
  <si>
    <t>['aplikasi', 'error', 'mulu', 'mahal', 'doang', 'nyesel', 'bener', 'telkomsel', 'karna', 'udh', 'beli', 'paket', 'saran', 'telkomsel', '']</t>
  </si>
  <si>
    <t>['assalamualaikum', 'selamat', 'malam', 'min', 'jujur', 'pakai', 'kartu', 'sim', 'telkomsel', 'kecewa', 'jaringan', 'signal', 'telkomsel', 'pokoknya', 'kejadian', 'kebakaran', 'gedung', 'telkomsel', 'jaringan', 'telkomsel', 'bermasalah', 'main', 'game', 'hutan', 'bagus', 'jaringan', 'medan', 'main', 'game', 'mohon', 'perbaiki', 'jaringannya', '']</t>
  </si>
  <si>
    <t>['kesini', 'jelek', 'min', 'beli', 'paket', 'harganya', 'mahal', 'udah', 'dibeli', 'duit', 'jaringan', 'kayak', 'gini', 'tolong', 'debenerin', 'kasih', 'bintang', 'bagus', 'kasih', 'bintang']</t>
  </si>
  <si>
    <t>['banget', 'aplikasi', 'gua', 'beli', 'paketan', 'bacaan', 'memuat', 'halaman', 'harap', 'dibenarin', 'besok', 'gua', 'ulangan', 'asw', '']</t>
  </si>
  <si>
    <t>['jelek', 'jaringannya', 'seharian', 'ngak', 'pakai', 'internet', 'kuota', 'internet', 'telkomsel', 'canggih', 'menurun', '']</t>
  </si>
  <si>
    <t>['tolonglah', 'telkomsel', 'beli', 'paket', 'mahal', 'jaringan', 'burik', 'menyesuaikan', 'kualitas', 'jaringan', 'harga', 'jual', 'mahal', 'kesal', 'providernya']</t>
  </si>
  <si>
    <t>['telkomsel', 'knp', 'game', 'ping', 'drop', 'mulu', 'tolong', 'perbaiki', 'minggu']</t>
  </si>
  <si>
    <t>['mantap', 'tpi', 'mantap', 'lgi', 'menang', 'undian', 'point', 'berharap', 'pemenang', 'undian', 'poit', 'telkomsel', 'terima', 'kasih', 'salam', 'sehat', '']</t>
  </si>
  <si>
    <t>['sinyal', 'jelek', 'jengkel', 'harga', 'mahal', 'kualitas', 'sinyal', 'zonk', '']</t>
  </si>
  <si>
    <t>['promo', 'membuka', 'aplikasi', 'diklik', 'maaf', 'membeli', 'paket']</t>
  </si>
  <si>
    <t>['rusak', 'sinyal', 'jatim']</t>
  </si>
  <si>
    <t>['donload', 'pas', 'buka', 'apk', 'payah']</t>
  </si>
  <si>
    <t>['telkomsel', 'tolong', 'benarkan', 'jaringan', 'duitnya', 'doang', 'telkomsel', 'udh', 'bangkrut', 'jaringan', 'kek', 'telkomsel', 'nyusahin', 'pembeli', 'kntl']</t>
  </si>
  <si>
    <t>['udah', 'update', 'suruh', 'perbarui', 'masuk', 'aplikasi', 'telkomsel', 'provider', 'lol']</t>
  </si>
  <si>
    <t>['sinyal', 'perbaiki', 'tolong', 'sinyal', 'kota', 'sinyal', 'stabil', 'akses', 'internet', 'susah', '']</t>
  </si>
  <si>
    <t>['informasinya', 'akurat', 'dipercaya', 'masysrakat', 'pengguna', 'pelosok', 'tanah', 'air', 'daerah', 'menikmati', 'layanan', 'telkomsel', 'upayakan', 'mendirikan', 'stasiun', 'tower', 'peningkatan', 'akses', 'mutu', 'layanan', '']</t>
  </si>
  <si>
    <t>['sinyal', 'setabil', 'pengguna', 'emosi', 'hilang', 'jaringan', 'genting', 'tolong', 'perbaiki', '']</t>
  </si>
  <si>
    <t>['apk', 'lemot', 'banget', 'jalan', 'game', 'ping', 'jaringan', 'merah', 'sampe', 'setres', 'mslh', 'jaringan', 'telkom', 'kebanyakan', 'promo', 'rugi', 'sinyal', 'lemot', '']</t>
  </si>
  <si>
    <t>['jaringan', 'bagus', 'kota', 'pelosok', 'hutan', 'tolonglahh', 'losetreak', 'nii', 'kimak', 'nggak', 'murah', 'harga', 'kuotanya', 'pelayanannya', 'kayak', 'gitu', '']</t>
  </si>
  <si>
    <t>['telkomsel', 'lelet', 'banget', 'gua', 'main', 'game', 'lelet', 'parah', 'jaringan', 'posisi', 'kuota', 'habis', 'sisa', 'gimana', 'pelanggan', 'nyaman', 'tolong', 'perbaiki', 'jaringannya', 'lancar', 'pelosok', 'gimana', '']</t>
  </si>
  <si>
    <t>['kesini', 'telkomsel', 'jlz', 'jaringan', 'lemot', 'tarif', 'doank', 'mahal', 'kepuasan', 'pengguna', 'diutamakan', 'bintang', 'pembemberitauan', 'pengguna', 'puas', 'tinggal', 'daerah', 'perkotaan', 'lemot', 'didaerah', 'pedalaman', '']</t>
  </si>
  <si>
    <t>['pakai', 'kartu', 'halo', 'jaringan', 'stabil', 'jaringan', 'bagus', 'bagus', 'main', 'game', '']</t>
  </si>
  <si>
    <t>['maaf', 'operator', 'telkomsel', 'tolong', 'adakan', 'fitur', 'transfer', 'pulsa', 'operator', 'berpengaruh', 'pengguna', 'telkomsel']</t>
  </si>
  <si>
    <t>['notif', 'telkomsel', 'dapatkan', 'kuota', 'kuota', 'unlimited', 'pas', 'buka', 'promonya', 'ganiat', 'kasi', 'promo', 'tolong', 'mytelkomsel', 'kasi', 'promo']</t>
  </si>
  <si>
    <t>['aplikasi', 'membantu', 'disaran', 'donlod', 'daily', 'cek', 'kuota', 'gratis', 'follow', 'edits']</t>
  </si>
  <si>
    <t>['kasih', 'bintang', 'kualitas', 'koneksi', 'internet', 'buruk', 'mengisi', 'kuota', 'internet', 'trus', 'anehnya', 'isi', 'kuota', 'kali', 'pesan', 'kuota', 'internet', 'habis', 'cek', 'kuota', 'msh', 'tolong', 'telkomsel', 'tingkatkan', 'kualitas', 'koneksinya', 'terima', 'kasih']</t>
  </si>
  <si>
    <t>['mengecewakan', 'sinyal', 'penuh', 'internetan', '']</t>
  </si>
  <si>
    <t>['bintang', 'ajh', 'msak', 'beli', 'paket', 'yng', 'unlimited', 'udah', 'habis', 'telkomsel', 'udah', 'korupsi', 'menyesal', 'bnget', 'telkomsel', 'buang', 'laut']</t>
  </si>
  <si>
    <t>['telkomsel', 'operator', 'sibuk', 'mulu', 'kesusahan', 'ngisi', 'ulang', '']</t>
  </si>
  <si>
    <t>['aplikasi', 'mengalami', 'gangguan', 'sistem', 'mengganggu', 'aktivasi', 'paket', 'data', 'pengecekan', 'kuota']</t>
  </si>
  <si>
    <t>['aplikasi', 'buruk', 'pulsa', 'sedot', 'modal', 'wifi', 'nggak', 'diaktifin', 'data', 'selulernya', 'doakan', 'pemilik', 'telkomsel', 'karyawannya', 'meninggal', 'kejam', 'tuhan', 'dengankan', 'doa', 'terlantar', 'telkomselnjing']</t>
  </si>
  <si>
    <t>['listrik', 'mati', 'jaringan', 'hilang', 'koneksi', 'internetan', 'segini', 'doang', 'kualitas', 'bumn', '']</t>
  </si>
  <si>
    <t>['jaringannya', 'parah', 'dimorowali', 'biarpun', 'pemancar', 'untungnya', 'morowali', 'seluler', 'pilihan', '']</t>
  </si>
  <si>
    <t>['paketnya', 'parah', 'mahal', 'jaringan', 'down', 'mulu', 'nyaman', 'telkomsel', 'pdhal', 'kartu', 'telkomsel', 'sim', 'duanya', 'hadeuh', 'kecewa', '']</t>
  </si>
  <si>
    <t>['jaringan', 'sinyal', 'telkomsel', 'kerja', 'ojol', 'minggu', 'orderan', 'jaringan', 'sinyal', 'stabil', 'kaya', 'gini']</t>
  </si>
  <si>
    <t>['paketnya', 'udah', 'mahal', 'koneksinya', 'buruk', 'skli', 'tolong', 'telkomsel', 'lbih', 'perbaiki', 'koneksinya']</t>
  </si>
  <si>
    <t>['telkomsel', 'lag', 'anjg', 'puass', 'main', 'game', 'jdinya', 'nyesel', 'kartu', 'telkomsel', 'kntol', 'tolong', 'perbaiki', 'sinyal', 'nyaa', 'anjg', '']</t>
  </si>
  <si>
    <t>['aplikasi', 'telkomse', 'pilihan', 'pembayaran', 'isi', 'pulsa', '']</t>
  </si>
  <si>
    <t>['buruk', 'mendownload', 'aplikasi', 'sarankan', 'istri', 'pakai', 'aplikasi', 'paket', 'internet', 'tawarkan', 'istri', 'berbeda', 'mahal', 'istri', 'murah']</t>
  </si>
  <si>
    <t>['', 'telkomsel', 'mantap', 'trima', 'kasih', 'telkomsel', 'best', 'the', 'best']</t>
  </si>
  <si>
    <t>['sebenernya', 'aplikasinya', 'kesel', 'pulsa', 'keambil', 'paket', 'reguler', 'jarang', 'aktifin', 'data', '']</t>
  </si>
  <si>
    <t>['ajlok', 'jaringan', 'telkomsel', 'harga', 'paket', 'internet', 'mahal', 'gini', 'mending', 'pindah', 'provider', 'kecewa', 'banget', 'telkomsel', '']</t>
  </si>
  <si>
    <t>['abis', 'diperbarui', 'gagal', 'koneksi', 'trs', 'dipake', 'butut', 'banget', 'gimana', 'apknya', 'trs']</t>
  </si>
  <si>
    <t>['menarik', 'kuota', 'tersedia', 'pulsa', 'dipangkas', 'heran', 'telkomsel', 'stylenya']</t>
  </si>
  <si>
    <t>['udah', 'beli', 'kuota', 'kepake', 'hilang', 'ganti', 'kartu', 'telkom']</t>
  </si>
  <si>
    <t>['umur', 'kartu', 'telkomsel', 'orang', 'tua', 'pelanggan', 'setia', 'belom', 'undian', 'semoga', 'telkomsel', 'berjaya']</t>
  </si>
  <si>
    <t>['ngga', 'konsisten', 'harga', 'paket', 'dijaman', 'serba', 'susah', 'ditambah', 'kebutuhan', 'sekunder', 'paket', 'data', 'telkomsel', 'kebutuhan', 'sekunder', 'berubah', 'primer', 'dijaman', 'pekerjaan', 'digitalisasi', 'harganya', 'mahal', 'menambah', 'beban', 'hidup', 'maklum', 'sultan', 'beli', 'paket', 'harga', 'keatas', 'terimakasih', 'telkomsel', '']</t>
  </si>
  <si>
    <t>['saran', 'aplikasi', 'dimohon', 'telkomsel', 'poin', 'pulsa', 'akun', 'mytelkomsel', 'ditukar', 'kuota', 'tambahan', 'pulsa']</t>
  </si>
  <si>
    <t>['kadang', 'beli', 'internet', 'pulsa', 'suka', 'buang', 'mending', 'murah', 'harganya', 'mahal', 'kurangin', 'ngapa', 'paket', 'gb', 'ribu', 'aneh']</t>
  </si>
  <si>
    <t>['sya', 'kasih', 'bintang', 'karna', 'pelayanan', 'grapari', 'bagus', 'nyaman', 'puas', 'tpi', 'paketan', 'internet', 'sungguh', 'mahal', 'bnyk', 'pesaing', 'internet', 'murah', 'bngt', 'sampe', 'buln', 'habis', 'sya', 'pke', 'blom', 'buln', 'habis', 'pmakaian', 'wajar', 'coba', 'mksimlkn', 'harganya', 'psti', 'telkomsel', 'brubung', 'sya', 'stia', 'sya', 'ttp', 'telkomsel', '']</t>
  </si>
  <si>
    <t>['oke', 'lahk', 'sinyal', 'mah', 'paket', 'tolong', 'disesuaikan', 'harganya', 'terjangkau', 'pelanggan', '']</t>
  </si>
  <si>
    <t>['update', 'stack', 'ulang', 'beberaapa', 'kali', 'buang', 'buang', 'kuota', '']</t>
  </si>
  <si>
    <t>['telkomsel', 'paketnya', 'bener', 'omg', 'combo', 'sakti', 'kuota', 'utama', 'sma', 'sosmed', 'chat', 'maxtream', 'youtube', 'dll', 'kuota', 'maxtream', 'sosmed', 'pas', 'kuota', 'utama', 'udah', 'abisssss', 'kaya', 'axis', 'buka', 'aplikasi', 'sosmed', 'atw', 'youtube', 'kuota', 'kesedot', 'sesuai', 'pengguna', 'telkomsel', 'karna', 'rumah', 'cuman', 'telkomsel', 'bagus', 'sinyalnya', 'tolonglaah', 'perbaiki', 'perihal', 'paketnya', '']</t>
  </si>
  <si>
    <t>['paketan', 'internet', 'mahal', 'bangkrut', 'upgrade', 'dibuka', '']</t>
  </si>
  <si>
    <t>['pas', 'update', 'nggk', 'dibukak', 'paket', 'data', 'nggk']</t>
  </si>
  <si>
    <t>['notif', 'promo', 'kouta', 'unlimited', 'telkomsel', 'pas', 'pencet', 'promonya', 'hilang', 'tulisan', 'maaf', 'promosi', 'ditemukan', 'trus', 'tulisan', 'maaf', 'promo', 'notif', 'detik', 'trus', 'buka', 'telkomsel', 'ajng']</t>
  </si>
  <si>
    <t>['kena', 'frank', 'promo', 'telkomsel', 'notofikasi', 'internet', 'unlimeted', 'harga', 'rb', 'klik', 'beli', 'rb', 'usa', 'kirim', 'notif', '']</t>
  </si>
  <si>
    <t>['aplikasinya', 'error', 'data', 'seluler', 'informasi', 'kesalahan', 'sistem', 'pakai', 'wifi', 'lancar', 'device', 'berbeda', 'aplikasi', 'lancar', 'aneh']</t>
  </si>
  <si>
    <t>['', 'telkomsel', 'jaringan', 'parah', 'main', 'game', 'sma', 'nonton', 'youtube', 'ngelek', 'parah', 'banget', 'pindah', 'kartu', 'perbaiki', '']</t>
  </si>
  <si>
    <t>['anji', 'pulsa', 'gua', 'kesedot', 'paket', 'kesedot', 'isi', 'paket', 'isi', 'ulang', '']</t>
  </si>
  <si>
    <t>['jaringan', 'telkomsel', 'kecewa', 'pindahbprovider', '']</t>
  </si>
  <si>
    <t>['', 'kasih', 'bintang', 'aplikasi', 'telkomsel', 'buka', 'tlg', 'infonya', 'oppo', 'ngecek', 'tagihan', 'susah', 'aplikasi', 'buka', 'tlp', 'operator', 'telkomselnya', 'beritahu', 'mempraktekkan']</t>
  </si>
  <si>
    <t>['sinyal', 'jelek', 'pas', 'mendhung', 'turun', 'sinyalnya', 'hujan', 'muter', 'alumni', 'project', 'jaringan', 'telkomsel', 'menyesalkan', 'sinyal', 'telkomsel', 'tolong', 'benahi', 'jaringannya', 'pakai', 'frekuensi', 'horizontal', 'buruk', 'pelayanan', 'pakailah', 'frekuensi', 'vertikal', 'horizontal', 'kena', 'embun', 'mendhung', 'hujan', 'penyampaian', 'data', 'terhambat', 'faktor', 'alam', 'vertikal', 'aman', 'anti', 'offstekel', 'terimakasih', 'semoga', 'bermanfaat']</t>
  </si>
  <si>
    <t>['gue', 'kasih', 'bintang', 'anjeng', 'pulsa', 'gue', 'hilang', 'pakek', 'gila', 'telkomsel', '']</t>
  </si>
  <si>
    <t>['kemarin', 'beli', 'extra', 'unlimited', 'situ', 'tertulis', 'unlimited', 'sosmed', 'gamesmax', 'tiktok', 'instagram', 'facebook', 'chat', 'tik', 'tok', 'kuota', 'utama', 'berkurang', 'trs', 'unlimited', 'mengecewakan']</t>
  </si>
  <si>
    <t>['pembenahan', 'jaringan', 'telkomsel', 'kyak', 'gini', 'mulu', '']</t>
  </si>
  <si>
    <t>['sinyal', 'tpi', 'lemottt', 'pulsa', 'abis', 'kesedot', 'inet', 'tpi', 'ket', 'pemakaian', 'inet', 'masak', 'masuk', 'aplikasi', 'mytelkomsel', 'ngambil', 'pulsa', 'sharusnya', 'sdah', 'telkomsel', 'masuk', 'app', 'free']</t>
  </si>
  <si>
    <t>['apk', 'update', 'dibuka', 'perbaikan', 'bagus', 'hancur']</t>
  </si>
  <si>
    <t>['bintang', 'karna', 'terganggu', 'notif', 'promo', 'paket', 'murah', 'masuk', 'promo', 'tersedia']</t>
  </si>
  <si>
    <t>['cek', 'pulsa', 'kouta', 'aplikasi', 'susah', 'banget', 'login', 'ulang', 'masuk', 'masuk', 'login', 'telkomsel', 'diribetin', 'cek', 'kouta', 'doank', 'pdhl', 'sll', 'telkomsel', 'sprti', 'aplikasi', 'mengecewakan', 'tolong', 'admin', 'keluhan']</t>
  </si>
  <si>
    <t>['semoga', 'kedepannya', 'promo', 'paketan', 'internet', '']</t>
  </si>
  <si>
    <t>['install', 'apps', 'dimatikan', 'masuk', 'apps', 'memunculkan', 'white', 'screen', 'perubahan', 'membuka', 'tab', 'notif', 'scroll', 'smartphone', 'macet', 'tekan', 'tombol', 'back', 'perubahan', 'tekan', 'tombol', 'tombol', 'kiri', 'task', 'manager', 'smartphone', 'macet', 'terkunci', 'otomatis', 'apps', 'ditekan', 'memunculkan']</t>
  </si>
  <si>
    <t>['jaringan', 'lemot', 'parah', 'lambat', 'teratasi', 'kota', 'medan']</t>
  </si>
  <si>
    <t>['tambahkan', 'fitur', 'kunci', 'pulsa', 'pulsa', 'tersedot', 'kuota', 'habis']</t>
  </si>
  <si>
    <t>['telkomselmau', 'daftar', 'paket', 'pulsa', 'susah', 'banget', 'pulsa', 'potong', 'pemakaian', 'non', 'paket', 'paket', 'beli', 'pulsa', 'tlp', 'taunya', 'udah', 'dateng', 'sms', 'pulsa', 'ambil', 'tolong', 'tekomsel', 'kaya', 'gini']</t>
  </si>
  <si>
    <t>['aplikasi', 'kadang', 'suka', 'aneh', 'angin', 'hujan', 'coba', 'kagi', 'udh', 'versi', 'terbaru', 'cek', 'kuota', 'pulsa', 'ribet']</t>
  </si>
  <si>
    <t>['hai', 'telkomsel', 'kreatif', 'promo', 'pengguna', 'telkomsel', 'bosan', 'promo', 'menarik', 'dapatkan', 'merasakan', 'potongan', 'harga', 'paket', 'internet', 'beli', 'maaf', 'pindah', 'operator', 'kualitas', 'jaringan', 'cuman', 'memiliki', 'promo', 'menarik', 'makasih']</t>
  </si>
  <si>
    <t>['hmmm', 'iya', 'jaringan', 'bagus', 'paket', 'kuota', 'beli', 'butuhin', 'kadang', 'kadang', 'ngak', 'paket', 'ribuan', 'combo', 'sakti', 'butuh', 'lho', 'berpergian', 'skrg', 'murah', 'ribu', 'doang', 'pulsa', 'pas', 'tolong', 'cari', 'duit', 'gini', '']</t>
  </si>
  <si>
    <t>['jaringan', 'lelet', 'mengecewakan', 'jaringan', 'telkomsel', 'lelet', 'pelanggan', 'telkomsel', 'membuka', 'aplikasi', 'loading', 'mohon', 'diperbaiki', 'kualitas', 'jaringan', 'telkomsel', 'terima', 'kasih']</t>
  </si>
  <si>
    <t>['compatible', 'kasian', 'deh', 'awokawok']</t>
  </si>
  <si>
    <t>['apps', 'bagus', 'tolong', 'koneksi', 'jaringannya', 'perbaiki', 'karna', 'koneksi', 'buruk']</t>
  </si>
  <si>
    <t>['bang', 'depok', 'mytelkomsel', 'pas', 'dibuka', 'tulisannya', 'memuat', 'halaman', 'tulisan', 'dibawahnya', 'kesalahan', 'sistem', 'gimana', 'bang', 'tolong', 'lahhh', 'abang', 'napa', 'mytelkomsel', 'error', 'bangg', '']</t>
  </si>
  <si>
    <t>['bagus', 'sich', 'bertahun', 'tukar', 'poin', 'undian', 'ghosting', 'telkomsel']</t>
  </si>
  <si>
    <t>['aplikasi', 'error', 'kebuka', 'tulisannya', 'memuat', 'halaman', 'kuota', 'bumn', 'aplikasi', 'kelas', 'amatir']</t>
  </si>
  <si>
    <t>['tingkatkan', 'kemudahan', 'pembayaran', 'dompet', 'digital', 'bank', 'kemudahan', 'pembayaran', 'tertinggal', 'dibanding', 'provider', '']</t>
  </si>
  <si>
    <t>['aplikasi', 'jelek', 'promo', 'mahal', 'lyanan', 'keluhan', 'pelanggan', 'respon', 'bgsatt']</t>
  </si>
  <si>
    <t>['buka', 'telkomsel', 'pakai', 'udh', 'diuninstal', 'ulang', 'msh', 'kebuka', '']</t>
  </si>
  <si>
    <t>['layanan', 'informasi', 'telkomsel', 'bermanfaat', 'pengguna', 'pelanggan', 'telkomsel', 'kali', 'klik', 'pakai', 'ribet', 'hadiahnya', 'mantap', '']</t>
  </si>
  <si>
    <t>['suka', 'aplikasi', 'telkomsel', 'bintang', 'aplikasi', 'telkomsel']</t>
  </si>
  <si>
    <t>['makasih', 'mytelkomsel', 'telkomsel', 'hadiah', 'mobil', 'toyota', 'yaris', 'uuh', 'mytelkomsel', 'promo', 'paketnya', 'cinta', 'deh', '']</t>
  </si>
  <si>
    <t>['selamat', 'pagi', 'app', 'telkomsel', 'update', 'gagal', 'memuat', 'tampilan', 'refresh', 'berkali', 'kali', 'refresh', 'tetep', 'penanganannya', '']</t>
  </si>
  <si>
    <t>['harga', 'murah', 'koneksi', 'internetnya', 'kayak', 'ampas', 'game', 'mmorpg', 'koneksinya', 'cepat', 'terputus', 'mnt', 'user', 'kecewa', '']</t>
  </si>
  <si>
    <t>['abis', 'update', 'dibuka', 'diupdet', 'giliran', 'klik', 'updatenya', 'tinggal', 'buka']</t>
  </si>
  <si>
    <t>['bangak', 'informasi', 'paket', 'internet', 'nelpon', 'aplikasi', '']</t>
  </si>
  <si>
    <t>['aplikasi', 'respon', 'menu', 'gitu', 'gitu', 'berat', 'sinyal', 'ngaco', 'profesional', 'kerja', 'parah', 'ngerugiin', 'pelanggan', 'down', 'truss', '']</t>
  </si>
  <si>
    <t>['', 'tinggal', 'kota', 'mamuju', 'pinggiran', 'kota', 'signal', 'kadang', 'lelet', 'banget', 'timbul', 'tenggelam', '']</t>
  </si>
  <si>
    <t>['tambahin', 'top', 'game', 'kyk', 'tambahin', 'paket', 'kayak', 'setahun', 'gitu', 'contohnya', 'kayak', 'beli', 'tpi', 'kadaluwarsa']</t>
  </si>
  <si>
    <t>['kasih', 'bintang', 'sinyalnya', 'jelek', 'banget', 'telkom', 'plz', 'tower', 'telkom', 'deket', 'rumahku', 'tiwer', 'banget', 'jangkauannya', 'tolong', 'direspon', 'udah', 'langganan', 'telkom', 'jaman', 'nokia', 'sampe', 'samsung', 'ngga', 'perubahan']</t>
  </si>
  <si>
    <t>['mantap', 'memudahkan', 'penukaran', 'poin', 'hadiahnya', 'semoga', 'keren', '']</t>
  </si>
  <si>
    <t>['isi', 'tanggal', 'paket', 'omg', 'gb', 'tanggal', 'dapet', 'sms', 'sisa', 'quota', 'mb', 'penggunaan', 'youtube', 'jarang', 'buka', 'aplikasi', 'telkomsel', 'memuat', 'halaman', 'aplikasi', 'offline', '']</t>
  </si>
  <si>
    <t>['pakai', 'paket', 'enak', 'paket', 'abis', 'abis', 'makasih', 'telkomsel', 'nilai', 'bintang', 'download', 'all', 'abis', 'suruh', 'pemiliknya', 'hack', 'akun', 'the', 'best', '']</t>
  </si>
  <si>
    <t>['beli', 'pulsa', 'kagak', 'masuk', 'masuk', 'saldo', 'udah', 'kepotong', 'tagihan', 'udah', 'orang', 'bilangin', 'darurat', 'nunggu', 'tlpn', 'parah', '']</t>
  </si>
  <si>
    <t>['tolong', 'banget', 'update', 'aplikasinya', 'ntar', 'nyesel', 'kayak', 'harga', 'paketnya', 'mahal', 'murah', 'cuman', 'dapet', 'gb', 'gb', 'tolong', 'banget', 'update', 'ntar', 'uang', 'boros', 'gara', 'telkomsel', 'hahaha', 'gb', 'udh', 'ilang', 'gara', 'diupdate', 'dengerin', 'kalimat', 'paket', 'spesial', 'untukmu', 'update', 'paketannya', 'mahal', '']</t>
  </si>
  <si>
    <t>['aplikasinya', 'gampang', 'dipakai', 'handal', 'realtime', 'informatif', 'bangett', 'poin', 'tukar', 'nyantol', 'semoga', 'periode', '']</t>
  </si>
  <si>
    <t>['maaf', 'lemot', 'udah', 'bayar', 'mahal', 'temen', 'beda', 'kartu', 'murah', 'cepet', 'udah', 'kuat', 'telkomasel']</t>
  </si>
  <si>
    <t>['kuota', 'internet', 'mahal', 'tolong', 'murahkan', 'selebihnya', 'oke']</t>
  </si>
  <si>
    <t>['prihatin', 'mahal', 'mahal', 'teman', 'eman', 'murah', 'telkomsel', 'bercanda', '']</t>
  </si>
  <si>
    <t>['harga', 'paket', 'datanya', 'murah', 'beli', 'ketiga', 'kecewa', 'pelanggan', 'telkomsel', '']</t>
  </si>
  <si>
    <t>['jaringannya', 'parah', 'banget', 'bintang', 'kasih', 'kecewa', 'gtu', 'harga', 'kuota', 'mahal']</t>
  </si>
  <si>
    <t>['aplikasi', 'gmna', 'cuman', 'muter', 'doank', 'masuk', 'gmana', 'maaf', 'kasih', 'bintang', 'doank']</t>
  </si>
  <si>
    <t>['saran', 'suda', 'bayak', 'isi', 'ulang', 'pulsa', 'transfer', 'pulsa', 'setidak', 'kasih', 'bonus', 'pulsa', '']</t>
  </si>
  <si>
    <t>['aplikasi', 'error', 'skrg', 'udah', 'aplikasi', 'belanja', 'online', 'beli', 'apapun', 'cepat', 'mudah', 'murah', 'promo', 'dibandingkan', 'aplikasi', 'telkomsel', '']</t>
  </si>
  <si>
    <t>['rekomendasikan', 'game', 'online', 'jaringan', 'telkomsel', 'ancur']</t>
  </si>
  <si>
    <t>['terima', 'kasih', 'telkomsel', 'membantu', 'aktifitas', 'sulit', 'mencari', 'paket', 'butuhkan', 'beraktifitas', 'terimakasih', '']</t>
  </si>
  <si>
    <t>['mahal', 'paketan', 'lemot', 'datanya', 'telkomsel', 'beda', 'mantap', 'mahalnya', '']</t>
  </si>
  <si>
    <t>['tolong', 'dibantu', 'udah', 'beli', 'paket', 'ketengan', 'youtube', 'pulsa', 'terpotong', 'buka', 'youtube', '']</t>
  </si>
  <si>
    <t>['kesini', 'parah', 'sinyal', 'pdhl', 'dsni', 'daerah', 'tower', 'sinyal', 'paket', 'nambah', 'batasi', 'unlimitid', 'harga', 'nambah', 'mahal', 'kualitas', 'sekelas', 'telkomsel', 'anti', 'badai', 'kaya', 'smartfren', 'tolong', 'dicek', 'perbaiki', 'kualitas', 'sinyal', 'trs', 'mobil', 'paket', 'merakyat', 'mahal', 'trs', 'mkch']</t>
  </si>
  <si>
    <t>['suruh', 'update', 'apk', 'udah', 'update', 'suruh', 'update', 'masuk', 'masuk', 'deh', '']</t>
  </si>
  <si>
    <t>['aplikasinya', 'bagus', 'tampilannya', 'rapi', 'ngga', 'ribet', 'dioperasikan', 'coba', 'tambahin', 'fitur', 'lock', 'pulsa', 'kehabisan', 'kuota', 'pulsanya', 'ngga', '']</t>
  </si>
  <si>
    <t>['sinyal', 'apekk', 'kalah', 'sebelah', 'didulunya', 'lelet', 'skrang', 'peningkatan', 'telkom', 'bagus', 'menurun', '']</t>
  </si>
  <si>
    <t>['paket', 'combo', 'murah', 'tolong', 'telkomsel', 'promo', 'paket', 'murah']</t>
  </si>
  <si>
    <t>['telkomsel', 'mkin', 'hri', 'mkin', 'parah', 'jelekx', 'jringan', 'telkomsel', 'sllu', 'mslah', 'stiap', 'bermsalah', 'jringanx', 'prnh', 'stabil', 'pling', 'mahal', 'dri', 'kertu', 'jringanx', 'mlah', 'hancurrr', 'tlong', 'prbaiki', 'jringanmu', 'uangx', 'suka', 'pntgkan', 'memakaix', 'gila', 'jringan', 'mkin', 'ksni', 'mkin', 'hancuuurrr', '']</t>
  </si>
  <si>
    <t>['apknya', 'jelek', 'banget', 'anjirrrrr', 'ong', 'apknya', 'bagus', 'pokoknya', 'sarankan', 'teman', 'donwload', 'apk', 'pakai', '']</t>
  </si>
  <si>
    <t>['ancur', 'kartu', 'paketan', 'mahal', 'sinyal', 'jumping', 'mulu', 'auto', 'patahin', 'kartu', 'beli', 'paketan', 'sampe', 'rb', 'dapet', 'sinyal', 'bagus', 'taunya', 'sinyal', 'kacang', 'mahal', 'doang', 'jual', 'kualitas', 'parah', 'jaringan', 'wifi', 'gratis', 'mending', 'beli', 'paket', 'kuota', 'kartu', 'sebelah', 'udh', 'keliatan', 'rb', 'dapet', 'gb', 'sinyal', 'bagus', 'nyiksa', 'rakyat', 'orang', 'beli', 'paket', 'mahal', 'pengen', 'sinyal', 'bagus', 'parah', '']</t>
  </si>
  <si>
    <t>['sinyal', 'area', 'makom', 'syekh', 'anom', 'sidakarsa', 'grogolbeningsari', 'petanahan', 'kab', 'kebumen', 'jawa', 'jelek', 'mohon', 'didirikan', 'tower', 'bts', 'telkomsel', 'area', 'tsb', 'pelanggan', 'telkomsel', 'terlayani', 'sinyal', 'terima', 'kasih', '']</t>
  </si>
  <si>
    <t>['perusahan', 'gede', 'rakyat', 'tipu', 'nuntut', 'singnl', 'lemot', 'nyesel', 'bertahun', 'ambil', 'untung', 'gede', 'layanan', 'turun']</t>
  </si>
  <si>
    <t>['jaringan', 'telkomsel', 'banjarnegara', 'lemah', 'notofikasi', 'hisa', 'buka', 'youtub', 'chrome', 'kuota', 'telkomsel', 'kecewa', 'jaringan', 'terluas', 'paket', 'mahal', 'imbangi', 'dingen', 'kualitas', 'kecepatan', 'signal', '']</t>
  </si>
  <si>
    <t>['maaf', 'beli', 'paket', 'telkomsel', 'mahal', 'mahal', 'temen', 'murah']</t>
  </si>
  <si>
    <t>['', 'perkotaan', 'jabodetabek', 'sinyak', 'kek', 'ampas', 'sesuai', 'harga', 'ujung', 'bales', 'keluhan', 'sistem', 'doang', 'peduli', 'sok', 'perkotaan', 'ajh', 'ampas']</t>
  </si>
  <si>
    <t>['telkomsel', 'parah', 'udah', 'mahal', 'jaringan', 'internet', 'maksimal', 'udah', 'kali', 'hubungi', 'perubahan', 'jelek', 'jaringan', 'telkomsel', '']</t>
  </si>
  <si>
    <t>['mohon', 'penjelasannya', 'pulsa', 'hilang', 'dipakai', 'kecuali', 'internetan', 'kuota', 'nilai', 'pulsa', 'hilang', 'takutnya', 'kedepannya', '']</t>
  </si>
  <si>
    <t>['benerin', 'sinyal', 'harga', 'mahal', 'sinyal', 'kek', 'sampah', 'main', 'game', 'lancar', 'giliran', 'ganti', 'telkomtod', 'reconnect', 'mulu', 'harga', 'mahal', 'kualitas', 'murahan']</t>
  </si>
  <si>
    <t>['sinyal', 'telkomsel', 'semangkin', 'menurun', 'kualitasnya', 'mohon', 'perhatikan', 'pelayanannya', 'kenyamanan', 'pelanggan', 'mksh']</t>
  </si>
  <si>
    <t>['berlangganan', 'lemot', 'kecewa', 'mohon', 'diperhatikan', 'lemot', 'terima', 'kasih']</t>
  </si>
  <si>
    <t>['telkomsel', 'sinyal', 'seluler', 'terburuk', 'kalah', 'kartu', 'murah', 'the', 'best', '']</t>
  </si>
  <si>
    <t>['tetangga', 'ane', 'pasang', 'wifi', 'indihome', 'jaringan', 'telkomsel', 'ane', 'lemot', 'beli', 'kuota', 'mahal', 'gimana', 'kecewa', 'ane', 'telkomsel', 'mendingan', 'pindah', 'jaringan']</t>
  </si>
  <si>
    <t>['ngg', 'isi', 'ulang', 'paket', 'combo', 'hiksss', 'sedih', 'kecewa', 'semoga', 'cepat', 'diatasi', 'telkomsel', 'loyal', '']</t>
  </si>
  <si>
    <t>['sinyal', 'nyendat', 'nyendat', 'kota', 'hutan', 'jengkel', 'kerjaan', 'sinyal', 'lemot', '']</t>
  </si>
  <si>
    <t>['sinyal', 'sngt', 'buruk', 'memutuskan', 'bye', 'bye', 'telkomsel', 'kartu', 'lbh', 'murah', 'kualitas', 'lbh', 'sprti', 'msh', 'bnyk', '']</t>
  </si>
  <si>
    <t>['', 'bagus', 'terkadang', 'seharian', 'jaringan', 'pakai', 'tolong', 'manjakan', 'konsumen', '']</t>
  </si>
  <si>
    <t>['menjangkau', 'kecamatan', 'lupa', 'kecamatan', 'lurah', 'rumah', 'warga', 'mengglobalkan', 'sinyal', 'tolong', 'bagusin', 'sinyalnya', 'kerumah', 'sampe', 'jamban', 'rumah', '']</t>
  </si>
  <si>
    <t>['knp', 'telkomsel', 'jaringannya', 'wilayah', 'palembang', 'maksimal', 'jdi', 'serba', 'lelet', 'gini', 'mohon', 'penjelasannya', 'terima', 'kasih']</t>
  </si>
  <si>
    <t>['', 'kali', 'jadul', 'mengalami', 'buka', 'koneksi', 'respon', 'kuota', 'mantap', 'harga', 'oke', 'perbulan', 'ribu', 'suka', 'gb', 'perbulan', 'ribu', 'koneksi', 'lancar', 'mantp', '']</t>
  </si>
  <si>
    <t>['betapa', 'ceatnya', 'jaringan', 'steaming', 'buffering', 'mulu', 'kau', 'banggakan', '']</t>
  </si>
  <si>
    <t>['mahal', 'jelek', 'kaga', 'jalan', 'buka', 'apapun', 'off', 'mode', 'pesawat', 'kaga', 'jalan', 'lucu', 'lawak', 'metode', 'penyelesaiannya', 'praktikan', 'gitu', 'kaga', 'bagus', 'mundur', 'ngasih', 'bintang', 'doyan', 'telponan', 'butuh', 'internet', 'produknya', 'amburadul', 'khas', 'iklan', 'kenyataan', 'bertabrakan', 'semoga', 'cepat', 'sadar', 'ngak', 'sadar', 'siraman', 'rohani', 'eit', 'salah', 'masuk', 'rumah', 'sakit', 'jiwa', '']</t>
  </si>
  <si>
    <t>['tagihan', 'jatuh', 'tempo', 'knapa', 'giliran', 'bayar', 'eror', 'kuota', 'doble', 'tagihan', 'balangsak', '']</t>
  </si>
  <si>
    <t>['jaringan', 'telkomsel', 'jelek', 'males', 'gunain', 'telkomsel', 'sebenernya', 'kasih', 'bintang', 'kayak', 'gini', 'jaringannya', 'yaudah', 'bintang', 'minggu', 'jaringannya', 'jelek', 'enakkan', 'pakek', 'provider', 'tolong', 'telkomsel', 'benarkan', 'jaringannya', '']</t>
  </si>
  <si>
    <t>['provider', 'bangke', 'isi', 'pulsa', 'gocap', 'udah', 'potong', 'perak', 'pas', 'ngisi', 'provider', 'ngurangin', '']</t>
  </si>
  <si>
    <t>['telkomsel', 'nggak', 'otak', 'signal', 'benerin', 'indonesia', 'napa', 'signal', 'gangguan', 'parah', 'bet']</t>
  </si>
  <si>
    <t>['apk', 'bagus', 'beli', 'paket', 'internet', 'ayo', 'buruan', 'download', 'apk', 'bagus', 'banget', 'pandang', 'pandang', 'utang', 'kah', '']</t>
  </si>
  <si>
    <t>['gua', 'beli', 'pulsa', 'trus', 'gua', 'mao', 'top', 'codashop', 'gua', 'udh', 'klik', 'pembayaran', 'udh', 'selesai', 'trus', 'gua', 'login', 'game', 'blm', 'masuk', 'diamond', 'game', 'codashop', 'gua', 'beli', 'harganya', 'trus', 'sampe', 'blm', 'masuk', 'astaga', 'telkomsel']</t>
  </si>
  <si>
    <t>['tolong', 'jaringannya', 'dibenerin', 'update', 'aplikasinya', 'mulu', 'trus', 'kuota', 'pulsa', 'kepotong', '']</t>
  </si>
  <si>
    <t>['sinyal', 'tolong', 'tingkatkan', 'jaringan', 'eror', 'lokasi', 'natar', 'lampung', 'selatan']</t>
  </si>
  <si>
    <t>['temen', 'temen', 'telkomsel', 'telkomsel', 'mending', 'ganti', 'kartu', 'jaringan', 'telkomsel', 'udah', 'nggak', 'sebagus', 'lemot', 'nggak', '']</t>
  </si>
  <si>
    <t>['telkom', 'jelek', 'jaringanya', 'didaerah', 'jakarta', 'jelek', 'menang', 'mahal', 'blm', 'dibenerin', 'lawak', 'telkom', 'ngeluarin', 'duit', 'elu', 'elu', 'ngeluarin', 'kecepatan', 'kaya', 'kecepatan', 'internet', 'kaya', 'zaman', 'mendingan', 'ganti', 'kartu', 'bsk', 'gunain', 'telkom', 'dehh', 'bro', 'menang', 'periklanan', 'mending', 'pilih', 'operator', 'emang', 'nyaman', 'didaerah', 'elu', 'mah', 'saran', 'ngomong', 'kaya', 'gini', 'bkn', 'brt', 'oprat']</t>
  </si>
  <si>
    <t>['jaringan', 'telkomsel', 'kampung', 'pegunungan', 'internetan', 'gorowong', 'desa', 'maroko', 'kecamatan', 'cibalong', 'kabupaten', 'garut', '']</t>
  </si>
  <si>
    <t>['kecewa', 'th', 'keluarga', 'memakai', 'kartu', 'telkomsel', 'jaringan', 'susah', 'tarif', 'mahal', 'sinyal', 'lancar', 'lancar', 'beban', 'banget']</t>
  </si>
  <si>
    <t>['makasih', 'telkomsel', 'setia', 'mendampingi', 'kecewa', 'kadang', 'bagus', 'kadang', 'jelek', 'jaringannya', 'sinyalnya', '']</t>
  </si>
  <si>
    <t>['maaf', 'telkomsel', 'pilihan', 'kualitas', 'sinyal', 'buruk', 'pertahankan', 'disaat', 'provider', 'berlomba', 'memperbaiki', 'sinyal', 'mutu', 'membaik', 'memburuk', 'telpon', 'putus', 'sinyal', 'internet', 'butuh', 'penyelesaian', 'sekedar', 'email', 'reply', 'otomatis', 'trima', 'kasih']</t>
  </si>
  <si>
    <t>['kuota', 'mahal', 'kecepatan', 'internetnya', 'lemot', 'parah', '']</t>
  </si>
  <si>
    <t>['gimana', 'jelek', 'banget', 'sinyal', 'paket', 'mahal', 'dipake', 'mobile', 'legend', 'ping', 'merah', 'tanggerang', 'diem', 'kota', 'jelek', 'ampun', 'setaaaaan']</t>
  </si>
  <si>
    <t>['pilihan', 'paket', 'beragam', 'hasil', 'sinyal', 'merata', 'hang', 'tmpt', '']</t>
  </si>
  <si>
    <t>['jaringan', 'internet', 'diwilayah', 'tepatnya', 'gorontalo', 'jelek', 'sbg', 'informasi', 'pecinta', 'telkomsel', 'jaringan', 'telkomsel', 'kunjung', 'membaik', 'beralih', 'internet', 'prioritas', 'dlm', 'kegiatan', 'wss']</t>
  </si>
  <si>
    <t>['maaf', 'mahalnya', 'banget', 'paketannya', 'kadang', 'koneksi', 'terputus', 'aktifitas', 'semoga', 'imbang', 'mahal', 'lancarnya', 'diluar', 'kendala', 'apapun', 'karna', 'konsumen', 'bayar', 'ngutang', 'ngutang', 'kendala', 'kompensasi', 'karna', 'ngutang', 'ngutang', 'sistem', 'ngutang', 'telkom', 'paket', 'tinggal', 'pelayanannya', 'telkom', '']</t>
  </si>
  <si>
    <t>['ribett', 'lihat', 'rincian', 'sandi', 'pin', 'layar', 'apalah', 'gitu', 'gitu', 'kaliiiiiii', 'banking', 'ribet', 'perbaiki', 'tuuu', 'sakit', 'hati', 'gue', 'gini', 'sandi', 'sandi', 'otp', 'donk', '']</t>
  </si>
  <si>
    <t>['jaringan', 'lemah', 'beli', 'kuota', 'rumor', 'jaringan', 'telkomsel', 'bermasalah', 'pulih', 'terima', 'kasih']</t>
  </si>
  <si>
    <t>['kesel', 'ama', 'kartu', 'beli', 'paket', 'masuk', 'pulsa', 'mah', 'berkurang', 'ngasih', 'harapan', 'palsu', 'klw', 'menepati', 'paket', 'murah', 'giliran', 'beli', 'masuk', 'php', 'mulu', 'kesellllll']</t>
  </si>
  <si>
    <t>['', 'ribu', 'pulsa', 'abis', 'loading', 'masuk', 'mytelkomsel', 'pemakaian', 'internet', 'biaya', 'saran', 'ganti', 'direksi', 'ganti', 'orang', 'sistem', 'merugikan', 'kaya', 'gini', 'dipake', 'telkomsel', 'mumpung', 'provider', 'favorit', 'masyarakat', 'perbaikilah']</t>
  </si>
  <si>
    <t>['uda', 'bagus', 'mohon', 'kemurahan', 'bonus', 'combo', 'unlimited', 'bonus', 'pulsa', 'pengguna']</t>
  </si>
  <si>
    <t>['kurangi', 'tuker', 'poin', 'alasan', 'sibuk', 'mulu', 'poin', 'poin', 'bnyk', 'hangus', 'doang', 'kasih', 'poin', 'jga', '']</t>
  </si>
  <si>
    <t>['apk', 'udh', 'bagus', 'jaringan', 'tergantung', 'tkp', 'terkadang', 'promo', 'paket', 'internet', 'cuman', 'min', 'tolong', 'adakan', 'vitur', 'pulsa', 'safe', 'ngalamin', 'pulsa', 'daftarin', 'paket', 'gada', 'langsung', 'ilang', 'rugi', 'tolong', 'min', 'vitur', 'pulsa', 'save', 'gini', 'trus', 'ganti', 'kartu', 'kasih', 'bintang', 'baca', 'developer']</t>
  </si>
  <si>
    <t>['kesini', 'puas', 'telkomsel', 'ayolah', 'perbaiki', 'konsumen', 'pindah', 'provider', '']</t>
  </si>
  <si>
    <t>['telkom', 'suka', 'ilang', 'sinyalnya', 'kayak', 'bansos', 'gapapa', 'kabel', 'dilaut', 'udh', 'dibenerin', 'tambahin', 'speednya', 'ngehubungin', 'susah', 'gegara', 'sinyal', 'burik', 'kek', 'epep', 'mumpung', 'gini', 'harga', 'paketan', 'turunin', 'kasian', 'gitu', 'orang', 'gitu', 'teman', 'protes', 'knp', 'harganya', 'mahal', 'yntkts']</t>
  </si>
  <si>
    <t>['mimin', 'bantu', 'silakan', 'konfirmasi', 'bla', 'bla', 'bla', 'knpa', 'langsung', '']</t>
  </si>
  <si>
    <t>['telkomsel', 'gangguan', 'internet', 'ngilang', 'lelet', 'paket', 'serba', 'mahal']</t>
  </si>
  <si>
    <t>['sinyalnya', 'kesini', 'gitulah', 'tolonglah', 'harganya', 'diturunin', 'kasihan', 'misqueen', '']</t>
  </si>
  <si>
    <t>['mengeluh', 'ttg', 'paket', 'terpakai', 'kebeli', 'keluhan', 'paket', 'asalnya', 'murah', 'trus', 'paket', 'pilih', 'beli', 'trus', 'paket', 'ceritanya', 'terbeli', 'tpi', 'utuh', 'surut', 'sampe', 'abis', 'pemakaian', 'intinya', 'memakai', 'telkomsel', 'puas', 'seratus', 'persen', 'nyaman', 'trim', 'mimin', '']</t>
  </si>
  <si>
    <t>['praktis', 'pelanggan', 'kartu', 'halo', 'dapatkan', 'karna', 'pelanggan', 'setia', 'telkomsel', 'cuman', 'hadiah', 'mengesankan', '']</t>
  </si>
  <si>
    <t>['', 'oku', 'sum', 'sel', 'jaringan', 'lemot', 'tolong', 'tindak', 'lanjuti', 'terima', 'kasih']</t>
  </si>
  <si>
    <t>['cieee', 'jual', 'internet', 'mahal', 'sinyal', 'ampas', 'gerangan', 'sinyalnya', 'hutan', 'belantara', 'hutan', 'belantara', 'sinyalnya', 'wkwkwk', 'canda']</t>
  </si>
  <si>
    <t>['mohon', 'sma', 'telkomsel', 'jaringan', 'perbaiki', 'beli', 'paket', 'internet', 'mahal', 'seharus', 'sesuai', 'kecepatannya', 'ngirim', 'chat', 'terkirim', '']</t>
  </si>
  <si>
    <t>['susah', 'buka', 'aplikasi', 'kesalahan', 'mulu', 'susah', 'cek', 'pulsa', 'kuota', 'beli', 'paketan', '']</t>
  </si>
  <si>
    <t>['', 'wilayah', 'sinyalnya', 'bagus', 'indosat', 'harga', 'murah', 'promo', '']</t>
  </si>
  <si>
    <t>['buruk', 'perusahaan', 'aplikasi', 'stabil', '']</t>
  </si>
  <si>
    <t>['aplikasi', 'orang', 'muak', 'batasi', 'malas', 'mimin', 'tolong', 'hapus', 'aplikasiya', 'jengkel', 'batasi', '']</t>
  </si>
  <si>
    <t>['kecewa', 'telkomsel', 'karna', 'kuota', 'game', 'max', 'pke', 'freefiree', 'sya', 'mohon', 'paket', 'gamemaxnya', 'pakai', 'main', 'gam', 'free', 'free', 'telkomsel', 'ase', 'jaringanya', 'lemot', 'anjen']</t>
  </si>
  <si>
    <t>['hallo', 'telkomsel', 'kuota', 'dpi', 'mengakses', '']</t>
  </si>
  <si>
    <t>['update', 'notifikasi', 'nongol', 'melulu', 'mengganggu', '']</t>
  </si>
  <si>
    <t>['jaringan', 'telkomsel', 'meleset', 'leletnya', 'ketolongan', 'perawang', 'riau', 'pakai', 'paket', 'loading', 'terussss', 'mutar', 'mutar', 'pusing', 'kepala', 'gimana', 'kasih', 'bintang', 'terbaik', '']</t>
  </si>
  <si>
    <t>['pelayanan', 'telkomsel', 'bagus', 'tingkatkan', 'pelayanan', 'pelanggannya', '']</t>
  </si>
  <si>
    <t>['quota', 'internet', 'telkomsel', 'dipakai', 'daring', 'bantuan', 'wifi', 'dirumah', 'buffering', 'mahal', 'gapapa', 'bagus', 'kualitasnya', 'bos', 'kecewa']</t>
  </si>
  <si>
    <t>['kecewa', 'dipaket', 'tertulis', 'oaket', 'multimedia', 'games', 'gb', 'login', 'game', 'ngaco']</t>
  </si>
  <si>
    <t>['bayar', 'pasca', 'bayar', 'kuota', 'inet', 'habis', 'blm', 'dipake', 'jaringan', 'maximal', 'booster', 'perbaiki', 'curang']</t>
  </si>
  <si>
    <t>['kartu', 'beli', 'paket', 'mahal', 'yaa', 'pdhl', 'nomor', 'thn', 'masak', 'kalah', 'kartu', '']</t>
  </si>
  <si>
    <t>['jaringan', 'telkom', 'pulih', 'merugikan', 'minggu', 'jaringan', 'memuaskan']</t>
  </si>
  <si>
    <t>['bintang', 'pokoknya', 'karna', 'kelebihan', 'telkomsel', 'makan', 'data', 'cepat']</t>
  </si>
  <si>
    <t>['telkomsel', 'siknal', 'bagus', 'mahal', 'bumn', 'merakyat', 'swasta', 'murah', 'terbalik', 'swasta', 'mahal', '']</t>
  </si>
  <si>
    <t>['', 'nia', 'cari', 'jaringan', 'jau', 'gitu', 'sakarang', 'sinyal', 'telkomeel', 'udah', 'rumah', 'asik', 'deh', 'pokoknya', 'kartu', 'telkomsel']</t>
  </si>
  <si>
    <t>['aplikasinya', 'berat', 'buka', 'ditambah', 'kualitas', 'internet', 'buruk', 'aplikasi', 'dibuka', 'jaringan', 'internetnya', 'grafik', 'jangka', 'menit', 'grafik', 'detak', 'jantung', 'alat', 'medis', '']</t>
  </si>
  <si>
    <t>['isi', 'kuota', 'telkomsel', 'masuk', 'masuk', 'respon', 'customer', 'services', 'sanagat', 'lambat', 'solusi']</t>
  </si>
  <si>
    <t>['hufttt', 'jaringan', 'telkomsel', 'emosi', 'ngelegnya', 'yaa', 'ampunn', 'parah', 'bgtt', 'harganya', 'mahall']</t>
  </si>
  <si>
    <t>['tertipu', 'pulsa', 'ludes', 'baca', 'berita', 'facebook', 'muncul', 'penawaran', 'paket', 'disitu', 'menjengkelkan', 'langsung', 'membatalkan', 'aktivasi', 'cepat', 'klik', 'notif', 'kehilangan', 'pulsa']</t>
  </si>
  <si>
    <t>['telkomsel', 'saran', 'masukan', 'coba', 'tambahin', 'fitur', 'aplikasi', 'telkomsel', 'pulsa', 'ditukar', 'uang', 'nomor', 'rekening', 'ewalet', 'gitu', '']</t>
  </si>
  <si>
    <t>['jaringan', 'smakin', 'lancar', 'quota', 'jaringan', 'sinyal', 'full', 'tpi', 'lelet', 'kadang', 'internet', 'jalan', '']</t>
  </si>
  <si>
    <t>['jaringan', 'telkomsel', 'parah', 'tepatnya', 'tanggal', 'september', 'tinggal', 'kota', 'medan', 'parah', 'jaringan', 'telkomsel', 'beralih', 'ganti', 'kartu', '']</t>
  </si>
  <si>
    <t>['puas', 'kartu', 'hallo', 'pulsa', 'habis', 'butuh', 'isi', 'pulsa', '']</t>
  </si>
  <si>
    <t>['', 'jaringan', 'down', 'pulsa', 'dikonsumsi', 'sms', 'telpon', 'internet', '']</t>
  </si>
  <si>
    <t>['tolong', 'telkomsel', 'nge', 'nawarin', 'pengguna', 'terganggu', '']</t>
  </si>
  <si>
    <t>['gua', 'bingung', 'deh', 'gua', 'udah', 'beli', 'kuota', 'harga', 'kuota', 'mulu', 'naiknya', 'hmm']</t>
  </si>
  <si>
    <t>['terkadang', 'ngelag', 'mohon', 'perbaikannya', 'min', 'terimakasih', 'pulsa', 'berkurang', 'min', '']</t>
  </si>
  <si>
    <t>['', 'telpon', 'marketing', 'suruh', 'pindah', 'pasca', 'bayar', 'setuju', 'catatan', 'bln', 'pra', 'bayar', 'bln', 'pemakaian', 'berhenti', 'berlangganan', 'kartu', 'hangus', 'koq', 'telkomsel']</t>
  </si>
  <si>
    <t>['sinyal', 'kota', 'jelek', 'membeli', 'kuota', 'harga', 'dpt', 'sinyal', 'sgt', 'lelet', 'mengirim', 'chat', 'whatsapp', 'lelet', 'tolong', 'baca', 'bantu', 'gimana', 'penyelesaian', 'kota', 'tanjung', 'pura', 'sumatra', 'utara']</t>
  </si>
  <si>
    <t>['sinyal', 'data', 'lemot', 'lemot', 'make', 'telkomsel', 'peningkatan', 'kecepatan', 'data', '']</t>
  </si>
  <si>
    <t>['jelek', 'bagus', 'berhari', 'jaringan', 'kacau', 'akses', 'internet', 'maklumi', 'memangnya', 'internet', 'gratis', 'memangnya', 'paket', 'internet', 'telkomsel', 'murah', 'pelanggan', 'kecewa', 'tanggung', 'aktifitas', 'pekerjaan', 'terganggu', 'jaringan', 'bagus', 'stabil', 'jangkauan', 'area', 'upgrade', '']</t>
  </si>
  <si>
    <t>['payah', 'telkomsel', 'bintang', 'udh', 'beli', 'pulsa', 'ambil', 'paket', 'ujung', 'pulsa', 'hilang', '']</t>
  </si>
  <si>
    <t>['menyukai', 'afk', 'hnya', 'trima', 'kasih', 'sukses', '']</t>
  </si>
  <si>
    <t>['sinyal', 'lemot', 'ngalahin', 'siput', 'paketan', 'mahal', 'kalahin', 'exis', 'im', 'lma', 'gini', 'mending', 'pindah', 'kartu', '']</t>
  </si>
  <si>
    <t>['lemot', 'parah', 'jakarta', 'auto', 'buang', 'kartu', 'ganti', 'indosat', 'telkomsel', 'mengecewakan', 'bagus', 'parah', 'paket', 'data', 'gb', 'buka', 'game', 'hadehhhhh']</t>
  </si>
  <si>
    <t>['jaringan', 'telkomsel', 'diperluas', 'diperkuat', 'konsumen', 'kecewa', 'daerah', 'support', 'jaringan', 'telkomsel', 'iklan', 'jaringan', 'terluas', 'tolong', 'baca']</t>
  </si>
  <si>
    <t>['dear', 'telkomsel', 'terhormat', 'hadiah', 'giveaway', 'instagram', 'mlm', 'tanggal', 'maret', 'transfer', 'saldo', 'gopay', 'php', 'giveaway', 'kalah', 'bayar', 'hadiah', 'masuk', 'hadiah', 'kunjung', 'niat', 'kasih', 'hadiah', 'giveaway', 'instagram', '']</t>
  </si>
  <si>
    <t>['bagus', 'informasi', 'kuota', 'dicantumin', 'disuruh', 'chat', 'ama', 'bot', '']</t>
  </si>
  <si>
    <t>['jaringan', 'hancur', 'kerja', 'kerja', 'mundur']</t>
  </si>
  <si>
    <t>['paketnya', 'murah', 'jaringannya', 'turun', 'terlkomsel', 'gini', 'nggak', 'kek', 'gini']</t>
  </si>
  <si>
    <t>['apk', 'poin', 'menangkan', 'orang', 'dlam', 'sya', 'udah', 'undinag', 'poin', 'pulsapun', 'pdahal', 'poin', 'tukarkan', 'penipuan', 'licik', 'paket', 'mahal', 'sinyalny', 'slalu', 'eror', 'apk', 'pulsa', 'terpotong', 'habiskan', 'pembodohan', '']</t>
  </si>
  <si>
    <t>['costumer', 'servis', 'bot', 'gaada', 'live', 'promo', 'shopeepay', 'udah', 'berlaku', 'periode', '']</t>
  </si>
  <si>
    <t>['pulsa', 'tersedot', 'alasan', 'panggilan', 'sekian', 'menit', 'panggilan', 'cek', 'panggilan', 'tolong', 'diperhatikan', 'keluhan', 'konsumen', 'sbb', 'kartu', 'telkomsel', 'udah', 'hmpir', 'sepuluh', 'pakai', 'tolong', 'dicek', 'ketidak', 'beresan']</t>
  </si>
  <si>
    <t>['tolong', 'min', 'koneksii', 'jaringan', 'dibaiki', 'gada', 'ujan', 'gada', 'cuaca', 'cerah', 'ngga', 'dlu', 'bagus', 'sinyal', 'kamii', 'butuh', 'koneskinya', 'min', 'diperbaiki', 'lagiii', 'terimakasih', '']</t>
  </si>
  <si>
    <t>['pengguna', 'telkomsel', 'tawarkan', 'beralih', 'kartu', 'hallo', 'telkomsel', 'jaringannya', 'jelek', 'kalah', 'jaringannya', 'kartu', 'payah', 'jaringan', 'telkomsel', 'kecewa']</t>
  </si>
  <si>
    <t>['daftar', 'paket', 'promo', 'internet', 'harga', 'kuota', 'kuota', 'internet', 'lokal', 'kuota', 'internet', 'kuota', 'conference', 'dipake', 'rugiii', 'aing']</t>
  </si>
  <si>
    <t>['internet', 'mahal', 'jaringan', 'nyesel', 'make', 'telkomsel', 'untung', 'dual', 'sim', 'provider', 'sebelah', '']</t>
  </si>
  <si>
    <t>['cek', 'pulsa', 'kuota', 'produk', 'ditawarkan', 'mudah', 'ribet', 'tinggal', 'klik', 'langsung', 'terbuka']</t>
  </si>
  <si>
    <t>['pengguna', 'tlkmsel', 'perna', 'ganti', 'kartu', 'selai', 'telkomsel', 'jaringannya', 'susah', 'lelet']</t>
  </si>
  <si>
    <t>['kecewa', 'telkomsel', 'minggu', 'paket', 'beli', 'bln', 'habis', 'hangus', 'terpakai', 'dikarnakan', 'jaringan', 'eror', 'trs', 'mohon', 'ganti', 'rugi', 'perpanjangan', 'aktif', 'paket', '']</t>
  </si>
  <si>
    <t>['paket', 'internet', 'mahal', 'paketan', 'khusus', 'internet', 'jaringan', 'telkomsel', 'menurun', 'bagus', 'jaringannya', '']</t>
  </si>
  <si>
    <t>['kualitas', 'sinyal', 'jelek', 'stabil', 'aplikasi', 'loading', 'berat', 'alias', 'paket', 'suka', 'motong', 'paket', 'utama', 'haiyaaaaa', '']</t>
  </si>
  <si>
    <t>['alhamdulillah', 'pelayanan', 'telkomsel', 'memuaskan', 'semoga', 'kedepannya', 'ditingkatkan', '']</t>
  </si>
  <si>
    <t>['telkomsel', 'pengen', 'kaya', 'harga', 'kuota', 'internet', 'telkomsel', 'mahal', 'jaringannya', 'lemot', 'parah', 'dasar', 'telkomsel', 'bangsata']</t>
  </si>
  <si>
    <t>['suka', 'error', 'jalan', 'ulang', 'ulang', 'buka', 'aplikasi', 'akses', 'aplikasi', 'berbayar', 'pelit', 'telkomsel', '']</t>
  </si>
  <si>
    <t>['bermanfaat', 'mudah', 'dilengkapi', 'promo', 'diskon', 'paket', 'datanya']</t>
  </si>
  <si>
    <t>['update', 'update', 'ulangi', 'kali', 'permintaannya', 'kuota', 'update', 'mytelkomsel', 'terpotong', 'please', 'bantu', 'telkomsel', 'terima', 'kasih']</t>
  </si>
  <si>
    <t>['senang', 'mengembalikan', 'nomer', 'terblokir', 'respon', 'cepat', 'ramah', 'terima', 'kasih', 'telkomsel']</t>
  </si>
  <si>
    <t>['bgs', 'keren', 'knp', 'jaringan', 'hilang', 'timbul', 'sendat', 'sendut', 'telkom', 'sprti', 'skrg', 'jaringan', 'stelah', 'masuk', 'jaringan', 'parah', 'udh', 'paketan', 'jaringan', 'lemot', 'sendat', 'sendut', 'payah', 'telkom', 'skrg', 'kalah', 'jaringan', 'kartu', 'perbaiki', 'naikin', 'harga', 'mahal', 'lemak', 'telkom', 'pelanggan', 'setia', 'telkom', 'sngt', 'kecewa', '']</t>
  </si>
  <si>
    <t>['pindah', 'indosat', 'jaringan', 'lumayan', 'lancar', 'telkomsel', 'sekian', 'terimakasih']</t>
  </si>
  <si>
    <t>['sayangkan', 'pengurusan', 'sim', 'card', 'hilang', 'grapari', 'terbelit', 'belit', 'berlangganan', 'ganti', 'nomer', 'telkomsel', 'persyaratan', 'ktp', 'asli', 'keberatan', 'membawa', 'persulit', 'mohon', 'tinjau', 'prosedur', '']</t>
  </si>
  <si>
    <t>['sinyaaallnnya', 'kyk', 'am', 'angin', 'sinyal', 'ilang', 'sayq', 'bela', 'belain', 'beli', 'simpati', 'sinyal', 'stabil', 'parah', 'nonton', 'youtube', 'kualitas', 'ngelag', 'istigfar']</t>
  </si>
  <si>
    <t>['telkomsel', 'suka', 'telkomsel', 'sinyal', 'pelosok', 'jaringan', 'telkomsel', 'udah', 'stabil', 'kota', 'harga', 'paket', 'berharap', 'harga', 'paket']</t>
  </si>
  <si>
    <t>['sinyal', 'telkomsel', 'lelet', 'kmr', 'sinyal', 'keseringan', 'pdhl', 'mahal', 'sinyal', 'busuk', 'pdhl', 'ditengah', 'kota', 'dipedalaman', '']</t>
  </si>
  <si>
    <t>['sinyal', 'telkomsel', 'parah', 'kalah', 'sma', 'kartu', 'murah', 'gue', 'pengguna', 'telkomsel', 'sinyal', 'parah', 'paket', 'mahal', 'sinyal', 'buruk', 'main', 'game', 'internet', 'sosial', 'media', 'lemot', '']</t>
  </si>
  <si>
    <t>['kecewa', 'telkomsel', 'hilang', 'pulsa', 'paket', 'quota', 'aktif', 'transaksi', 'apapun', 'nomor', 'tolong', 'perbaiki', 'sistem', 'safe', 'customer', 'rugikan', 'kecewa', 'banget']</t>
  </si>
  <si>
    <t>['jaringan', 'masang', 'indihome', 'hilang', 'sinyal', 'kartu', 'jaringan', 'alesan', 'kabel', 'laut', 'digigit', 'hiu', 'skrg', 'alesan', '']</t>
  </si>
  <si>
    <t>['top', 'kuota', 'eror', 'sampe', 'log', 'out', 'sndri', 'point', 'point', 'tuker', 'voucher', 'kuota', 'bsa', 'trus', 'ngumpulin', 'point', 'bsa', 'hangus', 'jdnya', '']</t>
  </si>
  <si>
    <t>['aplikasi', 'menguntungkan', 'ber', 'rejeki', 'bernasib', 'rejeki', 'allah', 'mengatur', 'manusia', 'berusaha', 'semoga', 'anggota', 'telkomsel', 'lindungan', 'allah', 'swt', 'amin', 'rabb', '']</t>
  </si>
  <si>
    <t>['signal', 'not', 'good', 'kalah', 'ama', 'sikuning', 'kejadian', 'alami', 'pulsa', 'mencukupi', 'beli', 'kuota', 'paket', 'ojol', 'udah', 'dicoba', 'gagal', 'sampe', 'direbot', 'hape', 'gagal', 'sampe', 'pulsa', 'kepotong', 'rb', 'udeh', 'gitu', 'sms', 'mengakses', 'internet', 'non', 'paket', 'coba', 'paketin', 'kaga', 'pulsa', 'diberkurang', '']</t>
  </si>
  <si>
    <t>['mohon', 'sistem', 'pengambilan', 'pulsa', 'dihapus', 'kali', 'sadar', 'pulsa', 'langsung', 'habis', 'dibelikan', 'paket', 'internet', 'diaplikasi', 'paket', 'internet', 'dibeli', 'pemberitahuan', 'pulsa', 'berkurang', 'gara', 'data', 'aktif', 'sblm', 'paket', 'aktif', 'kecewa', 'sistemnya', '']</t>
  </si>
  <si>
    <t>['pulsa', 'transfer', 'pulsa', 'gagal', 'pulsa', 'terpotong', 'confirm', 'lengkap', 'kronologi', 'pulsa', '']</t>
  </si>
  <si>
    <t>['', 'allah', 'seumur', 'ngerasain', 'signal', 'sel', 'lelet', 'let', 'let', 'ampuunnm', 'isi', 'paketan', 'digunain', 'solusinya', 'min']</t>
  </si>
  <si>
    <t>['', 'lancar', 'maen', 'game', 'lag', 'bet', 'ping', 'emang', 'konthool', 'lose', 'gegara', 'diem', 'doang', 'afk', 'mulu', 'amjing', 'kuota', 'mahal', 'dapet', 'ping', 'ashu', '']</t>
  </si>
  <si>
    <t>['halo', 'kak', 'kak', 'knpa', 'upgrade', 'tpi', 'mntak', 'pembaruan', 'pdhal', 'upgrade', 'hmmm']</t>
  </si>
  <si>
    <t>['beli', 'anlimited', 'data', 'pas', 'make', 'data', 'anlimited', 'lemot', 'banget', 'nonton', 'youtube', 'tolong', 'perbaki', 'lgi', '']</t>
  </si>
  <si>
    <t>['beli', 'paket', 'mahal', 'jaringan', 'setara', 'harga', 'paket', 'besok', 'jual', 'paket', 'mahal', 'jaringan', 'jagan', 'lemot', 'jaringan', 'lemot', 'bangat', 'kayak', 'siput', 'ajg', '']</t>
  </si>
  <si>
    <t>['membantu', 'mencek', 'kuota', '']</t>
  </si>
  <si>
    <t>['sinyal', 'kek', 'taiii', 'lag', 'parah', 'benahi', 'rating', 'bagus']</t>
  </si>
  <si>
    <t>['ingetin', 'jngan', 'telkomsel', 'guys', 'sia', 'sia', 'beli', 'paket', 'rb', 'jaringan', 'kualitasnya', 'lag', 'parah', 'mending', 'tri', 'murah', 'kualitasnya', 'murahan', 'udah', 'mahal', 'kualitasnya', 'murahan', '']</t>
  </si>
  <si>
    <t>['paket', 'belajar', 'giliran', 'cek', 'data', 'berkurang', 'gimana', 'salah', 'telkomsel', 'nyesel', 'gua', 'beli', 'paket', 'uda', 'mahal', 'tpi', 'bsa']</t>
  </si>
  <si>
    <t>['pas', 'upgrade', 'jelek', 'sinyal', 'amit', 'koq', 'kesini', 'jelek', 'udah', 'mahal', 'sinyal', 'kyk', 'kartu', 'gakin', '']</t>
  </si>
  <si>
    <t>['jaringan', 'telkomsel', 'memaafkan', 'september', 'pelanggan', 'setia', 'kecewa', 'karna', 'sinyal', 'jaringan', 'data', 'redmi', 'not', 'pro', 'busuk', 'rasakan', 'papua', 'jawa', 'kalimantan', 'mohon', 'secepat', 'perbaiki', 'kenyamanan', 'signal', '']</t>
  </si>
  <si>
    <t>['jujur', 'kcewa', 'bnget', 'poin', 'telkomsel', 'skali', 'gunanya', 'tlong', 'poin', 'telkomsel', 'berguna', 'mna', 'bsa', 'dipake', 'terdesak']</t>
  </si>
  <si>
    <t>['provider', 'gblk', 'harga', 'kuota', 'mahal', 'ngapa', 'in', 'lag', 'ajg', 'mending', 'jualan', 'pecel', 'lele', 'mahal', 'doang', 'kualitas', 'kentang']</t>
  </si>
  <si>
    <t>['monmaaf', 'tuker', 'poin', 'undian', 'pulsa', 'semacamnya', 'tpi', 'menunggu', 'kabar', 'notif', 'merugikan', 'pelanggannya', 'tuker', 'point', '']</t>
  </si>
  <si>
    <t>['mahal', 'operator', 'kualitas', 'signal', 'kualitas', 'jaringan', 'buruk', 'bungkusnya', 'doang', 'bagus', 'gua', 'rela', 'mahal', 'sesuai', 'dngn', 'kualitas', 'jaringan', 'signal']</t>
  </si>
  <si>
    <t>['kwalitas', 'menurun', 'menjaga', 'keberlangsungan', 'poin', 'mimin', 'solusi', 'badan', 'usaha', 'apapun', 'runtuh', 'inovativ', 'menyajikan', 'produk', 'sesuai', 'kebutuhan', 'konsumen', '']</t>
  </si>
  <si>
    <t>['kecewa', 'beli', 'paket', 'gagal', 'koneksi', 'koneksi', 'bagus']</t>
  </si>
  <si>
    <t>['berharga', 'sempurna', 'tepatnya', 'berharga', 'membutuhkannya', 'berharga', 'membutuhkan']</t>
  </si>
  <si>
    <t>['ancur', 'sinyalnya', 'kuota', 'maen', 'game', 'gerak', 'buffering', 'mulu', 'game', 'tolong', 'diperbaiki']</t>
  </si>
  <si>
    <t>['tolong', 'berhutang', 'pulsa', 'isi', 'pulsa', 'otomatis', 'kepotong', 'tinggal', 'beli', 'paket', 'seharga', 'seminggu', 'kuota', 'pulsa', 'tinggal', 'pulsa', 'habis', 'kemana', 'lenyap', 'pulsa', 'catatan', 'panggilan', 'operator', 'dapet', 'sms', 'pemberitahuan', 'pemakaian', 'data', 'paket', 'kuota', 'kuota', 'internet', 'narik', 'pulsa', '']</t>
  </si>
  <si>
    <t>['maaf', 'kasih', 'bintang', 'bingung', 'pembelian', 'paket', 'pulsa', 'beli', 'paket', 'kuota', 'balasan', 'smsnya', 'pulsa', 'mencukupi', 'biaya', 'tambahan', 'tolong', 'sertakan', 'bolak', 'beli', 'pulsa', 'terima', 'kasih', '']</t>
  </si>
  <si>
    <t>['', 'heran', 'ama', 'telkomsel', 'paket', 'pulsa', 'kekuras', 'pulsa', 'disimpan', 'untk', 'dipake', 'ehh', 'cek', 'sisa', 'gimana', 'telkomsel', 'ndk', 'kayak', 'rada', 'erorr']</t>
  </si>
  <si>
    <t>['komentar', 'jelek', 'bersyukur', 'donk', 'mending', 'jelek', 'kuota', 'harga', 'dasar', 'pemalu', 'datengin', 'pusat', 'telkomnya', 'ngomong', 'menejernya', 'bersyukurlah', 'jaringan', 'jelek', 'jelek', 'jaringan', 'tetep', 'bersyukur', 'harga', 'kasih', 'bintang', 'telkomsel', 'terbaik', '']</t>
  </si>
  <si>
    <t>['jenis', 'jaringan', 'telkomsel', 'pali', 'kebakaran', 'kabel', 'gigil', 'ikan', 'hiu', 'dll', 'besok', 'telkomsel', 'harga', 'mahal', 'jaringan', 'berasa', '']</t>
  </si>
  <si>
    <t>['jaringan', 'kek', 'siput', 'tinggal', 'kota', 'pekanbaru', 'beli', 'paket', 'gb', 'sayang', 'kepakai', 'mahal', '']</t>
  </si>
  <si>
    <t>['', 'sumbar', 'mati', 'lampu', 'bentar', 'jaringan', 'langsung', 'jelek', 'anji', 'kalah', 'match', 'gua', 'gara', 'jaringan', 'ngontet', 'wkwkwkwkwkwkwkkwkwkwkwkwkwkwkwkwwkwkkwkwkwkwkwkwkwkwk']</t>
  </si>
  <si>
    <t>['woi', 'telkomsel', 'bangke', 'bagusi', 'kau', 'jaringan', 'daerah', 'harga', 'kuota', 'mahal', 'jaringan', 'kau', 'kayak', 'sampah', 'bangke']</t>
  </si>
  <si>
    <t>['say', 'menukarkan', 'poin', 'paket', 'gb', 'tulisanya', 'sistem', 'sibuk', 'menghubungi', 'veronika', 'responyapun', 'perusahaan', 'pelayananya', 'buruk', '']</t>
  </si>
  <si>
    <t>['aplikasi', 'jaringannya', 'buruk']</t>
  </si>
  <si>
    <t>['telkomsel', 'kartu', 'perdana', 'terburuk', 'harga', 'paket', 'datanya', 'ngotak', 'sinyalnya', 'kayak', 'telkomsel', 'membenahi', 'ketidakstabilan', 'sinyal', 'trending', 'kabel', 'sinyal', 'internet', 'telkomsel', 'laut', 'digigit', 'sma', 'ikan', 'hiu', 'mohon', 'klarifikasinya', 'maaf', 'sbg', 'customer', 'menghujat', 'terima', 'kasih', '']</t>
  </si>
  <si>
    <t>['aplikasi', 'mengalami', 'force', 'close', 'pembayaran', 'ovo', 'gopay', 'aplikasi', 'crash', 'menanggapi', 'tolong', 'diperbaiki', 'membeli', 'paket', 'data', 'susah']</t>
  </si>
  <si>
    <t>['', 'bintang', 'udah', 'menggambarkan', 'betapa', 'harga', 'kuota', 'sebanding', 'kualitas', 'jaringan', '']</t>
  </si>
  <si>
    <t>['jaringan', 'telkomsel', 'parah', 'min', 'bgs', 'jaringannya', 'skrg', 'parah', 'dri', 'bln', 'jringgannya', 'prh', 'min', 'tolong', 'perbaiki', 'min', '']</t>
  </si>
  <si>
    <t>['telkomsel', 'pulsa', 'tersedot', 'rugi', 'kek', 'gini', 'bagus', 'ganti', 'kartu']</t>
  </si>
  <si>
    <t>['kaga', 'mytelkomsel', 'beli', 'paket', 'apapun', 'mytelkomsel', 'payment', 'methode', 'credit', 'saldonya']</t>
  </si>
  <si>
    <t>['benerin', 'kualitas', 'jaringan', 'kode', 'pos', '']</t>
  </si>
  <si>
    <t>['jaringan', 'jelek', 'kota', 'jakarta', 'barat', 'mengecewakan', 'telkomsel', 'sesuai', 'tarif', 'mahal']</t>
  </si>
  <si>
    <t>['beli', 'paket', 'pulsa', 'gagal', 'paket', 'kadang', 'murah', 'kadang', 'melejit', 'parah', '']</t>
  </si>
  <si>
    <t>['selamat', 'malam', 'nanya', 'memakai', 'paket', 'internet', 'tersedot', 'paket', 'besok', 'tersedot', '']</t>
  </si>
  <si>
    <t>['kartu', 'hallo', 'diwajibkan', 'memiliki', 'paket', 'bulanan', 'terlanjur', 'kartu', 'hallo', 'ganti', 'kartu', '']</t>
  </si>
  <si>
    <t>['aplikasi', 'kali', 'kena', 'prank', 'giliran', 'klaim', 'voucher', 'cek', 'slalu', 'gangguan', 'niat', 'kasih', 'voucher', 'ngapain', 'kasih', 'fitur', 'cek', 'sgala', '']</t>
  </si>
  <si>
    <t>['kuota', 'game', 'main', 'game', 'rugi', 'beli']</t>
  </si>
  <si>
    <t>['kecewa', 'telkomsel', 'signal', 'lemot', 'pakai', 'banget', 'ngapain', 'keluarin', 'program', 'signal', 'lemot', 'ceck', 'wilayah', 'kec', 'darangdan', 'kab', 'purwakarta', 'signal', 'merata', 'kecewa', '']</t>
  </si>
  <si>
    <t>['telkomsel', 'leletnya', 'ampun', 'andalkan', 'musti', 'dobel', 'kartu', 'dngn', 'operator', 'sebelah', 'pdhl', 'ngandelin', 'telkomsel', '']</t>
  </si>
  <si>
    <t>['sinyal', 'lemot', 'mahal', 'tolong', 'perbaiki', 'emosi', 'sinyal', 'lemot', 'lag', 'tolong', 'perbaiki', 'telkom', 'benci']</t>
  </si>
  <si>
    <t>['bagus', 'harganya', 'kemahalan', 'tolong', 'ditinjau', 'masyarakat', 'merasakan', 'internet', 'sekelas', 'telkomsel', 'terimakasih', '']</t>
  </si>
  <si>
    <t>['kali', 'telkomsel', 'kirain', 'bagus', 'harga', 'mahal', 'signal', 'parah', 'tolong', 'diperbaiki', 'ditinggal', 'pelanggan', '']</t>
  </si>
  <si>
    <t>['aplikasi', 'paket', 'mahal', 'paket', 'habis', 'lansung', 'kemakan', 'pulsa', 'utama', 'kayak', 'orang', 'makan', 'rakus', 'telat', 'ngecek', 'paket', 'kemakan', '']</t>
  </si>
  <si>
    <t>['tolong', 'nyedot', 'pulsa', 'kebangetan', 'kuota', 'habis', 'pulsa', 'puluhan', 'habis', 'disedot', 'hitungan', 'detik', 'notif', 'sms', 'lambat', 'pulsa', 'udah', 'habis', 'dikasih', 'notif', 'kuota', 'habis', 'trik', 'marketing', '']</t>
  </si>
  <si>
    <t>['telkomsel', 'sinyalnya', 'keren', 'suka', 'terimakasih', 'telkomsel']</t>
  </si>
  <si>
    <t>['poin', 'berfungsi', 'menyediakan', 'penukaran', 'sampah']</t>
  </si>
  <si>
    <t>['harga', 'aplikasi', 'murah', 'dikonter', 'pulsa', 'paketan', 'habis', 'potong', 'pulsa', '']</t>
  </si>
  <si>
    <t>['dolong', 'update', 'versi', 'gelap', 'karna', 'versi', 'gelap', 'bagus', 'nggak', 'tambahin', 'tema', 'pendapat', 'orang', 'beda', 'beda', 'bintah', 'kasih']</t>
  </si>
  <si>
    <t>['telkomsel', 'telkomsel', 'jaringan', 'cepat', 'menurutku', 'lelet', 'gue', 'main', 'kagak', 'lag', 'tolong', 'benerin', 'teruss', 'kuota', 'tolong', 'canggihkan', 'kuota', 'games', 'telkomsel', 'guw', 'main', 'pakai', 'kuota', 'sulit', 'masuk', 'pertandingan', 'game', 'kuota', 'game', 'canggihkan', 'kayak', 'kuota', 'internet', 'main', 'gangguan', 'gitu', 'kuota', 'games', 'lumayan', 'murah']</t>
  </si>
  <si>
    <t>['good', 'jaringan', 'stabil', 'trus', 'update', 'dam', 'tingkatkan', 'jaringan', 'wilayah', 'indonesia', 'telkomsel', 'the', 'best']</t>
  </si>
  <si>
    <t>['kalogini', 'muluk', 'sinyal', 'lelet', 'mending', 'pindah', 'operator', 'kenceng', '']</t>
  </si>
  <si>
    <t>['udah', 'langganan', 'bertahun', 'udah', 'gonta', 'ganti', 'kartu', 'kali', 'cari', 'murah', 'ujung', 'ujungnya', 'mahal', 'udah', 'unlimited', 'lelet', 'udah', 'mahal', 'banget', 'tolong', 'telkomsel', 'murahin', 'dikit', 'kuotanya', 'nggak', 'kaya', 'bersaing', 'sinyal', 'unlimited', 'lelet', 'ngandelin', 'kuota', 'utama', 'beli', 'kuota', 'mahal', 'nggak', 'kepakek', 'udah', 'berlangganan', 'lho', 'murahin', 'dikit']</t>
  </si>
  <si>
    <t>['mantap', 'kali', 'aplikasi', 'permurah', 'pembelian', 'telkomsel', 'semoga', 'sukses', '']</t>
  </si>
  <si>
    <t>['mantap', 'perjuangan', 'telkomsel', 'memperbaiki', 'kabel', 'dimakan', 'hiu']</t>
  </si>
  <si>
    <t>['terima', 'kasih', 'respo', 'telkomsel', 'tolong', 'bagiin', 'aktifin', 'paket', 'forever', 'greb', 'rb', 'sebulan', 'terimakasih', 'kaka', 'mimin']</t>
  </si>
  <si>
    <t>['telkomsel', 'bagus', 'banget', 'paket', 'kuota', 'lumayan', 'aktifnya', 'bln', 'trs']</t>
  </si>
  <si>
    <t>['eth', 'perasaan', 'sinyal', 'main', 'game', 'sinyal', 'bagus', 'sinyal', 'warna', 'hijau', 'berkomentar', 'kasar', '']</t>
  </si>
  <si>
    <t>['maaf', 'developer', 'pulsa', 'habis', 'nggak', 'nelpon', 'pulsanya', 'nggak', 'pulsa', 'ribu', '']</t>
  </si>
  <si>
    <t>['koita', 'mahal', 'jaringan', 'lemot', 'banget', 'kek', 'siput', 'ajg', 'telkomsel']</t>
  </si>
  <si>
    <t>['kecewa', 'pesan', 'masuk', 'event', 'download', 'telkomsel', 'pulsa', 'tpi', 'pas', 'download', 'dicek', 'pulsanya', 'masuk', '']</t>
  </si>
  <si>
    <t>['maza', 'pulsa', 'abis', 'pdhl', 'masi', 'berlaku', 'bayak', 'gua', 'ngisiny', 'sabar', 'lan', 'jan', 'toxice', 'allah', 'wee', 'balikin', 'pulsa', '']</t>
  </si>
  <si>
    <t>['telkomsel', 'promo', 'jaringannya', 'buruk', 'mohon', 'perbaiki', 'sinyalnya', 'bagus']</t>
  </si>
  <si>
    <t>['terimah', 'kasih', 'telkomsel', 'pelayanannya', 'mudah', 'mudahan', 'undian', 'telkomsel', 'terealisasi', 'dijauhkan', 'indikasih', 'penipuan', 'telkomsel', 'jaya', '']</t>
  </si>
  <si>
    <t>['potong', 'pulsa', 'rugi', 'beli', 'paket', 'kepotong', 'duluan', 'pulsa', 'betulin', 'sistemnya', 'admin', 'kasih', 'manual', 'paket', 'daruratnya']</t>
  </si>
  <si>
    <t>['knpa', 'koin', 'tukar', 'paket', 'data', 'pulsa', 'dpat', 'koinya', 'susah', 'rp', 'dapt', 'koin', 'knpa', 'penukran', 'mahal', 'bangat', 'koin', 'tukarkan', 'dgan', 'paket', 'data', 'pulsa', 'uda', 'cape', 'cape', 'kumpulin', 'nga', 'gunanya', 'temkomsel', 'adil', 'hufff']</t>
  </si>
  <si>
    <t>['pas', 'beli', 'kuota', 'ketengan', 'belajar', 'nonton', 'live', 'zenius', 'berkurang', 'kuota', 'utama', 'beli', 'kuota', 'ilmupedia', 'berkurang', 'kuota', 'utama', 'gimana', 'penyelesaian', 'berkurang', 'kuota', 'ketengan', 'belajar', 'ilmupedia', 'kuota', 'utama', 'berkurang']</t>
  </si>
  <si>
    <t>['kasi', 'bintang', 'knpa', 'jaringan', 'telkomsel', 'susah']</t>
  </si>
  <si>
    <t>['tolong', 'dibenerin', 'beli', 'paket', 'nii', 'ganguan', 'aplikasinya']</t>
  </si>
  <si>
    <t>['huuuu', 'buriq', 'jaringan', 'bagus', 'beli', 'paket', 'niat', 'perusahaan', 'gosa', 'maksain', 'ngimcer', 'duid', 'rakyat', 'kerja', 'gbener', '']</t>
  </si>
  <si>
    <t>['', 'kawasan', 'agronusa', 'investama', 'kumpai', 'kumpai', 'semanga', 'sejangkung', 'kabupaten', 'sambas', 'kalimantan', 'barat', 'sinyalnya', 'hilang', 'hilang', 'koneksinya', 'jelek', 'towernya']</t>
  </si>
  <si>
    <t>['usaha', 'ganti', 'jaringgan', 'grapari', 'malas', 'grapari', 'jauah', 'grapari', 'ngk', 'dilayani', 'udah', 'off', 'alasan', 'pegawai', 'jaringgan', 'error', 'kesal', 'dilayani', 'telkomsel', 'keluarga', 'telkomsel', '']</t>
  </si>
  <si>
    <t>['', 'kasih', 'bintang', 'kualitas', 'internet', 'seminggu', 'jaringan', 'jelek', 'lelet', 'telkomsel', '']</t>
  </si>
  <si>
    <t>['tingkat', 'sinyal', 'area', 'kertasinduyasa', 'jatibarang', 'brebes', 'area', 'jatibarang', 'kidul', 'jaringan', 'stabil', 'rentan', 'hilang', 'jaringan']</t>
  </si>
  <si>
    <t>['sinyal', 'internet', 'lemot', 'siang', 'tlng', 'perbaiki', 'sinyal', 'internetnya', '']</t>
  </si>
  <si>
    <t>['paket', 'unlimited', 'bangt', 'kecewa', 'pdhl', 'pls', 'pas', 'beli', 'paket', 'tetep', 'beli', 'alasannya', 'pulsa', 'paket', 'tertera', 'harga', 'pas', 'kali', 'beli', 'paket', 'ongkir', 'gitu', '']</t>
  </si>
  <si>
    <t>['astaga', 'apk', 'eror', 'gimana', 'suruh', 'perbarui', 'udah', 'perbarui', 'tetep', 'bukak', 'palah', 'suruh', 'perbarui', 'tolong', 'maunya', 'miskah', '']</t>
  </si>
  <si>
    <t>['telkomsel', 'skrang', 'kyk', 'jaringan', 'sampah', 'mati', 'lampu', 'jaringan', '']</t>
  </si>
  <si>
    <t>['', 'telkomsel', 'bagus', 'tolong', 'tingkatkan', 'promo', 'pelanggan', 'setia', 'telkomsel', 'promo', 'super', 'deal']</t>
  </si>
  <si>
    <t>['aplikasi', 'terhenti', 'sndr', 'perpanjang', 'kuota', 'ngsh', 'kuota', 'anak', 'hapus', 'aplikasi', 'pasang', 'mudah', 'dibuka', 'terhenti', 'skr', 'signal', 'susah', 'nmrsydua', 'telkomsel', 'ill', 'feel', 'telkomsel']</t>
  </si>
  <si>
    <t>['suka', 'error', 'jaringannya', 'ngeselin', 'lgi', 'pts', 'uts', 'sinyal', 'jelek', 'telat', 'ngumpul', 'deh', 'gurunya', 'terima', 'alasan', 'tolong', 'diperbaiki', 'sia', 'bljr', '']</t>
  </si>
  <si>
    <t>['dear', 'telkomsel', 'tolong', 'jaga', 'kepercayaanku', 'smkin', 'mengenalmu', 'lambat', 'tolong', 'didepan', 'smakin', 'kebelakang', 'yaaa', 'sya', 'butuh', 'jaringan', 'konsisten', 'dpt', 'dipercya', 'harga', 'sebanding', 'kualitas', '']</t>
  </si>
  <si>
    <t>['', 'niat', 'ngasih', 'sinyal', 'beli', 'mahal', 'sinyal', 'sampah', '']</t>
  </si>
  <si>
    <t>['mempermudah', 'pembelian', 'kuota', 'pulsa', 'berguna', 'sisa', 'kuota', 'internet']</t>
  </si>
  <si>
    <t>['tambahkan', 'rincian', 'pemakaian', 'sebulan', 'aturan', 'pulsa', 'save', 'pulsa', 'hangus', 'pemakaian', 'sengaja', 'provider', 'axis', 'menerapkan', 'pulsa', 'save', 'aplikasi', 'paket', 'habis', 'pulsa', 'aman']</t>
  </si>
  <si>
    <t>['pemakaian', 'kuotanya', 'boros', 'habis', 'minggu', 'cuman', 'nonton', 'youtube', 'tiktok', 'itupun', 'mlm', 'habis', 'kayak', 'korupsi', '']</t>
  </si>
  <si>
    <t>['kasih', 'sbb', 'udah', 'pakai', 'telkomsel', 'kendala', 'lancar', 'harga', 'paket', 'data', 'ngeluuu', 'gaaaan', '']</t>
  </si>
  <si>
    <t>['buka', 'apk', 'telkomsel', 'gabisa', 'masuk', 'uninstall', 'trs', 'download', 'nguras', 'kuota', '']</t>
  </si>
  <si>
    <t>['kecewa', 'banget', 'simpati', 'sinyalnya', 'parah', 'banget', 'pengen', 'banget', 'kubuang', 'kartu', 'parahh', 'parah', 'super', 'parah', '']</t>
  </si>
  <si>
    <t>['emang', 'kuota', 'sosmed', 'disconet', 'langsung', 'dialihkan', 'pulsa', 'rugi', 'notifnya', 'muncul', 'hilang', 'appan', 'internet', 'non', 'paket']</t>
  </si>
  <si>
    <t>['gimna', 'pulsa', 'sya', 'potong', 'potong', 'pokok', 'ganti', 'rugi', 'pulsa', 'ilang', 'rb', 'potong', 'gimna', '']</t>
  </si>
  <si>
    <t>['telkomsel', 'tolong', 'perbaiki', 'sinyal', 'sinyal', 'full', 'suka', 'ngeleg', 'enak', 'main', 'game', 'sinyal', 'emosi', 'telkomsel', 'kartu', 'mahal', 'tpi', 'kaya', 'gini', 'disamakan', 'kartu', 'murah', '']</t>
  </si>
  <si>
    <t>['telkomsel', 'kek', 'gini', 'gua', 'beli', 'paket', 'data', 'gue', 'cek', 'paket', 'data', 'gue', 'cobak', 'main', 'game', 'tolong', 'kerjasamanya', 'paket', 'mahal', 'jelek', '']</t>
  </si>
  <si>
    <t>['tolong', 'orang', 'udah', 'percaya', 'provider', 'abis', 'abisnya', 'komentar', 'jaringan', '']</t>
  </si>
  <si>
    <t>['buka', 'aplikasinya', 'coba', 'hapus', 'donlod', 'terbuka', 'eror', 'terbuka', 'isi', 'pulsa', 'kuota', 'musti', 'hapus', 'aplikasi', 'donlod', 'tekor', 'bgtu', 'serba', 'buang', 'kuota', 'telkomsel', 'aneh', 'tolong', 'penjelasan', 'terimakas']</t>
  </si>
  <si>
    <t>['paket', 'combo', 'unlimited', 'tolong', 'diperpanjang', 'dapet', 'kuota', 'internetnya', 'pelanggan', 'telkomsel', 'dekade', 'lho', 'thanks', 'before', '']</t>
  </si>
  <si>
    <t>['krtu', 'telkomsel', 'mantap', 'jaringan', 'nyaa', 'payah', 'semenjak', 'mengenal', 'slalu', 'pakai', 'telkomsel', 'knp', 'dpt', 'hadiah', 'telkomsel', 'yaa', '']</t>
  </si>
  <si>
    <t>['buka', 'aplikasi', 'telkomsel', 'tampa', 'paket', 'data', 'bru', 'pulsa', 'daftar', 'paket', 'tpi', 'paket', 'bru', 'buka', 'aplikasinya']</t>
  </si>
  <si>
    <t>['membabtu', 'pembelian', 'paket', 'internet', 'ayo', 'download', 'aplikasi', 'inii', '']</t>
  </si>
  <si>
    <t>['mahal', 'jaringan', 'gangguan', 'najis', 'make', 'provider', 'kapitalis', 'spit']</t>
  </si>
  <si>
    <t>['telkomsel', 'buruk', 'udah', 'bawa', 'data', 'lengkap', 'dipersulit', 'ngurus', 'kartu']</t>
  </si>
  <si>
    <t>['', 'telkomsel', 'membantu', 'dlm', 'proses', 'pembelian', 'pulsa', 'paket', 'internet']</t>
  </si>
  <si>
    <t>['pelayanan', 'telkomsel', 'dlm', 'menghadapi', 'perkembangan', 'ilmu', 'pengetahuan', 'teknologi', 'sangar', 'dlm', 'pelayanan', 'disemua', 'sisi', 'kehidupan', 'peribadi', 'keluarga', 'kehidupan', 'sosial', 'kemasyakaratan', 'dunia', 'pemerintahan', 'dunia', 'politik', 'dlm', 'negeri', 'seakan', 'pembatas', 'jarak', 'pelayanan', 'telkomsel', 'dampak', 'dlm', 'menghadapi', 'kondisi', 'ril', 'semoga', 'telkomsel', 'setia', 'melayani', 'jaya', 'telkomsel', 'ntk', '']</t>
  </si>
  <si>
    <t>['pelayanan', 'operator', 'komunikatif', 'pelanggan', 'setia', 'telkomsel', 'terima', 'kasih', '']</t>
  </si>
  <si>
    <t>['gangguan', 'kah', 'beli', 'paket', 'combo', 'sakti', '']</t>
  </si>
  <si>
    <t>['lambat', 'loading', 'nunggu', 'menit', 'kebuka', 'pulsaku', 'habis', 'kepake']</t>
  </si>
  <si>
    <t>['sinyal', 'parah', 'suka', 'down', 'parahhh', 'sekelas', 'telkomsel', 'jaringan', 'kaya', 'gtu', 'perbaiki', 'seh', '']</t>
  </si>
  <si>
    <t>['kesini', 'telkomsel', 'gajelas', 'oadahal', 'udah', 'dri', 'make', 'telkomsel', 'tpi', 'sinyal', 'karuan', 'kecewa', 'telkomsel', 'harga', 'kuota', 'mahal', 'gtu', 'semoga', 'cepet', 'perbaiki', '']</t>
  </si>
  <si>
    <t>['jarigan', 'telkomsel', 'bagus', 'mohon', 'perbaikannya', 'tida', 'buka', 'youtub', 'nonton', 'susah', 'kah', 'cuman', 'daera', 'gangguan', 'jarigan', 'telpon', 'bagus', 'jarigan', 'internetnya', 'suka', 'hilan', 'mengherankan', 'lihat', 'jarigan', 'pas', 'buka', 'youtub', 'koo', 'banget', 'terbuka', '']</t>
  </si>
  <si>
    <t>['beli', 'paket', 'internet', 'apk', 'pencet', 'berkali', 'kali', 'masuk', 'paket', 'internet']</t>
  </si>
  <si>
    <t>['', 'aplikasinya', 'susah', 'dibuka', 'pelanggan', 'memiliki', 'paket', 'aktif', 'aplikasinya', 'pilihan', 'memberhentikan', 'paket', 'aktif', '']</t>
  </si>
  <si>
    <t>['tolong', 'paket', 'mencukupi', 'buka', 'dimode', 'gratiskan', 'otomatis', 'udh', 'habis', 'langsung', 'dimode', 'gratiskan', 'semoga', 'dipertimbangkan']</t>
  </si>
  <si>
    <t>['aplikasinya', 'susah', 'orang', 'beli', 'paket', 'suka', 'error', 'diatasi', 'errornya', 'komplain', 'veronica', 'perubahan', 'maaf', 'kasi', 'bintang', 'jelek', 'digubris', '']</t>
  </si>
  <si>
    <t>['nyesal', 'senyesal', 'makai', 'kartu', 'taik', 'penawaran', 'sesuai', 'ucapan', 'marketing', 'nyaaa', 'semoga', 'berganti']</t>
  </si>
  <si>
    <t>['nanya', 'beli', 'paket', 'nelpon', 'sebulan', 'rb', 'kartu', 'alasannya', 'menemukan', 'paket', 'cocok', 'berdasarkan', 'lokasi', 'beli', 'paket', 'nelpon', 'mohon', 'admin', 'kasih', 'penjelasan']</t>
  </si>
  <si>
    <t>['pulsa', 'kesedot', 'habis', 'kuota', 'berlaku', 'tgl', 'oktober', '']</t>
  </si>
  <si>
    <t>['sayangkan', 'upgrade', 'mancing', 'emosinya', 'signal', 'operator', 'lemot', 'omg', 'operator', 'negara', '']</t>
  </si>
  <si>
    <t>['telkomsel', 'provider', 'terbesar', 'indonesia', 'komplain', 'jaringan', 'buruk', 'langung', 'action', 'mending', 'ganti', 'provider', 'donk', 'ngecewain']</t>
  </si>
  <si>
    <t>['notif', 'update', 'gagal', 'update', 'lemot', 'kirim', 'spam', 'min', '']</t>
  </si>
  <si>
    <t>['telkomsel', 'klw', 'promo', 'bener', 'paket', 'ceria', 'gb', 'nggak', 'beli', 'pulsaku', 'namanya', 'pembodohan', 'pembohongan']</t>
  </si>
  <si>
    <t>['promo', 'hemat', 'membantu', 'pandemi', 'tinggal', 'desa', 'pakai', 'telkomsel', 'tolonglah', 'dimurahkan', 'paket', 'internetnya', '']</t>
  </si>
  <si>
    <t>['aduhhhh', 'gimana', 'telkomsel', 'sinyalnya', 'stabil', 'kemarin', 'lancar', 'banget', 'tolonf', 'susah', 'kuliah', 'onlinee', 'paham', 'duit', 'udah', 'habis', 'isi', 'kuotaa', 'jaringan', 'sya', '']</t>
  </si>
  <si>
    <t>['terima', 'kasih', 'layanannya', 'pilihan', 'paketnya', 'murah', '']</t>
  </si>
  <si>
    <t>['signalnya', 'bagus', 'terbaik', 'nga', 'bagus', 'rakyat', 'milik', 'rakyat', 'harga', 'paket', 'datanya', 'termahal', 'dunia', '']</t>
  </si>
  <si>
    <t>['tolong', 'gajelas', 'paket', 'game', 'pas', 'main', 'game', 'ngurang', 'pulsa', 'gimana', 'coba', 'refund', 'tolonglah', 'pusing', 'banget', 'jaringan', 'lemot']</t>
  </si>
  <si>
    <t>['banget', 'tukar', 'poin', 'undian', 'hilang', 'poin', 'barusan', 'poin', 'tukar', 'point', 'undian', 'mobil', 'hbs', 'point', 'niat', 'ngasih', 'hadiah', 'gpp', 'minimal', 'mencuri', 'hak', 'pelanggan', 'donk', 'catatan', 'perbaiki', 'jaringan', 'andai', 'udh', 'gerus', 'kartu', 'bener', 'pindah', 'provider', 'balikin', 'point']</t>
  </si>
  <si>
    <t>['telkomsel', 'tolong', 'beli', 'paket', 'unlimited', 'gb', 'knapa', 'pas', 'paket', 'datanya', 'habis', 'paket', 'unlimited', 'berfungsi', 'kayak', 'berfungsi', 'tolong', 'dihapus', 'tulisan', 'unlimited', 'dahlah', 'kecewa', 'telkomsel', 'jaringan', 'kek', 'siput', 'paket', 'mahal', 'tipu', 'tipu']</t>
  </si>
  <si>
    <t>['menyebalkan', 'telkomsel', 'kehabisan', 'kuota', 'sadar', 'pulsa', 'langsung', 'ketarik', 'keluhan', 'utama', 'kebanyakan', 'orang', 'telkomsel', 'bintang', 'min', 'mohon', 'perbaharui', '']</t>
  </si>
  <si>
    <t>['bagus', 'aplikasi', 'membantu', 'pengguna', 'malas', 'rumah', 'beli', 'pulsa', 'paket', 'kuota', 'pandemi', 'ayo', 'langsung', 'teman', 'download', 'telkomsel', 'play', 'store', '']</t>
  </si>
  <si>
    <t>['harga', 'paket', 'mahal', 'kuota', 'sdikit', 'jaringan', 'buruk', 'unlimited']</t>
  </si>
  <si>
    <t>['penukaran', 'poin', 'tolong', 'kasih', 'pilihan', 'tukar', 'ngabisin', '']</t>
  </si>
  <si>
    <t>['paket', 'murah', 'kali', 'yak', 'sinyal', 'maen', 'kadang', '']</t>
  </si>
  <si>
    <t>['aplikasi', 'super', 'busuk', 'masuk', 'aplikasi', 'lelet', 'lag', 'parah', 'tranksaksi', 'jdi', 'susah', 'parah', 'ngelag', 'lelet', 'mempermudah', 'mempersulit', 'auto', 'uninstalll']</t>
  </si>
  <si>
    <t>['parah', 'jaringan', 'kenceng', 'daerah', 'jakarta', 'lelet', 'ping', 'maen', 'game', 'merah', '']</t>
  </si>
  <si>
    <t>['jaringan', 'jelek', 'blm', 'lgi', 'klu', 'beli', 'kouta', 'mahal', 'mahal', 'tolong', 'perbaiki', 'menguras', '']</t>
  </si>
  <si>
    <t>['kedepannya', 'program', 'menarik', 'konsumen', 'telkomsel', '']</t>
  </si>
  <si>
    <t>['jaringan', 'babi', 'setabil', 'lelet', 'mahal', 'layak', 'aktifitas', 'kuota', 'terganggu', 'saranin', 'telkomsel']</t>
  </si>
  <si>
    <t>['bagus', 'banget', 'aplikasi', 'mudah', 'loginnya', 'aplikasinya', 'bsrguna', 'bangett', 'ayo', 'semangat', 'update', 'suka', 'kadang', 'masuk', 'aplikasinya', 'suka', 'ngelaq', 'loadingnya', 'kadang', 'dimohon', 'pertimpangkan', 'ayo', 'deh', 'download', 'aplikasi', 'paksa', 'download', 'gabut', '']</t>
  </si>
  <si>
    <t>['jaringannya', 'bagus', 'kenceng', 'lemot', 'berkebalikan', 'lemot', 'bangeeeeeeetttttt', 'jaringanyaaaa', 'tolong', 'min', 'perbaiki', 'beli', 'paket', 'mahal', 'kualitasnya', 'memuaskan']</t>
  </si>
  <si>
    <t>['mudah', 'error', 'uda', 'daftar', 'data', 'internet', 'gagal', 'gagal', 'mulu', 'terdaftar', 'doble', 'paraaaaah', 'telkomsel']</t>
  </si>
  <si>
    <t>['harga', 'paket', 'milik', 'bumn', 'ringankan', 'milik', 'negara', 'harganya', 'merakyat']</t>
  </si>
  <si>
    <t>['update', 'mulu', 'kbnyakan', 'iklan', 'butuh', 'iklan', 'ade', 'minus', 'bintang', 'kasih', 'bintang']</t>
  </si>
  <si>
    <t>['telkomsel', 'terbaik', 'pelanggannya', 'sinyal', 'lag', 'quota', 'ckp', 'mahal', '']</t>
  </si>
  <si>
    <t>['semoga', 'terkabulkan', 'harapan', 'aamiin', 'jaya', 'telkomsel', 'poin', 'telkomsel', '']</t>
  </si>
  <si>
    <t>['parah', 'aplikasinya', 'nyedot', 'kuota', 'iya', 'buka', 'sel', 'jalan', 'dilatar', 'jalan', 'aplikasi', 'kb', 'detik', 'ilang', 'aplikasi', 'knp', 'gajelas']</t>
  </si>
  <si>
    <t>['tibatiba', 'telkomsel', 'pilihan', 'pembelian', 'kuota', 'mahalnya', 'doang', '']</t>
  </si>
  <si>
    <t>['kasih', 'bintang', 'pelayanan', 'memuaskan', 'terkait', 'sinyal', 'gangguan', 'mohon', 'perbaiki', 'sinyal', 'sinyal', 'gangguan', 'mahal', 'harga', 'kuota', 'pelayanan', 'penggunanya', 'perhatikan', '']</t>
  </si>
  <si>
    <t>['jelek', 'berkualitas', 'beli', 'paket', 'unlimited', 'games', 'kuota', 'utama', 'habis', 'main', 'game', 'paket', 'unlimited', 'gamenya', 'main', 'game', 'aktifnya', 'msih', 'parah', 'tipu', 'konsumen', 'konsumen', 'kecewa', 'pindah', 'hati', 'pakai', 'provider', '']</t>
  </si>
  <si>
    <t>['telkomsel', 'sehat', 'buka', 'telkomsel', 'update', 'update', 'opsi', 'update', 'pilihan', 'uninstal', 'buka', 'klik', 'buka', 'update']</t>
  </si>
  <si>
    <t>['telkomsel', 'intinya', 'kecewa', 'bangettt', 'telkomsel', 'sinyal', 'jadii', 'susahh', 'kuota', 'mahal', '']</t>
  </si>
  <si>
    <t>['diperbagus', 'cuman', 'harap', 'paket', 'combo', 'sakti', 'max', 'diganti', 'netflix', '']</t>
  </si>
  <si>
    <t>['harga', 'mahal', 'kuota', 'internet', 'lokal', 'minim', 'paket', 'gajelas', 'kasih', 'maxstream', 'dll', 'bintang', 'cocok']</t>
  </si>
  <si>
    <t>['wow', 'sinyalnay', 'ngotak', 'lemot', 'kemarin', 'perbaiki', 'lemot', 'pusing']</t>
  </si>
  <si>
    <t>['telkomsel', 'aneh', 'kali', 'isi', 'pulsa', 'pulsa', 'terpotong', 'alasan', 'aktifkan', 'paket', 'apapun', 'internet', 'tolong', 'diproses', 'karna', 'merugikan', 'pelanggan', 'telkomsel', '']</t>
  </si>
  <si>
    <t>['simpati', 'tempatku', 'semakun', 'kesini', 'sinyal', 'pelanggang', 'setia', 'tsel', 'iya', 'ganti', 'provider', '']</t>
  </si>
  <si>
    <t>['skrg', 'beli', 'paket', 'telkomsel', 'coba', 'sistem', 'eror', 'instal', 'uninstal', '']</t>
  </si>
  <si>
    <t>['jaringan', 'buruk', 'penanggapan', 'lamban', 'suka', 'berbelit', 'belit', 'solusi', 'pusing', 'nol', 'rate', 'penilaian', 'bagus', 'tsel', '']</t>
  </si>
  <si>
    <t>['maaf', 'pelanggan', 'telkomsel', 'setia', 'knp', 'jaringan', 'telkomsel', 'mantap', 'mantap', 'leletnya', 'kaya', 'jaringan', 'telkomsel', 'pelanggannya', 'kecewa', 'jaringan', 'telkomsel', 'kecewa', 'coba', 'jaringan', 'telkomselnya', 'gimana', 'pelanggan', 'telkomselnya', 'kecewa', '']</t>
  </si>
  <si>
    <t>['aplikasi', 'memudahkan', 'urusan', 'murah', 'memuaskan']</t>
  </si>
  <si>
    <t>['maytelkomsel', 'taik', 'jaringannya', 'lelet', 'banget', 'udah', 'bayar', 'mahal', 'paket', 'udh', 'beli', 'perbulan', 'kagak', 'dipaket']</t>
  </si>
  <si>
    <t>['berdukacita', 'meninggalnya', 'jaringan', 'telkomsel', 'kualitas', 'pelayanan', 'buruk', 'semoga', 'keburukannya', 'hujatan', 'pengguna', 'amalanya', 'diterima', 'sisi', 'tuhan', '']</t>
  </si>
  <si>
    <t>['beli', 'kuota', 'unlimited', 'tiktok', 'paket', 'kuota', 'utama', 'potong', 'tolong', 'diperbaiki']</t>
  </si>
  <si>
    <t>['beli', 'paket', 'telkomsel', 'beli', 'paket', 'mohon', 'bantuannya', 'telkomsel', 'nggak', 'beli', 'harganya', 'mahal', 'please', 'bantuan', 'lagipula', 'jaringan', 'lelet', 'banget', '']</t>
  </si>
  <si>
    <t>['paketdatanya', 'bagus', 'cuman', 'mahal', 'jaringan', 'maklum', 'pedalaman', 'terjangkau']</t>
  </si>
  <si>
    <t>['telkomsel', 'the', 'best', 'semenjak', 'kartu', 'telkomsel', 'semoga', 'telkomsel', 'jaya', '']</t>
  </si>
  <si>
    <t>['parah', 'beli', 'plsa', 'masuk', 'transaksi', 'berhasil', 'pas', 'komplain', 'jawabannya', 'muter', 'muluk', 'hadeh', 'profesional', 'doong']</t>
  </si>
  <si>
    <t>['jaringan', 'telkomsel', 'parah', 'banget', 'udah', 'coba', 'keluhan', 'udah', 'akun', 'veronika', 'tetep', 'bertele', 'tele', 'solusi', 'pelayanan', 'responsif', 'kecewa', 'telkomsel', 'berhari', 'lelet', 'jaringan', 'jelek', 'kerjaan', 'terganggu', 'akses', 'komunikasi', 'keganggu', 'parah', 'asli', 'parah', 'harga', 'paketnya', 'murah', '']</t>
  </si>
  <si>
    <t>['update', 'playstore', 'gitu', 'coba', 'berkali', 'udah', 'perpanjang', 'paket']</t>
  </si>
  <si>
    <t>['taik', 'jaringan', 'eror', 'kartunya', 'mahal', 'jaringan', 'eror', 'perbaiki', 'sistemnya', 'ngab', 'rugi', 'kartu', 'mahal', 'lelet', 'internet', 'skrng', 'emang', 'lelet', 'sinyalnya', 'cuman', 'kartunya', 'jual', 'mahal', 'sinyalnya', 'murahan']</t>
  </si>
  <si>
    <t>['star', 'isi', 'apk', 'paket', 'sesuai', 'gunanya', 'poin', 'bayar', 'percuman', 'tukar', 'poin', 'mending', 'beli', 'harga', 'undian', 'hapus', 'menang', 'orang', 'kaya', '']</t>
  </si>
  <si>
    <t>['beli', 'kuota', 'skrg', 'susah', 'banget', 'beli', 'kuota', 'murah', 'persulit', 'gitu', 'butuh', 'berkali', 'kali', 'berulang', 'ulang', 'aktivasi', 'beli', 'mahal', 'lelet', 'gue', 'beli', 'gmna', 'banget', 'beli', 'mahal']</t>
  </si>
  <si>
    <t>['pelanggan', 'paket', 'bunuh', 'beli', 'ribu', 'udah', 'masuk', 'provider', 'langsung', 'ganti', 'kartu']</t>
  </si>
  <si>
    <t>['bagus', 'jaringan', 'cepat', 'memuaskan', 'terimakasih', 'telkomsel', 'sukses']</t>
  </si>
  <si>
    <t>['provider', 'kece', 'harganya', 'rada', 'mahal', 'tpi', 'alhamdulillah', 'cpet', 'lelet', 'tpi', 'yaa', 'aplikasi', 'telkomsel', 'loadingnya', 'subhannallah', 'huhuhu', 'tolong', 'dibenahi', '']</t>
  </si>
  <si>
    <t>['bagus', 'telkomsel', 'gini', 'penggunanya', 'ngecewain']</t>
  </si>
  <si>
    <t>['sinyal', 'bknya', 'bagus', 'sinyal', 'tagihan', 'mahal', '']</t>
  </si>
  <si>
    <t>['pengguna', 'bru', 'bintang', 'cri', 'kuntungan', 'cman', 'bsa', 'liat', '']</t>
  </si>
  <si>
    <t>['udah', 'jaringn', 'jelek', 'paket', 'mahal', 'mampus', 'anak', 'dajal', 'udh', 'duit', 'masi', 'kabel', 'laut', 'gunannya', 'uang', 'satelit', 'khusus', 'penembak', 'jaringn', 'provinsi', 'indonesia', 'anak', 'dajal']</t>
  </si>
  <si>
    <t>['beli', 'paket', 'data', 'gguan', 'beli', 'paket', 'data', 'lancar', 'kabur', 'tetangga', '']</t>
  </si>
  <si>
    <t>['', 'buka', 'paket', 'nge', 'blank', 'trus', 'tulisan', 'maaf', 'kesalahan', 'sistem', 'pdhl', 'sudh', 'uninstal', 'trus', 'instal', 'kaya', 'ttp', 'nge', 'blank', 'tulisannya', 'trus', 'kesalahan', 'sistem', '']</t>
  </si>
  <si>
    <t>['update', 'masuk', 'aplikasinya', 'update', 'kgk', 'nyaman']</t>
  </si>
  <si>
    <t>['jaringan', 'telkomsel', 'ilang', 'stabil', 'tolong', 'perbaiki', 'secepatnya', 'minggu', 'kek', 'gini', 'beli', 'paket', 'mahal', 'kasih', 'kompensasi', 'penggunanya', 'tolong', 'cepat', 'pulihkan', 'woiii', '']</t>
  </si>
  <si>
    <t>['pendapat', 'telkomsel', 'seharunya', 'mmperbaiki', 'jaringan', 'pelanggan', 'yaman', 'puas', 'makainya', 'jual', 'prodak', 'mahal', 'mutu', 'jaringan', 'lelet', 'perbaikan', '']</t>
  </si>
  <si>
    <t>['kartu', 'telkomsel', 'nyaman', 'menggunakannya', 'semoga', 'telkomsel', '']</t>
  </si>
  <si>
    <t>['langganan', 'telkomsel', 'ter', 'debest', 'telkomsel', 'maslaah', 'jaringan', 'sampe', 'emosi', 'main', 'game', 'karna', 'jaringannya', 'hancur', 'semoga', 'cepat', 'diperbaiki', 'kabel', 'dibawah', 'laut']</t>
  </si>
  <si>
    <t>['jaringanya', 'lelet', 'banget', 'benci', 'udh', 'lelet', 'mahal', '']</t>
  </si>
  <si>
    <t>['rugi', 'paketan', 'pasca', 'bayar', 'nyisa', 'jaringannya', 'payah', 'nomor', 'belasan', 'sayang', 'ganti', 'jaringannya', 'bagini', 'ganti', 'kartu', '']</t>
  </si>
  <si>
    <t>['telkomsel', 'mudah', 'membantu', 'signalnya', 'bagus', 'sayang', 'tukar', 'poin', 'hadiah', 'dll', 'pakai', 'telkomsel', '']</t>
  </si>
  <si>
    <t>['udah', 'jaringan', 'lemah', 'harga', 'mahal', 'update', 'haduhhhhhh', 'lengkap', 'telkomsel', 'indonesia', 'majunya', '']</t>
  </si>
  <si>
    <t>['makasih', 'perbaikannya', 'paket', 'internet', 'mahal', '']</t>
  </si>
  <si>
    <t>['perbarui', 'masuk', 'perbarui', 'diperbarui', 'udah', 'solusi', 'media', 'sosial', 'telkomsel', 'bot', 'menawarkan', 'paket', 'disney', 'hotstar', 'nj', '']</t>
  </si>
  <si>
    <t>['harganya', 'mahal', 'gpp', 'kekuatn', 'sinyal', 'sesuaikan', 'hargaa', '']</t>
  </si>
  <si>
    <t>['sms', 'download', 'apk', 'pulsa', 'download', 'tertipu', 'dataku', 'terkuras', '']</t>
  </si>
  <si>
    <t>['dasar', 'tukang', 'ngibul', 'stlah', 'instal', 'daftar', 'bonus', 'pulsa', 'sampe', 'pulsa', 'masuk']</t>
  </si>
  <si>
    <t>['gimana', 'paket', 'combo', 'sakti', 'unlimited', 'paket', 'multimedia', 'game', 'aplikasi', 'terdaftar', 'lancar', 'udah', 'dibatas', 'tolong', 'perbaiki', 'secepat', '']</t>
  </si>
  <si>
    <t>['disuruh', 'update', 'pusing', 'suruh', 'twiter', 'pasang', 'aplikasi', 'twitter', '']</t>
  </si>
  <si>
    <t>['gangguan', 'mahal', 'doang', 'pindah', 'provider', 'mahal', 'doang', 'simpati', 'jaringan', 'jelek', 'jaringan', 'tolol', 'simpati', 'pindahn', 'provider', 'gan', 'jaringan', 'jelek', 'mahal', 'doang', 'mending', 'provider', 'laen', 'ngasih', 'bintang', 'kecilin', 'bintang']</t>
  </si>
  <si>
    <t>['', 'ngotak', 'harga', 'kualitas', 'sampah', 'harga', 'doang', 'mahal', 'jaringan', 'lag', 'mulu', 'jaringan', 'stabil', 'pengguna', 'telkomsel', 'protes', 'jaringan', 'lag', 'mulu']</t>
  </si>
  <si>
    <t>['memudahkan', 'beli', 'paket', 'data', 'sayang', 'paketnya', 'mahal', 'kuota', 'dibagi', 'promo', 'aktif', 'habis', 'langsung', 'pulsa', 'disedotttt', '']</t>
  </si>
  <si>
    <t>['jaringan', 'taik', 'anjeng', 'asik', 'promo', 'keutamaan', 'jaringan', 'diabaikan', 'matii', 'udh', 'telkomsel']</t>
  </si>
  <si>
    <t>['recommended', 'promo', 'jaringan', 'kendala', 'bnyakin', 'lgi', 'promonya', 'lebihh', '']</t>
  </si>
  <si>
    <t>['paketnya', 'mahal', 'murah', 'tree', 'tolong', 'murahin', 'donk', '']</t>
  </si>
  <si>
    <t>['mahal', 'paket', 'udah', 'langganan', 'paket', 'hilang', 'paket', 'udah', 'beli', 'udah', 'langganan', '']</t>
  </si>
  <si>
    <t>['senang', 'aplikasi', 'kouta', 'cekin', 'harinya']</t>
  </si>
  <si>
    <t>['perasaan', 'poin', 'punyaku', 'dicek', 'keterangannya', 'belem', 'akses', 'kemana', 'yak', 'poin', 'penawaran', 'tukar', 'poin', 'tukar', 'gabisa', 'penjelasan', 'min', 'udah', 'aplikasinya', '']</t>
  </si>
  <si>
    <t>['mkin', 'mkin', 'harga', 'kuota', 'min', 'brubah', 'mlu', 'klau', 'gni', 'trus', 'bsa', 'lari', 'smua', 'planggan', 'telkomsel', 'lelet', 'hrga', 'tnggi', '']</t>
  </si>
  <si>
    <t>['gimana', 'internet', 'lemot', 'banget', 'kayak', 'beli', 'kuota', 'kecewa', 'telkomnya', 'tolong', 'perbaiki', 'sinyalnya']</t>
  </si>
  <si>
    <t>['sinyal', 'oke', 'nggak', 'kendala', 'kendala', 'daerah', 'sinyal', 'mati', 'harga', 'murah', 'mayan', 'kuota', 'murah', 'hihihi', '']</t>
  </si>
  <si>
    <t>['beli', 'ceria', 'sumpah', 'pembelian', 'apknya', 'beli', 'aneh']</t>
  </si>
  <si>
    <t>['gimana', 'telkomsel', 'pulsa', 'berkurang', 'pdahal', 'gapernah', 'paket', 'aneh', 'rbt', 'dll', 'pulsa', 'berkurang', 'anehhh', 'gimana', '']</t>
  </si>
  <si>
    <t>['telkomsel', 'kasar', 'ajg', 'ajg', 'kasian', 'laki', 'sasaran', 'kecewa', 'bangeeett', 'telkomsel', 'syiiitttt']</t>
  </si>
  <si>
    <t>['mohon', 'telkomsel', 'cek', 'bonus', 'kuota', 'medsos', 'game', 'kenyataanya', 'main', 'game', 'online', 'penipuan', 'pelanggan', 'ganti', 'kartu', 'telkomsel', 'mohon', 'koreksi']</t>
  </si>
  <si>
    <t>['sayah', 'pengguna', 'telkomsel', 'thun', 'ntah', 'kesini', 'males', 'telkomsel', 'kuota', 'mahal', 'internet', 'lelet', 'parah', 'cek', 'pulsa', 'atou', 'mao', 'beli', 'paket', 'susah', 'ampun', 'maap', 'sistem', 'sibuk', 'parah', 'padahl', 'sayah', 'beli', 'kuota', 'ngutang', 'atou', 'telkomsel', 'tolong', 'jngan', 'ngambil', 'keuntungan', 'sajah', 'perhatikan', 'keyaman', 'nanya', 'kuota', 'mahal', 'siyal', 'internet', 'benerin', 'map', 'sayah', 'bintng', 'mending', 'pindah', 'sebelah']</t>
  </si>
  <si>
    <t>['telkomsel', 'nyaman', 'keluarga', 'sampe', 'sekrng', 'telkomsel']</t>
  </si>
  <si>
    <t>['mantap', 'applikasinya', 'membantu', 'memudahkan', 'penggunanya', 'terimakasih', 'telkomsel', 'jaya', '']</t>
  </si>
  <si>
    <t>['ngak', 'download', 'sms', 'suruh', 'download', 'pulsa', 'ribu', 'bohong', 'bumn', 'sarang', 'koruptor', '']</t>
  </si>
  <si>
    <t>['telkomsel', 'skrg', 'ngk', 'berguna', 'beli', 'kuota', 'mahal', 'tpi', 'jaringan', 'klian', 'ngk', 'berkualitas', 'menghabiskan', 'uang', 'pengguna', 'tpi', 'kepuasan', 'telkomsel', 'emg', 'ngk']</t>
  </si>
  <si>
    <t>['promo', 'download', 'aplikasi', 'pulsa', 'paket', 'data', 'gb', 'download', 'claim', 'pulsanya', 'cocok', 'lokasi', '']</t>
  </si>
  <si>
    <t>['aplikasi', 'bagus', 'suka', 'murah', 'diskon', 'gratis', 'pulsa', 'gratis', 'diskon', 'okokokkkkkokojkjajajahhahhakahaajgagagavavvavavvavavvavsvvsvsvahahahhahahahahhagagavavgagahhahahahaahahaahahshahgaahqwywuhwhhwhhshwhhwhwhwhuwhwhheheueuwhuwhwhuwuwuuwuwuywuwuuwyywwywyywywyywywywyywwwyywywywyywywyywywywuwuuguh', 'uvuvuvuvivuguv', 'iutuguguygyjujhhuuuyygygyyyggggyyyyyyuuuyuu', 'harum', 'gini', 'gambar', 'gambar', 'gerak', 'ttg', 'gambar', 'gerak', 'gerik', 'gitu', 'gan', 'gan', 'gam', '']</t>
  </si>
  <si>
    <t>['beli', 'kuota', 'extra', 'unlimitid', 'mencakup', 'dll', 'tetep', 'ajah', 'kuota', 'utama', 'kepotong', 'beli', 'gini', '']</t>
  </si>
  <si>
    <t>['pindah', 'provider', 'sue', 'mang', 'internet', 'telkomsel', '']</t>
  </si>
  <si>
    <t>['buruk', 'sinyal', 'tsel', 'maen', 'game', 'sulit', 'ping', 'stabil', 'operator', 'non', 'recommended', 'telkomsel']</t>
  </si>
  <si>
    <t>['jaringan', 'telkomsel', 'udah', 'paket', 'mahal', 'jaringan', 'jelek', 'beli', 'paket', 'mahal', 'mahal', 'sayanya', 'kiraini', 'nyari', 'duit', 'gampang', 'dasar', 'otak', 'uninstal', 'udh', 'pindah', 'telkomsel', 'asuuuuu', '']</t>
  </si>
  <si>
    <t>['dasar', 'telkomsel', 'udah', 'paket', 'mahal', 'jaringan', 'lelet', 'nyesel', 'beli', 'kartu', 'telkomsel']</t>
  </si>
  <si>
    <t>['parah', 'harga', 'naek', 'tukang', 'nyedot', 'pulsa', 'curangnya', 'kuota', 'habis', 'pemberitahuan', 'nyedot', 'pulsa', 'utama', 'harga', 'naek', 'parah', 'harga', 'sampe', 'paket', 'darurat', 'naekin', 'udah', 'nyaman', 'banget', 'kartu', 'telkomsel', 'ngerii', '']</t>
  </si>
  <si>
    <t>['jaman', 'emg', 'udah', 'produk', 'telkomsel', 'palagi', 'skrg', 'udah', 'aplikasinya', 'mkin', 'mudah', 'braktifiasx', 'playanaan', 'csnya', 'ramah', 'ramah', 'sukses', 'yaa', 'telkomsel', '']</t>
  </si>
  <si>
    <t>['buka', 'telkomsel', 'suruh', 'update', 'uda', 'selesai', 'masuk', 'suruh', 'update', 'lgi', 'telkomsel', 'uda', '']</t>
  </si>
  <si>
    <t>['ngechek', 'pulsa', 'susah', 'kali', 'call', 'apk', 'provider', 'mahal', 'kualitas', 'rendah']</t>
  </si>
  <si>
    <t>['membeli', 'kuota', 'mahal', 'jaringan', 'lemot', 'jaringan', 'normal', 'alhasil', 'susah', 'belajar', 'online']</t>
  </si>
  <si>
    <t>['tingkatkan', 'jaringan', 'lelet', 'min', 'dibawah', 'tower', 'telkomsel', 'mohon', 'perbaiki', 'kab', 'pelalawan', 'kel', 'kerinci', 'timur', 'jln', 'jambu', 'asy', 'syukron', 'terima', 'kasih']</t>
  </si>
  <si>
    <t>['butuh', 'ketenangan', 'kenyamanan', 'kartu', 'telkomsel', 'tolong', 'kurangi', 'jadwal', 'pengiriman', 'notifikasi', 'telkomsel']</t>
  </si>
  <si>
    <t>['kuota', 'internet', 'murah', 'mohon', 'diprioritaskan', 'pengguna', 'tergolong', 'ekonomi', 'menengah', 'kebawah', 'menikmati', 'mengedukasi', 'penggunaan', 'iptek', 'terimakasih', '']</t>
  </si>
  <si>
    <t>['knp', 'sinyal', 'telkomsel', 'hancur', 'beli', 'paket', 'mahal', 'tpi', 'sesuai', 'harga', 'lemot', '']</t>
  </si>
  <si>
    <t>['heran', 'provider', 'telkomsel', 'jaringan', 'tetep', 'jelek', 'area', 'pandemi', 'jaringan', 'lancar', 'lancar', 'main', 'game', 'lancar', 'browsing', 'lancar', 'pandemi', 'gini', 'jaringan', 'jelek', 'area', 'alihkan', 'pascabayar', 'dijanjikan', 'jaringan', 'stabil', 'berubah', 'jaringan', 'sinyal', 'berubah', 'alihkan', 'kartu', 'pascabayar', 'kuota', 'dipake', 'jaringan', 'jelek']</t>
  </si>
  <si>
    <t>['emng', 'kartu', 'mahal', 'lemot', 'fiturnya', 'memuaskan', 'kecewa', 'telkomsel', 'berlanggaman', 'kesini', 'jelek', 'payah', '']</t>
  </si>
  <si>
    <t>['kecewa', 'ngga', 'sesuai', 'tawarkan', 'kecewa', 'gimmana', 'ngga', 'butuh', 'kuota', 'data', 'mendadak', 'pulsa', 'tpi', 'ngga', 'masuk', 'masuk', 'coba', 'paket', 'udah', 'biarin', 'menit', 'transaksai', 'berhasil', 'habislah', 'pulsa', 'gimana', 'transaksinya', 'berhasil', 'ngga', 'ngga', 'cepet', 'masuk', 'nuat', 'irit', 'pamek', 'telkomsel', 'bonyok']</t>
  </si>
  <si>
    <t>['', 'telkomsel', 'posisi', 'australia', 'nabung', 'telkomsel', 'mudah', 'beli', 'paket', 'telkomsel', 'mohon', 'bantu', 'tks']</t>
  </si>
  <si>
    <t>['harga', 'mahal', 'sinyal', 'lemot', 'gimana', 'pelosok', 'desa', 'terbaik', '']</t>
  </si>
  <si>
    <t>['koneksi', 'sinyal', 'tolong', 'diperhatikan', 'merata', 'gitu', 'sinyalnya', 'sibuk', 'ngurusin', 'mending', 'lari', 'im', 'kek', 'gini', 'sinyalnya', '']</t>
  </si>
  <si>
    <t>['neh', 'telkomsel', 'nyesel', 'pascabayar', 'skibat', 'slankomsel', '']</t>
  </si>
  <si>
    <t>['kasi', 'bintang', 'buka', 'aplikasi', 'ngk', 'melulu', 'suruh', 'updete', 'updete', 'aplikasi', '']</t>
  </si>
  <si>
    <t>['kecewa', 'pelayanan', 'profesional', 'menangani', 'keluhan', 'pelanggan', 'seakan', 'lepas', 'tangan', 'pulsa', 'dipotong', 'paket', 'gprs', 'paket', 'datanya', 'dimatikan', 'nyuruh', 'ambil', 'paket', 'internet', 'udah', 'signal', 'jelek', 'pilihan', 'paket', 'internet', 'mahal', 'diatas', 'rb', 'dipaketin', 'imternya', 'dikuras', 'pulsa', 'ganti', 'logo', 'mengecewakan', 'sedih', 'pelanggan', '']</t>
  </si>
  <si>
    <t>['tolonglah', 'telkomsel', 'bumn', 'milik', 'negara', 'lohh', 'memalukan', 'lahh', 'tolong', 'harga', 'mencekik', 'gmana', 'maju', 'internet', 'indonesia', 'bumn', 'mendukung', 'tolong', 'keuntungan', 'carii', 'rakyat', 'dipikirkan', 'semoga', 'telkomsel', 'terhormat', 'membacanya', 'terimakasih']</t>
  </si>
  <si>
    <t>['berguna', 'banget', 'terima', 'kasih', 'telkomsel', 'jaya', 'jaya', 'jaya', '']</t>
  </si>
  <si>
    <t>['tolong', 'telkomsel', 'jaringan', 'lelet', 'knapa', 'kalah', 'smartpreen', 'indosat', 'beli', 'paket', 'telkomsel', 'mahal', 'knpa', 'kartu', 'murah']</t>
  </si>
  <si>
    <t>['informasinya', 'membantu', 'semoga', 'kedepannya', 'promo', 'paket', 'data', 'telp', 'murahnya', '']</t>
  </si>
  <si>
    <t>['telkomsel', 'masak', 'lelet', 'paket', 'udah', 'cepet', 'habis', 'tolong', 'perbaiki', '']</t>
  </si>
  <si>
    <t>['jaringan', 'jelek', 'telkomsel', 'jago', 'jaringan', 'sinyal', 'dinilai', 'sampe', 'jaringan', 'telkomsel', 'nilai', '']</t>
  </si>
  <si>
    <t>['tarif', 'telkomsel', 'menjengkelkan', 'dipercaya', 'masyarakat', 'sampah', 'kualitasnya', 'kehabisan', 'paket', 'data', 'seluler', 'tanggung', 'nyedot', 'pulsa', 'lintah', 'darat', 'murni', 'kritikan', 'pelanggan', '']</t>
  </si>
  <si>
    <t>['kendala', 'jaringan', 'mesti', 'tingkatkan', '']</t>
  </si>
  <si>
    <t>['beli', 'kuota', 'telkomsel', 'gagal', 'memuat', 'jaringan', 'harga', 'kuotanya', 'mahal', 'jaringan', 'lambat']</t>
  </si>
  <si>
    <t>['mohon', 'perbaiki', 'jaringan', 'terputus', 'terganggu', 'main', 'match', 'afk', 'gara', 'jaringan', 'terputus', '']</t>
  </si>
  <si>
    <t>['apk', 'mohon', 'perbaiki', 'buka', 'telkomsel', 'susah', 'nungguin', 'jaringan', 'lancar', 'main', 'game', 'buka', 'telkomsel', 'buang', '']</t>
  </si>
  <si>
    <t>['sinyal', 'jelek', 'pagi', 'siang', 'sore', 'malem', 'bumn', 'sinyal', 'gini', 'kartu', 'telkomsel', 'udah', 'coba', 'hubungi', 'call', 'center', 'ttp', 'solusi']</t>
  </si>
  <si>
    <t>['pulsa', 'ribu', 'terpakai', 'ribu', 'sisa', 'ribu', 'kuota', 'giga', 'ambil', 'pulsa', '']</t>
  </si>
  <si>
    <t>['nyesel', 'beli', 'kartu', 'telkomsel', 'sinyal', 'gini', 'mah', 'beli', 'udah', 'mahal', 'ngelek', 'sumpah', 'sumpah', 'nyesel', 'banget', 'kartu', 'telkomsel', 'kartu']</t>
  </si>
  <si>
    <t>['fungsi', 'aplikasi', 'membeli', 'paket', 'internet', 'internet', 'abis', 'tetep', 'kebuka', 'buka', 'internet', 'orang', 'paketnya', 'abis', '']</t>
  </si>
  <si>
    <t>['', 'mna', 'aplikasi', 'udh', 'masukin', 'telkom', 'trus', 'udh', 'update', 'suruh', 'update', 'situ', 'setres', 'kah', 'saranin', 'setres', 'kagak', 'ush', 'apliksi', 'sinyl', 'lelet', 'pindah', 'sinyal', 'ama', 'sinyal', 'sebelag']</t>
  </si>
  <si>
    <t>['pengguna', 'setia', 'kartu', 'telkomsel', 'door', 'prise', 'telkomsel', 'tuk', 'jaringannya', 'daerah', 'banget', '']</t>
  </si>
  <si>
    <t>['aplikasinya', 'bohong', 'tuker', 'poin', 'kuota', 'gagal', 'bohong', 'kali', '']</t>
  </si>
  <si>
    <t>['terutuk', 'orang', 'telkomsel', 'orang', 'indonesia', 'kecewa', 'telkomsel', 'menutup', 'pengguna', 'telkomsel', 'aka', 'menurun', 'orang', 'mingrasi', 'telkomsel', 'prabayar', 'hallo', 'pascabayar', 'konsumen', 'jebak', 'tolong', 'mudahkan', 'pelanggan', 'telkomsel', 'prabayar', '']</t>
  </si>
  <si>
    <t>['eror', 'mulu', 'udah', 'dibeliin', 'pulsa', 'gabisa', 'beli', 'kuota', 'sayang', 'duit', 'woi', 'balikin', 'duit', 'gue', '']</t>
  </si>
  <si>
    <t>['harga', 'mahal', 'raya', 'suka', 'eror', 'aktif', 'kuota', 'singkat', 'kapasitas', 'kuta', 'kuota', 'minimal', 'tb', 'aktif', 'harga', 'kisaran', 'juta', 'pelanggan', 'pelanggan', 'indonesia', 'terjangkau', 'signal', 'bakah', 'hijrah', 'tanfa', 'iklan', 'ptomo', '']</t>
  </si>
  <si>
    <t>['paket', 'telkomsel', 'aneh', 'beli', 'paket', 'maxstream', 'langganan', 'iflix', 'stream', 'iflix', 'pas', 'streaming', 'iflix', 'gilak', 'jalan', 'disney', 'hotstar', 'jalan', 'iflix', 'jalan', 'mah', 'namanya', 'pembohongan', 'paket', 'harap', 'telkomsel', 'perbaiki', 'paket', 'rugi', 'nonton', 'iflix', 'beli', 'dipakai', '']</t>
  </si>
  <si>
    <t>['telkomsel', 'mnutut', 'sinyal', 'stabil', 'banding', 'kembangkan', 'plosok', 'desa', 'mantap', '']</t>
  </si>
  <si>
    <t>['telkomsel', 'udah', 'gila', 'dahlah', 'beli', 'paket', 'internet', 'mahal', 'kadang', 'kadang', 'sinyal', 'ilang', 'buka', 'apk', 'telkomsel', 'disuruh', 'update', 'update', 'pas', 'buka', 'eeh', 'update', 'pas', 'klik', 'update', 'kagak', 'dasar', 'telkomsel', 'gila', 'kek', 'gini', 'beli', 'kartu', 'telkomsel', 'kartu', '']</t>
  </si>
  <si>
    <t>['', 'operator', 'keluhannya', 'jala', 'sembung', 'bawa', 'golok', 'nich', 'muantap', 'membantu', 'paket', 'datanya', 'muaaahaaaall', 'kalah', 'operator', 'sebelah', 'bumn', 'milik', 'rakyat', 'operator', 'tetangga', 'negeri', 'murah', '']</t>
  </si>
  <si>
    <t>['selamat', 'pagi', 'telkom', 'bijak', 'pengguna', 'setia', 'telkom', 'kecewa', 'menyimpan', 'pulsa', 'kepentingan', 'data', 'internet', 'aktif', 'intinya', 'pulsa', 'kepotong', 'data', 'internet', 'aktif', 'ketololan', 'gangguan', 'pengguna', 'mendengar', 'penjelasannya', 'thanks']</t>
  </si>
  <si>
    <t>['kuota', 'lokal', 'gb', 'ngerti', 'gua', 'ama', 'telkomsel', '']</t>
  </si>
  <si>
    <t>['', 'telkomsel', 'tolong', 'beli', 'kuota', 'uang', 'mencuri', 'aktufnya', 'sampe', 'beli', 'kuota', 'nominal', 'lohhh', 'tolong', 'penikmat', 'konsumennnn', 'peras', 'mulu', '']</t>
  </si>
  <si>
    <t>['apk', 'bagus', 'kcewa', 'pket', 'gnakan', 'hilang', 'udah', 'blik', 'lgi', 'termakasi', 'tlkomsel', 'layanan', 'smga', 'mkin', 'apk', 'mkin', 'memuaskan', '']</t>
  </si>
  <si>
    <t>['halo', 'telkomsel', 'tolong', 'jaringan', 'perbaiki', 'meresahkan', 'mengganggu', 'kegiatan', 'mohon', 'secepat']</t>
  </si>
  <si>
    <t>['waduuuh', 'knp', 'pas', 'isi', 'pulsa', 'pulsa', 'kena', 'data', 'seluler', 'mati', 'kaya', 'gini', 'ngga', 'telkomsel', 'tolong', 'perbaiki', 'rugi', 'gini', 'truss']</t>
  </si>
  <si>
    <t>['telkomnyet', 'update', 'bugnya', 'harga', 'paketnya', 'beli', 'unlimited', 'masuk', 'kuota', 'utama', 'habis', 'niat', 'nyenangin', 'usernya', '']</t>
  </si>
  <si>
    <t>['', 'lbh', 'suka', 'lbh', 'rumit', 'semudah', 'pembaruan', 'gampang', 'pakainya', 'signal', 'telkomsel', 'rogojampi', 'jelek', '']</t>
  </si>
  <si>
    <t>['paket', 'unlimited', 'facebook', 'ilang', 'gonta', 'ganti', 'ilangin', 'ganti', 'mahal', 'curang', 'telkomsel', 'kosisten', 'lapak', 'konsisten', 'nyesel', 'telkomsel']</t>
  </si>
  <si>
    <t>['grapari', 'telkomsel', 'cinere', 'mall', 'pelayanan', 'terburuk', 'alami', 'petugas', 'dewi', 'etika', 'sopan', 'santun', 'terbantu', 'dipersulit', 'permasalahan', 'sepele', 'karna', 'kartu', 'tenggang', 'terblokir', 'paham', 'karna', 'telpon', 'sms', 'isi', 'pulsa', 'lampirkan', 'dokumen', 'lengkap', 'ktp', 'asli', 'mengecewakan', 'customer', '']</t>
  </si>
  <si>
    <t>['telkomsel', 'harga', 'mahal', 'koneksi', 'siput', 'harga', 'mencerminkan', 'kualitas', 'provider', 'mahal', 'nge', 'frame', 'karuan', 'haji', 'bintang', 'bintang', 'deh']</t>
  </si>
  <si>
    <t>['kecewa', 'jaringan', 'kesini', 'ancur', 'harga', 'mahal', 'sesuai', 'jaringan', 'kalah', 'yng', 'hrga', 'murah', 'jaringan', 'bagus', 'mending', 'pindah']</t>
  </si>
  <si>
    <t>['applikasi', 'mintak', 'instal', 'tpi', 'instal', 'ttep', '']</t>
  </si>
  <si>
    <t>['kasih', 'bintang', 'karna', 'memudahkan', 'cek', 'pls', 'tapu', 'kecewa', 'simpati', 'data', 'internet', 'mex', 'musik', 'mextrim', 'putar', 'musik', 'langit', 'musik', 'resso', 'liat', 'filem', 'maxtrim', 'knapa', 'ambil', 'data', 'internet', 'data', 'mextrim', '']</t>
  </si>
  <si>
    <t>['minggu', 'sinyalnya', 'stabil', 'suka', 'nipu', 'sinyal', 'full', 'tpi', 'main', 'game', 'suka', 'nglaq', 'pdhal', 'kuotanya', 'msih', '']</t>
  </si>
  <si>
    <t>['bermanfaat', 'kalangan', 'memudahkan', 'berkomunikasi', 'keluarga', 'daerah', '']</t>
  </si>
  <si>
    <t>['assalamu', 'alaikum', 'coba', 'berkali', 'aplikasinya', 'knp', 'trlalu', 'susah', '']</t>
  </si>
  <si>
    <t>['daerahku', 'telkomsel', 'jaringan', 'internetnya', 'stabil', 'karna', 'banyaknya', 'pengguna', 'wifi', 'tolong', 'perbaiki', 'kasian', 'wifi']</t>
  </si>
  <si>
    <t>['harga', 'mahal', 'sinyal', 'burik', 'gini', 'mending', 'pindah', 'kesebelah', 'udh', 'beli', 'paket', 'mahal', 'mahal', 'sinyal', 'burik', 'paket', 'kebuang', '']</t>
  </si>
  <si>
    <t>['halo', 'mimin', 'udah', 'minggu', 'sinyal', 'dirumah', 'baguss', 'tapii', 'jelek', 'pas', 'pts', 'terganggu', 'min', 'tolong', 'petunjuk', 'plis', '']</t>
  </si>
  <si>
    <t>['paketan', 'mahal', 'pelayanannya', 'memuaskan', 'pakai', 'telkomsel', 'sinyal', 'surabaya', 'gangguan', 'bos', 'abis', 'gangguan', 'provider', 'lawak', 'abies', 'deh', 'gabisa', 'ngerate', 'mencet', 'terpaksa', '']</t>
  </si>
  <si>
    <t>['isi', 'paket', 'internet', 'tgl', 'september', 'menjelang', 'sept', 'berubah', 'tgl', 'sept', 'rugi', 'hrs', 'isi', 'paket', 'harian', 'sesuai', 'isi', 'paket', 'internet', 'bulanan']</t>
  </si>
  <si>
    <t>['habis', 'paketan', 'hap', 'langsung', 'makan', 'pulsa', 'sisa', 'saldo', 'knp', 'pitur', 'kunci', 'kya', 'kecolongan', 'saldo', 'minusnya', '']</t>
  </si>
  <si>
    <t>['tolong', 'telkom', 'diperbaiki', 'sistemnya', 'pengguna', 'paket', 'internet', 'harian', 'paket', 'internet', 'harian', 'habis', 'langsung', 'stop', 'internet', 'main', 'ambil', 'pulsa', 'langsung', 'tre', 'contoh', 'habis', 'kuota', 'internetnya', 'langsung', 'stop', 'internet', 'merugikan', 'castamer', 'kali', 'pulsa', 'lenyap', 'kehilangan', 'pulsa', 'sia', 'sia', '']</t>
  </si>
  <si>
    <t>['buka', 'perbarui', 'buka', 'perbarui', 'buka', 'perbarui', 'terua', 'botak', 'sariawan', '']</t>
  </si>
  <si>
    <t>['suka', 'info', 'penggunaan', 'kuota', 'internet', 'teleponnya', 'kontrol', 'kuota', '']</t>
  </si>
  <si>
    <t>['telkomsel', 'sinyal', 'kayak', 'taiiii', 'sinyal', 'isi', 'paket', 'sinyal', 'kayak', 'puki', 'makan', 'gaji', 'buta']</t>
  </si>
  <si>
    <t>['jelek', 'banget', 'sinyalnya', 'bro', 'buka', 'game', 'pas', 'jam', 'kuota']</t>
  </si>
  <si>
    <t>['kemudahan', 'bersosial', 'media', 'sinyal', 'telkomsel', 'sabang', 'maroke', 'coba', 'deh', 'hehehe']</t>
  </si>
  <si>
    <t>['masak', 'udah', 'perbarui', 'buka', 'kecewa', 'memudahkan', 'data', 'paket', 'uda', 'habis']</t>
  </si>
  <si>
    <t>['bangga', 'memiliki', 'kartu', 'telkomsel', 'karna', 'jaringan', 'super', 'cepat', 'murah', 'beli', 'paket', 'lupa', 'pakai', 'kartu', 'telkonsel', 'karna', 'kualitas', 'bagus']</t>
  </si>
  <si>
    <t>['lumayan', 'update', 'melulu', 'internal', 'penuh', 'ahirnya', '']</t>
  </si>
  <si>
    <t>['kuota', 'menipis', 'buka', 'aplikasi', 'telkomsel', 'beli', 'paket', 'beli', 'paket', 'buka', 'muncul', 'notif', 'kuota', 'habis', 'cek', 'pulsa', 'habis', 'kuota', 'beli', 'masuk', '']</t>
  </si>
  <si>
    <t>['apk', 'gunain', 'ngebug', 'buka', 'ngeheng', 'rusak', '']</t>
  </si>
  <si>
    <t>['kecewa', 'telkomsel', 'barusan', 'menawarkan', 'kuota', 'harga', 'langsung', 'mengisi', 'pulsa', 'beli', 'kuota', 'pas', 'gua', 'beli', 'langsung', 'dibeli', 'mala', 'menghilang', 'paketnya', 'pulsa', 'gua', 'disedot', 'gua', 'nggak', 'pulsa', 'tolong', 'kebijakannya']</t>
  </si>
  <si>
    <t>['sinyal', 'bagus', 'nawarin', 'orbit', 'donk', 'bagus', 'udah', 'beli', 'kuota', 'mahal', 'bagus', 'pakai', 'lancarnya', '']</t>
  </si>
  <si>
    <t>['woyyyyyyyy', 'sinyalll', 'sinyalllllllll', 'woyyyyyyyyyy', 'gua', 'beli', 'kuota', 'mahal', 'astagfirullah', 'woyy', 'operator', 'telkomsel', 'angin', 'petir', 'sinyall', 'woyyyy']</t>
  </si>
  <si>
    <t>['serius', 'gatau', 'knpa', 'pulsa', 'abis', 'ngga', 'dipake', 'pulsa', 'rb', 'diapa', 'apain', 'jdi', '']</t>
  </si>
  <si>
    <t>['sinyal', 'susah', 'perbaiki', 'gangguan', 'dasar', 'laut', 'blum', 'emang', 'bantuin', 'gitu', 'lumayan', 'mempersingakt', 'bantuin', 'pancing', 'hiu']</t>
  </si>
  <si>
    <t>['jaringan', 'stabil', 'teman', 'teman', 'pakai', 'kartu', 'stabil', 'salah', 'network']</t>
  </si>
  <si>
    <t>['harga', 'doang', 'mahal', 'kualitas', 'bobrok', 'sinyal', 'ngegame', 'ilang', 'parah', 'jelek']</t>
  </si>
  <si>
    <t>['udah', 'bayar', 'mahal', 'jaringan', 'ancurr', '']</t>
  </si>
  <si>
    <t>['signal', 'jaringan', 'lelet', 'tolong', 'diperbaiki', 'mahal', 'kualitas', 'menurun', 'terimakasih']</t>
  </si>
  <si>
    <t>['terimakasih', 'sya', 'kartu', 'alhamdulillah', 'lancar', 'mohon', 'permahal', 'harga', 'kuota', '']</t>
  </si>
  <si>
    <t>['barusan', 'beli', 'paket', 'gb', 'harga', 'rb', 'masuk', 'gb', 'udah', 'iklasin', 'coba', 'beli', 'pilihan', 'paket', 'gb', 'rb', 'udah', 'ilang', 'nyesel', 'isi', 'rb', 'mending', 'beli', 'voucher', 'provider', '']</t>
  </si>
  <si>
    <t>['harga', 'paket', 'doang', 'mahal', 'internet', 'lemot', 'kyk', 'siput', 'udah', 'gitu', 'paket', 'internetnya', 'dibagi', 'paket', 'internet', 'utama', 'abis', 'susah', 'buka', 'browser', '']</t>
  </si>
  <si>
    <t>['udah', 'paketan', 'mahal', 'kecewa', 'teramat', 'parah', 'gokil', 'telkomsel', 'udah', 'banget', 'bertaun', 'ngadat', 'sinyal', 'sesuai', 'harga', 'paket', 'data']</t>
  </si>
  <si>
    <t>['kesini', 'paraaah', 'provider', 'kwalitasnyaa', 'jelek', 'sekaliiiii', 'makiiiin', 'mahaaaallll', 'hmmmm', 'kayanya', 'msti', 'korbanin', 'ganti', 'provider', 'gini', 'mulu', 'rugi', '']</t>
  </si>
  <si>
    <t>['kak', 'pulsa', 'tsel', 'nyedot', 'pulsa', 'kuota', 'pulsa', 'isi', 'pas', 'pulsa', 'kmn', 'kuota', 'tolong', 'kak', 'perbaiki', '']</t>
  </si>
  <si>
    <t>['', 'telkomsel', 'pelanggan', 'setia', 'telkomsel', 'combo', 'sakit', 'unlimited', 'game', 'kcewa']</t>
  </si>
  <si>
    <t>['kecewa', 'telkomsel', 'kuota', 'mahal', 'ngaku', 'jaringan', 'terluas', 'tpi', 'kota', 'sinyal', 'jelek', 'malam', 'harap', 'intermetan', 'lancar', 'menyesal', 'memakai', 'telkomsel', '']</t>
  </si>
  <si>
    <t>['hadehh', 'parah', 'telkomsel', 'beli', 'kuota', 'maxstream', 'sore', 'jam', 'malam', 'dipakai', 'kemana', 'pelayanan', 'terbaik', 'kalah', 'provider', 'lahir', 'beli', 'kuota', 'langsung', 'dipakai', 'provider', 'terbesar', 'diindonesia', 'sinyal', 'beli', 'kuota', 'pakai', 'posisi', 'jakarta', 'jaringan', 'tower', 'kuat', '']</t>
  </si>
  <si>
    <t>['paket', 'nambah', 'mahal', 'sesuai', 'pelayanan', 'signal', 'parah', 'lemot', 'abis', 'maen', 'game', 'udh', 'afk', 'kpn', 'perbaikn', 'siganal', 'internet', 'gini', 'ganti', 'kartu', '']</t>
  </si>
  <si>
    <t>['jaringan', 'payah', 'kalilah', 'tinggal', 'dikota', 'memuaskan', 'kalah', 'operator', 'sebelah', 'pindah', 'sebelah', 'karna', 'enak', 'jaringannya', '']</t>
  </si>
  <si>
    <t>['bnr', 'bnr', 'kecewa', 'telkomsel', 'jaringan', 'lemot', 'parah', 'main', 'mobile', 'legend', 'lose', 'ragara', 'telkomsel', 'tolong', 'benerin', 'jaringan', 'kuota', 'beli', 'pakai', 'uang', 'koneksi', 'jelek', 'banget']</t>
  </si>
  <si>
    <t>['sinyal', 'tolong', 'setarain', 'harga', 'bang', '']</t>
  </si>
  <si>
    <t>['harga', 'kuota', 'trus', 'jaringan', 'jelek', 'jngan', 'maen', 'geme', 'nonton', 'youtube', 'leg', 'subahanaullah', 'plis', 'tolong', 'diperbaiki', 'jaringan', '']</t>
  </si>
  <si>
    <t>['wooy', 'telkomsel', 'diam', 'klarifikasi', 'terkait', 'jaringan', 'lambat', 'lemot', 'merugikan', 'harga', 'paket', 'data', 'mahal', 'jaringan', 'lemot', 'telkomsel', 'jaringannya', 'jelek', 'tolong', 'balas', '']</t>
  </si>
  <si>
    <t>['jujur', 'jaringan', 'terkomsel', 'stabil', 'didaerah', 'cuaca', 'panas', 'hujan', 'jaringannya', 'putus', 'sesuai', 'iklannya', 'stabil', 'disegala', 'cuaca', 'terkomsel', 'terbaik', 'diindonesia', 'jaringannya', 'buruk', '']</t>
  </si>
  <si>
    <t>['pelayanan', 'bagus', 'kualitas', 'jaringan', 'internet', 'daerah', 'bagus']</t>
  </si>
  <si>
    <t>['telkomsel', 'sekolah', 'sma', 'kesini', 'parah', 'signalny', 'nnton', 'netflix', 'disney', 'hotstar', 'muter', 'doang', 'kaya', 'kuota', 'kasih', '']</t>
  </si>
  <si>
    <t>['parahhhh', 'banget', 'isi', 'pulsa', 'ribu', 'ribu', 'hilang', 'enaknya', 'beli', 'kuota', 'internet', 'parrraaahhh', 'ribet', 'banget', 'komplen', 'ikhlas', 'pulsa', 'selevel', 'telkomsel', 'kaya', 'perusahaan', 'provider', 'record', 'telp', 'aktif', 'september', '']</t>
  </si>
  <si>
    <t>['sihnyal', 'jaringan', 'ngelex', 'telkomsel', 'daerah', '']</t>
  </si>
  <si>
    <t>['udh', 'pakek', 'paket', 'telkomsel', 'sesuai', 'harga', 'kualitas', 'sumpah', 'kecewa', 'bintang', 'udh', 'kasi', 'bintang', '']</t>
  </si>
  <si>
    <t>['terang', 'bagus', 'kota', 'pas', 'pulang', 'kampung', 'daerah', 'lebaksiu', 'sinyal', 'susah', 'desa', 'lebakgoah']</t>
  </si>
  <si>
    <t>['download', 'anting', 'nnti', 'nyesel', 'kayak', 'gua', 'udh', 'beli', 'paket', 'jaringan', 'nyesel', 'gua', 'pokok', 'download', 'anting', 'nnti', 'nyesel', 'kayak', 'gua', 'aplikasi', 'sampah', 'perbaiki', 'jaringannya']</t>
  </si>
  <si>
    <t>['pembelian', 'paket', 'combo', 'seharga', 'rb', 'lambat', 'notifikasi', 'pembelian', 'berhasil', 'menekan', 'tombol', 'pembelian', 'paket', 'terbeli', 'komplain', 'veronica', 'terekam', 'pembicaraan', 'komplain', 'dikembalikan', 'dlm', 'bentuk', 'pulsa', 'paket', 'data', 'berlebih', 'uang', 'hangus', 'telkomsel', 'layanan', 'pelanggan']</t>
  </si>
  <si>
    <t>['', 'perkuat', 'sinyal', 'telkomsel', 'sinyal', 'jaman', 'nokia', 'telkomsel', 'berusaha', 'semaksimal', 'tpi', 'kenyamanan', 'pelanggan', 'baiknya', 'saran', 'kritik', 'pertimbangkan', '']</t>
  </si>
  <si>
    <t>['gue', 'pengguna', 'telkomsel', 'internet', 'mengecewakan', 'tolong', 'perbaiki', 'kepuasan', 'konsumen']</t>
  </si>
  <si>
    <t>['update', 'buka', 'udate', 'tolong', 'eror', 'perbaiki', 'habisin', 'kuota', 'update', 'buka']</t>
  </si>
  <si>
    <t>['apk', 'membantu', 'membeli', 'kuotanya', 'cek', 'jaringan', 'tunggu', 'menit', 'update', 'ulg', 'apk', 'ttapi', '']</t>
  </si>
  <si>
    <t>['buruk', 'sinyal', 'suka', 'timbul', 'tenggelam', 'paketan', 'mahal', 'pdhal', 'tinggal', 'kota', 'plosok', '']</t>
  </si>
  <si>
    <t>['buruk', 'beli', 'paket', 'tulisannya', 'maaf', 'sistem', 'tergangu', 'coba', 'menit', 'udh', 'berpa', 'ttp', 'ndak', 'bsa', '']</t>
  </si>
  <si>
    <t>['', 'telkomsel', 'keren', 'bagus', 'pulsa', 'kota', 'wau', 'sgat', 'keren', 'wow', 'keren', 'bagus', 'manfaat', 'wao', '']</t>
  </si>
  <si>
    <t>['mksud', 'gimana', 'udh', 'maketin', 'udh', 'beli', 'pulsa', 'paketin']</t>
  </si>
  <si>
    <t>['semoga', 'keberuntungan', 'pihaku', 'jdi', 'pengguna', 'telkomsel', 'setia', 'telkomsel', 'emang', 'mantap', 'aplikasinya', 'gimana', 'buka', 'susah', 'banget', 'jeleeeeeeeeek']</t>
  </si>
  <si>
    <t>['telkomsel', 'kontol', 'anjing', 'babi', 'biadap', 'haram', 'sinyal', 'buriq', '']</t>
  </si>
  <si>
    <t>['isi', 'pulsa', 'pulsa', 'hilang', 'rupiah', 'kena', 'pajak', 'kah', 'tilep', '']</t>
  </si>
  <si>
    <t>['top', 'kendala', 'jaringan', 'lihat', 'pulsa', 'kesedot', 'tolong', 'benerin', 'telkomsel', 'kali', 'mengalaminya']</t>
  </si>
  <si>
    <t>['mantap', 'aplikasi', 'mahal', 'beli', 'nak', 'belajar', 'beli', 'paket', 'susah', '']</t>
  </si>
  <si>
    <t>['suka', 'lambat', 'jaringannya', 'bos', 'pas', 'dibutuhin', 'lemot', 'kecewa', '']</t>
  </si>
  <si>
    <t>['jaringan', 'lemot', 'kuota', 'unlimited', 'gratisan', 'loading']</t>
  </si>
  <si>
    <t>['pulsa', 'suka', 'kesedot', 'internet', 'dipaketin', '']</t>
  </si>
  <si>
    <t>['bingung', 'pengumuman', 'pemenang', 'undian', 'klu', 'tlfn', 'sms', 'pantau', 'klu', 'menang']</t>
  </si>
  <si>
    <t>['telkomsel', 'smpai', 'skrg', 'tpi', 'sinyalnya', 'udh', 'kya', 'lancar', 'mski', 'cuaca', 'hujan', 'listrik', 'mati', 'skrg', 'gangguan', 'jdi', 'lag', 'sinyal', 'klah', 'sma', 'provider', 'ayo', 'telkomsel', 'prbaiki', 'hrga', 'dimahalin', '']</t>
  </si>
  <si>
    <t>['top', 'paket', 'masuk', 'gimana', 'lemooot', 'paeah']</t>
  </si>
  <si>
    <t>['telkomsel', 'payah', 'sinyal', 'lemot', 'banget', 'lgi', 'mati', 'lampu', 'ilang', 'udh', 'udah', 'kaya', 'gini', 'mending', 'ganti', 'kartu']</t>
  </si>
  <si>
    <t>['telkomsel', 'maaf', 'menurunkan', 'bintang', 'aplikasi', 'pengguna', 'telkomsel', 'kali', 'merasakan', 'kerisihan', 'jaringan', 'tolong', 'telkomsel', 'memperbaiki', 'sistem', 'jaringan', 'ngelag', 'internet', 'pringkat', 'bintang', 'jaringan', 'normal', 'trimakasih']</t>
  </si>
  <si>
    <t>['transaksi', 'via', 'wallet', 'muncul', 'maaf', 'gangguan', 'sistem', 'cek', 'koneksi', 'ulangi', 'transaksi', 'menit', 'gitu', 'sore', 'malam', 'transaksi', 'aplikasi', 'ujung', 'ujungna', 'isi', 'ulang', 'pulsa', '']</t>
  </si>
  <si>
    <t>['beli', 'kuota', 'gb', 'beli', 'tanggal', 'habis', 'tanggal', 'liat', 'mytelkomsel', 'liat', 'sms', 'memiliki', 'paket', 'pantesan', 'koneksi', 'internet', 'problem', '']</t>
  </si>
  <si>
    <t>['simpati', 'daerah', 'tangerang', 'selatan', 'tangsel', 'sinyal', 'simpati', 'jaringan', 'bagus', 'lokasi', 'tepatnya', 'kampung', 'kademangan', 'kec', 'setu', 'gang', 'haji', 'raian', 'sinyal', 'simpati', 'bagus', 'tolong', 'perbaiki', 'pengguna', 'simpati', 'tolong', 'perbaiki', 'pengguna', 'kartu', 'simpati', 'nyaman', 'terimakasih']</t>
  </si>
  <si>
    <t>['parah', 'nol', 'bintang', 'kasih', 'nol', 'bintang', 'kouta', 'mahal', 'kualitas', 'jaringan', 'buruk']</t>
  </si>
  <si>
    <t>['apk', 'telkomsel', 'proses', 'beli', 'paket', 'gitu', 'nunggu', 'pulsa', 'kepotong', 'kasilah', 'fitur', 'pulsa', 'safe']</t>
  </si>
  <si>
    <t>['aplikasi', 'bagus', '']</t>
  </si>
  <si>
    <t>['taik', 'kuota', 'tpi', 'pulsa', 'pakek', 'internet', 'gimana', 'woe', 'telkom', 'milih', 'paketan', 'pakek', 'terbaru', 'pakek', 'kuota', 'kemenag', 'nutupin', 'kuota', 'asli', 'laaaaahhh', 'bangkek']</t>
  </si>
  <si>
    <t>['provider', 'telepon', 'parah', 'beli', 'paket', 'internet', 'kerjanya', 'banyakan', 'loading', 'bolak', 'restart', 'telepon', 'tutup', 'merufikan', 'org', '']</t>
  </si>
  <si>
    <t>['jam', 'kotaku', 'jaringannya', 'lemot', '']</t>
  </si>
  <si>
    <t>['aplikasi', 'upadate', 'ribet', 'aplikasi', 'input', 'bnyak', 'nomor', 'notifikasi', 'konfirmasi', 'ngisi', 'paket', 'nomor', 'anak', 'sulit', 'mesti', 'masukin', 'kartu', 'perangkat', 'pakai', 'code', 'pas', 'ngetik', 'kode', 'pakai', 'pokoknya', 'ribet', 'bin', 'susah', '']</t>
  </si>
  <si>
    <t>['plat', 'merah', 'transparan', 'pelayanan', 'pelanggan', 'kepuasan', 'pelanggan', 'diabaikan', 'mgkin', 'telkomsel', 'sombong', 'nyaman', '']</t>
  </si>
  <si>
    <t>['bagus', 'aplikasi', 'hadiah', 'telkomsel', 'kirim', 'ratusan', 'poin', '']</t>
  </si>
  <si>
    <t>['harga', 'mahal', 'sinyal', 'jelek', 'napa', 'percaya', 'log', 'main', 'game', 'lag', 'beli', 'top', 'ngebug']</t>
  </si>
  <si>
    <t>['sebenernya', 'membantu', 'banget', 'mantau', 'sisa', 'kuota', 'update', 'susah', '']</t>
  </si>
  <si>
    <t>['ngga', 'telkomsel', 'ngga', 'indihome', 'ngelag', 'trus', 'gangguan', 'hadeuh', 'tolong', 'diperbaiki', 'wilayah', 'daerah', 'kalimantan', '']</t>
  </si>
  <si>
    <t>['jaringan', 'lemot', 'paket', 'harga', 'mahal', 'promo', 'untung', 'gua', 'buang', 'kartu', 'beli', 'mantap']</t>
  </si>
  <si>
    <t>['telkom', 'jaringan', 'operator', 'diandalkan', 'pelosok', 'negeri']</t>
  </si>
  <si>
    <t>['aplikasinya', 'udah', 'bagus', 'cuman', 'tolong', 'upgrade', 'kadang', 'kadang', 'akun', 'error', 'kayak', 'abis', 'hack', 'disuruh', 'login', 'ulang', 'login', 'ulang', 'daily', 'check', 'restart', 'udah', 'capek', 'capek', 'login', 'tolong', 'update', 'tukar', 'pointnya', 'tukar', 'point', 'saldo', 'link', 'cuman', 'tolong', 'diupdate', 'saldonya', 'tolong', 'diupdate', '']</t>
  </si>
  <si>
    <t>['tolong', 'kak', 'permudah', 'telkomsel', 'terblokir', 'kak', 'gara', 'gara', 'habis', 'aktif', 'telat', 'isi', 'pulsa', 'geraypari', 'telkomsel', 'hasilnya', 'nihil', 'gara', 'gara', 'nik', 'sesuai', 'daftarkan', 'telkomsel', 'pribdi', 'susah', 'aktifin', 'nomer', 'bantu', 'mas', 'penjaga', 'konter', 'aktifin', 'plis', 'kak', 'tolong', 'bannget', 'kak', '']</t>
  </si>
  <si>
    <t>['sistem', 'verifikasi', 'ditambah', 'sistem', 'verikasi', 'kode', 'otp', 'sistem', 'verifikasi', 'link', 'nomor', 'terverifikasi', 'data', 'internet', 'symbian', 'verifikasi', 'nomor']</t>
  </si>
  <si>
    <t>['sebel', 'banget', 'telkomsel', 'harganya', 'super', 'mahaaalll', 'ngajak', 'kere', 'udah', 'gitu', 'boros', 'bnyak', 'kuota', 'beli', 'habisnya', 'upgrade', 'kuota', 'gb', 'sebulan', 'youtube', 'mah', 'boro', 'udah', 'isi', 'gb', 'ttp', 'sebulan', 'bingung', 'harys', 'beli', 'harganya', 'super', 'dupermahal', 'nyesek', 'sampe', 'ubun', 'sumpah', '']</t>
  </si>
  <si>
    <t>['gimana', 'yak', 'suka', 'lucu', 'provider', 'udh', 'sinyal', 'full', 'donlot', 'sampe', 'kb', 'udh', 'beli', 'mahal']</t>
  </si>
  <si>
    <t>['berkomentar', 'buruk', 'telkomsel', 'menemani', 'marah', 'singgung', 'harga', 'turun', 'indonesia', 'suka', 'eror', 'pas', 'nyalain', 'data', 'koneksi', 'internet', 'bangett', 'beli', 'suka', 'dapet', 'paket', 'geratis', 'acara', 'ngasih', 'kouta', 'tengkyu', 'telkomsel', '']</t>
  </si>
  <si>
    <t>['tolol', 'aplikasi', 'buka', 'aplikasi', 'koneksi', 'kartu', 'pulsa', 'sedot', 'buka', 'aplikasi', 'habis', 'pulsa', 'emang', 'tolol']</t>
  </si>
  <si>
    <t>['update', 'persi', 'terbaru', 'jaringan', 'lemah', 'paket', 'ngak', 'terpakai', 'dasar', 'penipu', 'ngak', 'ngurus', 'aplikasi', 'mending', 'tutup', 'aplikasinya', 'aplikasi', 'taik']</t>
  </si>
  <si>
    <t>['aplikasi', 'membantu', 'pembelian', 'paket', 'karna', 'promo', 'tawarkan']</t>
  </si>
  <si>
    <t>['update', 'aplikasinya', 'kesalahan', 'menerus', 'mohon', 'developer', 'diperbaiki', 'aplikasinya', '']</t>
  </si>
  <si>
    <t>['memakai', 'telkomsel', 'tpi', 'paketan', 'mahal', 'mahal', 'murah']</t>
  </si>
  <si>
    <t>['promo', 'provider', 'promo', 'langsung', 'beralih', '']</t>
  </si>
  <si>
    <t>['jaringan', 'terluas', 'pelosok', 'negeri', 'iklan', 'stabil', 'iklan', 'tercepat', 'iklan', 'iklan', 'kenyataannya', 'tampilan', 'klasik', 'layar', 'notifikasi', 'bar', 'kemampuannya', '']</t>
  </si>
  <si>
    <t>['kecewa', 'parah', 'banget', 'jaringan', 'udh', 'lagh', 'sma', 'isi', 'pulsa', 'kepotong', 'rb', 'isi', 'pulsa', 'kepotong', 'tdi', 'isi', 'pulsa', 'kepotong', 'rb', 'gara', 'paket', 'darurat', 'pdahal', 'paketan', 'daruratnya', 'kacau']</t>
  </si>
  <si>
    <t>['kecewa', 'kejelasan', 'jaringan', 'sekelas', 'provider', 'terbesar', 'indonesia', 'kepastian']</t>
  </si>
  <si>
    <t>['pulsa', 'terpotong', 'pakai', 'internet', 'wifi', 'lho', 'banget', 'telkomsel', 'potong', 'merugikan', 'mendingan', 'isi', 'pulsa', 'main', 'potong', '']</t>
  </si>
  <si>
    <t>['internet', 'malam', 'jam', 'malam', 'internet', 'malam', 'namanya', 'internet', 'pagi', '']</t>
  </si>
  <si>
    <t>['deplover', 'terimakasih', 'kinerjanya', 'kasih', 'bintang', 'dulunya', 'bintang', 'saran', 'deplover', 'pengguna', 'telkomsel', 'beli', 'kuota', 'internet', 'pembayarannya', 'pakai', 'pulsa', 'aktif', 'kartunya', 'beli', 'pulsa', 'aktif', 'kartu', 'itupun', 'semoga', 'promo', 'dihilangkan', 'harganya', 'dihilangkan', 'sekian', 'terimakasih']</t>
  </si>
  <si>
    <t>['aplikasi', 'babi', 'beli', 'pulsa', 'kuota', 'habis', 'dipaksa', 'update', 'aplikasi', 'kuota', 'beli', 'aplikasi', 'aplikasinya', 'dibuka', 'tulisan', 'perbarui', 'update', 'dibuka', 'samasekali', 'app', 'anjink', 'the', 'real', 'perampok', 'selesai', 'update', 'aplikasi', 'pulsa', 'beli', 'berkurang', 'anjink']</t>
  </si>
  <si>
    <t>['aplikasi', 'hoax', 'mohon', 'hapu', 'data', 'salah', 'laporkan', 'berwajib']</t>
  </si>
  <si>
    <t>['kecewa', 'telkomsel', 'pakai', 'telkomsel', 'kesini', 'jaringan', 'lemot', 'harga', 'paket', 'internet', 'terbilang', 'mahal', 'sesuai', 'harga', 'dngn', 'kwalitas']</t>
  </si>
  <si>
    <t>['jaringan', 'main', 'game', 'hancur', 'aman', 'aman', 'skrang', 'ahhh', 'sesuai', 'harganya', '']</t>
  </si>
  <si>
    <t>['beli', 'pulsa', 'beli', 'mohon', 'diperbaiki']</t>
  </si>
  <si>
    <t>['aplikasi', 'mytelkomsel', 'jaringan', 'dipelosok', 'kuat', 'dipelosok', 'internet', 'karna', 'sinyal', '']</t>
  </si>
  <si>
    <t>['paketan', 'gb', 'bayar', 'beli', 'beli', 'mending', 'gue', 'pindah', 'provider', 'ajalah']</t>
  </si>
  <si>
    <t>['harga', 'tlg', 'murah', 'sinyal', 'lemot', 'area', 'aceh', 'kec', 'dewantara', 'kacau', 'sinyal']</t>
  </si>
  <si>
    <t>['buruk', 'paket', 'dipromosikan', 'beli', 'klw', 'tampilkan', 'kecewa']</t>
  </si>
  <si>
    <t>['jaringan', 'telkomsel', 'lemot', 'kalah', 'jaringan', 'tetangga', 'jaringan', 'tetangga', 'lancar', 'perna', 'lelet', 'tolong', 'perbarui', 'jaringan', 'telkomsel', 'kalah', '']</t>
  </si>
  <si>
    <t>['menawarkan', 'meikkan', 'tarifnya', 'membunuh', 'orang', 'memikirkan', 'menaikkan', 'tarif', 'terimakasih', '']</t>
  </si>
  <si>
    <t>['busuk', 'aplikasinya', 'beli', 'paket', 'data', 'alasan', 'gangguan', 'koneksi', 'sya', 'buka', 'youtube', 'lancar', 'kasih', 'minus', 'nilainya']</t>
  </si>
  <si>
    <t>['provider', 'terburuk', 'masuk', 'akal', 'sulit', 'dicerna', 'otak', 'diterima', 'logika', 'dimana', 'kesekian', 'kalinya', 'pulsa', 'terpotong', 'paket', 'internet', 'habis', 'paket', 'paket', 'data', 'pulsa', 'terpotong', 'pembodohan', 'heyyy', 'malu', 'kah', 'dasar', 'tukang', 'maling']</t>
  </si>
  <si>
    <t>['', 'tengok', 'promo', 'kece', 'kali', 'beli', 'habis', 'jaringannya', 'hilang', 'kuliah', 'online', 'tipu', 'kau', 'gini', 'beli', 'bestiepintar', 'daring', 'pulak', 'kau', 'merepotkan', 'kasih', 'kau', 'bintang', 'kau', 'pikirlah', 'kesurupan', 'lelah']</t>
  </si>
  <si>
    <t>['jaringan', 'telkomsel', 'susah', 'khusus', 'daerah', 'hilang', 'mohon', 'meningkatkan', 'salam', 'riau', 'kabupaten', 'kampar', '']</t>
  </si>
  <si>
    <t>['', 'pulsa', 'ilang', 'berkurang', 'trus', 'saldo', 'pulsanya', 'knpa', '']</t>
  </si>
  <si>
    <t>['telkomsel', 'jujur', 'mengecewakan', 'bermain', 'game', 'konseksi', 'stabil', 'topup', 'kuota', 'harga', 'bermain', 'koneksi', 'maksimal', 'stabil', 'sungguh', 'nyaman', 'harap', 'kedepannya']</t>
  </si>
  <si>
    <t>['memblokir', 'situs', 'muncul', 'portal', 'mercusuar', 'isi', 'promo', 'game', 'jualan', 'rugi', 'pengguna', 'pelanggan', 'telkomsel', 'nomor', 'alasan', 'internet', 'positip', 'kepentingan', 'pribadi', 'persaingan', 'sehat', 'good', '']</t>
  </si>
  <si>
    <t>['kualitas', 'jaringan', 'telkom', 'ancur', 'googling', 'classroom', 'lemotnya', 'nauzubillah', 'main', 'game', 'dasarnya', 'memiliki', 'server', 'tolonglah', 'telkom', 'perbaiki', 'jaringannya', 'emang', 'gabisa', 'membaiki', 'jaringan', 'mending', 'rubuhin', 'tower', 'gaguna', '']</t>
  </si>
  <si>
    <t>['abis', 'update', 'parah', 'pas', 'kuota', 'abis', 'nyedot', 'pulsa', 'update', 'parah', 'pas', 'kuota', 'abis', 'pulsa', 'ikutan', 'abis', 'karna', 'tersedot']</t>
  </si>
  <si>
    <t>['hilang', 'predikat', 'provider', 'elit', 'orang', 'kaya', 'telkomsel', 'lemotttt', 'parahhhhh', 'harga', 'mahal', 'diimbangi', 'kualitas', 'jaringan', 'paraaahhhh']</t>
  </si>
  <si>
    <t>['pas', 'pulsa', 'promonya', 'murah', 'pas', 'isi', 'pulsa', 'promonya', 'mahal', 'apalah']</t>
  </si>
  <si>
    <t>['halangan', 'promo', 'check', 'sengaja', 'kayaknya', 'besoknya', 'reset']</t>
  </si>
  <si>
    <t>['suka', 'nyedot', 'pulsa', 'nda', 'pulsa', 'safe', 'kadang', 'kalua', 'kuota', 'tinggal', 'mb', 'beli', 'pas', 'isi', 'pulsa', 'udah', 'kesedot', 'pulsa', 'banget', 'pembelian', 'rugi', 'banget', 'isi', 'ulang', 'pulsa', 'beli', 'kuoata', 'sanget', 'menjengkelkan', 'konsumen', 'dirugikan', '']</t>
  </si>
  <si>
    <t>['jaringan', 'kadang', 'bagus', 'kadang', 'jellekkkkk', 'kadang', 'stabil', 'kadang', 'ngeleg', 'internet', 'lemot', 'data', 'mahal', '']</t>
  </si>
  <si>
    <t>['mohon', 'perbaiki', 'kualitas', 'jaringan', 'jaringan', 'lambat', 'banget', 'terima', 'kasih']</t>
  </si>
  <si>
    <t>['thanks', 'saran', 'item', 'reward', 'zalora', 'tokopedia', 'dll', 'poinnya', 'sisipkan', 'opsi', 'amal', 'selamat', 'sukses', 'slalu', 'telkomsel', '']</t>
  </si>
  <si>
    <t>['aplikasi', 'berjalan', 'tingkatkan', 'saran', 'tambahkah', 'radar', 'radius', 'jangkauan', 'kekuatan', 'kulitas', 'sinyal', 'telkomsel', 'perangkat', 'tambahkan', 'titik', 'penyebaran', 'sinyal', 'telkomsel', 'perencanaan', 'traveling', 'wilayah', 'perdesaan', 'indonesia', 'terimakasih']</t>
  </si>
  <si>
    <t>['sim', 'card', 'rusak', 'dipake', 'aktif', 'isi', 'pulsa', 'ribu', 'benerin', 'kartu', 'gimana', '']</t>
  </si>
  <si>
    <t>['kak', 'tolong', 'pulsa', 'paketannya', 'abis', 'pulsanya', 'tarif', 'cuman', 'kepencet', 'data', 'ilangnya', 'pulsanya', 'bet', 'sedih', 'mah', 'aman', 'koutanya', 'mahal', 'combo', 'sakti', 'mah', 'gua', 'jaringan', 'telkomsel', 'ama', 'pakai', '']</t>
  </si>
  <si>
    <t>['dlu', 'telkomsel', 'sinyal', 'bagus', 'sinyalnya', 'buruk', 'ditempat', 'kerja', 'sinyalnya', 'buruk', 'maen', 'game', 'nonton', 'vedio', 'susah', 'mohon', 'telkomsel', 'jaringannya', 'diperbaiki', '']</t>
  </si>
  <si>
    <t>['app', 'hank', 'parah', 'berapakali', 'download', 'ttp', 'buka', 'dear', 'team', 'telkomsel', 'tolong', 'donk', 'jual', 'app', 'berguna', 'carilah', 'kepercayaan', 'penipuan', '']</t>
  </si>
  <si>
    <t>['telkomsel', 'jaringan', 'terluas', 'pelayanan', 'maksimal', 'pengurus', 'diatas', 'mementingkan', 'kepentingan', 'pribadi', 'memperkaya', 'harta', 'memikirkan', 'kepuasan', 'konsumen', 'harta', 'pertanggungjawaban', 'akhirat']</t>
  </si>
  <si>
    <t>['sebel', 'banget', 'bolak', 'sign', 'udah', 'save', 'informasi', 'sign', 'hadeh', '']</t>
  </si>
  <si>
    <t>['aplikasi', 'bgus', 'banget', 'ngga', 'repot', 'ketik', 'ckup', 'masuk', 'aplikasinya', 'trus', 'langsung', 'deh', 'pilihan', 'paketnya', 'bonus', 'lgi', 'abis', 'cek', 'kasih', 'bintang', '']</t>
  </si>
  <si>
    <t>['kemarin', 'buka', 'aplikasinya', 'blink', 'trs', 'cek', 'aktif', 'keganggu']</t>
  </si>
  <si>
    <t>['aplikasi', 'bagus', 'stop', 'berlangganan', 'paket', 'internet', 'kepotong', 'pulsa', 'beli', 'paket', 'internet']</t>
  </si>
  <si>
    <t>['plis', 'beli', 'paket', 'beli', 'paket', 'masuk', 'masuk', 'isi', 'pulsa', 'sya', 'mencukupi', 'tolong', '']</t>
  </si>
  <si>
    <t>['aplikasi', 'bagus', 'banget', 'beli', 'paket', 'combo', 'sakti', 'seharga', 'ribu', 'gb', 'bonus', 'gb', 'gratisan', 'nelpol', 'telkomsel', 'gratisan', 'sms', 'yuk', 'buruan', 'istal', 'aplikasi', 'nyesel', 'deh', '']</t>
  </si>
  <si>
    <t>['', 'maaf', 'sistem', 'sibuk', 'trusss', 'pas', 'isi', 'voucher', 'voucher', 'gua', 'kepake', 'aktif', 'voucher', 'pusssss', 'pisan', 'pelayanan', 'memadai', '']</t>
  </si>
  <si>
    <t>['pulsa', 'cepat', 'habis', 'pulsa', 'berkurang', 'kecewa']</t>
  </si>
  <si>
    <t>['kali', 'transaksi', 'aplikasi', 'kredivo', 'aplikasi', 'langsung', 'bgtu', '']</t>
  </si>
  <si>
    <t>['paket', 'telkomsel', 'mahal', 'kadang', 'lemot', '']</t>
  </si>
  <si>
    <t>['pengguna', 'telkomsel', 'super', 'lemot', 'parah', 'banget', 'kalah', 'axis', 'murah', 'harganya', 'satmya', 'telkomsel', 'recommended', '']</t>
  </si>
  <si>
    <t>['undian', 'tukar', 'poin', 'minimal', 'poin', 'maksimal', 'satupun', 'sangkut', 'hadiah', 'koin', 'hangus', 'hilang', 'undian', 'tukar', 'poin', 'undian', 'abal', 'abal', 'poin', 'sangkut', 'ditukar', 'poin', 'merchandise', 'dibodohi', 'undian', 'tukar', 'poin']</t>
  </si>
  <si>
    <t>['kecewa', 'beli', 'paket', 'data', 'metode', 'pembayaran', 'shopee', 'pay', 'notif', 'promo', 'apk', 'pas', 'pembayaran', 'error', 'apk', 'update', 'chek', 'besok', 'paginya', 'gue', 'chek', 'taraaaaa', 'langsung', 'ulang', 'fix', 'sabotase', 'cuman', 'gue', 'ngalamin', 'usser', '']</t>
  </si>
  <si>
    <t>['stop', 'pulsa', 'pabila', 'costumer', 'kehabisan', 'kuota', 'internet', 'sgt', 'merugikan', 'pengemufi', 'online', 'penghasilan', 'pandemi', 'spt', '']</t>
  </si>
  <si>
    <t>['telkomsel', 'passwordnya', 'beli', 'kuota', 'mahal', 'jaringan', 'kntl', 'tolong', 'mbak', 'bilangin', 'telkomsel', 'perbaiki', 'jaringan', 'kota', 'desa', 'perbaiki', 'jugaa']</t>
  </si>
  <si>
    <t>['telkomsel', 'hati', 'terbaik', 'pelanggan', 'the', 'best', 'sukses', '']</t>
  </si>
  <si>
    <t>['combo', 'sakti', 'unlimited', 'tolong', 'pakai', 'batasan', 'fup', 'sngat', 'nyaman', 'layanan', 'sblm', 'terima', 'kasih']</t>
  </si>
  <si>
    <t>['sinyal', 'lemot', 'manapun', 'pulsa', 'mahal', 'harga', 'paket', 'mahal', 'mahal', 'telkomsel', 'cuman', 'mengambil', 'keuntungan', 'pelanggan']</t>
  </si>
  <si>
    <t>['tolong', 'telkomsel', 'penukaran', 'poin', 'saldo', 'linkaja', 'cmn', 'cmn', 'kali', 'gunanya', 'cmn', 'segitu', 'poin', 'undian', 'iya', 'tolong', 'telkomsel', 'penukaran', 'saldo', 'linkaja', 'batasan', '']</t>
  </si>
  <si>
    <t>['gimana', 'telkomsel', 'eror', 'gini', 'udah', 'aktifin', 'paket', 'internet', 'promo', 'buka', 'internet', 'bayar', 'jebol', 'pulsa', '']</t>
  </si>
  <si>
    <t>['aplikasi', 'terbaik', 'kasih', 'kuota', 'internet', 'gratis', '']</t>
  </si>
  <si>
    <t>['mantaplah', 'telkomsel', 'skrg', 'jaringan', 'lelet', 'paket', 'data', 'tlp', 'dimurahin']</t>
  </si>
  <si>
    <t>['mohon', 'maaf', 'bener', 'iya', 'paketan', 'udah', 'dibeli', 'udah', 'bukti', 'berasil', 'pulsa', 'dipotong']</t>
  </si>
  <si>
    <t>['harga', 'meningkat', 'kualitas', 'jaringan', 'diperbaiki', 'keluahan', 'disuru', 'veronika', 'solusi', 'buang', 'buang', 'hasil', '']</t>
  </si>
  <si>
    <t>['ngimpi', 'undian', 'tukar', 'poin', 'menang', 'segitu', 'nuker', 'poin', 'dapet', 'poin', 'isi', 'pulsa', 'langsung', 'tuker', 'semuannya', 'dapet', 'promosi', 'ketemu', 'org', 'bahwasannya', 'undian', 'tuker', 'poin', 'telkomsel', 'beneran', 'lohh', 'guyss', '']</t>
  </si>
  <si>
    <t>['', 'telkomsel', 'the', 'best', 'memudahkan', 'transaksi', 'trima', 'kasih', 'telkomsel', 'semoga', 'provider', 'indonesia', '']</t>
  </si>
  <si>
    <t>['menyukai', 'telkom', 'jaringan', 'udah', 'buka', 'youtube', 'sendat', 'sendat', 'mempostingnya', 'butuh', 'menit']</t>
  </si>
  <si>
    <t>['paket', 'combo', 'sakti', 'hilang', 'yahh', 'beli', 'paket', 'combo', 'sakti', 'promo', 'payahhhh']</t>
  </si>
  <si>
    <t>['sempurna', 'semoga', 'kedepan', 'lengkap', 'item', 'aplikasi', 'telkomsel', '']</t>
  </si>
  <si>
    <t>['ampun', 'sinyal', 'parah', 'poll', 'bibis', 'bunder', 'krian', 'kab', 'sidoarjo', 'gini', 'terpaksa', 'ganti', 'provider', 'internet', 'bayar', 'mahal', 'kualitas', 'zero', 'balas', 'pakai', 'bot', 'min', 'sampe', 'awas', 'cowok', 'sumpahin', 'bengkok', 'cewek', 'sumpahin', 'buntu']</t>
  </si>
  <si>
    <t>['udah', 'beli', 'paketan', 'internet', 'udah', 'kepotong', 'pas', 'dipake', 'browsing', 'tetep', 'nyedot', 'pulsa', 'telkomsel', 'gini', 'sampe', 'tanggal', 'yaa', 'solusi', 'nge', 'ignya', 'dibales', 'mantaplah', '']</t>
  </si>
  <si>
    <t>['tolong', 'perbaiki', 'kwalitas', 'sinyalnya', 'didesa', 'trimulyo', 'kecamatan', 'merbau', 'mataram', 'lampung', 'selatan', 'mengatifkan', 'panggilan', 'video', 'call', 'susah', 'kwalitas', 'gambar', 'buruk', '']</t>
  </si>
  <si>
    <t>['telkomsel', 'lelet', 'jaringan', 'banding', 'provider', 'kenceng', 'bertahan', 'mahal', 'harga']</t>
  </si>
  <si>
    <t>['hujan', 'hujanan', 'beli', 'kartu', 'telkomsel', 'bela', 'belain', 'nyisain', 'uang', 'beli', 'vocher', 'internet', 'rumah', 'kode', 'vocher', 'masukan', 'jawabanya', 'sistem', 'gangguan', 'sibuk', 'bela', 'belain', 'minjem', 'hape', 'temen', 'call', 'center', 'berlika', 'liku', 'jawabanya', 'silahkan', 'tunggu', 'jam', 'coba', 'vochermu', 'kedaluarsa', 'aktif', 'vocher', 'coba', 'beli', 'aplikasi', 'sistem', 'elor', 'sibuk', 'yaudahlah', 'gapapa', 'terimakasih', '']</t>
  </si>
  <si>
    <t>['diperbarui', 'udah', 'giliran', 'masuk', 'aplikasi', 'update', 'tlg', 'diperbaiki', 'telkomsel', 'terbaik', '']</t>
  </si>
  <si>
    <t>['harga', 'paket', 'doang', 'mahal', 'jaringnnya', 'paket', 'murahan', 'mahal', 'mahal', 'lancar', 'lancarnya', 'main', 'tunggu', 'menit', 'masuk', 'gambarnya', 'loading', 'dasar', 'cerdik', 'cuih', 'baikkan', 'indosat', 'lancar', 'murah', 'dasar', 'kang', 'maling', 'pulsa', 'baikkan', 'makan', '']</t>
  </si>
  <si>
    <t>['tekomsel', 'sinyalnya', 'jelek', 'main', 'game', 'susah', 'banget', 'kaya', 'gini', 'ganti', 'profaider', 'mahal', 'sinyalnya', 'lemot', 'paketan', 'omgt', 'main', 'game', 'tolonglah', 'harga', 'dang', 'gedein', 'kualitas', 'pelayananya']</t>
  </si>
  <si>
    <t>['milih', 'telkomsel', 'jaringan', 'lancar', 'gpp', 'mahalan', 'dikit', 'buruk', 'bayar', 'mahal', 'terima', 'kasih']</t>
  </si>
  <si>
    <t>['jaringanya', 'gampang', 'pelosok', 'lemot', 'enak', 'banget', 'sukses', 'telkomsel', 'love', 'you', 'much', 'mmmmmmmuachhhh']</t>
  </si>
  <si>
    <t>['muda', 'beli', 'pulsa', 'data', 'internet', 'promo', 'tukar', 'poin']</t>
  </si>
  <si>
    <t>['email', 'bales', 'telkomsel', 'skrng', 'aplikasi', 'beli', 'produk', 'kaya', 'cocok', 'produk', 'bumn']</t>
  </si>
  <si>
    <t>['telkomsel', 'provider', 'terburuk', 'harga', 'mahal', 'kualitas', 'jaringan', 'terburuk', 'tdak', 'kenyamanan', 'telkomsel', 'jringan', 'lemot', 'suka', 'hilang', 'bermain', 'game', 'tolong', 'perbaiki', 'jaringan', '']</t>
  </si>
  <si>
    <t>['udah', 'check', 'pas', 'update', 'check', 'tolong', 'udah', 'ngk', 'gimna', 'udah', 'jaringan', 'ngelag', '']</t>
  </si>
  <si>
    <t>['terima', 'kasi', 'telkomsel', 'berharap', 'harga', 'paket', 'data', 'kartu', 'murah', '']</t>
  </si>
  <si>
    <t>['maaf', 'kurangi', 'bintangnya', 'jaringannya', 'kesini', 'jelek', 'mohon', 'diperbaiki']</t>
  </si>
  <si>
    <t>['beli', 'paket', 'lag', 'ampun', 'mending', 'pindah', 'indosat']</t>
  </si>
  <si>
    <t>['beli', 'kuota', 'sisa', 'pas', 'buka', 'internet', 'pulsa', 'reguler', 'sedot', 'sampe', 'internetmya', 'nggak', 'jalan', 'berlakunya', 'tolong', '']</t>
  </si>
  <si>
    <t>['ngga', 'puas', 'sinyal', 'telkom', 'lemot', 'parah', 'video', 'call', 'pecah', 'parah', '']</t>
  </si>
  <si>
    <t>['rekomendasikan', 'bermain', 'mobile', 'legend', 'silahkan', 'pilih', 'provider', 'bermain', 'game', 'online', '']</t>
  </si>
  <si>
    <t>['jaringan', 'telkomsel', 'buruk', 'harga', 'paketnya', 'mahal', 'mending', 'ganti', 'provider']</t>
  </si>
  <si>
    <t>['bbrpa', 'pulsa', 'berkurang', 'notif', 'pengguna', 'kompak', 'pindah', 'rajin', 'banget', 'beli', 'paket', 'beli', 'pulsa', 'tolonglah', 'diambil', 'haknya', 'komplen', 'twitter', 'krna', 'malas', 'email', 'respon', 'langsung', '']</t>
  </si>
  <si>
    <t>['seandainya', 'bintang', 'minus', 'seratusnya', 'udah', 'sya', 'kasih', 'rate', 'pulsa', 'hilang', 'jejak', 'tindakan', 'memuaskan', 'sesuai', 'template']</t>
  </si>
  <si>
    <t>['jaringan', 'telkomsel', 'ngebut', 'harga', 'mahal', 'kampung', 'suka', 'pakai', 'kartu', 'telkomsel', 'mengecewakan', 'kek', 'gini', 'orang', 'pindah', 'provider', 'keluarga', 'gua', 'tinggal', 'gua', 'pakai', 'kartu', 'telkomsel', 'udah', 'pindah', 'provider', '']</t>
  </si>
  <si>
    <t>['assalamualaikum', 'ngasih', 'harga', 'paket', 'kaya', 'setan', 'ngga', 'ramah', 'pelajar', '']</t>
  </si>
  <si>
    <t>['menghubungi', 'bales', 'bot', 'ngerubah', 'sinyal', 'lemot', 'parah']</t>
  </si>
  <si>
    <t>['driver', 'grab', 'dirugikan', 'pembagian', 'data', 'berguna', 'trims']</t>
  </si>
  <si>
    <t>['ilangin', 'bintangnya', 'kasih', 'bintang', 'paket', 'combo', 'sakti', 'kartu', 'hilangin', 'ganti', 'paket', 'omg', 'harganya', 'selangit', 'dibesarin', 'kuota', 'nontonnya', '']</t>
  </si>
  <si>
    <t>['', 'kuota', 'mahal', 'jaringan', 'sebanding', 'harga', 'kuota', 'lemot', 'banget', 'jaringan', 'telkom']</t>
  </si>
  <si>
    <t>['pulsa', 'kepotong', 'paket', 'data', 'kuota', '']</t>
  </si>
  <si>
    <t>['kak', 'tolong', 'perbaiki', 'masak', 'suruh', 'masukin', 'nomer', 'telkomsel', 'pencet', 'masuk', 'kasi', 'tunggu', 'perbaiki', 'gua', 'kasi', '']</t>
  </si>
  <si>
    <t>['telkomsel', 'telkomsel', 'tolonglah', 'perbaiki', 'kwalitas', 'jaringannya', 'pakai', 'angka', 'mending', 'pakai', 'angka', 'kecewa']</t>
  </si>
  <si>
    <t>['sinyal', 'ngajak', 'ribut', 'asli', 'ytan', 'game', 'susah', 'loading', 'mulu', 'kuota']</t>
  </si>
  <si>
    <t>['simpati', 'lemot', 'wifi', 'dirmh', 'indihome', 'lemot', 'smoga', 'cepet', 'perbaikan', 'kabel', 'laut', 'jasukanya', '']</t>
  </si>
  <si>
    <t>['bagus', 'kota', 'kota', 'telkom', 'lambat', 'jaringan', '']</t>
  </si>
  <si>
    <t>['jujur', 'nyaman', 'pakai', 'telkomsel', 'harganya', 'mahal', 'seimbang', 'karna', 'bagus', 'kesini', 'telkomsel', 'super', 'lemot', 'parah', 'seimbang', 'harganya', 'pindah', 'provider', 'kecewa']</t>
  </si>
  <si>
    <t>['aneh', 'telkomsel', 'emosi', 'masak', 'masuk', 'aplikasi', 'tulisan', 'gogle', 'berhenti', 'trus', 'gogle', 'play', 'berhenti', 'ampe', 'aplikasi', 'menanggapi', 'kek', 'sampe', 'cek', 'kuota', 'mati', 'plis', 'fix', 'bug', 'enak', 'hati', 'moga', 'cepet', 'diatasi', 'gini', 'trus', 'mending', 'pindah', 'provider', 'deh', '']</t>
  </si>
  <si>
    <t>['udah', 'paketnya', 'mahal', 'lemot', 'paham', 'gangguan', 'udah', 'solusinya', 'berlarut', 'gini', 'perusahaan', 'gini', 'gerak', 'cepat', 'plant', 'perusahaan', 'kayak', 'telkomsel', 'troble', 'berlarut', 'jengkel', 'tolong', 'perbaiki', 'kali']</t>
  </si>
  <si>
    <t>['operator', 'seluler', 'terbaik', 'layanan', 'jangkauan', 'harga', 'promo', 'menarik', '']</t>
  </si>
  <si>
    <t>['paketnya', 'mahal', 'jaringan', 'hancur', 'telkom', '']</t>
  </si>
  <si>
    <t>['halo', 'devloper', 'telkomsel', 'kasih', 'ulasan', 'jaringan', 'telkomsel', 'lelet', 'bertahun', 'kartu', 'telkomsel', 'lelet', 'kali', 'jaringan', 'telkomsel', 'jaringan', 'lancar', 'faporit', 'jaring', 'seratus', 'seratus', 'pass', 'main', 'free', 'fire', 'jaringan', 'jaringan', 'kadang', 'kadang', 'tolong', 'deh', 'perbaiki', 'lelet', 'pengguna', 'lebhsenag']</t>
  </si>
  <si>
    <t>['udah', 'lumayan', 'bagus', 'sinyal', 'main', 'game', 'bngt', 'tolong', 'perbaiki', 'lahh', '']</t>
  </si>
  <si>
    <t>['', 'telkomsel', 'membantu', 'moga', 'kali', 'sbg', 'masyarakat', 'miskin', 'kebagian', 'rejeki', 'telkomsel', '']</t>
  </si>
  <si>
    <t>['admin', 'pgn', 'ganti', 'kartu', 'halo', 'simpati', '']</t>
  </si>
  <si>
    <t>['pikir', 'harga', 'mahal', 'menjamin', 'kualitas', 'kartu', 'harga', 'kartu', 'kuota', 'mahal', 'jaringan', 'teman', 'banting', 'gara', 'gara', 'sinyal', 'lemah', 'sebanding', 'harga', 'tolong', 'pikirkan', 'harga', 'mahal', 'tolong', 'camkan', '']</t>
  </si>
  <si>
    <t>['kpd', 'trhormat', 'tlkmsel', 'sya', 'melunasi', 'utang', 'kuota', 'sya', 'kpd', 'telkomsel', 'senilai', 'knp', 'kepotong', 'why', 'telkomsel', 'capek', 'sya', 'cari', 'uang', '']</t>
  </si>
  <si>
    <t>['kecewa', 'aktiv', 'kouta', 'habis', 'pulsa', 'langsung', 'ambil', 'membeli', 'kouta', 'proverder', 'kouta', 'habis', 'aktivnya', 'habis', 'penarika', 'pulsa', '']</t>
  </si>
  <si>
    <t>['ngga', 'dapet', 'bonus', 'daily', 'checkin', 'udh', 'ilang', 'kembeli', 'checkin', 'tukar', 'poin', 'gagal', 'mulu', 'ngga', 'bantu', 'susah', '']</t>
  </si>
  <si>
    <t>['telkomsel', 'lemott', 'bangetttt', 'beda', 'dlu', 'bagusan']</t>
  </si>
  <si>
    <t>['jaringan', 'kaya', 'gini', 'tolong', 'besuk', 'kelar', 'push']</t>
  </si>
  <si>
    <t>['unistal', 'telkomsel', 'buka', 'telkomsel', 'buka', 'tolong', 'petugas', 'apk', 'telkomsel', 'tolong', 'benerin', 'apk', '']</t>
  </si>
  <si>
    <t>['brapa', 'kali', 'beli', 'kuota', 'game', 'max', 'silver', 'bsa', 'login', 'game', 'bsa', 'terahir', 'sya', 'bli', 'mingggu', 'kemaren', 'sampe', 'bsa', 'parah', 'jaringan', 'buruk', '']</t>
  </si>
  <si>
    <t>['semoga', 'dapet', 'kesempatan', 'menangin', 'mobil', 'karna', 'butuh', 'mobil', 'suami', 'kerja']</t>
  </si>
  <si>
    <t>['telkomsel', 'mahal', 'doang', 'paket', 'internet', 'sinyal', 'parah', 'banget', 'bagus', 'beres']</t>
  </si>
  <si>
    <t>['jelek', 'banget', 'sinyalnya', 'mahal', 'jelek', 'sinyalnya', 'banget', 'tolong', 'sinyalnya', 'pelit', 'banget', 'mikir', 'harga', 'mahal', 'dapet', 'dikit', 'kuotanya']</t>
  </si>
  <si>
    <t>['ngontol', 'menit', 'pulsa', 'sedot', 'sampe', 'ribu', 'duit', 'enak']</t>
  </si>
  <si>
    <t>['pakai', 'telkomsel', 'poinku', 'undian', 'pulsa', 'dll', 'perna', 'hadiah', 'pengumuman', 'hadiahx', 'hilangkan', 'progran', 'poin', 'isi', 'ulang', 'ganti', 'promo', '']</t>
  </si>
  <si>
    <t>['jaringan', 'telkomsel', 'jelek', 'jaringan', 'sebelah', 'hujan', 'sinyalnya', 'ilang', 'jaringan', 'dimana', 'iklan', 'gede']</t>
  </si>
  <si>
    <t>['ngasi', 'bintang', 'bagus', 'pas', 'september', 'tgl', 'ngeleg', 'kek', 'axsis', 'senyalnya', 'mulu', 'kuota', 'emang', 'gangguan', 'tolong', 'diperbaiki', 'tegass', '']</t>
  </si>
  <si>
    <t>['jujur', 'bener', 'bener', 'kecewa', 'pelayanan', 'telkomsel', 'daerah', 'kendal', 'sinyal', 'bener', 'down', 'udah', 'mending', 'berhenti', 'make', 'telkomsel', '']</t>
  </si>
  <si>
    <t>['telkomsel', 'ngga', 'terbuka', 'rincian', 'pulsa', 'kuota', 'internetnya', 'alamat', 'jebol', 'krna', 'pelanggan', 'cek', 'cek', 'ribet', '']</t>
  </si>
  <si>
    <t>['minggu', 'jaringan', 'internet', 'setabil', 'main', 'game', 'buka', 'youtub', 'gni', 'ganti', 'profider', 'ajaah', 'kecewa']</t>
  </si>
  <si>
    <t>['menyesal', 'menggunakannya', 'memng', 'erorrnya', 'akun', 'ditutup', 'menon', 'aktifkan', 'cmn', 'bingung', 'mempertahankannya', 'pas', 'kantong', 'berharap', 'menon', 'aktifkan', 'kartu', 'kedepannya', 'tuntutan', 'transaksi', 'disaat', 'menggunakannya', 'kesini', 'paham', 'telkomsel', '']</t>
  </si>
  <si>
    <t>['telkom', 'kesini', 'parah', 'lemot', 'ampun', 'tolong', 'perbaiki', 'jaringannya', 'udh', 'pakai', 'telkomsel', 'lemot']</t>
  </si>
  <si>
    <t>['', 'aplikasinya', 'canggih', 'aplikasinya', 'berat', 'loadingnya', 'tetangga', 'sebelah', 'kasian', 'pakai', 'android', 'nuget', 'busa', 'dounload', 'rubah', 'aplikasi', 'tetangga', 'enteng', 'pakai', 'niuget']</t>
  </si>
  <si>
    <t>['bertahun', 'makai', 'telkomsel', 'bru', 'kali', 'dapet', 'layanan', 'segoblok', 'merugikan', 'penggunanya', 'beli', 'paket', 'internet', 'kadang', 'muncul', 'layanannya', 'gmana', 'telkomsel', 'niat', 'banget', 'aplikasi', 'bodoh']</t>
  </si>
  <si>
    <t>['jaringan', 'telkomsel', 'down', 'lemot', 'banget', 'mengecewakan', 'setia', 'telkomsel', 'takkan', 'pindah', 'provider', '']</t>
  </si>
  <si>
    <t>['mohon', 'harga', 'paket', 'internet', 'turunkan', 'spy', 'bersaing', 'terimakasih']</t>
  </si>
  <si>
    <t>['jawa', 'sinyalnya', 'jelek', 'mahal', 'kartu', 'buatan', 'indonesia', 'mahal', 'sinyalnya', 'jelek', 'mending', 'kartu', 'telkomsel', 'perubahan', '']</t>
  </si>
  <si>
    <t>['program', 'stempel', 'udah', 'masuk', 'stempel', 'giliran', 'cek', 'kaga', 'bener', 'nipu', 'nol', 'udah', 'mengalamin', 'program', 'stempel', 'bodohi', 'jaringan', 'lemot']</t>
  </si>
  <si>
    <t>['lemot', 'transaksi', 'aplikasi', 'telkomsel', 'lemot', 'parah', 'kadang', 'sampe', 'sehari', 'masuk', 'masuk', 'tolong', 'perbaiki', 'eng', 'celek', '']</t>
  </si>
  <si>
    <t>['signalnya', 'jelek', 'kayanya', 'kartu', 'telkom', 'laku', 'signal', 'jelek', 'banget', 'mohon', 'perbaiki', 'signal', 'minn', '']</t>
  </si>
  <si>
    <t>['apps', 'telkomsel', 'udah', 'sebulan', 'tampilan', 'memuat', 'halaman', 'maaf', 'kesalahan', 'sistem', 'loading', 'lambat']</t>
  </si>
  <si>
    <t>['log', 'ribet', 'banget', 'saran', 'verifikasi', 'pke', 'kode', 'nomor', 'link', 'tetep', 'link', 'sistem', 'diperbaiki', '']</t>
  </si>
  <si>
    <t>['kacau', 'aplikasinya', 'error', 'error', 'buka', 'beranda', 'loading', 'payah', 'kayak', 'amatiran', 'komen', 'bayak', 'kecewa', '']</t>
  </si>
  <si>
    <t>['kasih', 'bintang', 'kecewa', 'pulsa', 'hilang', 'kemana', 'kecs', 'langsung', 'uda', 'kasih', 'solusi', 'dongkk', 'telkomsel', 'pelayanan', 'bagus', 'kasih', 'promo', 'paket', 'nomor', '']</t>
  </si>
  <si>
    <t>['terlkomsel', 'lemot', 'kalah', 'jaringan', 'terbaik', 'mohon', 'perhatikan', 'keluhan', 'konsumen', 'setia']</t>
  </si>
  <si>
    <t>['jaringannya', 'lemot', 'parah', 'kencang', 'mode', 'grtis', 'operator', 'kli', 'isi', 'ulang', 'paket', 'tpi', 'perubahan', 'berbulan', 'lemot', 'parah', '']</t>
  </si>
  <si>
    <t>['', 'bi', 'mahal', 'mahal', 'beli', 'kouta', 'sinyal', 'kek', 'sampah', 'ncok', 'daerah', 'normal', 'indosat', 'berjanji', 'indosat', '']</t>
  </si>
  <si>
    <t>['berfungsi', 'memakan', 'ruang', 'cuman', 'pengen', 'saldo', 'pulsa', '']</t>
  </si>
  <si>
    <t>['permisi', 'kak', 'kak', 'beli', 'paket', 'tpi', 'ngak', 'masuk', 'bgai', 'mna', 'jdi', 'bosan']</t>
  </si>
  <si>
    <t>['sinyalnya', 'bermasalah', 'mulu', 'tolong', 'diperbaikin', 'pelayanannya', 'kirim', 'chat', 'berasa', 'nunggu', 'bertahun', 'bagus', 'pelayanan', 'berkurang', '']</t>
  </si>
  <si>
    <t>['lemot', 'sinyal', 'telkomsel', 'tolong', 'dipertajam', 'sinyal']</t>
  </si>
  <si>
    <t>['data', 'internet', 'ngga', 'hidup', 'ngga', 'ngapa', 'ngapain', 'pulsa', 'potong', 'sms', 'pulsa', 'potong', 'gara', 'gara', 'internet', 'habis', 'pedahal', 'nyalain', 'data']</t>
  </si>
  <si>
    <t>['dikasih', 'paket', 'promo', 'udah', 'isi', 'pulsa', 'pas', 'dibeli', 'keterangan', 'pulsa', 'ulang', 'paketnya', 'menghilang', 'bngke', 'prank']</t>
  </si>
  <si>
    <t>['knpa', 'telkomsel', 'halo', 'ribet', 'bner', 'kuota', 'bayar', 'tagihan', 'bulanan', 'kuota', 'blm', 'masuk', 'nunggu', 'tgl', 'brlangganan', 'bln', 'kmren', 'abis', 'kuota', 'uda', 'abis', 'bambang', 'jadwal', 'berlangganan', 'jadwal', 'tagihan', 'sinkron', 'uda', 'bayar', 'tagihan', 'lngsung', 'masukin', 'kuota', 'penagihan', 'tgl', 'kuota', 'masuk', 'nunggu', 'abis', 'berlangganan', 'tgl', 'ngadi', 'knp', 'dibarengin', 'bkin', 'repot', 'rajin', 'bner', 'bkin', 'emosi', 'deh', 'putus', 'berlangganan', 'lahh', 'gajelas', 'gini', '']</t>
  </si>
  <si>
    <t>['loadingnya', 'luambat', 'pilihan', 'paket', 'internetnya', 'kompetitif', 'provider', '']</t>
  </si>
  <si>
    <t>['merugikan', 'pakai', 'telkomsel', 'jaringan', 'internet', 'kuota', 'beli', 'paki', 'rugi', 'rugi']</t>
  </si>
  <si>
    <t>['pertahankan', 'kualitas', 'usaha', 'undian', 'berhadiah', 'telkomsel', 'ikuti', 'lapisan', 'masyarakat', 'indonesia', 'sabang', 'merauke', 'tercapainya', 'keadilan', 'merata', 'pelanggan', 'telkomsel', 'indonesia', 'membangun', 'bangsa', 'indonesia', 'cintai', 'maju', 'telkomsel', 'membangun', 'bangsa', '']</t>
  </si>
  <si>
    <t>['kualitas', 'sinyal', 'buruk', 'mending', 'pindah', 'operator', 'kesel', 'gara', 'telkomsel', 'lose', 'treak', 'trus', 'main', 'game', 'jengkel', 'pokoknya', 'gua', 'saranin', 'provider', 'udah', 'dipake', 'buang', 'sim', 'card', '']</t>
  </si>
  <si>
    <t>['smkn', 'ruwet', 'aplikasi', 'daily', 'chek', 'nggak', 'promo', 'internet', 'nggak', 'hilang']</t>
  </si>
  <si>
    <t>['sekjen', 'himpana', 'cab', 'cirebon', 'himpunan', 'pensiunan', 'pertamina', 'ciayumajakuning', '']</t>
  </si>
  <si>
    <t>['telkomsel', 'tks', 'pelayanannya', 'dipelosok', 'sayangnya', 'daerah', 'solobaru', 'lemot', 'bnyk', 'org', 'blg', 'gitu', 'bagusnya', 'gapari', 'hartonomall', 'pendamping', 'proveder', 'laen', 'mohon', 'masukan', 'lbh', 'dkemudian', 'sukses']</t>
  </si>
  <si>
    <t>['', 'mmg', 'mudah', 'pakai', 'paket', 'paket', 'internetnya', 'jls', 'modus', 'skli', 'bli', 'ampai', 'nyesal', 'bli', 'habiskan', 'uang', '']</t>
  </si>
  <si>
    <t>['jaringan', 'taik', 'harga', 'paket', 'mahal', 'suka', 'maling', 'pulsa', 'pelayanan', 'buruk', 'harga', 'mahal', 'kualitas', 'jaringan', 'murahan']</t>
  </si>
  <si>
    <t>['aplikasinya', 'jelek', 'kuotanya', 'mahal', 'mahal', 'boong']</t>
  </si>
  <si>
    <t>['salah', 'isi', 'pulsa', 'nomor', 'aktif', 'ngajuin', 'refund', 'solusi', 'telkomselnya', 'kecewa', '']</t>
  </si>
  <si>
    <t>['kasih', 'bintang', 'apanya', 'bagus', 'sinyalnya', 'ngeleg', 'dikit', 'tolong', 'diperbaiki', 'jaringannya', 'bagus', 'admin', 'semoga', 'lancar', 'perbaiki', 'sinyalnya', 'makasih', 'admin', '']</t>
  </si>
  <si>
    <t>['tenang', 'gonta', 'ganti', 'kartu', 'sim', 'pulsa', 'kuota', 'aktif', 'kartu', 'cepat', '']</t>
  </si>
  <si>
    <t>['saran', 'paket', 'habis', 'udh', 'habis', 'pulsa', 'untung', 'skrg', 'prabayar', 'plsa', 'trpotong', 'gimana', 'plggn', 'pscabayar', 'kayak', 'dpt', 'sms', 'peringatan']</t>
  </si>
  <si>
    <t>['jaringan', 'sma', 'harga', 'pls', 'paket', 'sesuai', 'harga', 'mahal', 'jaringan', 'lemotnya', 'bkn', 'main', 'terkadang', 'tlng', 'perbaiki', 'jaringany', 'telkomsel', 'kalah', 'dlu', 'kalah', 'sma', 'telkomsel']</t>
  </si>
  <si>
    <t>['telkomsel', 'sinyalnya', 'sebagus', 'suka', 'pakai', 'telkomsel', 'paket', 'data', 'habis', 'otomatis', 'menyedot', 'pulsa', 'tolong', 'sistemnya', 'benerin', 'kuotanya', 'habis', 'habis', 'langsung', 'disedot', 'pulsanya', '']</t>
  </si>
  <si>
    <t>['paket', 'kuota', 'data', 'paketan', 'udah', 'habis', 'datanya', 'aktif', 'internetan', 'pulsanya', 'kesedot', 'gmna', 'kak', 'operator', 'indsat', 'pulsa', 'safe', 'kesedot', 'pulsanya', 'telkomsel', 'fitur', 'kayak', 'gini', 'gmna', 'kak', '']</t>
  </si>
  <si>
    <t>['kouta', 'habis', 'nyedot', 'pulsa', 'kayak', 'sebelah', 'klau', 'kotanya', 'habis', 'habis', 'pulsanya', 'ngikut', 'habis', 'beli']</t>
  </si>
  <si>
    <t>['konsumsi', 'paket', 'data', 'cepat', 'google', 'menit', 'udah', 'makan', 'paket', 'trus', 'paketan', 'mahal', 'asem']</t>
  </si>
  <si>
    <t>['gamenya', 'jelek', 'niat', 'game']</t>
  </si>
  <si>
    <t>['paket', 'internet', 'mahal', 'tpi', 'jaringan', 'bar', 'berubah', 'trus', 'doang', 'kota', 'jaringannya', 'lemot', 'kabar', 'pelosok', 'iklan', 'masuk', 'hutan', 'tpi', 'buktinya', 'nol', 'gimana', 'telkomsel', 'main', 'game', 'jaringan', 'putus', 'nonton', 'yutub', 'buffering', 'hadehh', 'telkommm', 'telkommm', '']</t>
  </si>
  <si>
    <t>['apk', 'bahasa', 'inggris', 'pas', 'beli', 'paket', 'msih', 'plihan', 'byaran', 'pkek', 'gopay', 'shoopy', 'bngung', '']</t>
  </si>
  <si>
    <t>['jaringan', 'simpati', 'parah', 'hilang', 'daerah', 'gatsu', 'bandung', 'merugikan', 'pengguna', 'aplikasi', 'gojek', 'driver', 'gobizz', 'dll', 'mohon', 'diperbaiki', 'order', 'jaringan', 'stabil', 'orderannya', 'hilang']</t>
  </si>
  <si>
    <t>['telkomsel', 'kemudahan', 'konsumennya', 'produknya', 'pilihan', 'smoga', 'telkomsel', 'kedepannya', 'promo', 'hati', 'pelanggan']</t>
  </si>
  <si>
    <t>['kasih', 'bintang', 'keluhan', 'daily', 'check', 'orang', 'butuh', 'voucher', 'zalora', 'tokopedia', 'karna', 'belanja', 'online', 'tolong', 'diganti', 'hadiah', 'pakai']</t>
  </si>
  <si>
    <t>['telkomsel', 'hidup', 'apasih', 'kuota', 'utama', 'banget', 'pas', 'potong', 'pulsa', '']</t>
  </si>
  <si>
    <t>['parahhhhhh', 'sinyal', 'telkomsel', 'lemott', 'bln', 'kmrn', 'bli', 'paket', 'combo', 'rb', 'dipake', 'mggu', 'lemot', 'parah', 'jdi', 'boros', 'kuota', 'nyaa', 'hrga', 'kuota', 'mahal', 'tpi', 'diimbangi', 'kualitas', 'sinyalnya', 'rugi', 'bgttt', 'sya', 'bli', 'pket', 'internet', 'provider', 'lbh', 'bgus', 'dlm', 'sebulan', 'bli', 'paket', 'internet', 'neda', 'provider', 'pdhl', 'sya', 'trmasuk', 'pelanggan', 'setia', 'pke', 'simpati', '']</t>
  </si>
  <si>
    <t>['aplikasinya', 'baguss', 'sinyal', 'susah', 'kuota', 'mahal', 'ngotak', '']</t>
  </si>
  <si>
    <t>['pengen', 'request', 'kak', 'umur', 'pengen', 'request', 'telkomsel', 'turun', 'harga', 'beli', 'kuota', 'kasih', 'bintang', 'deh', 'udah', 'apk', '']</t>
  </si>
  <si>
    <t>['aplikasi', 'bermanfaat', 'mengecek', 'sisa', 'kuota', 'internet', 'kuota', 'bonus', 'semoga', 'kedepannya', 'bagus', 'berkualitas']</t>
  </si>
  <si>
    <t>['jaringan', 'cuk', 'merugikan', 'cuk', 'bayar', 'mahal', 'perubahan', 'eror', 'muluk']</t>
  </si>
  <si>
    <t>['sesi', 'mulu', 'coba', 'login', 'gausa', 'logout', 'otomatis', 'push', 'rank', 'kuota', 'abis', 'ribet', 'nunggu', 'buka', 'pesan', 'konfirmasi', 'pas', 'masuk', 'uda', 'login', '']</t>
  </si>
  <si>
    <t>['aplikasi', 'berat', 'beli', 'paket', 'susah', 'kali', 'pulsa', 'termakan', 'data', 'inet', 'gara', 'lelet', 'daftar', 'paketnya', 'sinyal', 'bekasi', 'kota', 'buruk', 'capek', 'ganti', 'buruk', '']</t>
  </si>
  <si>
    <t>['gimana', 'kalok', 'instal', 'telkomsel', 'kuota', 'gratis', 'bukti', 'bohong', 'ngak', 'niat', 'ngak', 'kayak', 'gini', 'kecewa', 'deh', 'udah', 'buang', 'buang', 'kuota', 'burik', 'baget']</t>
  </si>
  <si>
    <t>['beli', 'paketannya', 'pembayarannya', 'pulsa', 'shopepay', 'ama', 'link', 'kemana', 'yha', 'kyk', 'gini', 'biasannya', 'gopay', 'enak']</t>
  </si>
  <si>
    <t>['terima', 'kasih', 'telkomsel', 'kasih', 'pengalaman', 'mohon', 'perbaiki', 'metode', 'pembayaran', 'harap', 'gojek', 'gopay', 'pakai', 'membeli', 'kuota', 'bulanan', 'kak', 'semoga', 'baca', 'terima', 'kasih', '']</t>
  </si>
  <si>
    <t>['bonus', 'pulsa', 'rb', 'beli', 'paket', 'dapet', 'gratis', 'kuota', 'ngabisin', 'kuota', 'utama', 'lahh', 'ngapain', 'kasih', 'gratis', 'sihhh', 'gabisa', 'dipake', 'heran', 'telkomsel', '']</t>
  </si>
  <si>
    <t>['promo', 'spesialisasi', 'favorit', 'customer', 'promo', 'gift', 'promo', 'data', 'internet', 'kuota', 'promo', 'internet', 'tarif', 'khusus', 'pelajar', '']</t>
  </si>
  <si>
    <t>['kuota', 'habis', 'ambil', 'pulsa', 'kebutuhan', 'internet', 'woy', 'pulsa', 'kepotong', 'damn', '']</t>
  </si>
  <si>
    <t>['jam', 'pagi', 'jaringan', 'udah', 'lelet', 'banget', 'streaming', 'jalan', 'buffering', 'parah', 'pengen', 'patahin', 'kartunya', 'kesel', 'banget', 'pagi', 'siang', 'sore', 'malem', 'leletnya', '']</t>
  </si>
  <si>
    <t>['koneksi', 'internet', 'lambar', 'daerah', 'mohon', 'perbaiki', '']</t>
  </si>
  <si>
    <t>['', 'telkomsel', 'mudah', 'pembelian', 'paket', 'data', 'cek', 'data', 'pokoknya', 'good', 'terimakasih', 'telkomsel']</t>
  </si>
  <si>
    <t>['bayar', 'gabisa', 'metode', 'gopayy', 'link', 'shopeepay', 'gmna', 'kemarin', 'kemarin', 'bisaaa']</t>
  </si>
  <si>
    <t>['kuota', 'harian', 'habis', 'jam', 'membeli', 'kuota', 'telkomsel', 'lemot', 'mahal', 'kang', 'scam']</t>
  </si>
  <si>
    <t>['terimakasih', 'telkomsel', 'kestabilan', 'sinyal', 'plosok', 'tolong', 'tingkatkan', 'nggak', 'kalah', 'sinyal', 'tetangga', 'harga', 'kuotanya', 'kurangin', '']</t>
  </si>
  <si>
    <t>['udah', 'telkomsel', 'puas', 'banget', 'minggu', 'kemarin', 'jaringan', 'sdkit', 'kecewa', '']</t>
  </si>
  <si>
    <t>['paket', 'telkomsel', 'pulsa', 'diambil', 'pas', 'buka', 'internet', 'paket', 'habis', 'paketnya', 'tolong', 'telkomsel', 'perbaiki', 'aplikasinya']</t>
  </si>
  <si>
    <t>['sinyal', 'buruk', 'kecewa', 'berhubung', 'pakai', 'kartu', 'tagihan', 'berjalan', 'pemakain', 'limit', 'merugikan', 'pelanggan', 'buruk', 'mengecewakan', '']</t>
  </si>
  <si>
    <t>['harga', 'paket', 'data', 'mahal', 'harga', 'paket', 'data', 'aplikasi', 'mytelkomsel', 'berbeda', 'beda', 'pilihan', 'paket', 'datanya', 'murah', 'mahal', 'telkomsel', 'paket', 'data', 'harga']</t>
  </si>
  <si>
    <t>['scammer', 'ngisi', 'pulsa', 'potong', 'bayar', 'paket', 'darurat', 'ngutang', '']</t>
  </si>
  <si>
    <t>['alhamdulillah', 'fasilitas', 'semoga', 'kesempatan', 'salah', 'pemenang', '']</t>
  </si>
  <si>
    <t>['woii', 'beli', 'kouta', 'tsel', 'komplit', 'kaya', 'pilihan', 'coba', 'mahal', 'paket', 'rb']</t>
  </si>
  <si>
    <t>['harga', 'paket', 'mahal', 'bagj', 'bonus', 'paket', 'paket', 'utama', 'habis', 'terpakai', 'pelanggan', 'suka', 'nonton', 'hooq', 'viu', 'dll', 'sinyal', 'daerah', 'lelet']</t>
  </si>
  <si>
    <t>['aplikasi', 'bermutu', 'berhenti', 'berlangganan', 'kuota', 'cepat', 'terkuras', 'habis']</t>
  </si>
  <si>
    <t>['memiliki', 'kouta', 'belajar', 'kouta', 'malam', 'kouta', 'combo', 'sakti', 'kouta', 'belajar', 'makan', 'memiliki', 'kouta', 'malam', 'combo', 'sakti', 'rugi', 'kouta', 'kouta', 'belajar', 'kouta', 'rugiin', 'orang', 'mulu', 'heran']</t>
  </si>
  <si>
    <t>['telkomsel', 'lemot', 'hilang', 'jaringan', 'kecewakan', 'pelanggan', 'bertahun', 'bertahan', 'ditelkomsel', 'tolong', 'diperbaiki', 'pelanggan', 'pindah', 'provider', '']</t>
  </si>
  <si>
    <t>['sinyal', 'simpati', 'bagus', 'tolong', 'diperbaiki', 'daerah', 'rumah', 'taman', 'mangu', 'japos', 'raya', 'pondok', 'jati', 'hasan', 'tolong', 'bpk', 'terhormat', 'kasian', 'anak', 'pjj', 'dirumah', 'bln', 'ber', 'beli', 'pulsa', 'orang', 'simpati', 'mengecewakan', 'sudh', 'berulang', 'kali', 'komplen', 'diperbaiki', '']</t>
  </si>
  <si>
    <t>['telkomsel', 'pembayaran', 'via', 'dana', 'mudah', 'pembayaran', 'via', 'dana']</t>
  </si>
  <si>
    <t>['', 'pdpt', 'mempermudah', 'beli', 'paket', 'lihat', 'sisa', 'kuota', '']</t>
  </si>
  <si>
    <t>['telkomsel', 'doang', 'pokonya', 'isthebest', 'kouta', 'udah', 'abis', 'makan', 'pulsa', 'kepotong', 'udah', 'kouta', 'mahal', 'sinyal', 'ancur', 'orang', 'mah', 'jngan', 'gitu', '']</t>
  </si>
  <si>
    <t>['app', 'bermanfaat', 'semoga', 'menangkan', 'hadiah', 'menarik']</t>
  </si>
  <si>
    <t>['pengguna', 'telkomsel', 'kecewa', 'pelayanan', 'sinyal', 'telkomsel', 'lemot', 'nyalahin', 'hiu', '']</t>
  </si>
  <si>
    <t>['kecewa', 'bener', 'deh', 'kali', 'main', 'game', 'sinyal', 'ilang', 'trus', 'tolong', 'perbaiki', 'pengguna', 'nyaman']</t>
  </si>
  <si>
    <t>['kejadian', 'kebakaran', 'kantor', 'telkomsel', 'riau', 'penurunan', 'stabil', 'jaringan', 'terputus', 'jaringan', 'telkomsel', 'konsumen', 'kecewa', '']</t>
  </si>
  <si>
    <t>['sungguh', 'kecewa', 'telkomsel', 'persi', 'skrng', 'bayar', 'pakai', 'dana', 'transaksi', 'pakai', 'dana']</t>
  </si>
  <si>
    <t>['minggu', 'payment', 'pembayarannya', 'hilang', 'oke', 'dana', 'ovo', 'linkaja', 'shopeepay', 'hilang', 'hilangnya', 'bergantin', 'hilang', 'gimana', 'hilang', '']</t>
  </si>
  <si>
    <t>['', 'bener', 'harga', 'paket', 'mahal', 'sinyalnya', 'buriq', 'paketin', 'tlp', 'unlimited', 'tlp', 'menit', 'pulsanya', 'tbtb', 'abis', 'tsel', 'pdhl', 'dlu', 'tsel', 'tlg', 'sinyal', 'diperbaiki', 'trs', 'paketin', 'tlp', 'bohong', 'sesuai', 'realita', 'min', '']</t>
  </si>
  <si>
    <t>['tmpt', 'signal', 'telkomsel', 'top', 'internet', 'siip', 'koq', 'lambat', 'terkadang', 'provider', 'stabil', 'telkom', 'ampe', 'service', '']</t>
  </si>
  <si>
    <t>['pribadi', 'suka', 'sistem', 'telkomsel', 'beli', 'kuota', 'pembayaran', 'gopay', 'gopay', 'rumit', 'mohon', 'bantuannya', '']</t>
  </si>
  <si>
    <t>['bantuan', 'solusi', 'emg', 'bodoh', 'yaa', 'menanggapi', 'keluhan', 'solusi']</t>
  </si>
  <si>
    <t>['pelayanan', 'payah', 'keluhan', 'diatasi', 'respon', 'bagus', 'jaringan', 'buka', 'aplikasi', 'kecepatan', 'diatas', 'mbps', 'aplikasi', 'kbps', 'udah', 'cepet', 'telkomsel', 'joss', '']</t>
  </si>
  <si>
    <t>['jaringan', 'sampah', 'program', 'bisaa', 'memuaskan', 'konsumen', 'jaringanmu', 'lol']</t>
  </si>
  <si>
    <t>['hadeehhh', 'telkomsel', 'jaringan', 'ngaco', 'sinyal', 'hilang', 'bener', 'bener', 'paket', 'data', 'mahal', 'bosss', 'jaringan', 'bagus', '']</t>
  </si>
  <si>
    <t>['mempermudah', 'akses', 'user', 'tingkatkan', 'performa', 'banyakin', 'promo', 'undian', 'hadiah', 'mewah', 'sukses', '']</t>
  </si>
  <si>
    <t>['tolonglah', 'telkomsel', 'abis', 'update', 'pembayaran', 'data', 'gopay', 'tersedia', 'eror', 'gmana', 'tolong', 'perbaiki']</t>
  </si>
  <si>
    <t>['jaringan', 'jakarta', 'sawah']</t>
  </si>
  <si>
    <t>['promo', 'rb', 'gb', 'trus', 'isi', 'pulsa', 'rb', 'pulsa', 'rb', 'pas', 'klik', 'buy', 'paket', 'promo', 'tsb', 'sitem', 'corrupt', 'what', 'hilang', 'ngakak', 'kocak', 'sekelas', 'telkomsel', 'wkwkwkwk', '']</t>
  </si>
  <si>
    <t>['parah', 'suruh', 'update', 'update', 'buka', 'keterangan', 'perbarui', 'ganti', 'operator']</t>
  </si>
  <si>
    <t>['buruk', 'poin', 'tukar', 'pulsa', 'suruh', 'tukar', 'hadiah', 'nipu']</t>
  </si>
  <si>
    <t>['gimana', 'ceritanya', 'sinyalnya', 'bukanya', 'bagus', 'gaje', 'gimana', 'petugas', 'telkomsel', 'sinyal', 'goib', 'tolong', 'dibeneein', '']</t>
  </si>
  <si>
    <t>['tangkyou', 'menemani', 'hidupku', 'kau', 'mempermudah', 'diriku', 'teransaksi', 'online', 'semoga', 'kedepannya', 'telkomsel', '']</t>
  </si>
  <si>
    <t>['telkomsel', 'skrg', 'bagus', 'sinyal', 'jelek', 'gmn', 'tingkat', 'kualitas', 'mahal', 'bener', 'parah', 'telkomsel', 'bagus', 'jelek', 'jaringan', 'mahal', 'mutu', 'parah', 'telkomsel', 'parah', 'telkomsel', 'jelek', 'kayak', 'gini', 'beralih', 'operator', 'langganan']</t>
  </si>
  <si>
    <t>['balikin', 'bintang', 'udah', 'terima', 'kasih', 'maaf', 'emosi', '']</t>
  </si>
  <si>
    <t>['telkomsel', 'mohon', 'diurus', 'kekuatan', 'sinyallnya', 'pas', 'buka', 'all', 'aplikasi', 'lancar', 'tpi', 'pas', 'buka', 'link', 'lemot', 'parah', 'sampek', 'gkkuat', 'sinyalnya', 'mohon', 'diperbaiki', 'perjelasanya', '']</t>
  </si>
  <si>
    <t>['signal', 'jelek', 'laah', 'operator', 'terbesar', 'mengecewakan', 'dinkota', 'gimana', 'daerah', '']</t>
  </si>
  <si>
    <t>['mohon', 'maaf', 'mengganggu', 'sinyal', 'bagus', 'lemot', 'apk', 'mohon', 'perbaikannya', '']</t>
  </si>
  <si>
    <t>['gangguan', 'lag', 'taiii', 'ganti', 'rugi', 'apapun', 'gangguan', 'server', '']</t>
  </si>
  <si>
    <t>['tenggang', 'tipis', 'bingit', 'telat', 'isi', 'pulsa', 'tamat', 'kouta', 'mahal', 'lemot', 'buka', 'buka', 'muter', 'loading', 'mending', 'jaringan', 'udah', 'murah', 'cepet', 'tenggang', 'tahunan', 'pelit', '']</t>
  </si>
  <si>
    <t>['min', 'udh', 'tower', 'rumah', 'daya', 'mati', 'petugas', 'tetep']</t>
  </si>
  <si>
    <t>['jaringan', 'udh', 'lelet', 'banget', 'pengen', 'ganti', 'kartu', 'udh', 'paket', 'dibeli', 'mahal', 'dpt', 'sinyal', 'kayak', 'gini', 'nyesal', 'beli', 'telkomsel']</t>
  </si>
  <si>
    <t>['bumn', 'sampah', 'bubarin', 'layanan', 'system', 'ribet', 'harga', 'mahal', 'korup', 'telkom', 'orang', 'orang', 'numpang', 'hidup', '']</t>
  </si>
  <si>
    <t>['provider', 'butut', 'deskripsi', 'pembelian', 'kuota', 'jual', 'kuota', 'mobile', 'legend', 'kuota', 'utama', 'lancar', 'marketing', 'ampas']</t>
  </si>
  <si>
    <t>['semoga', 'beruntung', 'trimakasih', 'telkomsel', 'pakai', 'telkomsel', 'lancar', 'trus', 'internet']</t>
  </si>
  <si>
    <t>['harga', 'paketan', 'doang', 'dimahalin', 'kualitas', 'jaringan', 'jelek', 'perbaiki', 'jaringannya', 'blogg', '']</t>
  </si>
  <si>
    <t>['fungsi', 'redeem', 'poin', 'kuota', 'gb', 'berhasil', 'poinnya', 'gunanya', 'operator', 'terbaik', 'indonesia', '']</t>
  </si>
  <si>
    <t>['telkomsel', 'yng', 'low', 'diperbaiki', 'perubahan', 'tinggal', 'custemer', 'beralih', 'profider', 'layak', 'bagus', 'pnya', 'negara', 'satelit', 'low', 'sinyal', 'tertinggal', 'kalah', 'profider', 'swasta', '']</t>
  </si>
  <si>
    <t>['maaf', 'dberi', 'bintang', 'temen', 'pulsa', 'kepotong', 'dpakek', '']</t>
  </si>
  <si>
    <t>['maksud', 'gimana', 'jaringan', 'sinyal', 'muter', 'kaya', 'komedi', 'putar', 'kelar', 'paket', 'mahal', 'doang', 'update', 'jdi', 'jujur', 'kecewa', 'berat']</t>
  </si>
  <si>
    <t>['maaf', 'kasih', 'bintang', 'main', 'game', 'ngelag', 'kuota', 'sisa', 'telkomsel', 'jaringan', 'merah', 'asem', 'mending', 'ganti', 'kartu', 'kaya', 'gini', '']</t>
  </si>
  <si>
    <t>['kartu', 'simpati', 'udah', 'umurnya', 'paket', 'internet', 'mahal']</t>
  </si>
  <si>
    <t>['udah', 'bnyak', 'paket', 'internet', 'kirim', 'googling', 'ampun']</t>
  </si>
  <si>
    <t>['semoga', 'dpat', 'beneran', 'amin', 'rob', 'bal', 'alamin', '']</t>
  </si>
  <si>
    <t>['min', 'tlg', 'infonya', 'kartu', 'blokir', 'karenakan', 'habis', 'tenggang', 'ngatifin', 'tlg', 'penjelasan']</t>
  </si>
  <si>
    <t>['kuota', 'mahal', 'jelek', 'sinyal', 'hadehhhhhhhhhhhhhhhhhhhhhhhhhhhhhh', 'nyesal', '']</t>
  </si>
  <si>
    <t>['kartu', 'kayak', 'babi', 'gini', 'dijual', 'jaringan', 'lemot', 'harga', 'mahal', 'anjg', 'nyesel', 'tinggal', 'dinegara', 'majunya', 'gituloh', 'nyesel', 'allah', 'beli', 'kartu']</t>
  </si>
  <si>
    <t>['jerah', 'make', 'jaringan', 'telkomsel', 'ngelunjak', 'paket', 'mahal', 'ketentuan', 'kuota', 'doang', 'sinyal', 'anjlok', 'mulu', 'kesedot', 'pulsa', 'kartu', 'ampun', 'penggunaan', 'jerah', '']</t>
  </si>
  <si>
    <t>['jelek', 'metode', 'pembayaran', 'dana', 'dihilangkan', 'kecewa', '']</t>
  </si>
  <si>
    <t>['gimana', 'telkomsel', 'jaringan', 'tolong', 'atur', 'udh', 'potong', 'hiunya', 'balek', 'kesel', '']</t>
  </si>
  <si>
    <t>['telkomsel', 'kek', 'kuntul', 'beli', 'paket', 'mahal', 'mahal', 'ehh', 'jaringan', 'error', 'mulu', 'bangsaaaaaatttttttttt', '']</t>
  </si>
  <si>
    <t>['suka', 'kain', 'konser', 'kak', 'zaki', 'makasih', 'suka', 'internet', 'pulsa', 'pastikan', 'internetan', 'nggak', 'mahal', 'sebulan', '']</t>
  </si>
  <si>
    <t>['telkomsel', 'jaringannya', 'lelet', 'tolong', 'kayak', 'kek', 'gini', 'mending', 'ganti', 'provider']</t>
  </si>
  <si>
    <t>['tua', 'payah', 'jaringanya', 'harga', 'kuota', 'trs', 'jaringan', 'kacau', '']</t>
  </si>
  <si>
    <t>['tolong', 'sinyal', 'benerin', 'nga', 'udah', 'stres', 'sinyal', 'telkom', 'rekomendasi', 'kartu', 'suruh', 'kompline', 'udah', 'berkali', 'hasinya', 'syaa', 'gmn', '']</t>
  </si>
  <si>
    <t>['buruk', 'mahal', 'doank', 'tolong', 'benahi', '']</t>
  </si>
  <si>
    <t>['telkomsel', 'gimana', 'knp', 'sinyalnya', 'jelek', 'banget', 'bangkrut', 'memperbaiki', 'brp', 'jelek', 'banget', 'ttolong', 'donk', 'paket', 'koata', 'jalan', 'gambar', 'bergerak', 'cari', 'untung', 'sendirilah', 'pikirkan', 'pelanggan', '']</t>
  </si>
  <si>
    <t>['woi', 'perbaiki', 'sinyalnya', 'tugas', 'sekolah', '']</t>
  </si>
  <si>
    <t>['parah', 'bngt', 'telkomsel', 'mahal', 'sinyal', 'cibentang', 'desa', 'cihowe', 'kecamatan', 'ciseeng', 'kota', 'bogor', 'sinyal', 'terganggu', 'klw', 'rumah', 'hilang', 'sengaja', 'kasih', 'bintang', 'respon', 'secepat', 'telkomsel', '']</t>
  </si>
  <si>
    <t>['mahal', 'paketan', 'sinyal', 'lelet', 'ganti', 'laen', '']</t>
  </si>
  <si>
    <t>['sampe', 'ancurrrrrr', 'kayak', 'giniiiiii', 'ojol', 'terancam', 'sanksi', 'kode', 'etik', 'gara', 'maps', 'akurat', 'fake', 'order', 'betulin', 'laaaaahhhhhhhhhhhh', 'jaringan', 'telkomsel', '']</t>
  </si>
  <si>
    <t>['', 'tlp', 'pelanggan', 'slamat', 'siang', 'bpk', 'terpilih', 'migrasi', 'kartu', 'hallo', 'tlp', 'internet', 'rb', 'rmh', 'internetan', 'kamar', 'signal', 'rumah', 'itupun', 'kadang', 'kadang', 'hilang', 'tlg', 'telkomsel', 'tingkatkan', 'layanannya', 'terima', 'kasih']</t>
  </si>
  <si>
    <t>['kecewa', 'kouta', 'paket', 'internet', 'habis', 'berlaku', 'tarif', 'normal', 'tarif', 'normal', 'menguras', 'habis', 'pulsa', 'kuota', 'internet', 'toooopoooiinggal', 'internetan', 'nyedot', 'pulsa', 'donk', 'berkah']</t>
  </si>
  <si>
    <t>['internet', 'super', 'lemot', 'iya', 'kepake', 'mb', 'udah', 'kena', 'fup', 'sumpah', 'provider', 'cacat', 'aplikasi', 'ngebug', 'update', 'rusak', '']</t>
  </si>
  <si>
    <t>['bayar', 'pakai', 'dana', 'error', 'saldo', 'dana', 'dibenerin', 'gabisa']</t>
  </si>
  <si>
    <t>['gimana', 'telkomsel', 'kaya', 'perasaan', 'jaringan', 'pelayanannya', 'transfer', 'pulsa', 'masuk', 'nmr', 'tujuan', 'pulsa', 'udah', 'kepotong', 'telpon', 'costemer', 'telkom', 'nyambung', 'pulsa', 'tetep', 'potong', 'gimana']</t>
  </si>
  <si>
    <t>['sumpah', 'parah', 'signal', 'tindakan', 'sekelas', 'kota', 'surabaya', 'telkomsel', 'jelek', 'signal', 'mohon', 'diperbaiki', 'mahal', 'pulsa', '']</t>
  </si>
  <si>
    <t>['maksud', 'pelayanan', 'beli', 'kuota', 'mahal', 'sinyal', 'kerja', 'main', 'band']</t>
  </si>
  <si>
    <t>['maaf', 'besarnya', 'tim', 'telkomsel', 'ulasan', 'berkenan', 'teliti', 'lgi', 'kesulitan', 'masuk', 'akun', 'bersumber', 'android', 'letak', 'posisi', 'kartu', 'sim', 'pas', 'notifikasi', 'balasan', 'terima', 'terima', 'kasih', 'responnya', 'cepat', '']</t>
  </si>
  <si>
    <t>['kasih', 'bintang', 'telkomsel', 'berkembang', 'tolong', 'beli', 'kuota', 'game', 'rendem', 'voucher', 'salah', 'memasukan', 'rendem', 'voucher', 'minggu', 'kuota', 'gamenya', 'leg', 'banget', 'main', 'game', 'online', 'plisssss', 'perbaiki', 'tertipu', 'hapus', 'aplikasi', 'takut', 'rusak', 'kartu', 'simnya', 'nabung', 'beli', 'kartu', 'sim']</t>
  </si>
  <si>
    <t>['telkomsel', 'gimana', 'kesini', 'jelek', 'sinyalmu', 'udah', 'mahal', 'jelek', 'game', 'stabil', 'stabil', 'palah', 'jumping', 'gamau', 'ditinggal', 'pelanggan', 'perbaiki', 'jaringannya', 'udah', 'mahal', 'lemot']</t>
  </si>
  <si>
    <t>['sampe', 'setia', 'pakai', 'telkomsel', 'sayang', 'kualitas', 'jaringan', 'telkomsel', 'menurun', 'parah', 'zaman', 'pandemi', 'orang', 'online', 'provider', 'untung', 'namaku', 'asing', 'telinga', 'melapor', 'perbaikan', 'beda', 'zaman', 'lapor', 'jaringan', 'membaik', '']</t>
  </si>
  <si>
    <t>['tolong', 'adain', 'paket', 'zoom', 'meeting', 'harga', 'wajar', 'mahasiswa', 'pelajar']</t>
  </si>
  <si>
    <t>['mantap', 'telkomsel', 'pendemi', 'kasilah', 'kuota', 'gratis', 'pelanggan', 'setia', 'wkwkwkwk']</t>
  </si>
  <si>
    <t>['susah', 'banget', 'unreg', 'paketan', 'berhenti', 'berlangganan', 'susah', 'ujung', 'ujungnya', 'pulsa', 'kesedot']</t>
  </si>
  <si>
    <t>['rate', 'kebanyakan', 'ulasannya', 'ngasih', 'bintang', 'aneh', 'telkomsel', 'mahal', 'harganya', 'jelek', 'kualitasnya', 'sinyal', 'lemot', 'kyk', 'nenek', 'nenek']</t>
  </si>
  <si>
    <t>['kebanyakan', 'fitur', 'buka', 'aplikasi', 'telkomsel', 'lambat', 'berat', 'mohon', 'perhatikan', 'aplikasi', 'ringan', 'cek', 'pulsa', 'paketan', '']</t>
  </si>
  <si>
    <t>['mohon', 'maaf', 'telkomsel', 'menurun', 'kualitas', 'segi', 'sinyal', 'harga', 'mahal', '']</t>
  </si>
  <si>
    <t>['kecewa', 'pindah', 'operator', 'jaringan', 'internet', 'lelet', 'setahun', 'jelek', 'diandalkan', 'pandemi', '']</t>
  </si>
  <si>
    <t>['', 'telkomsel', 'paket', 'mahal', 'pelayanan', 'perbaikan', 'jaringan', 'seminggu', 'blum', 'perubahan', 'ganti', 'kartu', 'prabayar']</t>
  </si>
  <si>
    <t>['telkomsel', 'jaringannya', 'menurun', 'memburuk', 'ketahap', 'membusuk', 'telkomsel', 'bagus', 'jam', 'malam', 'pagi', 'siang', 'udh', 'jelek', 'pas', 'parah', 'nonton', 'komik', 'buka']</t>
  </si>
  <si>
    <t>['bagus', 'banget', 'telkomsel', 'bagus', 'banget', 'mahal', 'sinyal', 'jelek', 'parah', 'gmna', 'bos', '']</t>
  </si>
  <si>
    <t>['kecewa', 'telkomsel', 'masak', 'kota', 'jaringan', 'wilayah', 'kota', 'palembang', 'kec', 'kalidoni', 'kel', 'sungai', 'selincah', 'jaringan', 'eror', 'wilayah', 'baikpun', 'temen', 'kapok', 'pakai', 'telkomsel', '']</t>
  </si>
  <si>
    <t>['mohon', 'telkomsel', 'biarpun', 'pengguna', 'kelas', 'keadilan', 'sosial', 'rakyat', 'indonesia', '']</t>
  </si>
  <si>
    <t>['ngak', 'ngatifkan', 'tarif', 'non', 'paket', 'isi', 'pulsa', 'ketarik', 'tarif', 'non', 'paket', 'gimana', 'isi', 'pulsa', 'hilang', 'tsrs']</t>
  </si>
  <si>
    <t>['telkomsel', 'jlk', 'banget', 'parah', 'harga', 'paket', 'mahal', 'provider', 'kualitas']</t>
  </si>
  <si>
    <t>['kapok', 'aanjir', 'telkom', 'sel', 'gangguan', 'rugi', 'usaha', 'orang', 'mahal', 'datanya']</t>
  </si>
  <si>
    <t>['menandakan', 'lelet', 'berkepanjangan', 'beli', 'paket', 'mahal', 'jaringan', 'lelet', 'tolong', 'perbaiki', 'wilayah', 'sumatera', 'utara', 'kab', 'tapanuli', 'bintang', 'kasi', 'jaringannya', 'normal', '']</t>
  </si>
  <si>
    <t>['aplikasi', 'sangag', 'bagus', 'liat', 'liat']</t>
  </si>
  <si>
    <t>['udah', 'isi', 'data', 'nyala', 'datanya', 'banting', 'ikhlas', 'diginiin', 'mah']</t>
  </si>
  <si>
    <t>['kasihan', 'mimin', 'balesin', 'opini', 'buruk', 'salut', 'mimin', 'sabar', 'banget', 'menanggapinya', 'semangat', 'mimin', '']</t>
  </si>
  <si>
    <t>['udah', 'beli', 'kuota', 'mahal', 'sinyalnya', 'jelek', 'ayok', 'telkomsel', 'perbaiki', 'kualitas', 'jaringannya', 'kelas', 'online', 'susah']</t>
  </si>
  <si>
    <t>['gangguan', 'pelosok', 'bad', 'udah', 'mahal', 'jelek', 'keren']</t>
  </si>
  <si>
    <t>['iklan', 'jaringan', 'lemot', 'error', 'mulu', 'pengguna', 'telkomsel', 'pekerja', 'online', 'kecewa', 'kerjaan', 'jdi', 'berantakan', 'gara', 'sinyal', 'error', 'lemot', 'tlg', 'perbaiki']</t>
  </si>
  <si>
    <t>['wajib', 'download', 'murah', 'beli', 'paket', 'dapet', 'bonus', 'data', 'dll', 'wajib', 'download', 'bro', 'sis', 'wajib', 'waaaaaajiiiibbbb']</t>
  </si>
  <si>
    <t>['tolong', 'perusahaan', 'telkomsel', 'tolong', 'kualitasnya', 'perbaiki', 'ditingkatkan', 'sumatra', 'utara', 'medan', 'kabupaten', 'asahan', 'jaringan', 'telkomsel', 'parah', 'kali', 'ditingkatkan', 'jaringan', 'telkomsel', 'tutup', 'usahanya', 'kartu', 'covernya', 'mahal', 'mahal', 'sesuai', 'jaringannya']</t>
  </si>
  <si>
    <t>['habis', 'update', 'terbuka', 'beranda', 'telkomsel', '']</t>
  </si>
  <si>
    <t>['isi', 'pulsa', 'langsung', 'kepotong', 'cek', 'riwayat', 'gaada', 'keterangannya', 'pulsa', 'darurat', 'menggunakannya', 'cuman', 'kali', 'kejadian', '']</t>
  </si>
  <si>
    <t>['telkomsel', 'beda', 'telkomsel', 'lancar', 'oke', 'tpi', 'sekrang', 'aneh', 'kendala', 'gmn', 'telkomsel', 'mengecewakan', 'pelanggan', 'setia', '']</t>
  </si>
  <si>
    <t>['pulsa', 'berkurang', 'update', 'aplikasi', 'pakek', 'ngapa', 'ngapain', 'cek', 'pulsa', 'berkurang', 'trus', 'mending', 'pindah', 'kartu', 'sebelah', 'telkomsel', 'beres', 'mohon', 'perbaiki', '']</t>
  </si>
  <si>
    <t>['aplikasinya', 'bagus', 'cuman', 'saran', 'menambah', 'fitur', 'mengirim', 'kuota']</t>
  </si>
  <si>
    <t>['bermanfaat', 'gampang', 'cek', 'isi', 'data', 'poko', 'top', 'markotop', '']</t>
  </si>
  <si>
    <t>['woii', 'perbaiki', 'jaringan', 'kau', 'beli', 'paket', 'telkomsel', 'mahal', 'mahal', 'sinyal', 'jelek', 'kek', 'gini', 'cepat', 'perbaiki', 'woii', 'kali', 'perbaiki', 'sinyal', 'mending', 'beli', 'kartu', 'telkomsel', '']</t>
  </si>
  <si>
    <t>['jaringan', 'jelek', 'nyaman', 'pakek', 'jaringan', 'bintang', '']</t>
  </si>
  <si>
    <t>['pulsa', 'hilang', 'kecewa', 'telkom']</t>
  </si>
  <si>
    <t>['halloo', 'telkomsel', 'jaringan', 'internet', 'lemot', 'banget', 'kalah', 'kenceng', 'internet', 'tri', 'tolong', 'diperbaiki', 'konsumen', 'kecewa', '']</t>
  </si>
  <si>
    <t>['ulasan', 'kuota', 'banyaaaaak', 'banget', 'pulsa', 'habis', 'kagak', 'dipake', 'sms', 'telpon', 'kesini', '']</t>
  </si>
  <si>
    <t>['paket', 'telkomsel', 'busuuuuk', 'multimedia', 'dipake', 'youtube', 'gabisa', 'dipake', 'buka', 'game', 'gabisa', 'buka', 'trs', 'kuota', 'multimedia', 'gb', 'apaaaaa', 'harga', 'mahal', 'sinyal', 'kuota', 'mati', 'gabisa', 'dipake', 'pelanggan', 'kecewa', 'berat', '']</t>
  </si>
  <si>
    <t>['kemarin', 'terkejut', 'pemberitahuan', 'telkomsel', 'halo', 'himbauan', 'pembayaran', 'tagihan', 'tanggal', 'tanggal', 'bulannya', 'tanda', 'bayar', 'sesuai', 'permintaan', 'sehari', 'pembayaran', 'permintaan', 'maaf', 'telkomsel', 'halo', 'pemberitahuan', 'kemarin', 'salah', 'menduga', 'kasih', 'apresiasi', '']</t>
  </si>
  <si>
    <t>['aplikasi', 'pribadi', 'bagus', 'banget', 'lumayan', 'isi', 'ulang', 'paket', 'data', 'internet', 'capek', 'capek', 'mari', 'wkwkwk', '']</t>
  </si>
  <si>
    <t>['telkomsel', 'internetan', 'sim', 'operator', 'pulsa', 'telkomsel', 'sim', 'berkurang', 'data', '']</t>
  </si>
  <si>
    <t>['', 'telkomsek', 'skrng', 'jaringannya', 'kek', 'gini', 'nggak', 'memuaskan', 'tolong', 'perbaiki', 'jaringannya', 'pelanggan', 'puas', 'pelanggan', 'nggak', 'kabur']</t>
  </si>
  <si>
    <t>['jelek', 'banget', 'jaringan', 'internet', 'untung', 'jaringan', 'internet', 'paketan', 'sebulan', 'habis', 'kepake', 'lemotnya', '']</t>
  </si>
  <si>
    <t>['parah', 'parah', 'parah', 'simpati', 'jaman', 'now', 'lemot', 'banget', 'beda', 'jaman', 'tgn', 'bagus', 'banget', 'akibat', 'kosupsi', 'imbasnya', 'kwalitas', 'buruk', '']</t>
  </si>
  <si>
    <t>['jaringan', 'internet', 'lag', 'main', 'game', 'telkom', 'kabel', 'putus', 'benerin', 'masuk', 'kompas', 'berita']</t>
  </si>
  <si>
    <t>['saran', 'telkomsel', 'mohon', 'kembalikan', 'kecepatan', 'jaringan', 'telkomsel', 'lelet', '']</t>
  </si>
  <si>
    <t>['aplikasinya', 'bagus', 'simple', 'kadang', 'pikir', 'telkomsel', 'mahal', 'harga', 'paket', 'dikembangkan', 'aplikasinya']</t>
  </si>
  <si>
    <t>['alhamdulillah', 'perbarui', 'aplikasi', 'semoga', 'depannya', 'semangat', 'telkomsel', '']</t>
  </si>
  <si>
    <t>['kouta', 'nelpon', 'hbis', 'mati', 'telpon', 'automatis', 'lanjutin', 'kesel', 'makan', 'pulsa']</t>
  </si>
  <si>
    <t>['hah', 'gajelas', 'banget', 'sinyal', 'full', 'paketan', 'gb', 'berlaku', 'jaringan', 'nggak', 'jalan', 'nyebelin', 'banget']</t>
  </si>
  <si>
    <t>['tolong', 'telkomsel', 'jaringan', 'wilayah', 'padam', 'listrik', 'jaringan', 'menghilang', 'padam', 'listrik', 'menit', 'menit', 'jaringan', 'muncul', 'terimakasih', '']</t>
  </si>
  <si>
    <t>['dapet', 'notif', 'promo', 'aplikasi', 'telkomsel', 'contoh', 'promo', 'bayar', 'rb', 'dapet', 'kuota', 'unlimited', 'klik', 'langsung', 'promo', 'bla', 'bla', 'bla', 'masuk', 'aplikasi', 'telkomsel', 'cek', 'notif', 'pesan', 'masuk', 'promo', 'promo', 'emang', 'suka', 'nge', 'prank', 'gitu', 'telkomsel', 'note', '']</t>
  </si>
  <si>
    <t>['maaf', 'kasih', 'bintang', 'jaringan', 'kecepatan', 'internetnya', 'lambat', 'paket', 'tipu', 'beli', 'quota', 'game', 'mobile', 'legend', 'kuota', 'utama', 'habis', 'paket', 'dipakai', 'bermain', 'game', 'mobile', 'legend', 'buka', 'isi', 'kuota', 'utama', 'bermain', 'mobile', 'legend', 'kepotong', 'kuota', 'utama', 'buka', 'kuota', 'game', 'amsyooonnnggg', '']</t>
  </si>
  <si>
    <t>['mantap', 'promo', 'menariknya', 'reward', 'sayangnya', 'beruntung', 'undian', 'telkomsel', 'sukses', 'telkomsel', '']</t>
  </si>
  <si>
    <t>['saranku', 'telkomsel', 'lahhh', 'potong', 'pulsa', 'data', 'habis', 'ngga', 'kayak', 'kartu', 'miris', 'intinya', 'data', 'habis', 'nnga', 'kepotong', 'pulsanya', 'doang', 'harapan', 'pengguna', 'telkomsel', '']</t>
  </si>
  <si>
    <t>['lemotnya', 'kuota', 'gb', 'aktif', 'sebel', 'deh', '']</t>
  </si>
  <si>
    <t>['parah', 'telkomsel', 'pulsa', 'kesedot', 'alasan', 'pemakaian', 'data', 'jaringan', 'kaya', 'pelanggan', 'udah', 'akrab', 'lgi', 'telkomsel', 'perbaiki', 'donk']</t>
  </si>
  <si>
    <t>['aplikasi', 'bagus', 'jsjdjsjdnnznxnxnxnn', 'ndndnnshxbzbzbzbbzhzhzhxhhxhxhbxbxhxbzbzbbzbznznzjjzjzjzjjzjzjzjzjdjnxndnxndjdjjsjsjzjsjsjjwieodofjdjkekrjxjdjjsosks', 'komisi', 'pakar', 'pakar', 'fitriana', 'dipaparkannya', 'food', 'jhhhsbddhdjjsisushshshjsjsjsjsjjsjshshsshhsshjdhdhdhdhdhhdhdhdjdhhdhhdjdjhdhdhhdhdhdhdhdhhdhdhdhdhhdhdbdbdhdjdjdjdnjdhsgsyskddokontolndjdjdjdndjjdjdjdjdjjdhdgxgsvsukskzkskshxhdhdjsjdhdhjfjdjshdhdjjdjehdidjsjjejdjdjdjdjndjdjdhdhdjjdjdhdjdhdijddhjdjdjdjfhfjjdjdjdjdjdp']</t>
  </si>
  <si>
    <t>['update', 'udah', 'update', 'buka', 'masi', 'paketin', 'data', 'telkomsel', 'harga', 'paket', 'data', 'pesaing', 'pelayanan', 'kualitas', 'jaringan', 'minimal', 'merk', 'sebelah', '']</t>
  </si>
  <si>
    <t>['jaringan', 'telkomsel', 'bagus', 'semoga', 'bantuan', 'kuota', 'gratis', 'mahasiswa', 'dibutuhkan', 'perkuliahan', 'daring']</t>
  </si>
  <si>
    <t>['program', 'penurunan', 'jaringan', 'kah', 'telkomsel', 'kesini', 'ancur']</t>
  </si>
  <si>
    <t>['kuota', 'internet', 'unlimited', 'ribu', 'daftar', '']</t>
  </si>
  <si>
    <t>['tolong', 'merakyat', 'masyarakat', 'kentang', 'kompatibel']</t>
  </si>
  <si>
    <t>['tanggal', 'september', 'gue', 'pkasa', 'update', 'versi', 'versi', 'tdak', 'buka', 'pagi', 'buka', 'pas', 'jam', 'siang', 'langsung', 'alihkan', 'update', 'versi', 'tampilan', 'menunya', 'bagus', 'bnyak', 'promo', 'menarik', 'versi', 'promo', 'giliran', 'harganya', 'mahal', 'gue', 'versi', 'balas', 'masi', 'pesan', 'teks', 'otomatis', 'pesan', 'respon', '']</t>
  </si>
  <si>
    <t>['kasih', 'bintang', 'dibaca', 'telkomsel', 'kenpa', 'telkomsel', 'jaringannya', 'buruk', 'udah', 'mah', 'mahal', 'paketannya', 'jaringannya', 'buruk', 'hancuurr', 'niih', 'pelanggan', 'telkomsel', 'udah', 'thn', 'kesini', 'rusak', 'gini', 'bnyak', 'pelanggan', 'telkomsel', 'pindah', 'operator', 'paham', '']</t>
  </si>
  <si>
    <t>['membantu', 'undian', 'telkomsel', 'point', 'menang', '']</t>
  </si>
  <si>
    <t>['terbantu', 'aplikasi', 'mudah', 'membeli', 'paket', 'data']</t>
  </si>
  <si>
    <t>['mahal', 'doang', 'sinyal', 'busuk', 'jelek', 'sinyalnya', 'emang', 'udah', 'pindah', '']</t>
  </si>
  <si>
    <t>['heran', 'udah', 'puluhan', 'pakai', 'telkomsel', 'paket', 'mahal', 'maklumi', 'pulsa', 'kepotong', 'transaksi', 'pakai', 'sim', 'sim', 'kepotong', 'pulsanya', 'pinjam', 'pulsa', 'notifnya', 'kepotong', 'heraaaaaan', 'jelek', 'banget', 'responnya', 'tolong', 'admin', '']</t>
  </si>
  <si>
    <t>['download', 'mending', 'ganti', 'kartu', 'vocer', 'pakek', 'pulsa', 'ribet', 'ngelag', 'mahal', 'mines', 'banget', 'cacat', '']</t>
  </si>
  <si>
    <t>['promosi', 'internet', 'masuk', 'jaringan', 'kacau', 'beli', 'nga', '']</t>
  </si>
  <si>
    <t>['terimakasih', 'telkomsel', 'menemani', 'berselancar', 'didunia', 'maya', 'bingung', 'beli', 'paket', 'internet', 'cepat', 'kali', 'habisnya', 'sosmed', 'lagu', 'dll', 'leletnya', 'ampun', 'dunia', 'akhirat', 'habis', 'paketnya', 'dipisah', 'paketnya', 'bagusan', 'satukan', 'pemakaian', 'internet', 'kayak', 'operator', 'biru', 'ungu', 'awbelah', 'pisah', 'pisah', 'mahal', 'jaringanpun', 'lelet', '']</t>
  </si>
  <si>
    <t>['harganya', 'mahal', 'jaringan', 'buruk', 'kuota', 'habis', 'langsung', 'potong', 'pulsa', 'reguler', 'kayak', 'gini', 'pelanggan', 'lari', '']</t>
  </si>
  <si>
    <t>['bagus', 'eee', 'telkomsel', 'kog', 'kebalikannya', 'jaringan', 'payah', '']</t>
  </si>
  <si>
    <t>['busuk', 'sinyal', 'busuk', 'jaringan', 'terbaik', 'skrg', 'kompetitor', 'jelek', 'skrg', 'telkomsel', 'kalah', 'bauk', '']</t>
  </si>
  <si>
    <t>['aplikasi', 'aneh', 'pulsa', 'habis', 'buka', 'aplikasi', 'doang', '']</t>
  </si>
  <si>
    <t>['telkomsel', 'lma', 'jaringan', 'buruk', 'tolong', 'jngan', 'kecewakan', 'plangan', 'stia', 'telkomsel', 'udah', 'pulahan', 'wilayah', 'lampung', 'tegineneng']</t>
  </si>
  <si>
    <t>['telkomsel', 'belom', 'hadiah', 'mohon', 'pertimbangkan', 'management', 'telkomsel']</t>
  </si>
  <si>
    <t>['telkomsel', 'telkomsel', 'jaringan', 'internet', 'normal', 'ngeluh', 'kinerja', 'telkomsel', '']</t>
  </si>
  <si>
    <t>['beli', 'paket', 'data', 'susahnya', 'ampun', 'kesini', 'aneh', 'telkomsel']</t>
  </si>
  <si>
    <t>['aplikasi', 'telkomsel', 'buruk', 'veronika', 'balas', 'robot', 'aplikasinya']</t>
  </si>
  <si>
    <t>['kasih', 'saran', 'apk', 'beli', 'kuota', 'internet', 'apk', 'berguna', 'samakan', 'harganya', 'telpon', 'beli', 'kuota', 'kayak', 'samakan', 'telepon', 'mending', 'situ', 'apk', 'berguna']</t>
  </si>
  <si>
    <t>['kuota', 'beli', 'mahal', 'cuan', 'jaringan', 'super', 'lelet', 'sesuai', 'iklan', 'sampaah']</t>
  </si>
  <si>
    <t>['woii', 'telkomsel', 'pulsa', 'pas', 'beli', 'paket', 'keterangan', 'pulsa', 'telkomsel', '']</t>
  </si>
  <si>
    <t>['terkatakan', 'kayak', 'bumi', 'langit', 'telkomsel', 'kuota', 'mahal', 'kualitas', 'sinyal', 'mode', 'keong']</t>
  </si>
  <si>
    <t>['telkomsel', 'jelek', 'kartu', 'perdana', 'ajg', 'telkomsel', 'jelek', 'ajg', 'aplikasi', 'sndiri', '']</t>
  </si>
  <si>
    <t>['bisanya', 'nyedot', 'pulsa', 'gaib', 'isi', 'pulsa', 'ribu', 'aktivasi', 'banking', 'bank', 'pulsa', 'habia', 'duluan', 'cek', 'pemakaian', 'data', 'full', 'wifi', 'paket', 'combo', 'sakti']</t>
  </si>
  <si>
    <t>['aplikasinya', 'salah', 'gabisa', 'download', 'aplikasi', 'memperbaharui', 'udah', 'lemot', 'banget', 'usaha', 'beli', 'nabung', 'diperbaharui', 'masuk', 'emang', 'banget', 'diperbaharui', '']</t>
  </si>
  <si>
    <t>['apanya', 'kerjaan', 'jaringan', 'hancur', 'harga', 'paket', 'mahal', 'mahal', 'provider', '']</t>
  </si>
  <si>
    <t>['suka', 'produk', 'negeri', 'kuning', 'murah', 'paketnya', '']</t>
  </si>
  <si>
    <t>['jaringan', 'telkomsel', 'lemot', 'kayak', 'kirim', 'sms', 'susahnya', 'ampun', 'gagal', 'jaringan', 'timbul', 'tenggelam']</t>
  </si>
  <si>
    <t>['pulsa', 'dimakan', 'aplikasi', 'ikuti', 'sprti', 'games', 'club', 'fun', 'games', 'days', 'dll', 'nomor', 'digit', 'masuk', 'membebankan', 'pesan', 'masuk', 'dimana', 'berulang', 'ulang', 'nomor', 'digit', 'ber', 'beda', 'mohon', 'telkomsel', 'memperhatikan', 'ketidak', 'nyaman', 'pengguna', 'telkomsel']</t>
  </si>
  <si>
    <t>['pulsa', 'kepotong', 'buka', 'telkomsel', 'paket', 'data', 'kartu', 'sim', 'mohon', 'penjelasannya', 'sampe', 'kejelasan']</t>
  </si>
  <si>
    <t>['parah', 'sihh', 'sinyal', 'jaringan', 'lambat', 'pulsa', 'suka', 'potong', 'kuota', 'mahal', 'heran', 'gua']</t>
  </si>
  <si>
    <t>['mudah', 'mengisi', 'pulsa', 'paket', 'data', 'info', 'lainnay', 'sinyalnya', 'payah', 'mati', 'hidup', 'pdhal', 'kartu', 'hallo']</t>
  </si>
  <si>
    <t>['pakai', 'telkomsel', 'simpati', 'keuntungan', 'murah', 'sinyal', 'kuat', 'tower', '']</t>
  </si>
  <si>
    <t>['menukar', 'poin', 'voucher', 'membalas', 'maaf', 'category', 'program', 'tanggal', 'kadaluarsa', 'september', 'menukar', 'tanggal', 'september', 'mohon', 'cepat', 'tanggapi', 'permasalahan', 'thanks']</t>
  </si>
  <si>
    <t>['telkomsel', 'jaringan', 'kayak', 'taik', 'putus', 'putus', 'bayar', 'jualan', 'bener', '']</t>
  </si>
  <si>
    <t>['fitur', 'lengkap', 'media', 'iklan', 'operator', 'pelayanan', 'fitur', 'nul', '']</t>
  </si>
  <si>
    <t>['nama', 'omdo', 'kuota', 'mahal', 'sinyal', 'hancur', 'petisi', 'kumpulkan', 'data', 'pengguna', 'telkomsel', 'puas', 'sinyal', '']</t>
  </si>
  <si>
    <t>['sinyalnya', 'emang', 'pasaran', 'dimana', 'harganya', 'ngga', 'kadang', 'susah', 'sinyalnya']</t>
  </si>
  <si>
    <t>['sumpah', 'rugi', 'banget', 'pakai', 'telkomsel', 'jaringan', 'pagi', 'pagi', 'nge', 'game', 'udh', 'merah', 'ping', 'langsung', 'disconnect', 'hadeh', 'tobat', 'gua', 'pakai', 'telkom', 'telkom', 'rusak', 'jaringannya', '']</t>
  </si>
  <si>
    <t>['bonus', 'daily', 'check', 'embel', 'embel', 'klaim', 'potong', 'pulsa', 'poin', 'telkomsel', 'tapii', 'sayang', 'aktifnya', 'singkat', 'kaya', 'gitu', 'ngga', 'niat', 'reward', 'ditiadakan', 'menarik', 'aaaahh', 'sudahlaaaahh', '']</t>
  </si>
  <si>
    <t>['maaf', 'pengguna', 'kecewa', 'dikarnakan', 'salah', 'kirim', 'pulsa', 'kedepannya', 'tolong', 'telkomsel', 'peka', 'pelanggan', 'blok', 'nominal', 'pulsa', 'salah', 'kirim', 'keluhan', 'pengirim', 'pulsa', 'kecewa', 'telkomsel', 'memiliki', 'fitur', 'murni', 'kesalahan', 'pelanggan', 'dianggap', 'sarankan', 'menghubungi', 'personal', 'nomor', 'kirim', 'pulsa']</t>
  </si>
  <si>
    <t>['', 'kontribusi', 'pelanggan', 'mengecewa', 'cari', 'untung', 'doank', 'tdak', 'manfaat', 'pelanggan']</t>
  </si>
  <si>
    <t>['kuota', 'kuota', 'utama', 'kuota', 'sosmed', 'sosmed', 'kuota', 'utam', 'kuota', 'sosmed', 'tanggal', 'aktif', 'pakai', 'korupsi', 'paksa', 'beli', 'tap', 'sisa', 'kuota', 'kemana', 'yaa', 'wkwkw']</t>
  </si>
  <si>
    <t>['paket', 'internet', 'vidio', 'minggu', 'gua', 'beli', 'gua', 'bintang', 'tanggapan', '']</t>
  </si>
  <si>
    <t>['penggunaan', 'mudah', 'pembelian', 'paket', 'data', 'diulang', 'dibulan']</t>
  </si>
  <si>
    <t>['telkomsel', 'jaringan', 'parah', 'skli', 'tolong', 'benahi', 'pengguna', 'telkomsel']</t>
  </si>
  <si>
    <t>['terima', 'kasih', 'telkomsel', 'menemani', 'hariku', 'penuh', 'kengelagan', '']</t>
  </si>
  <si>
    <t>['coba', 'deh', 'inovasi', 'klw', 'kuotanya', 'habis', 'datanya', 'langsung', 'off', 'kaya', 'sebelah', 'nggak', 'langsung', 'nyedot', 'pulsa', '']</t>
  </si>
  <si>
    <t>['penyedot', 'pulsa', 'pemberitahuan', 'perbaiki', 'sistem', 'minim', 'provider', 'sebelah']</t>
  </si>
  <si>
    <t>['berbelit', 'lelet', 'koneksi', 'buruk', 'sinyal', 'terputus', 'sinyal', 'bagus', 'kebanyakan', 'iklan']</t>
  </si>
  <si>
    <t>['jaringan', 'internet', 'stabil', 'area', 'jkt', 'tarif', 'mahal', '']</t>
  </si>
  <si>
    <t>['mohon', 'maaf', 'mengerti', 'aplikasi', 'buka', 'maksud', 'kasih', 'bintang', '']</t>
  </si>
  <si>
    <t>['jaringan', 'internet', 'pakai', 'wifi', 'provider', 'otomatis', 'aktif', 'kuota', 'harian', 'spt', 'pencuri', 'pulsa', 'telkomsel', 'telp', 'bkn', 'internet', '']</t>
  </si>
  <si>
    <t>['bagus', 'promo', 'termurah', 'hadiah', 'menarik', 'kesempatan', 'memenangkan', 'ayo', 'buruan']</t>
  </si>
  <si>
    <t>['', 'telkomsel', 'terbaik', 'berlangganan', 'terimakasih', 'mempermudah', 'urusan', '']</t>
  </si>
  <si>
    <t>['bagus', 'kartu', 'indosat', 'kencang', 'jaringan', 'murah']</t>
  </si>
  <si>
    <t>['pemakaian', 'pulsa', 'dipakai', 'masuk', 'akal', 'kepotong', 'pdhl', 'ambil', 'paket', 'internet', 'masuk', 'akal']</t>
  </si>
  <si>
    <t>['main', 'potong', 'pulsa', 'heran', 'telkomsel', 'layanannya']</t>
  </si>
  <si>
    <t>['sisa', 'pulsa', 'ludes', 'raib', 'kemana', 'rumah', 'wifi', 'jarang', 'data', 'anehnya', 'quota', 'data', 'deras', 'banget', 'borosnya', 'dpake', 'sosmed', 'tolong', 'sisa', 'pulsa', 'banget', 'tersedot', '']</t>
  </si>
  <si>
    <t>['tolong', 'muncul', 'jam', 'sholat', 'layar', 'utama', 'biyar', 'nga', 'buka', 'aplikasih', 'lihat', 'sholat', 'terima', 'kasih']</t>
  </si>
  <si>
    <t>['provider', 'telkomsel', 'jujur', 'kecewa', 'udh', 'langganan', 'ngegame', 'ngelag', 'mulu', 'harganya', 'mahal', 'tolong', 'diperbaiki', 'kecewa', 'banget']</t>
  </si>
  <si>
    <t>['update', 'download', 'play', 'store', 'klik', 'buka', 'tampilan', 'suruh', 'update', 'hasilnya', 'muter', 'muter', 'payah', '']</t>
  </si>
  <si>
    <t>['pulsaku', 'terpotong', 'otomatis', 'karna', 'upgrade', 'aplikasi', 'premiun', 'get', 'contact', 'pdhl', 'perasaan', 'in', 'aplikasi', 'gcnya', 'pulsa', 'auto', 'kepotong', '']</t>
  </si>
  <si>
    <t>['mudah', 'mudahan', 'telkomsel', 'lindungan', 'tuhan', 'memperbaiki', 'kabel', 'laut', 'rusak']</t>
  </si>
  <si>
    <t>['telkomsel', 'tolong', 'internetnya', 'distabilkan', 'uts', 'online', 'karna', 'jaringan']</t>
  </si>
  <si>
    <t>['pulsa', 'kepotong', 'mulu', 'lupa', 'perpanjangan', 'paket', 'kuota', 'kenpa', 'langsung', 'mati', 'internet', '']</t>
  </si>
  <si>
    <t>['', 'tuhaaannn', 'kemaren', 'kuota', 'udah', 'habis', '']</t>
  </si>
  <si>
    <t>['pakai', 'apk', 'suka', 'bagus', 'semoga', 'konsisten', 'trmksh', '']</t>
  </si>
  <si>
    <t>['isi', 'pulsa', 'pdhl', 'saldo', 'udh', 'kepotong', 'keterangannya', 'gangguan', 'mulu', 'smpe', 'hapus', 'instal', 'ulang', 'berkali', 'ttp', '']</t>
  </si>
  <si>
    <t>['paket', 'data', 'jatuh', 'tempo', 'langsung', 'nyedot', 'pulsa', 'mending', 'aktif', 'internetnya', 'malem', 'mendadak', 'pulsa', 'gara', 'kepotong', 'internet', '']</t>
  </si>
  <si>
    <t>['dear', 'mytelkomsel', 'terhormat', 'tolong', 'jaringan', 'benerin', 'suka', 'leg', 'pas', 'main', 'game', 'emosi', 'nyaman', 'main', 'udah', 'paket', 'mahal', 'jaringan', 'bosokk', '']</t>
  </si>
  <si>
    <t>['buruk', 'sinyal', 'telkomsel', 'parah', 'daerah', 'nias', 'barat', 'becus', 'operatornya', 'kecewa', '']</t>
  </si>
  <si>
    <t>['telkomsel', 'jos', 'walo', 'diujung', 'indonesia', 'timur', 'serasa', 'dikota', 'indonesia', 'barat', 'jaringannya', 'udah', 'terimakasih', 'telkomsel']</t>
  </si>
  <si>
    <t>['jaringan', 'lemot', 'susah', 'cari', 'orderan', 'driver', 'ojek', 'online', 'mahal', 'jaringan', 'kadang', 'ngak', 'nyambung', 'kota']</t>
  </si>
  <si>
    <t>['parah', 'pulsa', 'hangus', 'nelpon', 'ngisi', 'pulsa', 'parah', 'telkomsel', '']</t>
  </si>
  <si>
    <t>['harganya', 'mahal', 'jaringan', 'ngelag', 'parah', 'paket', 'data', 'gua', 'beli', 'udah', 'gada', 'ayolah', 'makek', 'kalangan', 'elite', 'mohon', 'pengertiannya', 'sel', 'gua', 'banget', 'beli', 'gamemax', 'ntar', 'dapet', 'voucher', 'game', 'gua', 'gadapet', 'sms', 'kode', 'voucernya', 'nipu', 'ato', 'gimana', 'gua', 'salah', 'kah', 'ato', 'emang', 'lunya', 'ganiat', 'ngasih', '']</t>
  </si>
  <si>
    <t>['suka', 'promo', 'informasi', 'undian', 'berhadiah', '']</t>
  </si>
  <si>
    <t>['program', 'daily', 'check', 'tgl', 'september', 'check', 'tgl', 'sept', 'berhasil', 'setting', 'notifikasinya', 'tgl', 'sept', 'record', 'tgl', 'sept', 'check', 'tgl', 'sept', 'berkali', 'cek', 'ttp', 'muncul', 'tgl', 'check', 'berhasil']</t>
  </si>
  <si>
    <t>['terimakasih', 'telkomsel', 'aplikasi', 'memudahkan', 'pengguna', 'pengguna', 'setia', 'coba', 'pelanggan', 'pasca', 'bayar', 'kartu', 'halo', 'simpati', 'daily', 'checkin', 'promo', 'suka', 'tingkatkan', 'promo', 'kualitas', 'jaringannya', '']</t>
  </si>
  <si>
    <t>['admin', 'abis', 'beli', 'kuota', 'gamesmax', 'silver', 'klaim', 'voucher', 'mobile', 'legend', 'redeem', 'tulisan', 'kode', 'voucher', 'masukkan', 'salah', 'gimana', 'admin', 'claim', 'voucher', 'mohon', 'kirim', 'ulang', 'voucher', 'bener', 'bekas', 'dipake', 'orang']</t>
  </si>
  <si>
    <t>['update', 'jelek', 'skrg', 'beli', 'paket', '']</t>
  </si>
  <si>
    <t>['tolong', 'transaksi', 'kartu', 'pulsa', 'potong', 'kartu', 'internetan', 'kartu', 'pulsanya', 'anehhhhh']</t>
  </si>
  <si>
    <t>['pengalaman', 'terbantu', 'telkomsel', 'beli', 'pulsa', 'langsung', 'kehabisan', 'pulsa', 'tampa', 'lari', 'konter', 'bingung', 'mencari', 'penjual', 'pulsa', 'malam', 'konter', 'pulsanya', 'rumah', '']</t>
  </si>
  <si>
    <t>['aneh', 'ribut', 'jaringan', 'yak', 'telkomsel', 'lancar', 'lancar', 'sajah', 'ganti', 'kali', 'nomor', 'tetep', 'telkomsel', 'hati', 'jaringan', 'buruk', 'sepantas', 'terima', 'kasih', 'telkomsel', 'menemani', 'kuharap', 'kedepan', '']</t>
  </si>
  <si>
    <t>['download', 'max', 'gimana', 'mmpertahankan', 'kenyamanan', 'kepuasan', 'pelanggan', 'abaikan', 'berkali', 'kali', 'ngasih', 'masukan', 'hnya', 'sebatas', 'iyakan', 'kebijakan', '']</t>
  </si>
  <si>
    <t>['sinyalnya', 'jelek', 'sel', 'kayak', 'mahal', 'pengguna', 'setia', 'kebih', 'tahunan', 'sinyal', 'lemooottttttttttttttttttttttttttt']</t>
  </si>
  <si>
    <t>['isi', 'pulsa', 'telkomsel', 'bayar', 'via', 'virtual', 'akun', 'bca', 'masuk', 'pulsa', 'rb', 'rb', 'iklasin', 'ratusan', 'bener', 'telkomsel']</t>
  </si>
  <si>
    <t>['telkomsel', 'bagus', 'jaringannya', 'menurun', 'drastis', 'buffer', 'jaringannya', 'layanan', 'offeral', 'okelah', '']</t>
  </si>
  <si>
    <t>['sinyal', 'telkomsel', 'daerah', 'pedesaan', 'kadang', 'lancar', 'mohon', 'ditingkat', 'kualitas', 'sinyalnya', 'orang', 'kampung', 'thanks']</t>
  </si>
  <si>
    <t>['keuntungan', 'kuota', 'tambahan', 'check', 'harinya', 'berlangganan', 'kuota', 'aliminitit', 'terimakasih', 'telkomsel', 'semoga', 'amanah', 'berkah', 'aamiin', '']</t>
  </si>
  <si>
    <t>['memudahkan', 'belanja', 'pulsa', 'konter', 'aplikasi', 'metode', 'pembayaran', 'harganya', 'murah', 'poin', 'tingkatkan', 'trus', 'telkomsel']</t>
  </si>
  <si>
    <t>['paket', 'unlimitednya', 'boong', 'boongan', 'fup', 'jebakan', 'batman', 'abisin', 'paket', 'utama', 'dipake', 'unlimitednya', 'chat', 'maksudnya', 'ngajarin', 'org', 'indonesia', 'rajin', 'ngerumpi', 'aktivitas', 'alay', 'curang', 'telkomsel', 'nyari', 'duit', 'segitunya', 'kaleee', '']</t>
  </si>
  <si>
    <t>['', 'pembayaran', 'beli', 'paket', 'pulsa', 'doang', 'ngak', 'pembayaran', 'dana']</t>
  </si>
  <si>
    <t>['suka', 'heran', 'telkomsel', 'bangat', 'pulsa', 'hilang', 'mengecewakan', 'bangat', 'tolong', 'hbis', 'fitur', 'ngunciin', 'pulsa', 'gitu', 'aman', 'suka', 'ilang', 'jlas', 'hidupin', 'data', 'paket', 'tolong', 'dahhh']</t>
  </si>
  <si>
    <t>['sore', 'beli', 'kuota', 'udah', 'sukses', 'pemberitahuan', 'gagal', 'mengaktifkan', 'paket', 'pulsanya', 'kesedot', 'ajar']</t>
  </si>
  <si>
    <t>['prtahankan', 'pelayanan', 'sprti', 'prkiraan', 'kedepan', 'bangkrut', 'sekian', '']</t>
  </si>
  <si>
    <t>['jaringan', 'jelek', 'gangguan', 'sistem', 'harga', 'mahal', 'jaminan', '']</t>
  </si>
  <si>
    <t>['jaringan', 'telkomsel', 'putus', 'pelanggan', 'kecewa', '']</t>
  </si>
  <si>
    <t>['pulsa', 'masuk', 'riwayat', 'transaksi', 'gagal', 'berhasilnya', 'klaim', 'prmbayaran', 'gopay']</t>
  </si>
  <si>
    <t>['bintang', 'paket', 'internet', 'maksimal', 'kecepatan', 'datanya', 'batasi', 'terang', 'puas', 'kayaknya', 'kebanyakan', 'bintang', 'telkomsel', 'introfeksi', 'kecewa', 'beli', 'paket', 'buka', 'aplikasi', 'besaran', 'dikit', 'loading', 'teeruuuuus', '']</t>
  </si>
  <si>
    <t>['aplikasi', 'udah', 'download', 'kaga', 'buang', 'buang', 'kuota', 'gua', 'mending', 'apus', 'aplikasi', 'berguna', 'banget', 'istilah', 'sampah', 'mah', 'udah', 'gua', 'buang', 'gua', 'bakar']</t>
  </si>
  <si>
    <t>['mantap', 'min', 'kali', 'promo', 'paket', 'unlimited', 'senang', 'banget', 'moga', 'paket', 'unlimited', 'permanen', 'mytelkomsel']</t>
  </si>
  <si>
    <t>['gimana', 'sekian', 'provider', 'rekomended', 'paksa', 'paksa', '']</t>
  </si>
  <si>
    <t>['gampang', 'beli', 'paket', 'app', 'suka', 'app', 'promo']</t>
  </si>
  <si>
    <t>['pulsa', 'gua', 'kepotong', 'paket', 'parah', 'sumpah', 'pulsa', 'gua', 'kepotong', 'paket', 'data', 'paket', 'nelpon', 'sms', 'potong', 'pulsa', 'gue', 'tolong', 'telkomsel', 'urus']</t>
  </si>
  <si>
    <t>['kecewa', 'telkomsel', 'jaringan', 'internetny', 'skrang', 'lemot', 'paket', 'mahal', 'bgi', 'sbagian', 'org', 'jdi', 'msalah', 'sesuai', 'pelayann', 'kcepatan', 'internet', 'bgus', 'pling', 'stabil', 'tpi', 'hrga', 'pket', 'mhal', 'koneksiny', 'skrang', 'ckup', 'buruk', 'very', 'bad', 'opinion', '']</t>
  </si>
  <si>
    <t>['payahhhhhh', 'uninstal', 'gangguan', 'beli', 'kuota', 'beli', 'paket', '']</t>
  </si>
  <si>
    <t>['hai', 'ksh', 'bintang', 'yaa', 'maaf', 'isi', 'pulsa', 'pdhl', 'msh', 'habisnya', 'kartu', 'tolong', 'telkomsel']</t>
  </si>
  <si>
    <t>['sinyal', 'lelet', 'rajanya', 'telkomsel', 'parah', 'banget']</t>
  </si>
  <si>
    <t>['koq', 'aneh', 'min', 'barusan', 'kuota', 'msh', 'koq', 'nyedot', 'pulsa', 'utama', 'pas', 'ganti', 'paket', 'sengaja', 'isi', 'pulsa', 'paket', 'nyedot', 'pulsa', 'gtu', 'rugi', 'isi', 'pulsa', 'ganti', 'rugi', 'min', 'dirugikan', '']</t>
  </si>
  <si>
    <t>['brengsek', 'jaringan', 'lemot', 'pulsa', 'nyedot', 'berhenti', 'paket', 'gda', 'pilihan', 'berhenti', 'bangke', '']</t>
  </si>
  <si>
    <t>['kasih', 'bintang', 'jaringan', 'telkomsel', 'jelek', 'mohon', 'perbaiki', 'jaringan', 'lemot', 'mulu', 'kayak', '']</t>
  </si>
  <si>
    <t>['kesel', 'pengguna', 'tekomsel', 'poin', 'undi', 'undi', 'hepi', 'tahunnya', 'tukar', 'poin', 'hadiahnya', '']</t>
  </si>
  <si>
    <t>['saran', 'pengguna', 'aplikasi', 'telkomsel', 'pulsa', 'tolong', 'hidupin', 'saluran', 'datanya', 'otomatis', 'pulsa', 'kemakan', 'hidupin', 'saluran', 'datanya', 'pas', 'buka', 'aplikasi', 'otomatis', 'pulsa', 'bergurang', 'salahin', 'aplikasinya', 'salahin', 'daftar', 'pulsa', 'data', 'aplikasi', 'harap', 'pket', 'internet', 'wifi', 'daftar', 'aplikasi', 'data', 'otomatis', 'pulsa', 'kemakan', '']</t>
  </si>
  <si>
    <t>['nanyak', 'min', 'beli', 'paket', 'pakai', 'pembayaran', 'kah', 'maaf', 'bintang']</t>
  </si>
  <si>
    <t>['hayoo', 'lemot', 'pelanggannya', 'jaga', 'kualitas', 'pakai', 'telkomsel', '']</t>
  </si>
  <si>
    <t>['jaringan', 'telkomsel', 'udh', 'sebagus', 'sumpah', 'beda', 'banget', 'pdhl', 'pengguna', 'setia', 'telkomsel', 'kacau', 'banget', 'saran', 'mending', 'rame', 'rame', 'kasih', 'rating', 'bintang', 'jera', 'langsung', 'sadar', 'memperbaiki', 'sinyalnya']</t>
  </si>
  <si>
    <t>['harga', 'sesuai', 'kualitas', 'pengguna', 'setia', 'muak', 'kau', 'jual', 'mahal', 'internet', 'lancar', 'beli', 'pindah', 'operator', 'sebelah', 'thanks']</t>
  </si>
  <si>
    <t>['paket', 'mahal', 'sinyal', 'lelet', 'kayak', 'entok', 'jalan', 'lengkap', '']</t>
  </si>
  <si>
    <t>['telkomsel', 'tolong', 'jaringannya', 'perbaiki', 'udah', 'paketan', 'mahal', 'banding', 'jaringan', 'gsm', 'geser', 'menghilang', 'jakarta', 'lho', 'ojol', 'kesusahan', 'sinyal', 'berpengaruh', 'order', 'masuk', 'tolong', 'perbaiki', 'secepatnya']</t>
  </si>
  <si>
    <t>['apelikasi', 'bagu', 'tapiiiiiiiiiiiiiiiiiiiiiiiiiiiiiiiiiiiiiiiiiiiiiiiiiiiiiiiiiiiiiiiiiiiiiiiiiiiiiiiiiiiiiiiiiiiiiiiiiiiiiiiiiiiiiiiiiiiiiiiiiiiiiiiiiiiiiiiiiiiiiiiiiiiiiiiiiiiiiiiiiiiiiiiiiiiiiiiiiiiiiiiiiiiiiiiiiiiiiiiiiiiiiiiiiiiiiiiiiiiiiiiiiiiiiiiiiiiiiiiiiiiiiiiiiiiiiiiiiiiiiiiiiiiiiiiiiiiiiiisiyal', 'jelek', 'banget', 'kuota', 'mahal']</t>
  </si>
  <si>
    <t>['bagus', 'tingkatkan', 'trus', 'kualitas', 'kuantitas', 'bonus', 'harga', 'produk', 'mahal', 'trima', 'kasih', '']</t>
  </si>
  <si>
    <t>['telkomsel', 'kesini', 'kaya', 'taii', 'jaringan', 'kesel', 'main', 'game', 'gampang', 'ngelag', 'tolong', 'perbaiki', 'jaringan']</t>
  </si>
  <si>
    <t>['paket', 'mahal', 'jaringan', 'susah', 'nyoba', 'provider', 'sebelah', 'bagus', 'murah', 'hati', 'udh', 'nyangkut', 'mohon', 'pengertiannya', 'smg', 'bagus', 'pengguna', 'kecewa', 'terima', 'kasuh']</t>
  </si>
  <si>
    <t>['telkomsel', 'ngisi', 'pulsa', 'rb', 'paketin', 'ngeleg', 'ngeleg', 'parah', 'tolong', 'telkomsel', 'beli', 'mahal', 'mahal', 'gini']</t>
  </si>
  <si>
    <t>['paket', 'datanya', 'mahal', 'jaringan', 'menjangkau', 'indonesia', 'menjangkau', 'pelosok', 'cek', 'pulsa', 'internet', 'belajar', 'online', 'telkomsel', 'coba', 'kaya', 'propider', 'murah', 'paket', 'datanya', 'pandemi', 'kasi', 'promo', 'murah', '']</t>
  </si>
  <si>
    <t>['sinyal', 'parah', 'sekelas', 'kota', 'batam', 'telkomsel', 'sinyal', 'lemott', 'payah', 'perbaiki']</t>
  </si>
  <si>
    <t>['jaringan', 'telkomsel', 'lelet', 'payah', 'tinggal', 'kota', 'malas', 'pakai', 'paket', 'telkomsel', 'pakai', 'nelpon']</t>
  </si>
  <si>
    <t>['jelek', 'parah', 'beli', 'pulsa', 'beli', 'gb', 'unlimited', 'harga', 'rb', 'beli', 'taik', 'pass', 'dibeli', 'kouta', 'pulsa', 'top', 'rb', 'tetep', 'lohhh']</t>
  </si>
  <si>
    <t>['jaringan', 'bagus', 'bonus', 'pengguna', 'setia', 'telkomsel', 'memakai', 'kartu', 'telkomsel', '']</t>
  </si>
  <si>
    <t>['udah', 'pelanggan', 'setia', 'kuota', 'mahal', 'mahal', 'beli', 'internetnya', 'lemot', 'sampe', 'dinpake', 'kecewa', 'berat', 'gimana', 'setia']</t>
  </si>
  <si>
    <t>['ulasan', 'mines', 'telkomsel', 'taun', 'simpati', 'ksini', 'kecewa', 'sinyal', 'ngawur', 'paket', 'data', 'mahal', 'membeli', 'paket', 'disney', 'holstar', 'yaudah', 'mahal', 'jaringan', 'perbaiki', 'iya', 'tulisan', 'sinyal', 'kaya', '']</t>
  </si>
  <si>
    <t>['kartu', 'kek', 'ajink', 'kek', 'gini', 'mending', 'ajink', 'kartu', 'ampas', 'ajink', 'pikir', 'pengguna', 'telkomsel', 'internet', 'gratis', 'kagak', 'ajink', 'bayar', 'ampas', 'kartu', 'anjink']</t>
  </si>
  <si>
    <t>['telkomsel', 'lemah', 'sinyalnya', 'gangguan', 'mulu', 'hormat', 'telkomsel', 'mohon', 'diperbaiki', 'jaringanya', 'konek', 'trimakasih', '']</t>
  </si>
  <si>
    <t>['jaringan', 'telkom', 'lelet', 'nggk', 'tolong', 'admin', 'cek', 'tower', 'daerah', 'oper', 'kapasitas']</t>
  </si>
  <si>
    <t>['telkomsel', 'gb', 'ribu', 'ribu', 'lemot', 'kek', 'gini', 'ganti', 'kartu', 'repot', 'karna', 'banking', 'daftar', 'pakek', 'nomer', 'telkomsel', 'ngurus', 'bank', 'repot', '']</t>
  </si>
  <si>
    <t>['anjirr', 'kecewa', 'bangat', 'sumpah', 'kuota', 'internetnya', 'lemot', 'bangkeeeee', 'gimana', 'udah', 'beli', 'paket', 'mahal', 'gini', 'telkomsel', 'ganti', 'datanya', '']</t>
  </si>
  <si>
    <t>['buka', 'aplikasi', 'lemot', 'cek', 'kuota', 'susah', 'suruh', 'hubungi', 'website', 'telkomsel', 'pengguna', 'lsg', 'kolom', 'komentar', 'harga', 'mahal', 'layanan', 'bagus', 'tlg', 'perbaiki', 'kinerjanya', 'telkomsel', '']</t>
  </si>
  <si>
    <t>['kecepatan', 'internet', 'ngebut', 'game', 'codm', 'terkadang', 'hilang', 'sinyal', 'harga', 'paket', 'tergantung', 'pemakaian', 'kartu', 'kartu', 'perdana', 'murah', '']</t>
  </si>
  <si>
    <t>['jaringan', 'telkomsel', 'jelek', 'buka', 'telkomsel', 'lambat', 'banget', 'loading', 'astaga', 'mengganggu', 'merugikan', 'nasabah', 'terbuang', 'kuota', 'terkuras', 'lambat', 'loading', 'kuota', 'mahal', 'jaringan', 'lambat', '']</t>
  </si>
  <si>
    <t>['setia', 'bintang', 'krna', 'peningkatan', 'jaringan', 'stabil', 'payah', '']</t>
  </si>
  <si>
    <t>['lumayan', 'peningkatan', 'semoga', 'kedepannya', 'meningkat', 'mempermudah', 'pengguna', '']</t>
  </si>
  <si>
    <t>['kecewa', 'beli', 'pulsa', 'rb', 'kesedot', 'rb', 'pas', 'dicek', 'tinggal', 'rb', 'kesel', 'kecewa', 'telkomsel', 'susah', 'ngumpulin', 'duit', 'beli', 'pulsa', 'sisihin', 'duit', 'jajan', 'telkomsel', 'tinggal', 'sedot', 'sedih', 'tauuu', 'beli', 'pulsa', 'upil', 'huhu']</t>
  </si>
  <si>
    <t>['halo', 'unlimited', 'sesuai', 'unlimited', 'kayak', 'menipu', 'pelanggan', 'unlimited', 'multimedia', 'embel', 'menipu', 'konsumen', 'prabayar', 'aplikasi', 'unlimited', 'dipake', 'kuota', 'habiss', 'mobile', 'legends', 'whatsapp', 'aplikasi', 'menipu', 'namanya', 'udh', 'semangat', 'pindah', 'pascabayar', 'tagihan', 'terkontrol', 'layanan', 'nol', 'ujug', 'disuruh', 'pindah', 'paket', 'mahal', 'diawal', 'dijanjikan', 'hemat', 'operator', 'hemat', 'matamu']</t>
  </si>
  <si>
    <t>['kali', 'isi', 'paket', 'internet', 'aplikasi', 'combo', 'omg', 'gb', 'gb', 'paket', 'omg', 'hbs', 'sisa', 'kuota', 'internet', 'terpakai', 'memiliki', 'paket', 'pulsa', 'kesedot', 'isi', 'paket', 'kuota', 'hrs', 'sisa', 'paket', 'kuota', 'bertambah', 'akumulasi', 'hangus', 'kuota', 'masuk', 'akal', '']</t>
  </si>
  <si>
    <t>['beli', 'diamond', 'bitang', 'parah', '']</t>
  </si>
  <si>
    <t>['harga', 'menyesuaikan', 'kualitas', 'jaringan', 'internet', 'harga', 'kwalitas', 'kalah', 'provider', 'tetangga', 'saran', 'simak', 'mahal', 'mahal', 'berpaling', 'kartu', '']</t>
  </si>
  <si>
    <t>['tukar', 'poin', 'pulsa', 'ambil', 'gthmah', 'poin', 'berlaku']</t>
  </si>
  <si>
    <t>['nyaman', 'pakai', 'telkomsel', 'lemot', 'jaringan', 'kuota', 'mahal', 'pindah', 'tetangga']</t>
  </si>
  <si>
    <t>['pembaruan', 'hpnsaya', 'udah', 'penuh', 'muat', 'aplikasi', 'pembelajaran', 'untung', 'daring', 'tolong', 'dikurangin', 'dungsss', 'banget', '']</t>
  </si>
  <si>
    <t>['dear', 'telkomsel', 'udh', 'setia', 'thn', 'ganti', 'kartu', 'skrg', 'nyerah', 'capek', 'udah', 'grapari', 'keluhin', 'sinyalq', 'bhkan', 'antrian', 'smpe', 'responnya', 'silahkan', 'bayar', 'tagihan', 'kartu', 'halo', 'otomatis', 'terganti', 'ttp', 'upgrade', 'sms', 'bankingq', 'aktif', 'kpan', 'uang', 'masuk', 'berbulan', 'habisin', 'duit', 'bln', 'direpotin', 'pelayanan', 'kualitas', 'sampah']</t>
  </si>
  <si>
    <t>['jaringannya', 'parah', 'siqnal', 'hilang', 'lemot', 'buffering', 'mulu', 'udah', 'bayar', 'mahal', 'mahal', 'jaringan', 'eror', 'mulu', 'saldo', 'pulsa', 'kesedot', 'ngak', 'nama', 'provider', 'terbesar', 'diindonesia', 'malu', 'bangsa', '']</t>
  </si>
  <si>
    <t>['jamin', 'jaringan', 'bagus', 'lancar', 'lemot', 'parah', 'search', 'google', 'nonton', 'lemot', 'banget', 'jaminan', 'yanga', 'jaringan', 'lancar', 'tolong', 'perbagus', 'jaringan', 'telkomsel', 'pemakai', 'nyaman']</t>
  </si>
  <si>
    <t>['update', 'udah', 'diupdate', 'mlh', 'dibuka', 'internet', 'mahal', 'jaringan', 'lemot', 'hbs', 'hujan', 'sinyal', 'ilang', 'parah', 'telkomsel', 'iniii']</t>
  </si>
  <si>
    <t>['lemot', 'biaya', 'transfer', 'pulsa', 'mahal', 'teansfer', 'mahal', 'hallo', 'telkomsel', 'perbaiki']</t>
  </si>
  <si>
    <t>['apps', 'rusak', 'bug', 'berhenti', 'berasa', 'minim', 'speks', '']</t>
  </si>
  <si>
    <t>['udah', 'update', 'kgak', 'dibuka', 'udah', 'gitu', 'sinyalnya', 'lemot', 'niat', 'operator', 'kgak', 'ngnt', '']</t>
  </si>
  <si>
    <t>['pulsa', 'terpotong', 'krna', 'lupa', 'matiin', 'data', 'seluler', 'kuota', 'hbis', 'tolong', 'fitur', 'kunci', 'pulsa', 'kejadian', 'lgi', '']</t>
  </si>
  <si>
    <t>['aplikasi', 'membantu', 'memudahkan', 'transaksi', 'promo', 'informasi', 'fitur', 'terkini', 'ter', 'update', 'pengguna', 'kartu', 'telkomsel', 'serius', 'aplikasi', 'bagus', '']</t>
  </si>
  <si>
    <t>['dikala', 'indihome', 'mengalami', 'gangguan', 'paket', 'data', 'telkomsel', 'acara', 'meeting', 'daring', 'mengikuti', 'lancar', 'sinyalnya', 'bagus', '']</t>
  </si>
  <si>
    <t>['maaf', 'knp', 'udh', 'beli', 'paket', 'pulsa', 'hilang', 'paketnya', 'ngk', 'kebeli', 'pulsa', 'hbis']</t>
  </si>
  <si>
    <t>['sinyal', 'parah', 'harga', 'muahal', 'cuek', 'bos', 'nomor', 'bisnis', 'udah', 'buang']</t>
  </si>
  <si>
    <t>['tolong', 'min', 'udah', 'tsel', 'buruk', 'banget', 'jaringanya', 'pakai', 'tsel', 'udah', 'paketnya', 'mahal', 'pancet', 'stay', 'tsel', 'jaringanya', 'bagus', 'udah', 'parah', 'banget', 'sinyalnya', '']</t>
  </si>
  <si>
    <t>['tolong', 'perbaiki', 'sekolah', 'terkadang', 'mengalami', 'lag']</t>
  </si>
  <si>
    <t>['harga', 'mahal', 'kualitas', 'menurun', 'internet', 'bagus', 'indonesia', 'kualitasnya', 'kek', 'gini', '']</t>
  </si>
  <si>
    <t>['kuota', 'gamemax', 'silver', 'berfungsi', 'ngapain', 'jual', 'coba', 'main', 'game', 'mlbb', 'pubg', 'dll', 'hasil', 'mending', 'paket', 'gamemax', 'silver', 'hapus', 'korban', '']</t>
  </si>
  <si>
    <t>['pengurusnya', 'kebanyakan', 'korupsi', 'jaringannya', 'ancur', 'mending', 'tumbangin', 'towernya', 'tower', 'semak', 'udah', 'harga', 'kuota', 'mahalnya', 'ampun', 'pelayanannya', 'ancur', 'pedahal', 'bumn', 'ancur', 'jaringannya', 'bego', 'pengurusnya', 'komisarisnya', 'tolol', 'bangt', 'mending', 'bubar']</t>
  </si>
  <si>
    <t>['gajelas', 'jaringan', 'telkomsel', 'yakali', 'perkotaan', 'jaringan', 'cuman', 'kuota', 'doang', 'mahal', 'jaringan', 'buruk', 'provider']</t>
  </si>
  <si>
    <t>['pemula', 'install', 'aplikasi', 'sblm', 'kasih', 'nilai', 'terbaik', 'coba', '']</t>
  </si>
  <si>
    <t>['mohon', 'diperbaiki', 'kouta', 'aktf', 'kouta', 'internet', 'data', 'aktif', 'pulsa', 'dikartu', 'kesedot', '']</t>
  </si>
  <si>
    <t>['pas', 'buka', 'apk', 'suruh', 'perbarui', 'giliran', 'udah', 'perbarui', 'tetep', 'sruh', 'perbarui', 'telkomsel', 'buka', 'bener', '']</t>
  </si>
  <si>
    <t>['isi', 'paket', 'combo', 'sakti', 'bulanan', 'ribu', 'pulsa', 'kepotong', 'paketnya', 'nunggu', 'refund', 'udah', 'seminggu', 'kabar', 'udah', 'komplain', 'kali', 'paraaaahhhhh', 'dicolong', 'pulsanya']</t>
  </si>
  <si>
    <t>['cek', 'ulasan', 'positif', 'isinya', 'ulasan', 'negatif', 'cek', 'ulasan', 'negatif', 'parah', 'isinya', 'telkomsel', 'perbaiki', 'bangkrut', 'ditinggalkan', 'pelangganmu', '']</t>
  </si>
  <si>
    <t>['membantu', 'memilih', 'pembelian', 'paket', 'pulsa', 'diskon', 'harga']</t>
  </si>
  <si>
    <t>['seharus', 'bintang', 'telkomsel', 'lemot', 'parah', 'jringan', 'mending', 'jual', 'paket', 'mahal', 'deh', 'bagusan', 'im', 'telkomsel', 'jujur', 'kecewa', 'ama', 'kartu', 'mahal']</t>
  </si>
  <si>
    <t>['coba', 'mode', 'off', 'line', 'aplikasi', 'telkomsel', 'beli', 'paket', 'datanya', 'nebeng', 'hostpot', 'pas', 'data', 'habis', 'recommended', 'banget', 'makasih', '']</t>
  </si>
  <si>
    <t>['tolong', 'telkomsel', 'jaringan', 'telkomsel', 'perbaiki', 'merugikan', 'pengguna', 'kemaren', 'sampe', 'pagi', 'jaringan', 'mengalami', 'parah', 'dianggap', 'absen', 'guru', 'gara', 'kondisi', 'jaringan', 'normal']</t>
  </si>
  <si>
    <t>['woi', 'tsel', 'knp', 'gua', 'paketan', 'gabisa', 'pulsa', 'gua', 'abis', 'kesedot', 'paketan', 'masuk', 'bner', '']</t>
  </si>
  <si>
    <t>['maaf', 'min', 'kasih', 'bintang', 'beli', 'kuota', 'sakti', 'combo', 'multimedia', 'kuota', 'akses', 'shopee', 'lemot', 'udah', 'lancar', 'kayak', 'tiktok', 'yutube', 'shopee', 'lemot', 'udah', 'beli', 'mahal', '']</t>
  </si>
  <si>
    <t>['beralih', 'im', 'harga', 'dpat', 'kuota', 'gb', 'jam', 'membagian', 'kualitas', 'telkomsel', 'pdahal', 'simpati', 'loop', 'pemakaian', 'pulsa', 'beli', 'kuota', 'poin', 'tukar', 'jwban', 'akses', 'belajar', 'telkomsel', 'dpat', 'promo', 'murah', 'telkomsel', 'udah', 'beli', 'mahal', 'kualitas']</t>
  </si>
  <si>
    <t>['telkomsel', 'sinyal', 'lelet', 'saranin', 'ush', 'beli', 'kuota', 'telkomsel', 'yng', 'bener', 'sinyal', 'jelek', 'telkomsel']</t>
  </si>
  <si>
    <t>['mudah', 'membeli', 'paket', 'pulsa', 'cepat', 'mengecek', 'paket', 'tersisa']</t>
  </si>
  <si>
    <t>['hmm', 'kekuatan', 'jaringan', 'kayak', 'batasi', 'buka', 'mobile', 'legend', 'jaringan', 'langsung', 'down', 'buka', 'apk', 'lumayan', 'lancar', 'lemot', 'kuota', 'kuota', 'lokal', 'buka', 'apk', 'mobile', 'legend', 'kuota', 'game', 'gunanya', 'udh', 'kyk', 'axi', '']</t>
  </si>
  <si>
    <t>['mahal', 'pembelian', 'paket', 'kuota', 'berbanding', 'terbalik', 'kecepatan', 'internetnya', 'lambat', 'paket', 'bundling', 'internet', 'ngotak', 'ujung', 'ujung', 'nguras', 'pulsa', 'tolong', 'dibuatkan', 'paket', 'internet', 'komplit', 'all', 'one', 'smua', 'layanan', 'biaya', 'sdkit', 'murah', 'trus', 'berlaku', 'paket', 'udah', 'habis', 'pulsa', 'tersedot', 'habis', 'off', 'tersedot', 'pulsanya', 'tolong', 'diperhatikan', 'keluhan', 'pelanggan', 'setia']</t>
  </si>
  <si>
    <t>['menyesal', 'beralih', 'kartu', 'hallo', 'dikarnakan', 'tenggang', 'beralih', 'nomor', 'kontak', 'beli', 'paket', 'rincian', 'tagihan', 'gapari', 'jaringan', 'bagus', 'terimakasi', 'tekomsel', 'beralih', 'kartu', '']</t>
  </si>
  <si>
    <t>['beli', 'paket', 'unlimited', 'kuota', 'utama', 'habis', 'paket', 'unlimited', 'pakai', 'emang', 'zonasi', 'muncul', 'eliglible', 'beli', 'paket', 'mahal', 'pakai', 'penipuan', 'telkomsel', 'sehat']</t>
  </si>
  <si>
    <t>['praktis', 'membeli', 'pulsa', 'paket', 'data', 'cek', 'pulsa', 'paket', 'data', 'kirim', 'pulsa', 'paket', 'data', 'menarik', 'program', 'dailycek', 'bermain', 'game', 'untung']</t>
  </si>
  <si>
    <t>['kecewa', 'telkomsel', 'karna', 'kesini', 'harga', 'kuota', 'mahal', 'udah', 'gitu', 'sinyal', 'lemot', 'tolong', 'telkomsel', 'tolong', 'perbaiki', 'harga', 'kuotanya', 'dimurahkan', 'duludulu', 'kasian', 'pelajar', 'dirumah', 'harga', 'kuota', 'mahal', 'udah', 'gitu', 'tolong', 'kembalikan', 'kuota', 'unlimited', 'bulanannya', 'mohon', 'sangatsangat', 'telkomsel', 'karna', 'kuota', 'murah', 'pelajar', '']</t>
  </si>
  <si>
    <t>['jaringan', 'internet', 'stabil', 'jaringan', 'penuh', 'tarifnya', 'mahal']</t>
  </si>
  <si>
    <t>['mengecewakan', 'mengecewakan', 'pembelian', 'kuota', 'internet', 'mahal', 'kecewa', '']</t>
  </si>
  <si>
    <t>['sinyal', 'buruk', 'main', 'game', 'lag', 'harga', 'kuota', 'mahal', 'tpi', 'layanan', 'buruk', 'diperbaiki', 'berhenti', 'telkomsel', '']</t>
  </si>
  <si>
    <t>['menyecewakan', 'cepet', 'jaringannya', 'jelek', 'beli', 'paket', 'mahal', 'jaringan', 'jelek', 'enak', 'pakai', 'tri']</t>
  </si>
  <si>
    <t>['gue', 'asik', 'telkomsel', 'lancar', 'jaya', 'lemot', 'saran', 'kuota', 'multimedia', 'dibikin', 'lemot', 'donk', 'kepake', 'saking', 'lemotnya', '']</t>
  </si>
  <si>
    <t>['susah', 'mah', 'aplikasinya', 'upgrade', 'hape', 'pengguna', 'setia', 'telkomsel', 'proklamirkan', 'jaringan', 'terkuat', 'terluas', 'indonesia', 'kenyataannya', 'signal', 'jelek', 'harga', 'kuota', 'daerah', 'pegunungan', 'signal', 'ancurrrr']</t>
  </si>
  <si>
    <t>['', 'deskripsi', 'langganan', 'premier', 'video', 'pas', 'dicoba', 'dibilang', 'nomor', 'berlangganan', 'sms', 'gratis', 'berlangganan', 'disney', 'hotstar', 'plus', 'dicoba', 'login', 'apps', 'hotstar', 'kagak', 'sms', 'callnya', 'login', 'program', 'check', 'apps', 'salah', 'satunya', 'saldo', 'link', 'senilai', 'rb', 'pencet', 'claim', 'dibilang', 'error', 'saldo', 'kagak', 'wkwkwk', 'provider', 'operator', 'the', 'best', 'abal', 'nasib', '']</t>
  </si>
  <si>
    <t>['operasional', 'jaringan', 'terbaik', 'indonesia', 'disayangkan', 'harga', 'paket', 'internet', 'mahal', 'jujur', 'paket', 'telkomsel', 'mahal', 'pakai', 'herankan', 'paket', 'mahal', 'paket', 'harganya', 'berbeda', '']</t>
  </si>
  <si>
    <t>['shame', 'you', 'telkomsel', 'notif', 'transaksi', 'eror', 'gangguan', 'pulsa', 'terdebit', 'kejadian', 'terkena', 'double', 'charging', 'sungguh', 'mengecewakan', 'eror', 'transaksi', 'proses', 'konsumen', 'kecewa', 'telkomsel', 'laporan', 'lembaga', 'perlindungan', 'konsumen']</t>
  </si>
  <si>
    <t>['men', 'paket', 'ekstra', 'unilimited', 'ngak', 'beli', 'ngak', 'teman']</t>
  </si>
  <si>
    <t>['tagihan', 'tolong', 'kasih', 'rincian', 'detail', 'pelanggan', '']</t>
  </si>
  <si>
    <t>['bintang', 'pengen', 'pelayanannya', 'aplikasi']</t>
  </si>
  <si>
    <t>['telkomsel', 'niat', 'maling', 'kuota', 'utama', 'pulsa', 'berkurang', 'habis', 'sungguh', 'kecewa', 'berat', 'telkomsel', '']</t>
  </si>
  <si>
    <t>['skrg', 'cek', 'kuota', 'mencet', 'telkomsel', 'langsung', 'nongol', 'sisah', 'kuota', 'ilang', 'gimana', 'mohon', 'petunjuknya', 'trimakasih', '']</t>
  </si>
  <si>
    <t>['recomend', 'gangguan', 'susah', 'sinyal', 'berharap', 'memakai', 'telkomsel', 'jaringan', 'terbaik', 'mengecewakan', '']</t>
  </si>
  <si>
    <t>['kesal', 'aplikasi', 'knapa', 'gua', 'beli', 'paket', 'knapa', 'cuman', 'nyampe', 'gua', 'beli', 'pulsa', 'kesedot', 'sampe', 'jaringan', 'lambat', 'banget', 'gua', 'kecewa', 'telkomsel', '']</t>
  </si>
  <si>
    <t>['tsel', 'udh', 'beli', 'kuota', 'harga', 'mahal', 'jaringan', 'bagus', 'bapuk', 'plus', 'lemot', 'pelanggan', 'setia', 'tsel', 'mkin', 'bgs', 'mkin', 'buruk', '']</t>
  </si>
  <si>
    <t>['mengunakan', 'aplikasi', 'telkomsel', 'kemudahan', 'kemudahan', '']</t>
  </si>
  <si>
    <t>['sayangkan', 'harga', 'pket', 'internet', 'tpi', 'kualitas', 'jaringan', 'telkomsel', 'jelek', 'spertinya', 'usaha', 'perbaikan', 'telkomsel', 'daerah', 'udah', 'jringan', 'amburadul', 'tolong', 'perhatikan', 'keluhan', 'konsumen', '']</t>
  </si>
  <si>
    <t>['gimana', 'tsel', 'ngeleg', 'ngambil', 'pulsa', 'internet', 'udah', 'pulsa', 'anying', 'kabar', 'susah', 'bangke']</t>
  </si>
  <si>
    <t>['sumpah', 'nyesel', 'banget', 'beli', 'kartu', 'telkomel', 'beli', 'kartu', 'telkomsel', 'karna', 'sinyalnya', 'burukkk', 'sampe', 'sinyalnya', 'perubahannn', '']</t>
  </si>
  <si>
    <t>['jaringan', 'buriq', 'main', 'game', 'susah', 'banget', 'udah', 'ngeleg', 'main', 'game', 'rusak', 'perusahaan', 'telkomsel', 'perbaikin', 'pindah', 'jaringan', 'sebelah', 'dancok', 'telkomsel']</t>
  </si>
  <si>
    <t>['keluarin', 'min', 'top', 'diamon', 'mobile', 'legends', 'tukar', 'koin', 'bintang', 'plis', 'min']</t>
  </si>
  <si>
    <t>['problem', 'kuota', 'pemerintah', 'koneksinya', 'bagus', 'akses', 'internet', 'bebas', 'beli', 'paket', 'internet', 'paketkan', 'pulsa', 'terpotong', 'wajar', 'jam', 'pulsa', 'berkurang', 'rupiah', 'notifikasi', 'pulsa', 'terpotong', 'membeli', 'paket', 'internet', 'kecewa', '']</t>
  </si>
  <si>
    <t>['parah', 'betah', 'pelanggan', 'telkomsel', 'tutup', 'jaringannya', 'morotin', 'pelanggan']</t>
  </si>
  <si>
    <t>['', 'beli', 'paket', 'jaringan', 'rusak', 'trs', 'kpn', 'normalnya', 'tlong', 'konfirmasi', 'pelanggan', 'kcewa', 'pelanggan', 'telkomsel', 'mkin', 'ksni', 'knp', 'tlong', 'cpt', 'diperbaiki', 'sblm', 'bnyak', 'kehilangan', 'pelanggan', 'ttap', 'kcewa', 'terimakasih']</t>
  </si>
  <si>
    <t>['pas', 'blm', 'beli', 'kuota', 'bagus', 'pas', 'udh', 'beli', 'sinyal', 'ilang', 'kdang', 'cmn', 'batang', 'full', 'kecewa', '']</t>
  </si>
  <si>
    <t>['tolong', 'cek', 'jaringan', 'area', 'situbondo', 'kota', 'jawa', 'timur', 'dri', 'kemarin', 'sore', 'sinyalnya', 'sulit', 'paketan', 'mahal', 'sinyal', 'nolll']</t>
  </si>
  <si>
    <t>['ulasan', 'muji', 'muji', 'telkomsel', 'bagus', 'ubah', 'udah', 'unlimitid', 'game', 'payah', 'ngerusak', 'kesenengan', 'planggan', '']</t>
  </si>
  <si>
    <t>['kalopun', 'orang', 'ngeluh', 'telkomsel', 'dsini', 'sukaaaa', 'jaringannya', 'kejangkau', 'dipelosok', 'tingkatkan', 'trus', 'pelayanan', 'terbaikmu', '']</t>
  </si>
  <si>
    <t>['jaringan', 'jelek', 'kaya', 'telkomsel', 'terbaik', 'jaringan', 'buruk']</t>
  </si>
  <si>
    <t>['baby', 'troble', 'jaringan', 'mati', 'kompensasi', 'kuota', 'gratis', 'provider', 'malu', 'tarif', '']</t>
  </si>
  <si>
    <t>['tolong', 'donk', 'admin', 'perbaiki', 'jaringan', 'main', 'game', 'lag', 'bangat', '']</t>
  </si>
  <si>
    <t>['tolonglah', 'cari', 'uang', 'segitunya', 'kuota', 'anak', 'sekolah', 'belajar', 'dibutuhkan', 'kuota', 'internetnya', 'entertainmentnya', 'dipaksakan', 'wajib', 'beli', 'kuota', 'entertainment', 'kebutuhan', 'internet', 'belajar', 'sekolah', 'online', 'stop', 'bundling', 'kuota', 'keuntungan', 'partnership', 'tolong', 'creative', 'paket', 'jualan', 'team', 'sales', 'marketing', 'kerja', 'telkomsel', 'lho', 'berpikirnya', 'hebat', '']</t>
  </si>
  <si>
    <t>['telkomsel', 'tolong', 'sediain', 'pengaturan', 'pulsa', 'terpakai', 'kemaren', 'isi', 'pulsa', 'habis', 'pemberitahuan', 'isi', 'paketan', 'sia', 'sia', 'isi', '']</t>
  </si>
  <si>
    <t>['nyaman', 'pelayanan', 'telkomsel', 'kuota', 'belajar', 'kuota', 'bnyak', 'harga', 'belinya', 'mahal', 'mencarinya', 'ngk', 'sebalik', 'telapak', 'tangan', 'lansuang', 'mohon', 'bantuan', 'telkomsel', 'mengatur', 'pemakaian', 'kuota', 'kuota', 'terbuang', 'sia', 'karna', 'cari', 'uang', 'belinya', 'massa', 'kek', 'gini', 'sulit', 'mohon', 'bantuannya', 'telkomsel', 'udah', 'lemot', 'udah', 'kuota', 'mahal', 'lemot', '']</t>
  </si>
  <si>
    <t>['telkomsel', 'perubahannya', 'membaik', 'memburuk', 'kuota', 'mahal', 'dapetnya', 'ditambah', 'lemot', 'udah', 'bangkrut', 'gimana', '']</t>
  </si>
  <si>
    <t>['biaya', 'admin', 'transfer', 'pulsa', 'mahal', 'plis', 'kembalikan', 'biaya', 'transfer', 'pulsa', '']</t>
  </si>
  <si>
    <t>['', 'sampah', 'beli', 'pulsa', 'rb', 'tukarkan', 'kuota', 'gb', 'berjalan', 'lancar', 'kuota', 'hilang', 'pulsanya', 'habis', 'dihari', 'pakai', 'berjalan', 'lancat', 'riwayat', 'pembelian', 'tolong', 'diperbaiki', 'kedepannya', 'merugikan', 'tolong', 'kurangi', 'korupsinya']</t>
  </si>
  <si>
    <t>['mayoritas', 'bintang', 'emang', 'bener', 'aplikasinya', 'pelayanan', 'customer', 'care', 'sekalo', 'merespon', 'paket', 'internet', 'diperpanjang', 'alhasil', 'beli', 'ganti', 'paket', 'berbeda', 'bulannya', 'aplikasi', 'lemot', 'ganti', 'provider', 'mengutamakan', 'kepuasan', 'customer', '']</t>
  </si>
  <si>
    <t>['beli', 'pulsa', 'transaksi', 'telkomsel', 'pulsa', 'masuk', 'rb', 'bertransaksi', 'kayanya', 'pulsa', 'mencukupi', 'pas', 'cek', 'pulsa', 'utuh', 'berkurang', 'karna', 'gabisa', 'bertransaksi', 'esok', 'cek', 'pulsa', 'tinggal', 'rb', 'hasil', 'mengalami', 'kerugian', 'tolong', 'kembalikan', 'pulsa', 'hilang', '']</t>
  </si>
  <si>
    <t>['kecewa', 'berat', 'telkomsel', 'paket', 'darurat', 'ilangin', 'paket', 'mahal', 'sinyal', 'buruk', 'sial', 'dangkal', '']</t>
  </si>
  <si>
    <t>['', 'hilang', 'gnt', 'krtu', 'hlng', 'grapari', 'ribet', 'kta', 'nik', 'org', 'terdaftar', 'krt', 'trus', 'org', 'grapari', 'sru', 'cri', 'nik', 'org', 'aneh', 'gmn', 'cri', 'nmr', 'indonesia', 'gni', 'salah', 'knp', 'nmr', 'sya', 'bkn', 'nik', 'pdhal', 'registrasi', 'pke', 'nik', 'sndri', 'nmr', 'notif', 'bank', 'slah', 'krt', 'sya', 'gmn', '']</t>
  </si>
  <si>
    <t>['ulasan', 'bersifat', 'publik', 'menyertakan', 'info', 'akun', 'perangkat', 'terima', 'kasih', '']</t>
  </si>
  <si>
    <t>['sumpah', 'kecewa', 'banget', 'poin', 'telkomsel', 'ditukar', 'data', 'internet', 'gagal', 'berbulan', 'mohon', 'diperbaiki', 'min']</t>
  </si>
  <si>
    <t>['tolong', 'kasih', 'pangaman', 'hentikan', 'data', 'aktif', 'kuota', 'habis', 'kuota', 'habis', 'membantu', 'seringkali', 'pulsa', 'terpakai', 'internet', '']</t>
  </si>
  <si>
    <t>['jual', 'kuota', 'mahal', 'trus', 'jaringan', 'ngeleg', 'abiezzz', '']</t>
  </si>
  <si>
    <t>['nggak', 'berfaedah', 'veronika', 'bantuan', 'ribet', 'mentang', 'paket', 'spesial', 'susah', 'transaksinya', 'emosi', 'pelanggan', 'udah', 'jaringan', 'bentar', 'ilang', 'bentar', 'kdang', 'lemot', '']</t>
  </si>
  <si>
    <t>['bintang', 'ngiming', 'ngiming', 'jaringan', 'gangguan', 'tgl', 'der', 'tgl', 'restart', 'jaringan', 'ilang', 'total', 'sms', 'tlp', 'internet', 'masuk', 'coba', 'restart', 'kyk', 'gini', 'trus', 'der', 'sampe', 'jaringan', 'selesai', 'perbaiki', 'rugi', 'pembisnis', 'online', '']</t>
  </si>
  <si>
    <t>['internet', 'lokal', 'dipake', 'minggu', 'habis', 'separuhnya', 'paket', 'multimedia', 'mubadzir', 'karna', 'kepake', 'kecewa', 'paket', 'multimedia', 'ganti', 'internet', 'lokal', '']</t>
  </si>
  <si>
    <t>['blg', 'telkomsel', 'haram', 'membantu', 'bonus', 'paket', 'murah', '']</t>
  </si>
  <si>
    <t>['terimakasih', 'membersamai', 'lancar', 'berkomunikasi', 'jayalah', 'telkomsel', '']</t>
  </si>
  <si>
    <t>['mahal', 'kuota', 'dipisah', 'pisah', 'orng', 'tertipu', '']</t>
  </si>
  <si>
    <t>['kuota', 'harga', 'mahal', 'sinyal', 'internet', 'seluler', 'daerah', 'kecamatan', 'cibarusah', 'stabil', 'hilangnya', '']</t>
  </si>
  <si>
    <t>['', 'kota', 'duri', 'jaringan', 'telkomsel', 'kayak', 'main', 'hutan', 'tolong', 'kota', 'duri', 'perbaiki', 'jaringannya', 'telkomsel', 'bangrut', 'jaringan', 'error']</t>
  </si>
  <si>
    <t>['mohom', 'maaf', 'telkomsel', 'terhormat', 'harga', 'kuota', 'dibangding', 'kartu', 'kuota', 'bantuan', 'kartu', 'telekomsel', 'dimasa', 'pandemi', 'susah', 'jaringan', 'ngelag', 'parahhhhhh', 'cepat', 'diperbaiki', 'mengandalkan', 'kuota', 'kemendikbud', 'ngerjain', 'tugas', 'berlanjut', 'mengundurkan', 'yaa', 'generasi', 'bubbruk', 'belajar', 'efektifff', '']</t>
  </si>
  <si>
    <t>['aplikasi', 'bagus', 'undian', 'hadiah', 'sayang', 'beruntung', 'undian', 'telkomsel', '']</t>
  </si>
  <si>
    <t>['payah', 'pulsa', 'habis', 'transaksi', 'apapun', 'data', 'selular', 'pakai', 'wifi', 'komplain', 'ribet', 'kebangeten', 'pikir', 'telkomsel', 'nomor', '']</t>
  </si>
  <si>
    <t>['masuk', 'aplikasi', 'pakai', 'nomor', 'ribet', 'banget', 'verifikasi', 'link', 'sms', 'tinggal', 'masuk', 'hrs', 'otomatis', 'login', 'masuk', 'ribet', 'tolong', 'permudahkan', 'mengecewakan']</t>
  </si>
  <si>
    <t>['pelanggan', 'setia', 'telkomsel', 'complain', 'jaringan', 'telkomsel', 'kesini', 'makjn', 'buruk', 'mohon', 'bantuan', 'telkomsel', 'perbaiki', 'jaringan', 'terimakasih']</t>
  </si>
  <si>
    <t>['kartu', 'bertahun', 'pingi', 'upgrade', 'ganti', 'kartu']</t>
  </si>
  <si>
    <t>['pelanggan', 'telkomsel', 'kesal', 'sinyal', 'jelek', 'lelet', '']</t>
  </si>
  <si>
    <t>['byk', 'poin', 'ngk', 'abisin', 'sms', 'niat', 'ngasih', 'promo', 'ngk', 'bakar', 'poin', 'dpt', 'poin', 'pelanggan', 'setia', '']</t>
  </si>
  <si>
    <t>['jaringannya', 'jelek', 'coba', 'perbaiki', 'aplikasinya', 'update', 'peminatnya', 'pindah', 'oprator', '']</t>
  </si>
  <si>
    <t>['gangguan', 'jaringan', 'kali', 'perbaikannya', 'maksimal', 'kecewa', 'banget', 'enggk', 'ngerti', 'pekerja', 'tsel', 'uda', 'berusaha', 'klw', 'uda', 'minggu', 'malam', 'sampe', 'rabu', 'maksimal', 'enggk', 'kebangetan', 'harga', 'tsel', 'harga', 'harga', 'menjamin', 'kualitas', '']</t>
  </si>
  <si>
    <t>['', 'telkomsel', 'nich', 'ngga', 'profesional', 'paket', 'habis', 'putuskan', 'internetnya', 'main', 'ambil', 'pulsa', 'interner', 'persetujuan', 'rakus', '']</t>
  </si>
  <si>
    <t>['jaringan', 'terburuk', 'indonesia', 'jaringan', 'telkomsel', 'kuota', 'mahal', 'jaringan', 'murahan', 'nyesel', 'beli', 'telkomsel', 'telkomsel', 'lambat', 'perbaikannya', 'jaringannya', 'lambat', 'axis', 'jaringan', 'stabil', 'dibanding', 'telkomsel', 'pengguna', 'telkomsel', 'pakai', 'telkomsel', 'deh', 'dibukin', 'rugi', 'kartu', 'cuman', 'terkenal', 'bagis', 'buruk']</t>
  </si>
  <si>
    <t>['update', 'maless', 'jaringan', 'internenet', 'lemottt', 'bangett', 'yak', '']</t>
  </si>
  <si>
    <t>['namanya', 'aplikasih', 'krenlj', 'enenenenennrnnr', 'bnnnnnnnnnjhnbnbhbhhhhbbbhhhhbbbbbbbbbbbbbbbbbbbbbbbbbbbbbbbbbb']</t>
  </si>
  <si>
    <t>['ekstra', 'unlimited', 'sblom', 'beli', 'giliran', 'isi', 'ilang', 'gnti', 'kartu', 'ajak', 'pelayanan', 'buruk']</t>
  </si>
  <si>
    <t>['mantab', 'telkomsel', 'semoga', 'terkait', 'pelayanan', 'jaringan', 'teratasi']</t>
  </si>
  <si>
    <t>['knp', 'msh', 'blm', 'tower', 'sinyal', 'bar', 'sad']</t>
  </si>
  <si>
    <t>['kecewa', 'telkomsel', 'membuka', 'aplikasinya', 'beli', 'paket', 'butuh', 'daring', 'muka', 'latah', 'putih', 'mulu', 'emosi', 'anak', 'terkendala', 'belajar', 'disuru', 'pindah', 'pindah', 'pelayanannya', 'bobrok', '']</t>
  </si>
  <si>
    <t>['udah', 'beli', 'pulsa', 'sengaja', 'simpan', 'pas', 'cek', 'saldo', 'aplikasi', 'kayak', 'gini', 'tolong', 'org', 'rugi', 'beli', 'pinjam', 'beli', 'pulsa', 'udah', 'masuk', 'pas', 'cek', 'saldonya', 'orang', 'rugi', 'tolong', 'perbaiki', 'ulasan', 'rate', '']</t>
  </si>
  <si>
    <t>['isi', 'pulsa', 'potong', 'event', 'acara', 'gokil', 'bnyk', 'pengguna', 'mahal', 'lemot', 'hadeeehh', 'mental', 'korup', 'warisan', 'voc', 'msh']</t>
  </si>
  <si>
    <t>['telkomsel', 'pulsa', 'habis', 'ngisi', 'menyalakan', 'data', 'selulernya', '']</t>
  </si>
  <si>
    <t>['tolong', 'tambagin', 'vitur', 'penguncian', 'pulsa', 'beli', 'kuota', 'ceria', 'selesai', 'transaksi', 'kepotong', 'pulsa', 'pembelian', 'ceria', 'gagal', 'aduh', 'gimana', 'buang', 'buang', 'uang', 'doang', 'gitu', 'mah', 'komplen', 'kya', 'gini', 'mohon', 'kasih', 'vitur', 'penguncian', 'pulsa', 'pas', 'akses', 'data', 'pulsa', 'aman', '']</t>
  </si>
  <si>
    <t>['mahal', 'paket', 'internet', 'diperbarui']</t>
  </si>
  <si>
    <t>['negara', 'indonesia', 'aplikasinya', 'pakai', 'bhsa', 'indonesia', 'orang', 'menyesuaikan', 'bhsa', 'menyesuaikan', 'bhsa', 'dinegara', '']</t>
  </si>
  <si>
    <t>['', 'situ', 'tertulis', 'kuota', 'murah', 'beli', 'beli', 'kuota', 'harga', 'belinya', 'aplikasi', 'aplikasi', 'ktnya', 'gangguan', 'msh', 'ttp', 'gangguan', 'payah']</t>
  </si>
  <si>
    <t>['telkomsel', 'normal', 'kasian', 'nasib', 'anak', 'sekolah', 'online', 'terlanjur', 'membeli', 'paket', 'harga', 'mahal', 'lemot', 'susah', 'pakai', 'absen', 'buka', 'linknya', 'susah', 'muter', 'muter', 'mulu']</t>
  </si>
  <si>
    <t>['terima', 'kasih', 'telkomsel', 'jaringan', 'kuat', 'pelosok', 'jaya', 'telkomsel', '']</t>
  </si>
  <si>
    <t>['pulsa', 'hilang', 'rb', 'pembelian', 'apapun', 'paket', 'internet', 'aktif', 'chat', 'alasannya', 'duh', 'parah', 'banget', '']</t>
  </si>
  <si>
    <t>['beli', 'paket', 'omg', 'gb', 'perasaan', 'jarang', 'pas', 'cek', 'tinggal', 'boros', 'terkadang', 'signal', 'bangke', 'streaming', 'loading', 'maen', 'game', 'ngelag', 'pke', 'gb', 'nonton', 'youtube', 'dll', 'abis', 'kuota', 'maen', 'game', 'lancar', 'stiap', 'tolong', 'perbaiki', 'layanan', 'ganti', 'krtu', 'paketan', '']</t>
  </si>
  <si>
    <t>['tolong', 'kendala', 'aplikasi', 'telkomsel', 'buka', 'aplikasi', '']</t>
  </si>
  <si>
    <t>['aplikasi', 'diperbaharui', 'berat', 'jaringan', 'lemot', 'dikit', 'udah', 'jalan', 'aplikasinya', 'jaringannya', 'telkomsel', 'sugestion', 'perkuat', 'sinyalnya', 'update', 'min', 'pelanggan', 'setia', 'setia', 'kekecewaannya', 'berpuluh', '']</t>
  </si>
  <si>
    <t>['apan', 'masak', 'kouta', 'belajar', 'buka', 'link', 'pelajaran', 'kuota', 'belajar', 'nggak', 'bukak', 'link', 'sekolah', 'tolol', 'banget', 'jaringan', '']</t>
  </si>
  <si>
    <t>['thanks', 'telkomsel', 'sediakan', 'jaringan', 'pelosok', 'negeri', 'berdirikan', 'tower', 'kampung', 'pengguna', 'menutupi', 'biaya', 'pembuatan', 'tower', 'power', 'jaringan', 'desa', 'senang', 'mengirim', 'data', 'online', 'kantor', 'balai', 'desa', 'daerah', 'blank', 'spot']</t>
  </si>
  <si>
    <t>['mohon', 'perbaikannya', 'kesulitan', 'masuk', 'peringatan', 'tutup', 'aplikasi', 'jaringan', 'stabil', 'upgrade', 'system', 'berat', 'tolong', 'perbaikannya', 'kasih', 'bintang', 'fitur', 'keren', 'promo', 'menarik', '']</t>
  </si>
  <si>
    <t>['tolong', 'telkomsel', 'pulsa', 'habis', 'disedot', 'isi', 'pulsa', 'habis', 'pulsa', 'kampretttt', 'nyesel', 'pakai', 'kartu', 'telkomsel', 'mikir', 'beli', '']</t>
  </si>
  <si>
    <t>['undian', 'dapet', 'tukar', 'coin', 'capek', 'tangan', 'iya', 'undian']</t>
  </si>
  <si>
    <t>['notif', 'transaksi', 'gagal', 'tereksekusi', 'kali', 'kuota', 'mubazir', 'pakai', 'paket', 'kombo', 'sakti', 'internet', 'berjalan', 'jaringan', 'jaringan', 'internet']</t>
  </si>
  <si>
    <t>['telkomsel', 'menemani', 'jujur', 'pakai', 'provider', 'sim', 'telkomsel', 'lemot', 'parah', 'berhubung', 'nomor', 'aplikasi', 'chatting', 'terdaftar', 'pakai', 'nomor', 'telkomsel', 'berpikir', 'tuk', 'tinggalkan', 'performa', 'beda', 'sim', 'provider', 'harga', 'telkomsel', 'terbaik', 'mahalnya', 'tolong', 'berpikir', 'tuk', 'berbenah', 'ditinggalkan', 'nomor', 'aktif', 'cuman', 'daftarin', 'dll', 'terima', 'kasih', '']</t>
  </si>
  <si>
    <t>['metode', 'pembayaran', 'link', 'kadang', 'muncul', 'kdang', 'muncul', 'metode', 'pembayaran', 'pulsa', 'mhn', 'diperbaiki']</t>
  </si>
  <si>
    <t>['kasih', 'bintang', 'tolong', 'diperbaiki', 'jaringan', 'internetnya', 'lemot', 'normal', 'kasih', 'bintang', 'langsung', 'terima', 'kasih']</t>
  </si>
  <si>
    <t>['sebenernya', 'aplikasi', 'bagus', 'tenggat', 'kartu', 'simpel', '']</t>
  </si>
  <si>
    <t>['skrg', 'telkomsel', 'pencuri', 'paket', 'internet', 'habis', 'pemberitahuan', 'pulsa', 'utama', 'silet', 'kering', 'kasih', 'saran', 'bintang', 'respon', 'skrg', 'bintang', '']</t>
  </si>
  <si>
    <t>['udah', 'check', 'tinggal', 'klaim', 'ngulang', 'curang', 'pokoknya', 'ganti']</t>
  </si>
  <si>
    <t>['udah', 'lemot', 'pulsa', 'suka', 'ilang', 'telkomsel', 'pencuri', 'payah', 'payah']</t>
  </si>
  <si>
    <t>['terimakasih', 'suka', 'aplikasi', 'kartu', 'telkomsel', 'sinyalnya', 'ngelag', 'makasi', 'min', '']</t>
  </si>
  <si>
    <t>['', 'check', 'full', 'bonus', 'hadiahnya', 'ilang', 'klaim', 'aneh', 'ambil', 'untung', 'sndiri']</t>
  </si>
  <si>
    <t>['bagus', 'check', 'kuota', 'harga', 'cuman', 'terima', 'kasih', 'telkomsel', '']</t>
  </si>
  <si>
    <t>['tolong', 'fitur', 'safe', 'pulsa', 'pulsanya', 'banget', 'berkurang', 'cepet', 'banget', 'berkurangnya', 'pulsa', 'ilang', 'ngga', 'make', 'sense', 'kuotanya', '']</t>
  </si>
  <si>
    <t>['parah', 'pulsa', 'berkurang', 'digunkan', '']</t>
  </si>
  <si>
    <t>['aplikasi', 'membantu', 'media', 'sosial', 'terimakasih', 'semoga', 'apk', 'bermanfaat', 'masyarakat', 'membutuhkannya']</t>
  </si>
  <si>
    <t>['tolong', 'hadiah', 'karna', 'anak', 'membutuhkannya', 'maksih', 'maju', 'the', 'one', 'indonesia', 'amin', '']</t>
  </si>
  <si>
    <t>['', 'uang', 'terbuang', 'sia', 'sia', 'beli', 'paket', 'unlimited', 'kuota', 'internet', 'habis', 'sisa', 'unlimited', 'dipakai', 'kecuali', 'yutub', 'browser', 'google', 'classrom', 'gmeet', 'tolong', 'diperbaiki', 'mengecewakan', '']</t>
  </si>
  <si>
    <t>['maaf', 'turunkan', 'bintangnya', 'merugikan', 'kemarin', 'kuota', 'darurat', 'jaringannya', 'lemot', 'disesuaikan', 'paket', 'harga', 'harganya', 'beda', 'customer', 'butuh', 'kuota', 'aktif', 'daily', 'checkin', 'diperbanyak', 'kuotanya', 'bonus', 'google', 'play', 'dll', 'poin', 'jarang', 'orang', 'pakai', '']</t>
  </si>
  <si>
    <t>['harga', 'paket', 'parah', 'banget', 'mahalnya', 'tukar', 'poin', 'produk', 'telkomsel', 'pulsa', 'gimana', 'telkomsel', 'skarang', 'ngak', 'jalas', 'kecewa', 'sekalidengan', 'telkomsel', 'jaringan', 'lemot', 'paket', 'mahal', 'tukar', 'poin', 'pulsa', 'pemakai', 'produk', 'telkomsel', 'skarang', 'kecewa']</t>
  </si>
  <si>
    <t>['harap', 'fitur', 'pulsa', 'paket', 'menghidupkan', 'data', 'menarik', 'pulsa', 'otomatis', 'agara', 'membeli', 'paket', 'telkomsel', 'mengurangi', 'pulsa']</t>
  </si>
  <si>
    <t>['telkomsel', 'tipu', 'cashback', 'koin', 'shopee', 'isi', 'pulsa', 'dapatkan', 'isi', 'pulsa', 'mytelkomsel', '']</t>
  </si>
  <si>
    <t>['tukar', 'poin', 'undi', 'hepi', 'memenangkan', 'hadiah', 'pemenangnya', 'nggak', 'buktikan', 'detail', 'ragu', 'tipuan', 'program', 'pemenangnya', 'dimana', 'proses', 'penerimaan', 'nooo', 'undi', 'tipu', '']</t>
  </si>
  <si>
    <t>['gua', 'prank', 'taik', 'beli', 'kouta', 'makek', 'pulsa', 'pakek', 'sisa', 'pulsa', 'gua', 'kena', 'kali', 'promo', 'bener', 'hoax', '']</t>
  </si>
  <si>
    <t>['apk', 'emng', 'bagus', 'banget', 'beli', 'paketan', 'gampang', 'min', 'kemaren', 'knp', 'apk', 'lihat', 'sisa', 'paketan', 'tulisannya', 'kesalahan', 'gitu', 'nge', 'cek', 'sms', 'udh', 'makasih', 'min', '']</t>
  </si>
  <si>
    <t>['udah', 'diupdate', 'update', 'gaje', 'kali', 'itnya', 'kerja', 'noh', 'bug', 'gini', 'dibiarin', '']</t>
  </si>
  <si>
    <t>['check', 'tambahan', 'kuota', 'kenyataannya', 'bertambah', 'gimana', 'nich', 'sinyal', 'lemot', 'kecewa', 'pke', 'telkomsel']</t>
  </si>
  <si>
    <t>['suka', 'bngt', 'app', 'pokoknya', 'sangant', 'membantu', 'rekomendasiin', 'temen', 'temen', 'pengguna', 'kartu', 'telkomsel', 'mudah', 'bonus', 'hadiah', 'pokoknya', 'suka', 'deh', 'kasih', 'bintang', '']</t>
  </si>
  <si>
    <t>['dapet', 'sms', 'internet', 'sakti', 'pas', 'dibuka', 'error', 'komplain', 'twitter', 'uda', 'aktif', 'pls', 'mempekerjakan', 'karyawan', 'kasih', 'bener', 'provider', 'make', 'metode', 'bisnis', 'voc', 'gini', 'coba', 'make', 'ala', 'voc', 'alias', 'monopoli', 'uda', 'gua', 'tinggalin']</t>
  </si>
  <si>
    <t>['beli', 'paket', 'kuota', 'malam', 'saldo', 'ovo', 'potong', 'kuota', 'gamasuk', 'kecewa', 'telkomsel', 'tolong', 'min', 'kembalikan', 'uang', 'komplen', 'telkomsel', 'respon', '']</t>
  </si>
  <si>
    <t>['beli', 'paket', 'khusus', 'youtube', 'ttp', 'dibuka', 'lelettttttttt', 'fixs', 'kalinya', 'pakai', 'aplikasi', 'byeeee']</t>
  </si>
  <si>
    <t>['beli', 'kuota', 'ketengan', 'utama', 'saldo', 'link', 'masuk', 'saldo', 'kepotong', 'kecewa']</t>
  </si>
  <si>
    <t>['anjrit', 'gngguan', 'gangguan', 'dri', 'beli', 'paket', 'gagal', 'taunya', 'kali', 'beli', 'paket', 'kalao', 'gagal', 'gagal', 'jngn', 'gagal', 'kebeli', 'gajelas', 'simpati', 'nihh']</t>
  </si>
  <si>
    <t>['paket', 'pendidikan', 'ilmupedia', 'begitupula', 'sistem', 'unlimitid', 'serius', 'kuota', 'utama', 'habis', 'menandakan', 'telkomsel', 'cakap', 'provider', 'layanan', 'internet', 'dimana', 'level', 'provider', 'jaringan', 'stabil', 'menara', 'bts', 'mati', 'listrik', 'padam', 'dimasa', 'pandemi', 'upgrade', 'via', 'online', '']</t>
  </si>
  <si>
    <t>['beli', 'kuota', 'multimedia', 'dipakai', 'gunanya', 'parah', 'banget']</t>
  </si>
  <si>
    <t>['pakai', 'telkomsel', 'fitur', 'oke', 'oke', 'update', 'telkomsel', 'promo', 'murahnya', 'good', 'job', 'telkomsel', '']</t>
  </si>
  <si>
    <t>['ahir', 'jaringan', 'mengecewakan', 'jaringan', 'putus', 'tolong', 'bersangkutan', 'perjelas', 'telpon', 'operator', 'kenyataannya', 'buruk']</t>
  </si>
  <si>
    <t>['terimakasih', 'semoga', 'mempermudah', 'profider', 'nomer', 'indonesia']</t>
  </si>
  <si>
    <t>['udah', 'paket', 'mahal', 'jaringan', 'lelet', 'udah', 'tekomsel', 'parah', 'males', 'gua', 'ngasih', 'bintang', 'parah']</t>
  </si>
  <si>
    <t>['pantekkkk', 'anjiang', 'provider', 'rusak', 'menjijikan', 'harap', 'staffnya', 'musibah', 'meninggalndutenpat', 'pantekkkk']</t>
  </si>
  <si>
    <t>['apk', 'bagus', 'org', 'ngisi', 'pulsa', 'pulsa', 'potong', 'pelanggan', 'pinjaman', 'paket', 'darurat', 'planggan', 'mengisi', 'pulsa', 'lupa', 'mematikan', 'data', 'seluler']</t>
  </si>
  <si>
    <t>['diketik', 'nomor', 'biasanga', 'otomatis', 'masuk']</t>
  </si>
  <si>
    <t>['jaringan', 'telkomsel', 'lemot', 'hilang', 'signalnya', 'parah', 'banget', '']</t>
  </si>
  <si>
    <t>['gimana', 'maketin', 'kuota', 'gagal', 'sisa', 'pulsa', 'pulsanya', 'perbaiki', 'lahhhh', '']</t>
  </si>
  <si>
    <t>['bintang', 'ulasan', 'bangga', 'kartu', 'telkomsel', 'pakai', 'sinyal', 'parah', 'tagihan', 'tetus', 'paket', 'nlp', 'dipakai', 'nlp', 'sinyal', 'intetnet', 'parah', 'rusak', 'ampir', 'sehari', 'korban', 'banting', 'sinyal', 'doang', 'pakai', 'pribadi', 'ganti', 'kartu', 'perbaikan', 'bagus', 'mlah', 'nambah', 'jelek', '']</t>
  </si>
  <si>
    <t>['kuota', 'multimedianya', 'dipake', 'kuota', 'utama', 'pakai', 'kuota', 'multimedia', 'payah', 'kuotanya', 'dibagi', 'pas', 'kuota', 'internetnya', 'abis', 'kuota', 'multimedia', 'dipake', 'aktif', '']</t>
  </si>
  <si>
    <t>['tolong', 'anying', 'jaringan', 'perbaiki', 'cepat', 'napa', 'gara', 'gara', 'jaringan', 'kek', 'main', 'afk', 'hdi', 'kalah', 'free', 'spin', 'trs', 'nyesal', 'sumpah']</t>
  </si>
  <si>
    <t>['jaringan', 'telkomsel', 'buruk', 'diuntung', 'merugikan', 'konsumen', 'gila', 'teruskan', 'beli', 'mahal', 'mahal', 'buruk', 'susah', 'batu', 'dengar', 'permintaan', 'konsumen', 'lanjutkan', 'telkomsel', 'jaringan', 'buruk', 'kau', '']</t>
  </si>
  <si>
    <t>['semoga', 'layanan', 'telkomsel', 'sinyal', 'data', 'lemot', 'minggu', '']</t>
  </si>
  <si>
    <t>['cinta', 'banget', 'telkomsel', 'make', 'telkomsel', 'semenjak', 'telkomsel', 'unlimited', 'saran', 'jaringan', 'bagusin', 'pakai', 'telkomsel', 'halo', 'saran', 'kuota', 'unlimited', 'telkomsel', 'halo', 'sosmed', 'tolong', 'tambahin', 'twitter', 'telegram', 'sejenisnya', 'pengguna', 'nyaman', 'saran', 'sekian', 'terimakasih', 'semoga', 'kabulin', '']</t>
  </si>
  <si>
    <t>['udah', 'miskin', 'bela', 'beli', 'kuota', 'sinyalnya', 'lancar', 'indonesia', 'kalah', 'ama', 'smartfren', 'murah', 'ceria', 'kecewa', 'saking', 'setianya', 'kek', 'eek']</t>
  </si>
  <si>
    <t>['bli', 'paket', 'internet', 'telkomsel', 'jaringannya', 'lemot', 'tolonglah', 'developer', 'perhatikan', 'kenyamanan', 'pelanggan', 'udah', 'jaringan', 'telkomsel', 'hancur', 'parah', 'bsa', 'bka', 'zoom', 'kuliah', 'daring', 'tolong', 'perbaiki', 'telkomsel']</t>
  </si>
  <si>
    <t>['min', 'min', 'menerima', 'bahasa', 'bahasa', 'kasar', 'orang', 'ulah', 'nyaman', 'telkomsel', 'membantu', 'ulahmu', 'orang', 'kecewa', 'ulah', 'berdiri', 'tegar', 'min', 'mengubah', 'disukai', 'orang', 'perbangsatan', 'dimata', 'orang', 'orang', 'terimakasih', '']</t>
  </si>
  <si>
    <t>['kecewa', 'jaringan', 'telkomsel', 'harga', 'mahal', 'jaringan', 'lelet', 'telkomsel', '']</t>
  </si>
  <si>
    <t>['kasih', 'bintang', 'sinyal', 'telkomsel', 'kaya', 'taik']</t>
  </si>
  <si>
    <t>['aplikasi', 'makan', 'memory', 'update', 'jari', 'makan', 'memory', 'aplikasi', 'nyalakan', 'action', 'lambat']</t>
  </si>
  <si>
    <t>['telkomsel', 'area', 'rumpin', 'bogor', 'sinyal', 'add', 'ganti', 'oprator', 'tolong', 'knpa', '']</t>
  </si>
  <si>
    <t>['telkomsel', 'notifikasi', 'sms', 'paket', 'combo', 'sakti', 'gb', 'harga', 'rbu', 'cek', 'apk', 'telkomsel', 'prank', 'kosong', 'melompong', 'bangsatttttttt']</t>
  </si>
  <si>
    <t>['tarifnya', 'konsisten', 'ahh', 'mahal', 'gini', 'telkomsel', 'sekian', 'terimakasih']</t>
  </si>
  <si>
    <t>['hallo', 'telkomsel', 'kartu', 'yaaa', 'isi', 'pulsa', 'bbrapa', 'langsung', 'habis', 'tersedot', 'langganan', 'apapun', 'mohon', 'dibantu', 'terima', 'kasih', '']</t>
  </si>
  <si>
    <t>['berharap', 'semoga', 'telkommsel', 'cepat', 'bangkrut', 'ambil', 'alih', 'perusahaan', 'kesal', 'pelanggan', 'telkomsel', 'pulsa', 'terpotong', 'jaringan', 'hancur', 'ampun', 'lalot', 'internet', 'kuota', 'mahal', 'susah', 'online', 'parahhhh', 'hancur', 'pelanggan', 'bangkrut', '']</t>
  </si>
  <si>
    <t>['jaringan', 'payah', 'telkomsel', 'lemot', 'tetangga', 'sebelah', 'biru', 'ajj', 'kalah', 'telkomsel', 'promo', 'murah', 'payah', 'jaringan', 'kayak', 'nenek', 'nenek', '']</t>
  </si>
  <si>
    <t>['aplikasi', 'membantu', 'mudah', 'akses', 'sukses', 'telkomsel', '']</t>
  </si>
  <si>
    <t>['apliasi', 'buruk', 'login', 'tutup', 'aplikasi', 'tolong', 'udah', 'kesekian', 'kalinya', 'aplikasi', 'telkomsel', 'muncul', 'notifikasi', 'aplikasi', 'menanggapi', 'app', 'telkomsel', 'app', 'buka', 'mengganggu', 'kinerja', 'kadang', 'mati', 'black', 'screen', 'layar', 'utama', 'sumpah', 'mengganggu', 'banget', 'tolong', 'developrnya', 'udah', 'kesekian', 'kalinyanya', 'aplikasinya', 'black', 'screen']</t>
  </si>
  <si>
    <t>['jaringan', 'internet', 'telkomsel', 'parah', 'gangguan', 'salahnya', 'beritahu', 'kesal', 'kecewa', '']</t>
  </si>
  <si>
    <t>['mengerti', 'aplikasi', 'kah', 'ubah', 'bahasa', 'indonesia', 'tolong', 'iklan']</t>
  </si>
  <si>
    <t>['bintang', 'bintang', 'bagus', 'jaringan', 'hancur', 'beli', 'paket', 'ribu']</t>
  </si>
  <si>
    <t>['chek', 'palah', 'suruh', 'download', 'aplikasi', 'mytelkomsel', 'aplikasi', 'telkomsel', 'nokohin', 'alias', 'pembohong', 'tuker', 'poin', 'dpt', 'hadiah', 'poin', 'habis', 'hadiah', 'taikkkkkk']</t>
  </si>
  <si>
    <t>['paket', 'game', 'game', 'misalpun', 'itupun', 'jarang', 'main', 'lag', 'apasi', 'paket', 'game', 'nyaman', 'ngegame', 'kecewa', '']</t>
  </si>
  <si>
    <t>['jengah', 'sinyalnya', 'ancur', 'mah', 'nyesel', 'pindah', 'prabayar', 'aktif', 'ilang', 'biaya', 'nambah', 'mahal', 'doang', 'sinyalnya', 'gajelas', 'kecewa', 'good', 'bye', 'telkomsel']</t>
  </si>
  <si>
    <t>['parah', 'sinyal', 'kecewa', 'banget', 'sayangnya', 'atm', 'make', 'nomer', 'telkomsel', 'ribet', 'ganti', 'kartu', 'tolong', 'urungin', 'sinyal', 'denger', 'denger', 'orang', 'gara', 'gara', 'sinyal', 'sinyal', 'gnya', 'ngangkat', 'bener', 'salah', 'kecewa', 'udah', 'paket', 'mahal', 'mahal', 'tolong', 'mah']</t>
  </si>
  <si>
    <t>['tanggal', 'jaringan', 'drop', 'ganti', 'rugi', 'kerjaan', 'berantakan', '']</t>
  </si>
  <si>
    <t>['maaf', 'terpaksa', 'bintang', 'turunkan', 'measa', 'kesel', 'akses', 'kemanapun', 'loading', 'bertahun', 'pke', 'kartu', 'simpati', 'knp', 'jaringan', 'internet', 'koyo', 'keong', 'lemot', 'banget', 'mohon', 'perbaiki', 'jaringan', 'bintang', '']</t>
  </si>
  <si>
    <t>['tolonglah', 'dicek', 'sistemnya', 'udah', 'kartu', 'sakti', 'jaringan', 'pusing', 'kepala', 'udah', 'stabil', 'jaringannya', 'gua', 'kasih', 'bintang', 'mohon', 'dicek', '']</t>
  </si>
  <si>
    <t>['kuota', 'jaringan', 'keong', 'berita', 'kerusakan', 'membaik', 'iya', 'membaik', 'kura', 'telkomsel', 'kerja', 'gimana', 'kerja', 'serba', 'online', 'buka', 'aplikasi', 'dianggap', 'offline', 'fix', 'bener', 'say', 'goodbye', 'telkomsel', '']</t>
  </si>
  <si>
    <t>['parah', 'banget', 'telkomsel', 'udah', 'beli', 'kuota', 'internetnya', 'lemot', 'parah', '']</t>
  </si>
  <si>
    <t>['pulsa', 'terpotong', 'data', 'kuota', 'tulong', 'penjelasannyaaaaa']</t>
  </si>
  <si>
    <t>['parah', 'telkomsel', 'kuotanya', 'mahal', 'lemotnya', 'parah', 'sinyal', 'lemot', 'mah', 'kalah', 'murah', 'harga', 'cepat', 'internet']</t>
  </si>
  <si>
    <t>['udah', 'beli', 'paket', 'darurat', 'isi', 'pulsa', 'terpotong', 'ribu', 'tega', 'banget', 'korupsi']</t>
  </si>
  <si>
    <t>['payah', 'sinyal', 'internet', 'putus', 'sinyal', 'full', 'tolong', 'donk', 'perbaikin', 'gini', 'rugi', 'bandar', 'bos']</t>
  </si>
  <si>
    <t>['harga', 'kuota', 'mulu', 'sinyal', 'jelek', 'mulu', 'kecewa', 'sinyalnya', 'auto', 'bintang', 'deh', '']</t>
  </si>
  <si>
    <t>['telkomsel', 'udah', 'jdi', 'operator', 'gunanya', 'udah', 'jdi', 'ladang', 'korupsi', 'jaringan', 'lemot', 'udah', 'kalah', 'ama', 'operator', 'telkomsel', 'nasibmu', 'kaya', 'indosat']</t>
  </si>
  <si>
    <t>['perbaikin', 'jaringannya', 'sinyal', 'insyaalloh', 'rating', 'telkomsel', 'jaringan', 'kacau', 'jaringan', 'sebelahh', 'parah', 'jaringannya', 'hadoooohhhh']</t>
  </si>
  <si>
    <t>['ajar', 'telkomsel', 'utang', 'plsa', 'tarikin', '']</t>
  </si>
  <si>
    <t>['maling', 'maling', 'kartu', 'maling', 'belom', 'memakai', 'pulsa', 'tersedot', 'ribu', 'gila', 'developer', 'gua', 'ganti', 'kartu', '']</t>
  </si>
  <si>
    <t>['pelanggan', 'telkomsel', 'kali', 'bener', 'kecewa', 'telkomsel', 'kallo', 'trouble', 'paket', 'mahal', 'gila']</t>
  </si>
  <si>
    <t>['telkomsel', 'ambil', 'kuota', 'darurat', 'udah', 'notifikasi', 'kuota', 'darurat', 'aktif']</t>
  </si>
  <si>
    <t>['simpati', 'lelet', 'lemot', 'udah', 'mahal', 'lelet', 'aplikasi', 'sampah', 'kau', 'indonesia']</t>
  </si>
  <si>
    <t>['', 'suka', 'log', 'out', 'login', 'opss', 'kesalahan', 'gmana', 'tolong', 'perbaikki', 'malem', 'kmarin', 'jalan', 'sinyal', 'knpa', 'awas', 'malem', 'jelek', 'pecat', 'emm', 'eeu', 'lupa', 'maaf', 'bro', 'tarik', 'mank', 'selebeww', 'anjay', '']</t>
  </si>
  <si>
    <t>['sinyalnya', 'parah', 'sinyal', 'penuh', 'buka', 'lelet', 'main', 'game', 'kalah', 'karna', 'sinyal', 'bagus', 'tri', '']</t>
  </si>
  <si>
    <t>['kecewa', 'berat', 'paket', 'telkomsel', 'mahal', '']</t>
  </si>
  <si>
    <t>['aplikasi', 'bangsaat', 'beli', 'kuota', 'unlimitied', 'youtube', 'bacaan', 'aktif', 'besok', 'buka', 'youtube', 'nyedot', 'kuota', 'lokal', 'emang', 'aplikasi', 'biadap']</t>
  </si>
  <si>
    <t>['telkomsel', 'pelanggan', 'kecewa', 'terkait', 'internet', 'komunikasinya', 'pakai', 'jaringan', 'serasa', 'pakai', 'jaringan', 'pokoknya', 'telkomsel', 'nyaman', 'pakai', '']</t>
  </si>
  <si>
    <t>['woyyy', 'telkom', 'jujur', 'daerah', 'gwa', 'provider', 'najis', 'gwa', 'kartu', 'udah', 'lemot', 'data', 'mahal', 'lgi', 'bego']</t>
  </si>
  <si>
    <t>['beli', 'paket', 'aplikasi', 'pembayaran', 'shopee', 'tpi', 'gabisa', 'masukin', 'voucher', 'shope', 'pilihanya', '']</t>
  </si>
  <si>
    <t>['lucu', 'banget', 'sinyal', 'gua', 'kota', 'isi', 'pulsa', 'ngurangin', 'coba', 'ngaco']</t>
  </si>
  <si>
    <t>['aplikasi', 'jelek', 'bemutu', 'informasi', 'berlaku', 'simcard', 'sesuai', 'kenyataan', 'berakibat', 'kartu', 'habis', 'mengisi', 'pulsa', 'pelayanan', 'telkmosel', 'jelek', 'mempersulit', 'pelanggan', 'syarat', 'berbelit', '']</t>
  </si>
  <si>
    <t>['apasih', 'jaringan', 'telkomsel', 'jelek', 'game', 'sosmed', 'knapa', 'gini', 'udh', 'mahal', 'kartunya', 'jaringan', 'jelek', 'astaga']</t>
  </si>
  <si>
    <t>['coba', 'benerin', 'sinyalnya', 'rusak', 'bener', 'sinyalnya']</t>
  </si>
  <si>
    <t>['mnurut', 'media', 'gangguan', 'telkomsel', 'pulih', 'sulawesi', 'tnggara', 'hancur', 'ngesearch', 'daftar', 'krja', 'online', 'tdak', 'sya', 'nyari', 'tmpat', 'hotspot', 'tpi', 'disitu', 'makai', 'indiehome', 'ngelag', 'jdi', 'sya', 'kehilangan', 'ksmpatan', 'krja', 'makasih', 'telkomsel', 'beli', 'kuota', 'trnyata', 'seharian', 'internet', 'down', 'terima', 'kasih', 'besarnya']</t>
  </si>
  <si>
    <t>['jaringan', 'ngk', 'ngotak', 'umur', 'makek', 'telkomsel', 'jaringan', 'kek', 'taik', 'udah', 'harga', 'mahal', 'jaringan', 'jelek', 'mending', 'murah', 'jaringan', 'stabil', '']</t>
  </si>
  <si>
    <t>['jaringan', 'internet', 'sulteng', 'kabupaten', 'tojo', 'una', 'una', 'ampana', 'kota', 'stabil', 'minggu', 'september', 'stabil', '']</t>
  </si>
  <si>
    <t>['aplikasi', 'update', 'enak', 'liat', 'tampilannya', 'beranda', 'pembelian', 'koutanya', 'saran', 'semoga', 'jaringan', 'indonesia', 'melancarkan', 'berinternetan', '']</t>
  </si>
  <si>
    <t>['jelek', 'sinyal', 'stabil', 'mahal', 'dikuota', 'nyebelin']</t>
  </si>
  <si>
    <t>['aplikasi', 'bagu', 'tolong', 'pihat', 'telkomsel', 'kuota', 'combo', 'sakti', 'kayak', 'tolong', 'unlimited', 'kagak', 'batas', 'pengguna', 'puas', 'mohon', 'tanggapi', 'kak', '']</t>
  </si>
  <si>
    <t>['harga', 'kuota', 'mahal', 'signal', 'jelek', 'pindah', 'nomer', 'robot', 'kasih', 'rating', 'payah']</t>
  </si>
  <si>
    <t>['perbaiki', 'jaringan', 'menaikan', 'harga', 'paket', 'paket', 'mahal', 'jaringang', 'lemottttt', 'parahhhhhh']</t>
  </si>
  <si>
    <t>['paket', 'mahal', 'tpi', 'lemot', 'terbaik', 'mending', 'stabil', 'sinyalny']</t>
  </si>
  <si>
    <t>['not', 'recommended', 'operator', 'beli', 'paket', 'nelpon', 'jamnya', 'dibatasi', 'tidkabeli', 'paket', 'puls', 'adi', 'sedot', 'habis', 'tlfn', 'telkomsel', 'tepon', 'jam', 'menit', 'habiis', 'biaya', 'rb', '']</t>
  </si>
  <si>
    <t>['telkomsel', 'sinyal', 'lelet', 'memuaskan', 'tolong', 'perbaiki', 'riau', 'desa', 'memakai', 'telkom', 'org', 'berpaling']</t>
  </si>
  <si>
    <t>['parahhh', 'ngga', 'layak', 'telkomsel', 'kasih', 'bintang', 'signal', 'jelek', 'kouta', 'unlimited', 'terbatas', 'ngapain', 'blng', 'unlimited', 'tpi', 'batas', 'pemakaian', 'wajar', 'kayak', 'pencuriiii', 'signal', 'makinn', 'jeleekkkkkkkkkk', 'udah', 'bangkrut', 'telkomsel', 'parahhh', 'parahhhh', 'jaringan', 'telkomsel', '']</t>
  </si>
  <si>
    <t>['maaf', 'maksudnya', 'gmn', 'nmr', 'aktif', 'aplikasi', 'sesi', 'maksudnya', 'tulisan', 'prabayar', 'idiihh']</t>
  </si>
  <si>
    <t>['kasih', 'bintang', 'karna', 'jaringannya', 'telkomsel', 'gangguan', 'aktifitas', 'terhambat']</t>
  </si>
  <si>
    <t>['menang', 'undi', 'undi', 'happy', 'butuh', 'kali', 'motor', 'jualan', 'tolong', 'telkomsel', 'udah', 'setia', 'memakai', 'telkomsel']</t>
  </si>
  <si>
    <t>['aduh', 'gimana', 'telkomsel', 'sinyal', 'telkomsel', 'hancur', 'buruk', 'sinyal', 'im', 'axis', 'kadang', 'hilang', 'hujan', 'petir', 'hilang', 'kayak', 'gini', 'bagus', 'sinyal', 'palingan', 'hilang', 'hujan', 'petir', 'bah', 'gini', 'payah', 'fokus', 'main', 'rank', 'mah', 'bermasalah', 'besok', 'beralih', '']</t>
  </si>
  <si>
    <t>['heran', 'btul', 'ratingnya', 'kualitas', 'telkomsel', 'jlek', 'parah', 'harga', 'sesuai', 'kualitas', 'ratingnya', 'pegawai', 'telkom', 'akun', 'google', 'trus', 'dirating']</t>
  </si>
  <si>
    <t>['paketin', 'darurat', 'krna', 'srlalalu', 'membeli', 'kartu', 'kuota', 'mngapa', 'melunasi', 'rampok', 'saudra', 'kehilangan', 'pulsa', 'pdahal', 'nsp', 'hpnya', 'jadul', 'internet']</t>
  </si>
  <si>
    <t>['gue', 'pengguna', 'tsel', 'udh', 'beralih', 'operator', 'sampe', 'skr', 'gue', 'beli', 'tsel', 'astaga', 'signal', 'ilang', 'tumbul', 'selang', 'bbrp', 'menit', 'bru', 'nongol', 'signal', 'ilang', 'ampe', 'stngh', 'jam', 'beli', 'ampe', 'rb', 'gila', 'disayangkan', 'tsel', 'skr', '']</t>
  </si>
  <si>
    <t>['beli', 'paket', 'data', 'jaringan', 'lemot', 'kyk', 'gini', 'gua', 'bermain', 'game', 'lemotnya', 'ampun', 'gua', 'dri', 'sulawesi', 'selatan', 'dlu', 'kyk', 'gini', 'skarang', 'jaringannya', 'gini', 'please', 'dev', 'jngn', 'buatku', 'kecewa', 'dirimu', 'telkomsel']</t>
  </si>
  <si>
    <t>['jaringan', 'setabil', 'kuliah', 'kerjaan', 'aktifitas', 'sehari', 'jdi', 'terhambat', '']</t>
  </si>
  <si>
    <t>['gimana', 'beli', 'paket', 'maaf', 'gangguan', 'mulu', 'kemaren', 'heran', '']</t>
  </si>
  <si>
    <t>['susah', 'beli', 'paket', 'apk', 'telkomsel', 'beli', 'paket', 'tolong', 'diperbaiki']</t>
  </si>
  <si>
    <t>['pantes', 'ngeprem', 'bngt', 'lemot', 'sinyalnya', 'boncus', 'parahh', 'tumben', 'tumbenan', 'kaya', 'gini', 'tolong', 'percepat', 'parbaikanya', 'kelain', 'hati']</t>
  </si>
  <si>
    <t>['parah', 'jaringan', 'telkomsel', 'paket', 'lemot', 'kota']</t>
  </si>
  <si>
    <t>['lbih', 'koneksi', 'jaringan', 'perluas', 'kota', 'pedesaan', 'combo', 'sakti', 'terjangkau', 'masyarakat', 'kalangan', 'menengah', 'sukses', 'telkomsel', 'kebanggaan', 'masyarakat', 'indonesia', 'sabang', 'merauke']</t>
  </si>
  <si>
    <t>['ngeluh', 'pulsa', 'nyedot', 'ngatasi', 'beli', 'pulsa', 'non', 'aktifin', 'data', 'selulernya', 'work', '']</t>
  </si>
  <si>
    <t>['jaringan', 'perbaki', 'beli', 'paket', 'mahal', 'jaringan', 'ampas', 'ambil', 'duit', 'orang', 'telkomsel', 'ampas', 'gua', 'pindah', 'operator', 'sebelah']</t>
  </si>
  <si>
    <t>['lemot', 'parrah', 'beli', 'quota', 'unlimited', 'numpang', 'wifi', 'tetangga', 'sial', 'karna', 'nomernya', 'buang', 'teknisi', 'becus', 'kerja', 'pecat', 'boss']</t>
  </si>
  <si>
    <t>['telkomsel', 'bapuk', 'signalnya', 'lemot', 'kesini', 'pelayanannya', 'buruk']</t>
  </si>
  <si>
    <t>['tolong', 'kualitas', 'signal', 'diperbaiki', 'kadang', 'jam', 'dipakai', 'internetan']</t>
  </si>
  <si>
    <t>['jaringan', 'suka', 'jelek', 'kaya', 'pikir', 'telkom', 'enak', 'parah', 'tolong', 'perbaikin', 'jaringan', 'gini', 'mulu', 'sinyal', 'jelek', 'lemot', 'sekrang', 'udah', 'mahal', 'jelek', 'sinyal', 'paketan', 'habis', 'nyedot', 'pulsa', 'parah', 'anjirr', 'sesuai', 'harga', 'pejabatnya', 'kebanyakan', 'korupsi', '']</t>
  </si>
  <si>
    <t>['aplikasi', 'telkomsel', 'membantu', 'banget', '']</t>
  </si>
  <si>
    <t>['dikasih', 'reting', 'telkomsel', 'udh', 'terkenal', 'pakettan', 'mahal', 'alokasi', 'makettin', 'pulsa', 'dipotong', 'sampek', 'habis', 'pulsa', 'rb', 'sistim', 'kyk', 'bibenahhin', 'pulsa', 'habis', 'kejelasan', 'pakek', 'kartu', 'hemat', 'tolong', 'dibenerin', 'pulsa', 'dipotong', 'aplikasi', 'dibukak', '']</t>
  </si>
  <si>
    <t>['gapernah', 'aman', 'pulsa', 'kuota', 'habis', 'kaya', 'fitur', 'kartu', 'sebelah', 'bagus', 'sistemnya', 'ngerti', 'dibutuhkan', 'masyarakat', '']</t>
  </si>
  <si>
    <t>['woe', 'sinyal', 'perbaikin', 'udah', 'main', 'games', 'login']</t>
  </si>
  <si>
    <t>['buka', 'apk', 'tsel', 'sja', 'kuota', 'pulsa', 'tersedot', 'belasan', 'ribu', 'dlm', 'menit', 'isi', 'rb', 'aktif', 'layak', 'bintang', 'itupun', 'sinyal', 'alias', 'minus', 'smua', 'maaf', 'pelanggan', 'obyektif', '']</t>
  </si>
  <si>
    <t>['suka', 'apl', 'telkomsel', 'simpel', 'gampang', 'keilangan', 'pulsa', 'aturan', 'klw', 'didaftarkan', 'sedot', 'pulsanya', 'internet', 'aktif', 'cari', 'jalan', 'terbaik', 'dungg', 'masak', 'kebobolann', 'otomatis', 'matikan', 'gimana', 'gitu']</t>
  </si>
  <si>
    <t>['erornya', 'isi', 'pulsa', 'paket', 'beli', 'isi', 'pulsa', 'paket', 'hilang', 'tolong', 'banyakin', 'paket', 'murahnya']</t>
  </si>
  <si>
    <t>['hei', 'telkomsel', 'tolong', 'pakai', 'kau', 'ambil', 'kuota', 'internet', 'kemana', 'pergi', 'kedunia', 'hantu', 'kah', 'pakai', 'gb', 'minggu', 'hilang', 'beli', 'paket', 'ribu', 'sebulan', 'pintar', 'kali', 'operator', '']</t>
  </si>
  <si>
    <t>['gangguan', 'sinyal', 'penuh', 'tpi', 'kecewa', 'beratzzz']</t>
  </si>
  <si>
    <t>['harga', 'paket', 'mahal', 'ketimbang', 'indosat', 'koneksi', 'jaringan', 'buruk', 'ketimbang', 'indosat', '']</t>
  </si>
  <si>
    <t>['telokomsel', 'diperbaiki', 'kerusakan', 'jaringan', 'ente', 'bberapa', 'jaringan', 'ancur', 'bener', 'bener', 'speechless', 'ente', 'telkomsel']</t>
  </si>
  <si>
    <t>['telkomsel', 'sinyalnya', 'jelek', 'main', 'game', 'berputar', 'ditempat', 'kerja', 'pelanggan', 'komplain', 'pakai', 'wifi', 'rugilah', 'bayarnya', '']</t>
  </si>
  <si>
    <t>['mohon', 'sinyal', 'dioptimalkan', 'karna', 'pelajar', 'susah', 'mendownload', 'tugas', 'guru', 'fldan', 'tolong', 'perbaiki', '']</t>
  </si>
  <si>
    <t>['pulsa', 'data', 'minggu', 'habis', 'maksimal', 'jaringan', 'buruk', 'cuman', 'sekedar', 'membeli', 'paket', 'games', 'max', 'bermain', 'game', 'mengembangkan', 'jaringan', 'sja', 'maksimal', 'pengembangan', 'indonesia', 'khusus', 'indonesia', 'timur', 'pelajar', 'bergantung', 'jaringan', 'belajar', 'online', 'tolong', 'kerja', 'samanya', 'telkom']</t>
  </si>
  <si>
    <t>['tolong', 'daerah', 'mandai', 'maros', 'sulawesi', 'selatan', 'sinyal', 'telkomsel', 'jelek', 'banget', 'mohon', 'diperbaiki', '']</t>
  </si>
  <si>
    <t>['telkomsel', 'jaringan', 'lelet', 'udah', 'minggu', 'nggak', 'beli', 'paket', 'telkomsel', 'kesalahan', 'kesalahan', 'udah', 'telkomsel', 'nggak', 'tanggapan', 'nyesel', 'udh', 'ganti', 'krtu', 'telkomsel']</t>
  </si>
  <si>
    <t>['parah', 'jaringan', 'internet', 'telkomsel', 'kalah', 'axis', 'im', 'turunin', 'bintang', 'kasih', 'bintang', 'internet', 'bagus', 'setabil', 'butuh', 'internet', 'setabil', 'percaya', 'telkomsel', 'jaringan', 'terkuat', 'orang', 'setia', 'pemakai', 'telkomsel', 'kecewa', 'pelanggan', 'salam', 'kalimantan']</t>
  </si>
  <si>
    <t>['suka', 'aplikasi', 'mytelkomsel', 'membantu', 'telkomsel', 'mantaaaaappp', '']</t>
  </si>
  <si>
    <t>['harga', 'paket', 'mahal', 'jaringan', 'kacau', '']</t>
  </si>
  <si>
    <t>['cek', 'aplikasi', 'pas', 'cek', 'klaim', 'kuota', 'gb', '']</t>
  </si>
  <si>
    <t>['innalilahi', 'innailaihi', 'rojiun', 'telkomsel', 'knp', 'sinyal', 'susah', 'banget', 'nga', 'sinyal', 'jabodetabek', 'kebumen', 'jawa', 'desa', 'gesikan', 'ngawi', 'jawa', 'timur']</t>
  </si>
  <si>
    <t>['telkomsel', 'parah', 'pulsa', 'gue', 'terpotong', 'ngapa', 'ngapain', 'skrng', 'jaringannya', 'jelek', 'banget', 'beli', 'mahal', 'mahal', 'bgni', 'telkomsel', 'bagus', 'sya', 'kasih', 'ratingnya']</t>
  </si>
  <si>
    <t>['tolong', 'dongg', 'tingkatin', 'penggunaan', 'paket', 'gamesmax', 'game', 'mengalami', 'error', 'gagal', 'masuk', 'pertandingan', '']</t>
  </si>
  <si>
    <t>['respon', 'lambat', 'deskripsi', 'paket', 'detail', '']</t>
  </si>
  <si>
    <t>['bro', 'sinyal', 'provider', 'lemot', 'pengalaman', 'bermain', 'game', 'memuaskan', 'tolong', 'diperlancar', 'provider', 'dipercaya', 'kestabilan', 'sinyalnya', 'tolong', 'diperbaiki', 'perlancar', 'pengalaman', 'sinyal', 'memuaskan', 'sekian', 'terimakasih', '']</t>
  </si>
  <si>
    <t>['telkomsel', 'masanya', 'jaringan', 'telkomsel', 'terbaik', 'mahal', 'pelayanan', 'memuaskan', 'mahal', 'iya', 'jaringan', 'lelet', 'kualitas', 'ditingkatkan', 'turun', 'pejabat', 'korup', 'melotot', 'liat', 'duit', 'rakyat', 'fasilitas', 'negara', 'ancur', '']</t>
  </si>
  <si>
    <t>['mahal', 'doang', 'internet', 'lelet', 'beli', 'kuota', 'lelet', 'kaya', 'gini', 'beli']</t>
  </si>
  <si>
    <t>['gapernah', 'sms', 'telfon', 'pulsa', 'berkurang', 'adal', 'kuota', 'aneh']</t>
  </si>
  <si>
    <t>['appl', 'nyaman', 'lancar', 'pemakaiannya', 'enak', 'memakainya', '']</t>
  </si>
  <si>
    <t>['data', 'gb', 'pulsa', 'hilang', 'perak', 'cek', 'riwayat', 'karna', 'memakai', 'kuota', 'okelah', 'lnjutany', 'emosi', 'hilang', 'rbu', 'next', 'rbu', 'bangke', 'bener', 'tsel', 'paketan', 'data', 'fungsinya', 'bat', 'njing', 'tsel', 'nggak', 'recomended', 'lgi', 'dipakai', '']</t>
  </si>
  <si>
    <t>['kuota', 'multimedia', 'daring', 'beli', 'paketan', 'internet', 'multimedia', 'keterangan', 'game', 'chat', 'youtube', 'liat', 'youtube', 'dipotong', 'paket', 'data', 'internet', 'payah']</t>
  </si>
  <si>
    <t>['menyesal', 'pakai', 'telkomsel', 'udah', 'harga', 'paketan', 'mahal', 'kualitas', 'jaringan', 'memburuk', 'makai', 'telkomsel', 'pengguna', 'jaringan', 'telkomsel', 'taunya', 'kualitas', 'jaringan', 'ngak', 'sesuai', 'ancur', 'jaringan', 'telkomselnya', 'ngak', 'sesuai', 'harga', 'paketan']</t>
  </si>
  <si>
    <t>['jaringan', 'sinyal', 'internet', 'telkomsel', 'kacau', 'mengecewakan', '']</t>
  </si>
  <si>
    <t>['', 'beliin', 'paket', 'data', 'mytelkomsel', 'temen', 'paket', 'datanya', 'masuk', 'udh', 'ditunggu', 'jam', 'notif', 'riwayat', 'transaksinya', 'catat', 'mytelkomsel', 'komplain', 'bantuan', 'mytelkomsel', 'dimintain', 'nomer', 'seri', 'transaksi', 'karna', 'point', 'cobak', 'cek', 'metode', 'pembayaran', 'aplikasi', 'dana', 'riwayat', 'transaksinya', 'ajuin', 'komplain', 'langsung', '']</t>
  </si>
  <si>
    <t>['provider', 'jam', 'gangguan', 'kelar', 'kelar', 'kompensasi', 'lho', 'tertunda', 'gegara', 'gangguan', 'customernya', 'plan', 'customer', 'memakai', 'internet', 'normal', 'perbaikan', 'meeting', 'online', 'gabisa', 'main', 'game', 'gabisa', 'hadeh']</t>
  </si>
  <si>
    <t>['baguss', 'kecewanya', 'poin', 'habis', 'ikutan', 'uuh', 'menang', 'nggak', 'kecewa', 'nggak', 'reedem', 'hasil', 'check', 'poin', 'dikirim', 'nomor', 'nomor', '']</t>
  </si>
  <si>
    <t>['mudah', 'akses', 'informasi', 'situ', 'promo', 'status', 'berlangganan', 'ditampilkan', 'ketik', 'kode', 'bintang', 'praktis', 'ribet']</t>
  </si>
  <si>
    <t>['jaringan', 'parah', 'skli', 'klw', 'bgni', 'trus', 'mnding', 'ganti', 'operator', 'telkomsel', 'parah', 'banget', 'mnyusahkan', 'org', 'klw', 'bgni', 'trus', '']</t>
  </si>
  <si>
    <t>['jaringan', 'ampas', 'lemot', 'mahal', 'harga', 'mahal', 'jamin', 'kualitasnya']</t>
  </si>
  <si>
    <t>['jaringan', 'internet', 'terbaik', '']</t>
  </si>
  <si>
    <t>['gemana', 'kuota', 'pulsa', 'kesedot', 'parah', 'udh', 'kasih', 'bintang', 'ntar', 'udh', 'kaga', 'nyedot', 'pulsa', 'gua', 'kasih', 'bintang', '']</t>
  </si>
  <si>
    <t>['telkomsel', 'bobrok', 'gangguan', 'kompensasi', 'skali', 'ngasih', 'kuota', 'pulsa', 'gratis', 'kesalahannya', 'taiikkk', 'taiikkk', 'taiikkk', '']</t>
  </si>
  <si>
    <t>['kuota', 'mahal', 'pengguna', 'telkomsel', 'kuotanya', 'berbeda', 'beda']</t>
  </si>
  <si>
    <t>['sumpah', 'jaringan', 'telkomsel', 'udah', 'emosi', 'jaringan', 'kecepan', 'kb', 'gila', 'pindah', 'sebelah', 'gaak', 'kunjung', 'membaik']</t>
  </si>
  <si>
    <t>['tolong', 'kasi', 'harga', 'paket', 'murah', 'bintang', '']</t>
  </si>
  <si>
    <t>['berlangganan', 'nsp', 'berlangganan', 'jebakan', 'telkomsel', 'berhentilah', 'mencari', 'keuntungan', 'salah', '']</t>
  </si>
  <si>
    <t>['knp', 'jaringanya', 'jelek', 'tgl', 'sore', 'perbaiki', 'telkomsel', 'masi', 'ganguan', 'pindah', 'kartu', '']</t>
  </si>
  <si>
    <t>['suka', 'aflikasi', 'telkomsel', 'jaringan', 'cepat', 'proses', 'beli', 'paket', 'cepat', 'voucher', 'murah', 'pokok', 'love', 'love', 'telkomsel', '']</t>
  </si>
  <si>
    <t>['tolong', 'telkomsel', 'jaringan', 'lemot', 'paket', 'data', 'beli', 'internetan', 'browsing', 'youtube', 'sosmed', 'sungguh', 'lemot', 'nyesallll', 'tolong', 'perbaiki', 'kualitas', 'jaringan', 'pelanggan', 'telkomsel', 'betahhh']</t>
  </si>
  <si>
    <t>['jaringan', 'jelek', 'siang', 'pagi', 'malam', 'malam', 'lelet', 'ampuuun', 'kek', 'siput']</t>
  </si>
  <si>
    <t>['telko', 'indihome', 'down', 'grade', 'pindah', 'skrng', 'kenceng', 'daahh', 'dadaahhh', 'telkom', 'indi', 'pelangganmu', 'kabur', 'udah', 'lemot', 'berbulan', 'permintaan', 'maaf', 'kompensasi', 'berani', 'bayar', 'mahal', 'butuh', 'kualitas', 'mlah', 'mengecewakan', 'sekaliii']</t>
  </si>
  <si>
    <t>['', 'aplikasi', 'sungguh', 'membantu', 'terimakasih', 'aplikasi', '']</t>
  </si>
  <si>
    <t>['merugikan', 'pelanggan', 'kecewa', 'berat', 'lbh', 'bisnis']</t>
  </si>
  <si>
    <t>['signal', 'ancur', 'sibuk', 'promo', 'internet', 'anti', 'lelet', 'malu', 'cust', 'merong', 'ush', 'sibuk', 'promo', 'rugi', 'gara', 'kirim', 'data', 'lemott', 'indihome', 'woyy', 'beli', 'paketan', 'murah', 'looooohhhh', '']</t>
  </si>
  <si>
    <t>['telkomsel', 'banget', 'jaringan', 'oii', 'udh', 'beli', 'paket', 'data', 'bnyk', 'lahhh', 'jaringan']</t>
  </si>
  <si>
    <t>['kug', 'paket', 'internet', 'combo', 'sakti', 'temen', 'murah', 'paketannya', 'mahal', 'bedanya', 'kartu', 'dipake', 'kartu', 'tolong', 'kasih', 'penjelasan', 'pengguna', 'telkomsel', 'tolong', 'kecewakan', 'pelanggan', '']</t>
  </si>
  <si>
    <t>['paket', 'paket', 'peruntukan', 'con', 'paket', 'sosmed', 'lokal', 'buka', 'facebook', 'twitter', 'whatsapp', 'dll', 'paket', 'sosmed', 'utuh', 'terpakai', 'kuota', 'utama', 'konsumsi', 'hati', 'hati', 'pengguna', 'paket', 'paket', 'penipuan', 'tersebar', 'aplikasi', 'terimakasih']</t>
  </si>
  <si>
    <t>['maaf', 'telcomsel', 'terhormat', 'daerah', 'batulicin', 'kalimantan', 'selatan', 'jaringan', 'internet', 'setabil', 'yaa', 'mohon', 'perbaiki', 'pengguna', 'telcomsel', 'terang', 'terganggu', 'membeli', 'paket', 'internet', 'murah', 'internet', 'lancar', 'memudahkan', 'pekerjaan']</t>
  </si>
  <si>
    <t>['gue', 'beli', 'paket', 'game', 'kecewa', 'gua', 'udah', 'mahal', 'sia', 'sia', 'gue', 'anjeng', 'gara', 'gara', 'jelek', 'kayak', 'gini', 'kredit', 'sekor', 'berkurang', 'gue', 'tolong', 'percepat', 'perbaikan', 'telkomsel', 'satelit']</t>
  </si>
  <si>
    <t>['kartu', 'simpati', 'aktif', 'nomor', 'terdaftar', 'terpaksa', 'ganti', 'kartu', 'dech', '']</t>
  </si>
  <si>
    <t>['telkomsel', 'keren', 'jaringan', 'lelet', 'tolong', 'perbaikilah', 'kasih', 'bintang', 'deh']</t>
  </si>
  <si>
    <t>['kirim', 'paket', 'data', 'gagal', 'telkomsel', 'ayo', 'perbaiki', 'aplikasinya', '']</t>
  </si>
  <si>
    <t>['paket', 'data', 'lemot', 'kemrin', 'lancar', 'knp', 'bintang', '']</t>
  </si>
  <si>
    <t>['udah', 'jaringan', 'lelet', 'peli', 'paket', 'cepat', 'habis', 'pulsa', 'sedot', 'semalam', 'cek', 'pulsa', 'utuh', 'pagi', 'pas', 'telfon', 'pulsa', 'cek', 'pulsa', 'ilang', 'aplikasi', 'mengecewakan', 'pulsa', 'suka', 'ilang', 'bosan', 'kecewa', 'telkomsel', 'pelanggan', 'ganti', 'nomor', '']</t>
  </si>
  <si>
    <t>['tolong', 'perbaiki', 'jaringannya', 'beli', 'paket', 'jaringan', 'sesuai', 'jaringan', 'telkomsel', 'taeik']</t>
  </si>
  <si>
    <t>['migrasi', 'kartu', 'halo', 'claim', 'hadiah', 'daily', 'check', 'saldo', 'pulsa', 'dipotong', 'claim', 'hadiah', '']</t>
  </si>
  <si>
    <t>['bagus', 'banget', 'knapa', 'liat', 'udah', 'nyebut', 'bagus']</t>
  </si>
  <si>
    <t>['telkomsel', 'terbaik', 'kualitas', 'sinyal', 'mudah', 'beli', 'paketannya', 'terpenting', 'harganya', 'merakyat', 'terimakasih']</t>
  </si>
  <si>
    <t>['nipu', 'isi', 'pulsa', 'paket', 'promo', 'isi', 'paket', 'ngilang', 'jancooooo', 'dasarr', 'kont', 'sok', 'ngasi', 'ngasi', 'paket', 'murahh', 'ujung', 'nipuuu', 'looo', 'maap', 'asyuuu', 'basiiiiii']</t>
  </si>
  <si>
    <t>['skarang', 'telkomsel', 'lemot', 'banget', 'ganti', 'kartu', 'ngisi', 'pulsa', 'kepotong', 'telkomsel', 'jelek', 'banget', '']</t>
  </si>
  <si>
    <t>['aktifkan', 'paket', 'telp', 'minggu', 'pulsa', 'tetep', 'kepotong', 'dipakai', 'nelp', 'kuota', 'telpnya', 'berubah', 'beli', 'paket', 'telp', 'tetep', 'motong', 'pulsa', 'kuota', 'telp', 'berkurang']</t>
  </si>
  <si>
    <t>['aplikasinya', 'bagus', 'mantap', 'suka', 'undian', 'promo', 'paket', 'termurah', 'makasih', 'telkomsel', '']</t>
  </si>
  <si>
    <t>['cepat', 'mudah', 'pembelian', 'data', 'cek', 'kuota', 'kuota', 'promo', 'akses', 'jaringan', 'kadang', 'suka', 'terputus', 'loading']</t>
  </si>
  <si>
    <t>['paket', 'multimedia', 'gunanya', 'paket', 'internet', 'berkurang', 'tolong', 'konfirmasi']</t>
  </si>
  <si>
    <t>['bagus', 'undianya', 'tolong', 'kasih', 'hadiah', 'mobil']</t>
  </si>
  <si>
    <t>['simple', 'nyaman', 'beli', 'kuota', 'kebelet', 'semoga', 'sukses', 'telkomsel', 'semangat', 'ayo', 'buruan', 'coba', 'gratis', 'download', 'lakukan', 'sesuka', '']</t>
  </si>
  <si>
    <t>['parah', 'telkomsel', 'mengganggu', 'main', 'game', 'memuaskan', 'pengguna', 'seluler', '']</t>
  </si>
  <si>
    <t>['', 'telkomsel', 'mudah', 'pembelian', 'paket', 'paket', 'telpon', 'internet', 'smga', 'telkomsel', 'berjaya', 'menyediakan', 'paket', 'murah', 'telkomsel', 'orang', 'miskin', 'kayak', '']</t>
  </si>
  <si>
    <t>['', 'telkomsel', 'pulsa', 'ribu', 'sekian', 'daftarin', 'paket', 'ribu', 'sekian', 'ribunya', 'kemanain', 'gagal', 'beli', 'kuota', 'pengen', 'buka', 'apl', 'mytelkomsel', 'doang', 'ilang', 'ribu', 'tolong', 'cek', 'pelanggan', 'kecewa', '']</t>
  </si>
  <si>
    <t>['telkomsel', 'sinyal', 'lemot', 'beres', 'perbaiki', 'jaringan', 'internet', 'kuota', 'beli', 'geratisan']</t>
  </si>
  <si>
    <t>['telkomsel', 'parah', 'ngaco', 'telkomsel', 'gamau', 'nyesel', 'kesini', 'parah', 'parah']</t>
  </si>
  <si>
    <t>['paketan', 'mahal', 'sinyal', 'jaringan', 'error', 'sabar', 'telkomsel', 'teri', 'makasih', 'mnemani']</t>
  </si>
  <si>
    <t>['sinyal', 'telkomsel', 'jelekk', '']</t>
  </si>
  <si>
    <t>['kesini', 'jelek', 'sumpah', 'napa', 'jelek', 'bangat', 'jaringannya', 'susah', 'bawa', 'kerja', 'ditambah', 'penikmat', 'youtube', 'kecewa', 'ayo', 'telkomsel', 'balikin', 'jaringannya', 'download', 'jaringannya', 'nyampe', 'mbs', 'turun', '']</t>
  </si>
  <si>
    <t>['terkadang', 'mood', 'nambah', 'karuan', 'disaat', 'kuota', 'utama', 'gb', 'mengakses', 'multimedia', 'habis', 'kuota', 'multimedia', 'utuh', 'disitulah', 'website', 'sulit', 'dibuka', 'telkomsel', 'mengakses', 'multimedia', 'kuota', 'utama', 'kau', 'kurangi']</t>
  </si>
  <si>
    <t>['sinyal', 'jelek', 'banget', 'udah', 'banget', 'gangguan', 'telkomsel', 'kalah', 'provider', 'bagusan', 'sinyal', 'download', 'data', 'mb', 'ngabisin', 'jam', 'ilang', 'sinyalnya']</t>
  </si>
  <si>
    <t>['tolong', 'perbaiki', 'jaringan', 'jaringan', 'jelek', 'halo', 'pelanggan', 'udah', 'bagus', 'lambah', 'ancur']</t>
  </si>
  <si>
    <t>['langganan', 'kartu', 'ngs', 'udah', 'lambat', 'paketnya', 'mahal', 'ngs', 'emang', 'isi', 'pulsa', 'gada', 'istimewa', 'istimewanya', '']</t>
  </si>
  <si>
    <t>['sinyal', 'bagus', 'internetan', 'buruk', 'buka', 'youtube', 'susah', 'banget', 'banyar', 'mahal', 'kualitasnya', 'mengecewakan']</t>
  </si>
  <si>
    <t>['min', 'gimana', 'sinyal', 'telkomsel', 'jelek', 'bangett', 'parah', 'kuota', 'doang', 'doang', 'mahal', 'sinyalnya', 'benerrr', '']</t>
  </si>
  <si>
    <t>['pengguna', 'telkomsel', 'dlu', 'kali', 'bener', 'bener', 'kecewa', 'telkomsel', 'jaringan', 'jaringan', 'perbaiki', 'pastikan', 'provider', 'buruk', '']</t>
  </si>
  <si>
    <t>['tolong', 'sinyal', 'kencang', 'kyk', 'dlu', 'lgi', 'dlu', 'sinyal', 'memuaskan', 'tpi', 'skrng', 'lgi', 'tolong', 'jga', 'tambahkan', 'fitur', 'pengunci', 'pulsa', 'kyk', 'axis', 'net', 'pulsa', 'kesedot', 'lgi', '']</t>
  </si>
  <si>
    <t>['lahh', 'telkomsel', 'jelek', 'kecewa', 'mending', 'ganti', 'kartu', 'skrg', 'saranin', 'telkomsel', 'mending', 'ganti', 'sinyal', 'jaringannya', 'jelek', 'banget', 'segini', 'vpn', 'coba', 'vpn', 'internetan']</t>
  </si>
  <si>
    <t>['tolong', 'perbaiki', 'jaringan', 'boss', 'mahal', 'beli', 'paket', 'jaringan', 'kecewa', 'buruk']</t>
  </si>
  <si>
    <t>['kecewa', 'malem', 'langsung', 'game', 'beli', 'mahal', 'mahal', 'rb', 'sebulan', 'pelayanan', 'kek', 'gini', 'yuk', 'bumn', 'berakhlak', '']</t>
  </si>
  <si>
    <t>['kesini', 'jaringan', 'telkomsel', 'susah', 'tolong', 'perbaikin', 'naikin', 'bintangnya']</t>
  </si>
  <si>
    <t>['telkomsel', 'jaringannya', 'lemot', 'gangguan', 'mohon', 'perbaiki', 'servernya', 'pelanggan', 'kecewakan', 'sinyalnya', 'jelek', 'pengguna', 'setia', 'kabur', '']</t>
  </si>
  <si>
    <t>['woi', 'sinyalnya', 'gimana', 'harga', 'kuota', 'mahal', 'jaringan', 'lag', 'putus', 'woi', 'gua', 'tenang', 'pakai', 'telkomsel', 'pindah', 'jaringan', 'sebelah', 'tolong', 'cepat', 'perbaiki', 'sinyalnya', '']</t>
  </si>
  <si>
    <t>['hadeuuuuh', 'skrng', 'lemot', 'input', 'gagal', '']</t>
  </si>
  <si>
    <t>['telkomsel', 'ta', 'kota', 'maxstrem', 'nga', 'kepake', 'sedot', 'kota', 'internet', 'pulsa', 'sedot', 'makan', 'duit', 'rakyat', 'keji', 'nipu', 'koruptor', 'ing', '']</t>
  </si>
  <si>
    <t>['jelek', 'telkomsel', 'castamer', 'beli', 'paket', 'uang', 'batu', 'koral', 'tolong', 'perbaiki', 'merugikan', 'sebelah', 'kalou', 'pelanggan']</t>
  </si>
  <si>
    <t>['signalnya', 'jelek', 'wilayah', 'kalimantan', 'barat', 'kuotanya', 'mahal', 'baginya', 'unlimitit', 'banyakan', 'ngelag', 'pakai', 'sim', 'cart', 'tuan', 'gini', 'pindah', 'im', '']</t>
  </si>
  <si>
    <t>['tolong', 'telkom', 'udh', 'telkom', 'skrang', 'kaya', 'gini', 'sinyal', 'game', 'sinyal', 'down', 'mhon', 'respon', '']</t>
  </si>
  <si>
    <t>['system', 'eror', 'kouta', 'paketan', 'kmrin', 'isi', 'beli', 'paketan', 'sisa', 'pulsa', 'taunya', 'hilang', 'kemana', 'pengguna', 'kartu', 'telkomsel', 'kayak', 'gini', 'kecewa']</t>
  </si>
  <si>
    <t>['mantap', 'jaringannya', 'kesel', 'nunggunya', 'tolong', 'kondisikan', 'jaringan', 'telkomsel', 'beli', 'bayar', 'kasih']</t>
  </si>
  <si>
    <t>['semenjak', 'daerah', 'pelosok', 'sinyalnya', 'jumping', 'hilang', 'mohon', 'bantuannya', 'kembalikan', 'percaya', 'konsumen']</t>
  </si>
  <si>
    <t>['telkomsel', 'sinyal', 'lemot', 'parah', 'beli', 'paket', 'internet', 'mahal', 'mahal', 'coba', 'pulsa', 'sedot', 'mulu', 'buka', 'aplikasi', 'cuman', 'kecewa', 'internet']</t>
  </si>
  <si>
    <t>['maaf', 'sinyal', 'telkomsel', 'gangguan', 'pelanggan', 'setia']</t>
  </si>
  <si>
    <t>['sekelas', 'telkomsel', 'menyelesaikan', 'solusi', 'internet', 'lancar', 'drivel', 'ojol', 'kelewatan', 'orderannya', 'internet', 'down', 'rugi', 'informasi', 'secepatnya', 'sms', 'pengguna', 'telkomsel', 'internet', 'diem', 'bae', 'rugi', 'driver', 'online', 'kompensasi']</t>
  </si>
  <si>
    <t>['jaringanya', 'mengenakan', 'enak', 'main', 'game', 'ilang', 'gajelas', 'jdi', 'melanjutkan', 'permainan', 'gajelas', 'telkomsel', 'kasar', 'abes', 'sia', 'klw', 'paket', 'klw', 'mainin', 'ilang', 'jaringan', 'tolong', 'telkomsel', 'perbaiki', 'lgi', 'jaringan', 'customer', 'kecewa', '']</t>
  </si>
  <si>
    <t>['udah', 'jaringan', 'telkomsel', 'daerah', 'hancur', 'lebur', 'lemot', 'banget', 'normal', 'akses', 'alhamdulillah', 'suka', 'lancar', 'lancar', 'kuota', 'sisa', 'ratusan', 'kuota', 'gb', 'ngaruh', 'tetep', 'aje', 'lemot', 'telkomsel', 'harap', 'diperbaiki', '']</t>
  </si>
  <si>
    <t>['telkomsel', 'mengecewakan', 'konsumen', 'tolong', 'perbaiki', 'kekuatan', 'sinyalnya', 'harga', 'paket', 'mahal', 'kali', 'harga', 'paket', 'internetnya', 'kekuatan', 'sinyal', 'jelek', 'mengecewakan', 'pelanggan', 'jaringan', 'nggak', 'kadang', 'hilang', 'karang', 'muncul', 'menggangu', 'kenyamanan', 'pelanggan', 'harga', 'peket', 'internetnya', 'jng', 'mahal', 'pembagian', 'max', 'stream', 'butuhkan', 'konsumen', '']</t>
  </si>
  <si>
    <t>['coba', 'telkomsel', 'jaringan', 'bermasalah', 'nyaman', 'kecepatan', 'jaringannya', 'tpi', 'pengalaman', 'syaa', 'menggunakannya', 'provider', 'jaringan', 'stabil', 'lgi', '']</t>
  </si>
  <si>
    <t>['sinyal', 'lemot', 'banget', 'simpati', 'harga', 'mahal', 'provider', 'sinyal', 'parah']</t>
  </si>
  <si>
    <t>['tolong', 'kontrol', 'koneksi', 'internet', 'jaringan', 'kayak', 'gini', 'rugi', 'buang', 'buang', 'kuota']</t>
  </si>
  <si>
    <t>['woy', 'telkomsel', 'perbaiki', 'jaringannya', 'paketan', 'mahal', 'mahal', 'lelet', 'woyy', 'main', 'game', 'kadang', 'ngelag', '']</t>
  </si>
  <si>
    <t>['kenpa', 'jaringn', 'telkomsel', 'hilng', 'sndiri', 'khusus', 'daerah', 'simalungun', 'siang', 'malam', 'udh', 'hilang', 'parahhhj']</t>
  </si>
  <si>
    <t>['satelit', 'tetep', 'lemot', 'pakai', 'paketan', 'halo', 'gratis', 'telpon', 'telpon', 'tetep', 'kena', 'pulsa', '']</t>
  </si>
  <si>
    <t>['penyakit', 'udah', 'lancar', 'mendadak', 'lost', 'sinyal', 'internet', 'provider', 'lahh', 'murah', 'wajar', 'kualitas', 'telkomsel', 'lahh', 'telkomsel', 'udah', 'mahal', 'jaringan', 'internet', 'suka', 'mendadak', 'hilang', 'butut']</t>
  </si>
  <si>
    <t>['teelalu', 'telkomsel', 'jaringan', 'kemah', 'buruk', 'malam', 'siang']</t>
  </si>
  <si>
    <t>['apk', 'bagus', 'mendukung', 'membeli', 'paket', 'beli', 'pulsa', 'tolong', 'apk', 'mohon', 'perbaiki', '']</t>
  </si>
  <si>
    <t>['udaa', 'beli', 'paket', 'game', 'pas', 'main', 'pulsa', 'kesedot', 'data', 'dimatikan', 'kesedot', 'pulsanya', 'tolonglah', 'telkomsel', 'uda', 'mahal', 'kaya', 'gini']</t>
  </si>
  <si>
    <t>['aplikasinya', 'diupdate', 'lemot', 'giliran', 'diupdate', 'dibuka', '']</t>
  </si>
  <si>
    <t>['pertahankan', 'kekuatan', 'signal', 'telkomsel', 'terbaik']</t>
  </si>
  <si>
    <t>['telkomsel', 'mahal', 'paket', 'kuota', 'telpon', 'sampe', 'internet', 'kalah', 'tri', 'axis', '']</t>
  </si>
  <si>
    <t>['koneksi', 'internet', 'buruk', 'kayak', 'pakek', 'lemot', 'lelet', 'paketan', 'mahal', 'bukanya', 'membaik', 'buruk', 'harga', 'sesuai', 'kualitas', 'masak', 'kalah', 'sim', 'abal', '']</t>
  </si>
  <si>
    <t>['dipakai', 'internetnya', 'wifi', 'lemot', 'pembaruan', 'mempengaruhi', 'kecepatan', 'data', '']</t>
  </si>
  <si>
    <t>['dri', 'pakek', 'telkomsel', 'puas', 'kecepatan', 'internet', 'telkomsel', 'pindah', 'halo', 'byr', 'lbih', 'eksklusif', 'pakek', 'halo', 'msh', 'bagus', 'tpi', 'sya', 'grapari', 'ditawari', 'update', 'kartu', 'halo', 'benefitnya', 'staff', 'grapari', 'bagus', 'unlimited', 'tpi', 'pakai', 'lemot', 'kadang', 'signalnya', 'hilang', 'kecewa', 'sma', 'telkomsel', 'tolong', 'internet', 'balikin', 'lancar', 'ngk', 'gwa', 'pindah']</t>
  </si>
  <si>
    <t>['bagus', 'jaringan', 'ancur', 'sinyal', 'suka', 'ilang', 'parah', 'sinyal', 'langsung', 'mending', 'pindah', 'dahh', 'jaringan', 'sim', 'card', 'sebelah', 'bagus', '']</t>
  </si>
  <si>
    <t>['sinyal', 'telkomsel', 'buruk', 'paketannya', 'doang', 'mahal', 'kualitas', 'sinyalnya', 'jelek', '']</t>
  </si>
  <si>
    <t>['menyebalkan', 'kemarin', 'jaringan', 'internetnya', 'lelet', 'mengganggu', 'pekerjaan', 'pandemi', 'wfh', 'gua', 'terganggu', '']</t>
  </si>
  <si>
    <t>['signal', 'internet', 'stabil', 'hilang', 'tolong', 'perbaiki', 'area', 'jawa', 'terima', 'kasih']</t>
  </si>
  <si>
    <t>['kuota', 'mahal', 'bingiiiiit', 'sinyal', 'limmmmiiiitnya', 'ampun', 'tolong', 'hargai', 'customer', 'rela', 'beli', 'paketan', 'mahal', 'sinyal', 'bagus', 'karuan', 'gini', 'jaringan', 'kecepatan', '']</t>
  </si>
  <si>
    <t>['komen', 'pelanggan', 'ngeluhh', 'jaringan', 'thn', 'pke', 'telkomsel', 'dirasa', 'smkin', 'lemot', 'mahallllllll', 'telomsel', 'veronika', 'mbell', 'gedesssssss', '']</t>
  </si>
  <si>
    <t>['woi', 'operator', 'babi', 'betulin', 'jaringan', 'babi', 'gua', 'udh', 'beli', 'paket', 'babi', 'udh', 'minggu', 'jaringan', 'kaya', 'babi']</t>
  </si>
  <si>
    <t>['paketnya', 'mahal', 'jaringannya', 'lemot', 'menaikkan', 'harganya', 'pelayanannya', '']</t>
  </si>
  <si>
    <t>['', 'suka', 'telkomsel', 'sayang', 'telkomsel', 'jarang', 'promo', 'pembelian', 'kuota', '']</t>
  </si>
  <si>
    <t>['kebanyakan', 'ngutang', 'telkom', 'udah', 'pket', 'mahal', 'lemot', 'voucher', 'menarik', 'ubah', 'bintang', '']</t>
  </si>
  <si>
    <t>['udah', 'halo', 'lemot', 'memuaskan', 'nyesel', '']</t>
  </si>
  <si>
    <t>['propider', 'telkomsel', 'bagus', 'yaa', 'masahnya', 'paketan', 'internet', 'leletnya', 'ampun', 'terkadang', 'telponan', 'suara', 'kadan', 'timbul', 'tenggelam', 'tolong', 'telkomsel', 'maju', 'bersaing', 'propider', 'telkomsel', 'propider', '']</t>
  </si>
  <si>
    <t>['operator', 'telkomsel', 'mengecewakan', 'sinya', 'full', 'internet', '']</t>
  </si>
  <si>
    <t>['telkom', 'jls', 'harga', 'doang', 'mahal', 'sinyal', 'ilang', 'mending', 'telkom', 'dlu', 'lancar', 'main', 'game', 'jarang', 'eror', 'sinyal', 'ilang', 'jaringan', 'stabil', 'merendahkan', 'cuman', 'mls', 'karna', 'sinyal', 'kaga', 'bener', 'smoga', 'cepet', 'diatasi', 'langganan', 'telkom', 'pindah', 'sebelah', 'sekian', 'terimakasih', 'nyari', 'untungnya', 'doang', 'oghy', '']</t>
  </si>
  <si>
    <t>['plis', 'tlong', 'benerin', 'indihome', 'simpati', 'bos', 'jlek', 'indihome', 'simpati', 'bnyk', 'pindahk', 'sim', 'card', 'klau', 'indihome', 'simpati', 'kyak', 'gni', 'trus', 'mkin', 'ngeseli', 'telkomsel', 'full', 'buka', 'youtube', 'muter', 'jlas']</t>
  </si>
  <si>
    <t>['parah', 'jaringan', 'seluler', 'harga', 'kuota', 'minggu', 'sinyal', 'susah', 'akses', 'internet', 'harga', 'mahal', 'sepadan', 'harga', 'kuota', 'mahal', 'kualitas', 'jaringannya', '']</t>
  </si>
  <si>
    <t>['udah', 'mah', 'lemot', 'mahal', 'paketannya', 'apl', 'diupdate', 'diupdate', 'kebuka', 'paketannya', 'beda', 'beda', 'kartu', 'karuan', 'sinyalnya', 'beuh', 'ujan', 'sinyal', 'kek', 'ketebang', 'angin', 'letoy', 'ato', 'gimna', 'tower', 'ganti', 'kartu', 'lemot', 'mahal', 'axis', 'smartfren', 'tri', 'mtri', 'indosat', 'mentoklah', 'telkomsel', 'kek', 'jualan', 'anjirr', 'sekian', 'keluh', 'kesah', 'terima', 'kasih', 'byee', '']</t>
  </si>
  <si>
    <t>['sinyal', 'bake', 'leg', 'mulu', 'sumpah', 'desa', 'jaringan', 'gua', 'pakai', '']</t>
  </si>
  <si>
    <t>['kakak', 'tolong', 'perbaiki', 'jaringan', 'telkom', 'lelet', 'kali', 'skrng', 'terlkom', 'serasa', 'pakai', 'kartu', 'menyedihkan', 'leletnya', 'ampun', 'beli', 'mahal', 'kualitas', 'jelek']</t>
  </si>
  <si>
    <t>['tolong', 'sinyal', 'telkomsel', 'sulawesi', 'barat', 'kabupaten', 'polewali', 'mandar', 'dusun', 'silopo', 'desa', 'mirring', 'perbaiki', 'krna', 'sinyal', 'tlkomsel', 'dusun', 'masi', 'lemah', 'terimah', 'kasih', 'nanfi', 'kasi', 'bintang', 'klau', 'udah', 'sinyalnya', '']</t>
  </si>
  <si>
    <t>['telkomsel', 'percaya', 'telkomsel', 'belasan', 'main', 'error', 'trus', 'andelin', 'parah']</t>
  </si>
  <si>
    <t>['trobel', 'tros', 'kemaren', 'kaga', 'bener', 'bener', 'kecewa', 'telkom', 'gembor', 'jaringan', 'jaringan', 'kek', 'gini']</t>
  </si>
  <si>
    <t>['kecewa', 'telkomsel', 'jaringannya', 'lambat', 'provider', 'bagus', 'malam', 'udah', 'cuman', 'buka', 'line', 'sekian', 'terimakasih', '']</t>
  </si>
  <si>
    <t>['woi', 'telkomsel', 'isi', 'otak', 'dimana', 'sinyal', 'jlek', 'parah', 'koneksi', 'internetnya', 'pikir', 'lucu', 'afk', 'ngegame', 'lucu', 'bngst', 'pensiun', 'telkomsel', 'jlng', 'sinyal', 'lag', 'mulu', 'waras', 'babi', 'pensiun', 'rame', 'kartu', 'babi']</t>
  </si>
  <si>
    <t>['lemot', 'parah', 'sinyal', 'rumah', 'tower', 'telkomsel', 'kayak', 'gini']</t>
  </si>
  <si>
    <t>['setia', 'pakai', 'telkomsel', 'biarpun', 'mahal', 'menjamin', 'kualitas', 'telkomsel', 'lemot', 'gini', 'sinyal', 'full', 'internetan', 'muter', 'hadeh', 'kecewa', 'banget', 'pelanggan']</t>
  </si>
  <si>
    <t>['telkomsel', 'bagus', 'ganti', 'operator', 'mahal', 'signal', 'terganggu', '']</t>
  </si>
  <si>
    <t>['paketnya', 'udah', 'paket', 'gratis', 'nelfon', 'kepake', 'dipotong', 'pulsa', 'utama', 'slow', 'respon', 'banget']</t>
  </si>
  <si>
    <t>['mohon', 'maaf', 'admin', 'kualitas', 'jaringannya', 'menurun', 'sinyal', 'full', 'sosmed', 'dll', 'lemot', 'banget', 'hang', 'kendalanya', 'jaringan', 'tolong', 'adminnya', 'perbaiki', 'kualitas', 'jaringannya', 'nggak', 'pindah', 'layanan', 'sebelah', 'udah', 'nyaman', 'pakai', 'telkomsel', 'sayang', 'banget', '']</t>
  </si>
  <si>
    <t>['menukar', 'poin', 'poin', 'menukar', 'pulsa', 'tolong', 'urus']</t>
  </si>
  <si>
    <t>['ngomong', 'kasar', 'dikit', 'ntar', 'toxic', 'diemin', 'hargamu', 'mahal', 'laen', 'jauuuh', 'mahal', 'kualitasmu', 'bersaing', 'jaringan', 'lemot', 'parah', 'bayar', 'mahal', 'kayak', 'gini', 'pelayanan', '']</t>
  </si>
  <si>
    <t>['internet', 'sakti', 'hilang', 'hbs', 'beli', 'paket', 'internet', 'internet', 'sakti', 'sakit', 'telkomsel', 'php', 'mulu', '']</t>
  </si>
  <si>
    <t>['tolong', 'seringkali', 'update', 'update', 'bagus', 'jelekkkkkkkkkkkkkkkkkkkkkkkk']</t>
  </si>
  <si>
    <t>['jaringan', 'lelet', 'beli', 'paket', 'mahal', 'pelayanan', 'gitu', '']</t>
  </si>
  <si>
    <t>['kuota', 'game', 'dipakai', 'kiota', 'internet', 'habis', 'aduuh', 'kuota', 'game', 'gb', 'donk', 'buka', 'game', '']</t>
  </si>
  <si>
    <t>['pngen', 'banting', 'gara', 'jringannyaaa', 'dlu', 'jringannya', 'skrang', 'bkin', 'emosi', '']</t>
  </si>
  <si>
    <t>['gimana', 'respon', 'bantuan', 'veronika', 'mytelkomsel', 'nunggu', 'sampe', 'kuota', 'batas', 'habis', 'dibisin', 'kuota', 'batas', 'udah', 'bantuannya', 'suruh', 'nunggu', 'tingkatin', '']</t>
  </si>
  <si>
    <t>['update', 'versi', 'nge', 'lag', 'malas', 'buka', 'mytelkomsel']</t>
  </si>
  <si>
    <t>['otw', 'provider', 'namanya', 'barang', 'uda', 'rusak', 'normal', 'kek', 'dlu', 'mending', 'murah', 'tpi', 'ganggu', 'nyesel', 'banget', 'pakai', 'telkomsel', 'mahal', 'tpi', 'gangguan', '']</t>
  </si>
  <si>
    <t>['layanan', 'bagus', 'aplikasi', 'tsl', 'berhenti', 'keluat', 'kuota', 'habis', 'nyedot', 'pulsa', 'akses', 'internetnya', 'engga']</t>
  </si>
  <si>
    <t>['', 'kadang', 'susah', 'nak', 'log', 'hrs', 'slalu', 'notifikasi', 'kuota', 'mahal', 'aduuuuuh', 'ambil', 'kuota', 'klw', 'sisa', 'pulsa', 'habis', 'kesedot', 'kemana', 'pulsa', 'isi', 'pulsa', 'slalu', 'habis', 'telkomsel', 'bagus', '']</t>
  </si>
  <si>
    <t>['telkomsel', 'lelet', 'gimana', 'pakai', 'telkomsel', 'thn', 'aduhhh', 'tolong', 'perbaiki', 'pindah']</t>
  </si>
  <si>
    <t>['ganti', 'logo', 'buruk', 'layanannya', 'jaringan', 'sangaatttt', 'buruukkk', 'parahhhh', 'gag', 'ngajak', 'temen', 'telkomsel', 'kapoookkk', 'lbh', 'ganti', 'provider', 'lbh', 'layanan', 'lbh', 'bagus', 'maaf', '']</t>
  </si>
  <si>
    <t>['telkomsel', 'bujang', 'ngelag', 'kali', 'sesuai', 'mahal', 'paketnya', 'bayarnya', 'mahal', 'kualitas', 'gunaaa', 'bajingannnn', '']</t>
  </si>
  <si>
    <t>['terbaik', 'niscaya', 'jagad', 'dunia', 'maya', 'tersenyum', 'promo', 'niscaya', 'tersenyum', 'wahahahahaha']</t>
  </si>
  <si>
    <t>['saranin', 'pakai', 'telkomsel', 'jaringan', 'parah', 'paket', 'mahal', 'koneksi', 'stabil', 'hancur', '']</t>
  </si>
  <si>
    <t>['kecewa', 'telkom', 'karna', 'lemot', 'ampun', 'pas', 'dipake', 'zoom', 'ngomong', 'udah', 'kecewa', 'menyesal', 'udah', 'updet']</t>
  </si>
  <si>
    <t>['bintang', 'kurangi', 'bintan', 'sisa', 'telkomsel', 'banget', 'udah', 'mahal', 'paketannya', 'jaringan', 'lelet', 'paket', 'game', 'data', 'lokal', 'bosa', 'kepake', 'yaa', 'ampun', 'skali', 'kenyamanan', 'pelanggan', '']</t>
  </si>
  <si>
    <t>['mohon', 'telkomsel', 'tolong', 'perbaiki', 'kecepatan', 'jaringannya', 'mati', 'lampu', 'hilang', 'total', 'udah', 'bayar', 'mahal', 'kak', '']</t>
  </si>
  <si>
    <t>['jaringan', 'kayak', 'taik', 'pembelaan', 'developer', 'telkomsel', 'kompensasinya', 'mohon', 'terimakasih', 'dihapus', 'ulasan']</t>
  </si>
  <si>
    <t>['paket', 'berubah', 'ubah', 'pindah', 'lokasi', 'pusing']</t>
  </si>
  <si>
    <t>['pulsa', 'terpotong', 'pdhl', 'paket', 'internet', 'msh', 'kejadian', 'lbh', 'mohon', 'penjelasannya']</t>
  </si>
  <si>
    <t>['', 'telkomsel', 'sinyal', 'susaaaaaaaaaahhhh', 'berlanjut', 'pindah', 'provider', '']</t>
  </si>
  <si>
    <t>['telkomsel', 'andalkan', 'karna', 'jaringan', 'smakin', 'lemot', 'orng', 'pindah', 'jaringan', '']</t>
  </si>
  <si>
    <t>['hati', 'percaya', 'pemotongan', 'kupon', 'rp', 'jebakan', 'pulsa', 'terpotong', 'korban', 'baca', 'berhati', 'hati', 'udah', 'masukkan', 'detiknews', 'kompas', 'buruk', 'pelayanan', 'telkomsel', '']</t>
  </si>
  <si>
    <t>['kasih', 'bintang', 'harga', 'paket', 'murah', 'kuota', 'habis', 'gratis', 'unlimited', 'gb', 'gratisnya']</t>
  </si>
  <si>
    <t>['pengguna', 'simpati', 'setia', 'promo', 'ditambah', 'karna', 'reguler', 'mahal', 'simpati', 'sinyalnya', 'bagus', 'banget', 'areal', 'semoga', 'jaya', 'maju', 'simpati', '']</t>
  </si>
  <si>
    <t>['aplikasi', 'lelet', 'lemot', 'update', 'kirain', 'bagus', 'bobrok']</t>
  </si>
  <si>
    <t>['tolong', 'dibantu', 'perbaikan', 'apalah', 'tolong', 'diberitahu', 'pengguna', 'memaklumi', 'pengguna', 'telkomsel', 'jaringan', 'memuaskan', 'orang', 'pindah', 'operator', 'terima', 'kasih']</t>
  </si>
  <si>
    <t>['mohon', 'donk', 'jaringan', 'telkomsel', 'diperbaiki', 'cepat', 'org', 'desa', 'telkomsel', 'aktifitas', 'pendidikan', 'kuliah', 'mohon', 'dipercepat', 'perbaikan', 'jaringannya', '']</t>
  </si>
  <si>
    <t>['buruk', 'kecewa', 'telkomsel', 'udah', 'harga', 'paket', 'data', 'mahal', 'jaringannya', 'busuk', '']</t>
  </si>
  <si>
    <t>['knapa', 'jaringan', 'telkomsel', 'lemot', 'beli', 'paket', 'mahal', 'mahal', 'terpakai', 'tolong', 'kualitas', 'jaringan', 'perbaiki', '']</t>
  </si>
  <si>
    <t>['telkomsel', 'sinyal', 'jirangan', 'telkomsel', 'gangguan', 'kadang', 'maen', 'game', 'suka', 'nge', 'leh', 'jaringan', 'langsung', 'tolong', 'perbaiki']</t>
  </si>
  <si>
    <t>['telkomsel', 'main', 'game', 'susah', 'sinyalnya', 'main', 'tolong', 'gimana', 'telkom', 'perbaiki']</t>
  </si>
  <si>
    <t>['maaf', 'turunkan', 'bintang', 'harga', 'paket', 'mahal', 'kecewa', 'perubahan', 'harga', 'sinyal', 'swmakin', 'buruk', 'kualitas', 'telkomsel', 'pengguna', 'operator', 'telkomsel', 'terlanjur', 'kecewa', 'kenaikan', 'harga']</t>
  </si>
  <si>
    <t>['log', 'mnta', 'kode', 'otp', 'link', 'udah', 'dpt', 'sms', 'link', 'pas', 'klik', 'kode', 'valid', 'keasalahan', '']</t>
  </si>
  <si>
    <t>['jaringan', 'telkomsel', 'parah', 'cuk', 'paket', 'data', 'mahal', 'kualitas', 'jringan', 'lelet', 'aplgi', 'klu', 'hujan', 'parahnya', 'ampun', 'untung', 'jringan', 'sbelah', 'wlaupun', 'gangguan', 'tpi', 'parah', '']</t>
  </si>
  <si>
    <t>['semoga', 'undian', 'telkomsel', 'semoga', 'telkomsel', 'jaya', '']</t>
  </si>
  <si>
    <t>['signal', 'telkomsel', 'lemot', 'banget', 'rugi', 'beli', 'data', 'operator', 'telkomsel', 'udah', 'mahal', 'lemot', 'ampun', 'bingung', 'lihat', 'telkomsel', 'sekarag', 'orang', 'ganti', 'operator', 'pakai', 'telkomsel', '']</t>
  </si>
  <si>
    <t>['sinyal', 'didaerah', 'bagus', 'ditempat', '']</t>
  </si>
  <si>
    <t>['kasih', 'bintang', 'lancar', 'jaringan', 'game', 'bintang', '']</t>
  </si>
  <si>
    <t>['menarik', 'berharap', 'pemenang', 'memenangkannya', '']</t>
  </si>
  <si>
    <t>['gimana', 'telkomsel', 'nyaman', 'tuk', 'pemakaiannya', 'mahal', 'mngecewakan', 'penggunanya', 'pdahal', 'paketan', 'msh', 'ngisi', 'luemotnya', 'msyaallah', 'tolong', 'prbaiki', 'lancarkan', 'kmbali', 'jaringanx', 'smua', 'pngguna', 'mrasa', 'nyaman', 'brlangganan', 'telkomsel', '']</t>
  </si>
  <si>
    <t>['kuota', 'sinyal', 'karuan', 'muter', 'doang', 'kuota', 'kepotong', 'perbaiki', 'woy', 'udah', 'lbh', 'masak', 'selesai', 'ngapain', 'menang', 'mahal', 'doang', 'kualitas', 'karuan']</t>
  </si>
  <si>
    <t>['afk', 'bermanfaat', 'diskon', 'tukar', 'poin', 'senang', 'bangeet', 'nyesal', 'banget']</t>
  </si>
  <si>
    <t>['berat', 'lemot', 'ditambah', 'jaringan', 'game', 'online', 'lag', 'parah', 'udah', 'kaya']</t>
  </si>
  <si>
    <t>['kuta', 'sinyal', 'bagus', 'kecepatan', 'kbps', 'memuaskan']</t>
  </si>
  <si>
    <t>['aplikasi', 'menjebak', 'pelanggan', 'paket', 'info', 'detail', 'penggunaannya', '']</t>
  </si>
  <si>
    <t>['harga', 'mahal', 'pelayanan', 'sampah', 'maintenance', 'nyusahin', 'customer', 'susah', 'konek', 'game', 'nonton', 'yutub', 'susah', 'tinggal', 'tunggu', 'ganti', '']</t>
  </si>
  <si>
    <t>['apk', 'mmg', 'bagus', 'pembelian', 'paket', 'lancar', 'knp', 'msti', 'paket', 'terbagi', 'internet', 'multimedia', 'nmn', 'jaringan', 'servernya', 'telkomsel', 'parah', 'ampun', 'kirim', 'lalod', 'blm', 'tuk', 'putar', 'youtube', 'blm', 'game', 'online', 'paketnya', 'mahal', 'mohon', 'maaf', 'mengucilkan', 'pengguna', 'telkomsel', 'hmpir', 'mohon', 'penggunaan', 'telkomsel', 'sharing', 'sesuai', 'maslah', 'dlm', 'telkomsel', '']</t>
  </si>
  <si>
    <t>['hahaha', 'menguntungkan', 'user', 'setia', 'pindah', 'provider', 'pengguna', 'pindah', 'setia', 'pakai', 'telkomsel', 'nge', 'lag', 'traffic', 'dikit', 'lemot', 'istilahnya', 'kayak', 'rebutan', 'sinyal', 'bertahan', 'menang', '']</t>
  </si>
  <si>
    <t>['duh', 'aplnya', 'bermasalah', 'udah', 'bertahun', 'gunain', 'mytelkomsel', 'gini', 'kendala', 'pulsa', 'berkurang', 'rb', 'rb', 'itupun', 'pulsanya', 'pakai', 'sengaja', 'diamkan', 'rb', 'aneh', 'pulsa', 'hilang', 'pulsa', 'rb', 'sedot', 'rb', 'makai', 'internetan', 'telp', 'sms', '']</t>
  </si>
  <si>
    <t>['segi', 'perangkat', 'lokasi', 'operator', 'lainya', 'indosat', 'smart', 'dll', 'perangkat', 'milik', 'teman', 'bagus', 'lancar', 'tgl', 'agt', 'sampek', 'signal', 'simpati', 'sungguh', 'buruk', 'banget', 'mahal', 'tlg', 'perbaiki', 'sistem', 'hai', 'kak', 'mohon', 'maaf', 'kakak', 'nyaman', 'bla', 'bla', '']</t>
  </si>
  <si>
    <t>['sinyal', 'telkomsel', 'ngk', 'sesuai', 'harganya', 'harga', 'mahal', 'sinyal', 'layaknya', 'sampah', 'ngk', 'setabil', '']</t>
  </si>
  <si>
    <t>['tolong', 'diperbaiki', 'cepat', 'jaringan', 'kecamatan', 'malangke', 'sulawesi', 'selatan', 'udah', 'main', 'games', 'mengatasi', 'trjadi', 'layani']</t>
  </si>
  <si>
    <t>['bener', 'telkomsel', 'indihome', 'jaman', 'batu', 'operator', 'cepatlah', 'masuk', 'daerahku', 'ganti', 'provider', 'secepatnya']</t>
  </si>
  <si>
    <t>['parah', 'banget', 'min', 'jaringan', 'internet', 'udah', 'harga', 'paket', 'data', 'internet', 'diatas', 'kualitas', 'jaringan', '']</t>
  </si>
  <si>
    <t>['sekedar', 'saran', 'verifikasi', 'login', 'pilihan', 'sms', 'telpon', 'klik', 'link', 'menu', 'nomor', 'hoaks', 'nomor', 'login', 'pindah', 'akun', 'mudah', 'ribet', 'verikasi', 'berulang', 'keamanan', 'lebay']</t>
  </si>
  <si>
    <t>['harga', 'paket', 'mahal', 'sinyal', 'putus', 'gantiin', 'direkturnya', 'stabilan', 'internet', 'indo', 'lancar', '']</t>
  </si>
  <si>
    <t>['terbaik', 'produk', 'kebanggan', 'bumn', 'harga', 'kualitas', 'rendah', 'heran', 'bumn', 'pailit', 'kedepan', 'sell', 'menyusulnya', 'kualitasnya', 'buruk', 'ditinggalkan', '']</t>
  </si>
  <si>
    <t>['transfer', 'pulsa', 'biaya', 'admin', 'mahal', 'udah', 'internet', 'lemot']</t>
  </si>
  <si>
    <t>['woy', 'telkomsel', 'jaringan', 'lemot', 'banget', 'member', 'platinum', 'kuota', 'kecewa', 'telkomsel', 'udah', '']</t>
  </si>
  <si>
    <t>['sumpah', 'ojol', 'kecewa', 'telkomsel', 'signal', 'lemot', 'parah']</t>
  </si>
  <si>
    <t>['knapa', 'jaringan', 'suka', 'ilang', 'maen', 'game', 'uadah', 'uang', 'ajinz', 'nyesel', 'kartu', 'mending', 'exsis', 'stabil', '']</t>
  </si>
  <si>
    <t>['udah', 'upgrade', 'halo', 'lelet', 'mati', 'jaringan', 'kirain', 'bagus', 'nyusahin', 'terpaksa', 'beli', 'kuota', 'jaringan', 'cuih']</t>
  </si>
  <si>
    <t>['pakai', 'telkomsel', 'thn', 'rasakan', 'koneksi', 'internetnya', 'buruk', 'lemot', 'full', 'signal', 'kayak', 'signal', 'edge', 'internetan', '']</t>
  </si>
  <si>
    <t>['main', 'game', 'kalah', 'gara', 'jaringannya', 'hilang', 'paketnya', 'mahal', 'kualitasnya', 'buruk', 'andai', 'kartu', 'pakai', 'kartu', 'beralih']</t>
  </si>
  <si>
    <t>['telkomsel', 'saran', 'tolong', 'dikasih', 'fitur', 'pulsa', 'safe', 'paketan', 'habis', 'pulsa', 'ikutan', 'habis', 'berkali', 'gitu', 'beli', 'pulsa', 'banyakan', 'kali', 'beli', 'paket', 'data', 'pas', 'paketan', 'abis', 'pulsa', 'abis', 'lupa', 'matiin', 'data', 'tolong', 'kasih', 'fitur', 'pulsa', 'safe']</t>
  </si>
  <si>
    <t>['aplikasih', 'membantu', 'bertransaksi', 'terimakasih', 'mytelkomsel', '']</t>
  </si>
  <si>
    <t>['tolong', 'perbaiki', 'secepat', 'jaringan', 'bos', 'telkomsel']</t>
  </si>
  <si>
    <t>['gangguan', 'jaringan', 'internet', 'massal', 'sep', 'kerja', 'produktifitas', 'menurun', 'sekolah', 'sekolah', 'online', '']</t>
  </si>
  <si>
    <t>['pemakaian', 'paket', 'gangguannya', 'perpanjang', 'pemakaian', 'internetku']</t>
  </si>
  <si>
    <t>['sinyal', 'simpati', 'lemot', 'wil', 'gresik', 'jawa', 'timur', 'parahhhh', 'mohon', 'tindak', 'lanjuti', 'perbaiki', '']</t>
  </si>
  <si>
    <t>['udah', 'chek', 'tpi', 'klaim', 'paket', 'kuota', 'internet', 'udah', 'updet', 'ilang', 'tulisan', 'chek', 'pantasan', 'kartu']</t>
  </si>
  <si>
    <t>['lemot', 'banget', 'orang', 'isolasi', 'cari', 'hiburan', 'lemot', 'emosi', 'gara', 'muter', 'jaringannya']</t>
  </si>
  <si>
    <t>['', 'axiata', 'the', 'best', 'mimin', 'gaada', 'malu', 'tarif', 'tarif', 'mahal', 'jaringan', 'terburuk']</t>
  </si>
  <si>
    <t>['telkomsel', 'curang', 'pas', 'chek', 'pas', 'titik', 'klaim', 'bonus', 'giga', 'rusak', 'nggk', 'chek', 'curang', 'jaga', 'nama', 'bisss', 'gold', 'perdana', 'boss', 'chek', 'hilangkan', 'chek', 'bonus', 'boot']</t>
  </si>
  <si>
    <t>['gangguan', 'jaringan', 'capek', 'min', 'gini', 'rumah', 'indiehome', 'data', 'selular', 'telkomsel', 'udah', 'bayarnya', 'mahal', 'tetangga', 'min', 'tolong', 'diperhatikan', '']</t>
  </si>
  <si>
    <t>['sinyal', 'buruk', 'udah', 'males', 'telkom', 'kecewa', 'udah', 'bertahun', 'berlangganan', 'mengecewakan']</t>
  </si>
  <si>
    <t>['lemot', 'parah', 'jaringan', 'super', 'cepat', 'tpi', 'kenyataannya', 'lemot', 'super', 'parah', 'gue', 'udah', 'rugi', 'telkomselnya', 'membrikan', 'gnti', 'rugi', 'keadaannya', '']</t>
  </si>
  <si>
    <t>['woi', 'paket', 'gue', 'mobalegen', 'muter', 'gue', 'pengguna', 'telkom', 'kecewa', 'bngke', 'pas', 'maen', 'lag', 'tlkom', 'perbaiki', 'jaringan', 'woii', 'paket', 'maen', 'game', 'rusak', '']</t>
  </si>
  <si>
    <t>['telkomsel', 'jaringannya', 'perbaiki', '']</t>
  </si>
  <si>
    <t>['logo', 'berganti', 'jaringan', 'berganti', 'down', 'parah', 'pindah', 'provider', 'deh']</t>
  </si>
  <si>
    <t>['gangguan', 'nggak', 'ganti', 'deh', 'kyanya', 'kartu', '']</t>
  </si>
  <si>
    <t>['beli', 'paket', 'internet', 'pulsa', 'alasan', 'slalu', 'periksa', 'jaringan', 'internet', 'internet', 'bagus']</t>
  </si>
  <si>
    <t>['rusak', 'nihh', 'jaringannya', 'kpan', 'selesainya', 'perbaikan', 'jaringan']</t>
  </si>
  <si>
    <t>['iya', 'paket', 'abis', 'notif', 'kayak', 'isi', 'pulsa', 'paketin', 'sisa', 'pas', 'cek', 'abis', 'pulsanya', 'sisa', 'rugi', 'notif', 'gitu', 'nggak', 'kasih', 'fitur', 'lindungin', 'pulsa', 'habis']</t>
  </si>
  <si>
    <t>['kuota', 'masi', 'lag', 'banget', 'internet', 'lambat', 'banget', 'trus', 'saran', 'porsi', 'kuotanya', 'internet', 'internet', 'ajalah', 'suka', 'nonton', 'kouta', 'nontonnya', 'kepake', 'beli', 'paket', 'mahal', 'lemot']</t>
  </si>
  <si>
    <t>['bagus', 'app', 'mendukung', 'cek', 'pulsa', 'repotmi', 'tekan', 'nomor', 'poko', 'mantapppp']</t>
  </si>
  <si>
    <t>['paket', 'blm', 'wktnya', 'hbs', 'potong', 'tgl', 'berlakunya', 'daftar', 'paket', 'lambat', 'masuk', 'pemberitahuannya', 'terdaftar', 'shg', 'pulsa', 'terpakai', 'byk', 'paket', 'terdaftar', 'kecewa', 'insha', 'allah', 'pakai', 'telkomsel', 'bumn', 'byk', 'kecewakan', 'konsumen', 'byk', 'keluhan', 'perubahan', 'kecewakan', 'pelanggan', 'selesaikan', 'skumpulan', 'anak', 'ato', 'skumpulan', 'org', 'bermasalah']</t>
  </si>
  <si>
    <t>['pakai', 'telkomsel', 'semenjak', 'sok', 'update', 'sinyal', 'bapuk', 'coba', 'ganti', 'ganti', 'chip', 'sinyal', 'tetep', 'busuk', '']</t>
  </si>
  <si>
    <t>['sesuai', 'harapan', 'bukanya', 'ribet', 'tolong', 'paket', 'promo', 'pajang', 'aplikasi', 'promo', 'beli', '']</t>
  </si>
  <si>
    <t>['lemot', 'pol', 'harga', 'paketannya', 'mahal', 'sesuai', 'kualitasnya', 'jelek', 'checkout', 'pesen', 'makanan', 'loading', 'menit', 'ttp']</t>
  </si>
  <si>
    <t>['telkomsel', 'udah', 'pulsa', 'pas', 'harga', 'paketnya', 'pas', 'beli', 'tulisannya', 'proses', 'udah', 'tunggu', 'jam', 'ama', 'ulangi', 'ulangi', 'tetep', '']</t>
  </si>
  <si>
    <t>['gua', 'tinggal', 'jatim', 'gua', 'udah', 'thn', 'pengguna', 'telkomsel', 'sinyal', 'knapa', 'minggu', 'lag', 'parah', 'jam', 'malem', 'sampe', 'jam', 'nga', 'tolong', 'evaluasi', 'benahi', 'sinyalnya', 'udh', 'mahal', 'beli', 'tpi', 'nga', 'worit']</t>
  </si>
  <si>
    <t>['lumayan', 'tingkatkan', 'khusus', 'jabodetabek', 'jawa', 'tlong', 'perbaiki', 'kualitas', 'sinyalnya', 'msak', 'mati', 'listrik', 'dri', 'pln', 'sinyal', 'telkomsel', 'mati', 'sdangkan', 'operator', 'seluler', 'diwilayah', 'sulawesi', 'utara', 'manado', 'trouble', 'tlong', 'diperhatikan', 'kualitasnya', '']</t>
  </si>
  <si>
    <t>['sinyalnya', 'parah', 'klu', 'perbaikan', 'diberitahukan', 'publik', 'kau', 'perusahaan', 'perusahaan', 'ecek', 'senang', 'kau', 'kecewakan', 'konsumen', '']</t>
  </si>
  <si>
    <t>['parah', 'ngeleg', 'banget', 'jaringan', 'pas', 'maen', 'game', 'online', 'katain', 'mulu', 'gara', 'gara', 'jaringan', 'lemot', 'pas', 'beli', 'doang', 'kenceng', 'paketan', 'doang', 'mahal', 'sesuai', 'kualitas']</t>
  </si>
  <si>
    <t>['', 'daerah', 'jaringannya', 'pengunanya', 'telkomsel', 'tolong', 'jaringannya', 'perbaiki', '']</t>
  </si>
  <si>
    <t>['terlaluh', 'gaya', 'nguras', 'emosi', 'jaringan', 'sinyal', 'buruk', 'seburuk', 'bangke', 'tercium', 'baunya', 'beralih', 'operator', 'pakai', 'telkomsel', 'beralih', 'ajah', 'operator', '']</t>
  </si>
  <si>
    <t>['aplikasi', 'telkomsel', 'teknologi', 'canggih', 'hebat', 'dimana', 'peran', 'rasakan', 'berkomunikasi', 'bertransaksi', 'dll', 'kecangihan', 'kehebatan', 'fitur', 'fitur', 'telkomsel', 'rasakan', 'manfaatnya', 'masyarakat', 'indonesia', '']</t>
  </si>
  <si>
    <t>['jaringan', 'sinyal', 'harga', 'tawarkan', 'menguntungkan', 'pengguna', 'menguntungkan', 'telkomsel', 'perusahaan', 'bumn', 'kalah', 'swasta', 'pelayanan', 'jaringan', '']</t>
  </si>
  <si>
    <t>['mengecewakan', 'games', 'max', 'sinyal', 'bagus']</t>
  </si>
  <si>
    <t>['tolongdong', 'daerah', 'bengalon', 'kalimantan', 'timur', 'perbaiki', 'kecepatan', 'jaringannya', 'kaya', 'internetan', 'mohon', 'bantuanya', 'terimakasih', '']</t>
  </si>
  <si>
    <t>['parah', 'banget', 'kali', 'lelet', 'banget', 'sumpah', 'udah', 'paket', 'mahal', 'jaringan', 'suka', 'ilang', 'gua', 'telkomsel', 'jaringan', 'bagus', 'banget', 'udah', 'eeeh', 'lelet', 'banget', 'ilang', 'mood', 'membosankan', '']</t>
  </si>
  <si>
    <t>['kecewa', 'jaringannya', 'stabil', 'pemberitahuan', 'kondisi', 'jaringan', 'turun', 'mengakibatkan', 'berpengaruh', 'bermain', 'game']</t>
  </si>
  <si>
    <t>['telkomsel', 'jaringannya', 'buruk', 'gua', 'beli', 'mulu', 'paket', 'telkomsel', 'ngotak']</t>
  </si>
  <si>
    <t>['jaringan', 'jelek', 'banget', 'bagusnya', 'gini', 'mending', 'ganti', 'kartu', 'sim', 'deh', 'ngk', 'telkomsel', 'ganti', 'rugi', 'data', 'data', 'hilang', 'sia', 'nonton', 'youtube', 'ngeleg', 'nge', 'game', 'ngk', 'huuu']</t>
  </si>
  <si>
    <t>['provider', 'sim', 'card', 'provider', 'internet', 'rumah', 'trouble', 'jaringan', 'lelet', 'gerak', 'perbaikan']</t>
  </si>
  <si>
    <t>['aplikasi', 'mantuuuuuuulll', 'sya', 'kuata', 'gratis', 'apk', 'mkanya', 'cek', 'kyak', '']</t>
  </si>
  <si>
    <t>['pemakaian', 'memuaskan', 'lemot', 'sinyal', 'kota', 'plosok', 'kecewa', '']</t>
  </si>
  <si>
    <t>['sinyal', 'lelet', 'tube', 'muter', 'melulu', 'tolong', 'perbaiki', '']</t>
  </si>
  <si>
    <t>['jringn', 'lemot', 'bngtt', 'minn', 'kesalahan', 'teknis', 'jaringan', 'optik', 'laut', 'telkom', 'jring', 'lemot', 'bngt', 'pas', 'buka', 'tiktok', 'tpi', 'pas', 'buka', 'apk', 'buka', 'google', 'dwlnd', 'gitu', 'lemot', 'nauzubillah']</t>
  </si>
  <si>
    <t>['kontoolleeeee', 'sinyall', 'ilang', 'kerja', 'kaya', 'taii', 'konsekuensi', 'ente', 'gua', 'bayar', 'paham']</t>
  </si>
  <si>
    <t>['sinyal', 'parah', 'panas', 'hujan', 'jelek']</t>
  </si>
  <si>
    <t>['harap', 'pelayanan', 'telkomsel', 'sinyal', 'hilang', '']</t>
  </si>
  <si>
    <t>['udah', 'pulsa', 'dikorup', 'paketan', 'mahal', 'jaringan', 'berasa', 'kek', 'sumpah', 'kesel', 'banget', 'hei', 'telkomsel', 'jual', 'mahal', 'sesuai', 'jaringannya', 'pengen', 'kukatain', '']</t>
  </si>
  <si>
    <t>['udh', 'bagus', 'pemberitahuan', 'kotak', 'masuknya', 'berfungsi', 'notif', 'diliat', 'diperbaiki', 'nyaman']</t>
  </si>
  <si>
    <t>['sinyal', 'simpati', 'pertengahan', 'jelek', 'buruk', 'lemot', 'banget', 'tolong', 'diperbaiki', 'konsumen', 'setia', 'kecewa', 'beralih', 'produk', 'sebelah', '']</t>
  </si>
  <si>
    <t>['auto', 'buang', 'kartunya', 'ainyal', 'bagus', 'ehh', 'burukk', 'jelass', 'bagusan', 'kartu', 'sinyal', 'lancar', 'emang', 'rusakkkkkkk', '']</t>
  </si>
  <si>
    <t>['untik', 'kasih', 'bintang', 'ntar', 'udah', 'tingkatkan', 'layanannya', 'kadi', 'bintang', '']</t>
  </si>
  <si>
    <t>['lemot', 'lelet', 'login', 'dpt', 'kuota', 'gratis', 'sulit', 'instal', 'mudah', 'giliran', 'klaim', 'bonus', 'internet', 'loginnya', 'lemot', '']</t>
  </si>
  <si>
    <t>['ganguan', 'harap', 'maklum', 'kompensasi', 'apapun', 'giliran', 'bayar', 'telat', 'sehari', 'internet', 'putus', 'dasar', 'kadrun']</t>
  </si>
  <si>
    <t>['knpa', 'beli', 'paket', 'muncul', 'error', 'membeli', 'mohon', 'ulang', 'menit', '']</t>
  </si>
  <si>
    <t>['buruk', 'buruk', 'pulsa', 'berkurang', 'mengaktifkan', 'data', 'paket', 'data', 'pulsa', 'berkurang', '']</t>
  </si>
  <si>
    <t>['yaa', 'allah', 'semoga', 'hadiah', 'telkomsel', 'poin', 'bawa', 'anak', 'berobat', 'dokter', '']</t>
  </si>
  <si>
    <t>['parah', 'telkomsel', 'anjingg', 'gua', 'bayar', 'mahal', 'jringan', 'payah', 'cuman', 'nikmatin', 'uang', 'masyarakat', 'doang', 'feedback', 'masayarakat', 'tanggung', 'skali', 'mending', 'operator', 'tutup', 'operasih', 'rugi', 'org']</t>
  </si>
  <si>
    <t>['signal', 'daerah', 'pasuruan', 'kabupaten', 'ancur', 'parah', 'udah', 'minggu', 'kmrn', 'pdhal', 'full', '']</t>
  </si>
  <si>
    <t>['harga', 'mahal', 'pelayanan', 'busuk', 'doyan', 'uang', 'doank', 'mentang', 'dirikan', 'nala', 'telkomsel', 'terkenal', 'pelayanan', 'jaringan', 'busuk', 'buwat', '']</t>
  </si>
  <si>
    <t>['apk', 'bagus', 'suka', 'banget', 'check', '']</t>
  </si>
  <si>
    <t>['tekomsel', 'ngajar', 'kuota', 'beli', 'harga', 'kuota', 'gb', 'kek', 'kuota', 'lelet', 'banget', 'jaringan', 'dahh', 'pengguna', 'telkomsel', 'udah', 'beli', 'mending', 'indosat', 'murah', 'meriah', 'jaringan', 'berkualitas']</t>
  </si>
  <si>
    <t>['isi', 'kuota', 'ndak', 'berfungsi', 'gangguan', 'kecepatan', 'speed', 'bagus', 'mahal', 'aktif', 'cepat']</t>
  </si>
  <si>
    <t>['', 'telkomsel', 'anjinggggg', 'paket', 'data', 'udah', 'mahal', 'tpi', 'sinyal', 'lelet', 'ganti', 'kartu', 'sebelah', 'lokasi', 'pasuruan', 'bangil', 'pandaan', 'telkomsel', 'janccokkkkk']</t>
  </si>
  <si>
    <t>['gabisa', 'log', 'udah', 'masukin', 'tolong', 'bantu', 'makasih']</t>
  </si>
  <si>
    <t>['mahal', 'doangan', 'kualitas', 'jaringan', 'parah', 'jelek', 'banget', 'lemot', 'banget', '']</t>
  </si>
  <si>
    <t>['provider', 'buruk', 'dunia', 'jaringan', 'kayak', 'kont', 'harga', 'mahal', 'semoga', 'secepatnya', 'ditutup', 'merugikan', 'orang']</t>
  </si>
  <si>
    <t>['telkomsel', 'tolong', 'perbaiki', 'jaringnya', 'udah', 'paket', 'mahal', 'jaringan', 'error', '']</t>
  </si>
  <si>
    <t>['telkomsel', 'telkom', 'jaringan', 'buruk', 'udah', 'mahal', 'buruk']</t>
  </si>
  <si>
    <t>['sya', 'sngat', 'karna', 'pastinya', 'telkomsel', 'mengusahakan', 'terbaik', 'pengguna', 'insyaallah', 'kedepannya']</t>
  </si>
  <si>
    <t>['paketan', 'internetan', 'maksudnya', 'gimana', 'paketan', 'bener', 'ngawur']</t>
  </si>
  <si>
    <t>['min', 'koq', 'malam', 'pagi', 'sinyalnya', 'burik', 'banget', 'chat', 'nunggu', 'terkirim', 'bedanya', 'jaringan', 'sebelah', '']</t>
  </si>
  <si>
    <t>['semenjak', 'aplikasi', 'update', 'dibuka', 'kesini', 'telkomsel', 'lemot', 'ditengah', 'kota', 'lemot', 'gini', 'org', 'pindah', 'provider', 'mahal', 'sebanding', 'pelayanan']</t>
  </si>
  <si>
    <t>['pengguna', 'pindah', 'provider', 'lemott', 'penanganan', 'lambat', 'paket', 'data', 'wifi', 'bayar', 'duit', 'murah', 'paketnya']</t>
  </si>
  <si>
    <t>['lemot', 'banget', 'payahh', 'internet', 'mahal', 'berkualitas', 'menghambat', 'aktivitas', '']</t>
  </si>
  <si>
    <t>['andaikan', 'bintang', 'kasi', 'penyedia', 'jaringan', 'tolol', 'internetan', 'mahal', 'jaringan', 'begooo', 'bangkrut', 'becus']</t>
  </si>
  <si>
    <t>['menerima', 'pesan', 'operator', 'sehari', 'kali', 'kadang', 'ganggu', 'jatohnya']</t>
  </si>
  <si>
    <t>['jaringan', 'data', 'internet', 'dipakai', 'data', 'internet', 'kualitas', 'memburuk']</t>
  </si>
  <si>
    <t>['kesini', 'jelek', 'jaringan', 'telkomsel', 'kayak', 'ganti', 'akun', 'game', 'lemot', 'ampun', 'ganti', 'akun', 'cepat', 'pelayanan', 'turun', 'bagus', 'hadeuuuh', '']</t>
  </si>
  <si>
    <t>['daftar', 'paket', 'mitra', 'uda', 'sisa', 'seminggu', 'tenggang', 'jaringan', 'lelet', 'kuota', 'data', 'tolong', 'perbaik', 'jaringan', 'thn', 'perpanjang', 'paketan', '']</t>
  </si>
  <si>
    <t>['apasih', 'jaringan', 'telkomsel', 'mahal', 'hancur', 'kualitas', 'harga']</t>
  </si>
  <si>
    <t>['aplikasi', 'buruk', 'aktif', 'daily', 'login', 'login', 'hapus', 'habisin', 'data', '']</t>
  </si>
  <si>
    <t>['jelek', 'mulu', 'signalnya', 'udah', 'full', 'jaringan', 'datanya', 'gini', 'mahal', 'promonya', 'skrng', 'dikampungku', 'cepat', 'lebi', 'murah', 'ketimbang', 'telkomsel', '']</t>
  </si>
  <si>
    <t>['bintang', 'ganti', 'bintang', 'karna', 'telkomsel', 'enakan', '']</t>
  </si>
  <si>
    <t>['puas', 'saran', 'aplikasi', 'kuota', 'lokalnya', 'nunggu', 'kuota', 'utama', 'habis', 'saran', '']</t>
  </si>
  <si>
    <t>['ndak', 'kirim', 'tautan', 'login', 'kadaluarsa', 'makan', 'pulsanya', 'ndak', 'pisahin', 'kuota', 'internet', 'pulsa', 'udh', 'habis', 'kuota', 'internet', 'embat', 'pulsanya', 'mahal', '']</t>
  </si>
  <si>
    <t>['telkomsel', 'jelek', 'mending', 'mahal', 'kualitas', 'lumayan', 'mahal', 'memuaskan', 'kecewa', 'sinyal', 'lemot', '']</t>
  </si>
  <si>
    <t>['jaringanya', 'suka', 'hilang', 'masak', 'buka', 'youtube', 'susah', 'sinyalnya', 'udah', 'tetep', 'lemot', 'tolong', 'diperbaiki', 'kendala', 'sinyalnya', 'masak', 'beli', 'kuota', 'mahal', 'dipakai', '']</t>
  </si>
  <si>
    <t>['tolong', 'telkomsel', 'putus', 'jaringan', 'internet', 'client', 'main', 'game', 'sampah', 'higgs', 'domino', 'island', '']</t>
  </si>
  <si>
    <t>['kak', 'knp', 'chek', 'hadiah', 'pdhal', 'hdiah', 'blm', 'ambil']</t>
  </si>
  <si>
    <t>['good', 'job', 'naikan', 'harga', 'paket', 'data', 'turunkan', 'kualitas', 'jaringannya', 'mantapzzz', '']</t>
  </si>
  <si>
    <t>['telkomsel', 'memuaskan', 'paket', 'nelpon', 'paket', 'datanya', 'sungguh', 'miris', 'mengecewakan', '']</t>
  </si>
  <si>
    <t>['update', 'ngk', 'coba', 'instal', 'ulang', 'ngk', 'dicoba', 'update', 'ngk', 'update', 'jaringan', 'lemot', 'telkomsel', 'parah', 'abis', '']</t>
  </si>
  <si>
    <t>['mudah', 'korupsi', 'pelayanan', 'diperhatikan', 'namanya', 'batas', 'dilaksanakan', 'sanpai', 'batas', 'batas', 'habis', 'sinyalnya', 'dipermainkan', '']</t>
  </si>
  <si>
    <t>['aplikasi', 'kadang', 'murah', 'beli', 'counter', 'banyakin', 'promonya', 'kya', 'tetangga', 'sebelah', '']</t>
  </si>
  <si>
    <t>['halo', 'telkomsel', 'sinyalnya', 'tolong', 'dibenerin', 'sinyalnya', 'jelek', 'kuliah', 'daring', 'telkomsel', 'kesini', 'sinyalnya', 'gangguan', '']</t>
  </si>
  <si>
    <t>['maju', 'telkomsel', 'telkomsel', 'terbaik']</t>
  </si>
  <si>
    <t>['udah', 'klaim', 'hadiah', 'daily', 'check', 'pas', 'diklaim', 'udah', 'rajin', 'check', 'tolong', 'diperbaiki', 'sayang', 'kali', 'udah', 'rajin', 'klaim', 'hadiah', 'pas', 'ditukar', '']</t>
  </si>
  <si>
    <t>['rumah', 'samping', 'tower', 'telkomsel', 'sinyal', 'bagus', 'speed', 'internetnya', 'tetep', 'lelet', 'harga', 'paket', 'mahal', 'pengguna', 'loyal', 'isi', 'ulang', 'paketan', 'kena', 'prank', 'pulsa', 'pakai', 'paketan', 'pulsa', 'mencukupi', 'sinyal', 'bagus', 'gua', 'udah', '']</t>
  </si>
  <si>
    <t>['memiliki', 'paket', 'kuota', 'aktif', 'terpakai', 'kuota', 'aktifnya', 'mohon', 'diperbaiki', 'memprioritaskan', 'kuota', 'aktifnya', '']</t>
  </si>
  <si>
    <t>['parah', 'kirain', 'halo', 'beres', 'anjlok', 'konfirmasi', 'laporan', 'menghubungi', 'zonk', 'sampe', 'off', 'cellphone', 'ampe', 'jebol', 'banget', 'lihat', 'sistem', 'signal', 'full', 'nyata', 'zonk', 'giliran', 'tagihan', '']</t>
  </si>
  <si>
    <t>['bagus', 'jaringanya', 'mohon', 'harga', 'kuota', 'internetnya', 'terjangkau', 'trima', 'kasih']</t>
  </si>
  <si>
    <t>['buruk', 'jaringan', 'telkomsel', 'mahal', 'jaringan', 'buruk', 'andalkan']</t>
  </si>
  <si>
    <t>['jaringannya', 'lemot', 'telkomsel', 'providor', 'unggul', 'jaringannya', 'bermasalah', 'beli', 'paket', 'data', 'mahal', 'mahal', 'jaringannya', 'error', '']</t>
  </si>
  <si>
    <t>['udah', 'mahal', 'tingkah', 'sanggup', 'kasih', 'unlimited', 'ganti', 'kuota', 'masak', 'unlimited', 'kasih', 'batas', 'kecepatan', 'mbps', 'udah', 'mahal', 'pulak', 'harganya', 'kesini', 'rusak', 'provider']</t>
  </si>
  <si>
    <t>['kecewa', 'telkomsel', 'data', 'internet', 'utama', 'video', 'tlong', 'perbaiki']</t>
  </si>
  <si>
    <t>['performa', 'sesuai', 'harga', 'mahal', 'trouble', 'jaringan', 'parah', 'jaringannya']</t>
  </si>
  <si>
    <t>['mohon', 'maaf', 'paket', 'data', 'muncul', 'notifikasi', 'paket', 'data', 'habis', 'penawaran', 'paket', 'darurat', 'pencet', 'kepencet', 'iya', 'paket', 'darurat', 'aktif', 'pulsa', 'kepotong', 'rb', 'isi', 'ulang', 'pulsa', 'sungguh', 'pelanggan', 'setia', 'telkomsel', 'kecewa', 'mohon', 'benahi', 'terima', 'kasih', '']</t>
  </si>
  <si>
    <t>['mempermudah', 'transaksi', 'tukar', 'point', 'pembelian', 'pulsa', 'paket']</t>
  </si>
  <si>
    <t>['maaf', 'komen', 'edit', 'sabtu', 'sep', 'jaringan', 'simpati', 'buruk', 'buka', 'web', 'zoom', 'muncul', 'video', 'presentasi', 'kemunduran', 'kerja', 'sekolah', 'online', 'lokasi', 'waru', 'sidoarjo', 'tolong', 'dibenahi']</t>
  </si>
  <si>
    <t>['memuaskan', 'ditingkatkan', 'layanannya', 'trima', 'kasih', '']</t>
  </si>
  <si>
    <t>['kecewa', 'sinyal', 'acur', 'parah', 'jelek', 'kapok', 'telkom', 'bye', '']</t>
  </si>
  <si>
    <t>['terimakasih', 'beli', 'pulsa', 'membeli', 'paket', 'kp', 'besok', 'pulsa', 'sisa', 'kesedot', 'gmn', '']</t>
  </si>
  <si>
    <t>['tok', 'sistim', 'checkun', 'harian', 'giliran', 'dpt', 'bonus', 'ilang', 'sistim', 'checkin', 'bad', 'pelayanannya', 'kyk', 'gni']</t>
  </si>
  <si>
    <t>['utamakan', 'layanan', 'masyarakat', 'masyarakat', 'ekonomi', 'pengguna', 'terbesar', '']</t>
  </si>
  <si>
    <t>['telokmsel', 'buka', 'akun', 'apasih', 'hidupnya', 'ngebug', 'tegang', 'tolong', 'perbaiki', 'kesalahannya', 'developer']</t>
  </si>
  <si>
    <t>['aktifin', 'paket', 'sinyal', 'ancur', 'banget', 'pas', 'pindah', 'posisi', 'cari', 'bagus', 'sinyal', 'oke', 'lemot', 'haiiisss', 'untung', 'aktifin', 'seminggu', 'coba', 'klu', 'sebulan', 'emosi', 'jiwa', 'hihihihi', '']</t>
  </si>
  <si>
    <t>['kecewa', 'pulsa', 'hilang', 'aktif', 'paket', '']</t>
  </si>
  <si>
    <t>['okelah', 'paket', 'unlimited', 'youtube', 'diilangin', 'game', 'asw', 'paket', 'unlimited', 'masi', 'gb', 'kgak', 'buka', 'game', 'daerah', 'bagus', 'pindah', 'provider', 'telkomtod', 'gada', 'bagus', 'asw', 'terpaksa']</t>
  </si>
  <si>
    <t>['perusahaan', 'plat', 'merah', 'jaringannya', 'lemot', 'tolong', 'diperhatikan', 'pelanggan', 'kecewa', '']</t>
  </si>
  <si>
    <t>['telkomsel', 'giliran', 'check', 'dpt', 'kuota', 'ehhh', 'icon', 'check', 'php', 'kejadian', 'kecewa', '']</t>
  </si>
  <si>
    <t>['tannya', 'sinyal', 'telkomsel', 'masuk', 'jam', 'jelek', 'ampun', 'bermain', 'game']</t>
  </si>
  <si>
    <t>['kemarin', 'kemarin', 'msh', 'daily', 'check', 'hilang', 'reward', 'cliem', 'seneng', 'hadiah', 'quota', 'gratis', 'telkomsel', '']</t>
  </si>
  <si>
    <t>['jaringannya', 'lemot', 'paket', 'internet', 'multi', 'media', 'jaringan', 'lemot', 'kuota', 'menumpuk', 'terpakai', 'pakai', 'apapun']</t>
  </si>
  <si>
    <t>['kelebihan', 'jaringan', 'telkomsel', 'daerah', 'kelemahan', 'jaringan', 'telkomsel', 'parah', 'lemotnya', 'kadang', 'hilang', 'total']</t>
  </si>
  <si>
    <t>['plis', 'mohon', 'perbaiki', 'jaringan', 'buka', 'ngak', 'datasya', 'sinyalnya', 'bagus', 'kanapa', 'ngak', 'buka', 'mohon', 'berbaiki', '']</t>
  </si>
  <si>
    <t>['susah', 'banget', 'masuknya', 'posesnyabga', 'lemot', '']</t>
  </si>
  <si>
    <t>['harga', 'kuota', 'sesuai', 'kebutuhan', 'menghabiskan', 'uang', 'kuota', 'harga', 'naikan', 'simcard', 'simcard', 'utama', 'internet', 'mahal', 'tarif', 'kuotanya', 'promo', 'simcard', 'jarang', 'mengisi', 'aktif', 'promo', 'murah', 'adil', 'ngga', 'taktik', 'bagus', 'memeras', 'pelanggan', 'kek', 'gini', 'mending', 'beralih', 'provider', '']</t>
  </si>
  <si>
    <t>['dikit', 'perbaikan', 'perbaikan', 'jam', 'kompensasinya', 'maaf', 'memangnya', 'dapet', 'quota', 'maaf', 'otak', 'untung', '']</t>
  </si>
  <si>
    <t>['', 'sayakan', 'idi', 'pulsa', 'ngg', 'sms', 'masuk', 'rugi', 'isi', 'pulsa', 'rb', 'masuk', 'cmn', 'rb', 'kmn', 'udh', 'ditunggu', 'sms', 'ngg', 'notif', 'rugi', 'rb', 'tolong', 'bantuannya', '']</t>
  </si>
  <si>
    <t>['bagus', 'appnya', 'memudahkan', 'pengguna', 'info', 'kartu', 'mencari', 'paket', 'promo', 'murah']</t>
  </si>
  <si>
    <t>['udah', 'bayar', 'mahal', 'jaringan', 'buriq', 'bintang', 'mines', 'gua', 'kasih', '']</t>
  </si>
  <si>
    <t>['', 'indonesia', 'timur', 'sell', 'diandalkan', 'kecewa', 'harganya', 'mahal', '']</t>
  </si>
  <si>
    <t>['aplikasinya', 'bagus', 'banget', 'beli', 'paket', 'internet', 'pas', 'internetnya', 'habis', 'tetep', 'beli', 'paket', '']</t>
  </si>
  <si>
    <t>['beli', 'kuota', 'gb', 'unlimited', 'rb', 'kuota', 'internet', 'habis', 'sisa', 'kuota', 'unlimited', 'jaringan', 'buruk', 'gunanya', 'internet', 'unlimited', 'buka', 'susah', 'jelek', 'kualitas', 'jaringannya', 'telkom', 'ganti', 'kartu', '']</t>
  </si>
  <si>
    <t>['', 'telkomsel', 'tolong', 'perbaiki', 'sinyal', 'kesini', 'apk', 'gabisa', 'dipakai', 'sinyal', 'full', 'jaringan', 'internet', 'suka', 'stabil']</t>
  </si>
  <si>
    <t>['ngerti', 'kuota', 'nonton', 'deskripsi', 'detailnya', 'tolong', 'telkomsel', 'perjelas', 'kuota', 'nonton', 'kuota', 'terpakai']</t>
  </si>
  <si>
    <t>['pembelian', 'paket', 'gagal', 'sistem', 'default', 'pengembalian', 'biaya', 'saldo', 'kepotong', 'paket', 'masuk', 'komplain', 'nunggu', 'minggu', 'blm', 'pngembalian', 'pas', 'komplain', 'disuruh', 'nunggu', 'paket', 'inject', 'jiwa', 'pelayanannya', 'pikir', 'minggu', 'pembelian', 'paket', 'dinyatakan', 'gagal', 'paket', 'go', 'banget', 'udh', 'dijelasin', 'sgera', 'pngmbalian', 'saldo', 'karna', 'beli', 'paket']</t>
  </si>
  <si>
    <t>['protes', 'dimana', 'maaf', 'maaf', 'paketnya', 'doang', 'mahal', 'kualitas', 'jaringannya', 'sesuai', 'bayar']</t>
  </si>
  <si>
    <t>['isi', 'pulsa', 'telkomsel', 'simpati', 'tgl', 'september', 'tgl', 'september', 'pemberitahuan', 'via', 'sms', 'telkomsel', 'pulsa', 'dipotong', 'tarip', 'non', 'paket', 'membeli', 'paket', 'berlangganan', 'paket', 'memakai', 'mghidupkan', 'data', 'internet', 'via', 'telkomsel', 'cek', 'pulsa', 'berkurang', 'sesuai', 'nominal', 'sms', 'telkomsel', 'terpotong', 'memakai', 'produk', 'telkomsel', '']</t>
  </si>
  <si>
    <t>['lemot', 'main', 'game', '']</t>
  </si>
  <si>
    <t>['bintang', 'apl', 'telkomsel', 'versi', 'jujur', 'jaringan', 'telkomsel', 'lemot', 'area', 'bekasi', 'dapet', 'undian', 'telkomsel', 'poin', 'hehehee']</t>
  </si>
  <si>
    <t>['sinyal', 'aduh', 'kakak', 'mantap', 'sampek', 'gini', 'kah', 'memuaskan', 'pelanggan', 'sinyal', 'down']</t>
  </si>
  <si>
    <t>['telkomsel', 'bejad', 'putus', 'sinyalnya', 'nyedot', 'pulsa', 'kuota', 'internet', 'telkom', 'internet', 'bejad', 'mending', 'tutup', 'perusahan', 'nyusahin', 'orang', '']</t>
  </si>
  <si>
    <t>['kasih', 'bintang', 'cuman', 'gara', 'gara', 'lemot', 'parah', 'kerjaan', 'terhalang', 'akibatnya', 'numpuk', 'sampe', 'detik', 'postingan', 'mohon', 'maaf', 'buah', 'kekesalanku', 'jaringan', 'telkomsel', 'lemot', 'tanggal', 'september', '']</t>
  </si>
  <si>
    <t>['internet', 'game', 'bnyak', 'donk', 'paket', 'game', 'max', 'paket', 'internet', 'utama', 'paket', 'internet', 'utama', 'abis', 'udah', 'paket', 'internet', 'game', 'max', 'payah']</t>
  </si>
  <si>
    <t>['pakai', 'kartu', 'telkomsel', 'pakai', 'simpati', 'berganti', 'kekartu', 'kartu', 'berubah', 'kartu', 'hallo', 'dpt', 'hadiah', 'apapun', 'kali', 'semoga', 'terbukti', 'coba', 'program', 'undian']</t>
  </si>
  <si>
    <t>['saranin', 'teman', 'teman', 'beli', 'paket', 'kuota', 'telkomsel', 'harganya', 'mahal', 'jaringannya', 'ampas', 'beli', 'im', '']</t>
  </si>
  <si>
    <t>['kurangin', 'bintang', 'udah', 'seru', 'main', 'game', 'jaringan', 'jelek', 'pdahl', 'udah', 'ganti', 'kartu', 'sya', 'telkomsel', 'udah', 'beda', 'kayak', '']</t>
  </si>
  <si>
    <t>['hilangkan', 'poin', 'telkomsel', 'beli', 'kuota', 'poin', 'tagihan', 'pulsa', 'poin', 'tsel', '']</t>
  </si>
  <si>
    <t>['sumpah', 'oprator', 'dajjal', 'kecewa', 'bget', 'jarigan', 'teryata', 'omogan', 'orang', 'pakai', 'oprator', 'omong', 'doang']</t>
  </si>
  <si>
    <t>['telkomsel', 'parah', 'jaringannya', 'aduh', 'lelet', '']</t>
  </si>
  <si>
    <t>['pengguna', 'setia', 'simpati', 'kecewa', 'aplikasi', 'telkomsel', 'promo', 'khusus', 'rb', 'isi', 'pulsa', 'hilang', 'promo', 'alhasil', 'pasang', 'paket']</t>
  </si>
  <si>
    <t>['jaringan', 'telkomsen', 'hancur', 'kali', 'baahhhh', 'eror', 'mulu', 'tdi', 'tolong', 'perbaiki']</t>
  </si>
  <si>
    <t>['paket', 'informasi', 'gratis', 'sms', 'gratis', 'telp', 'menit', 'pulsa', 'berkurang', '']</t>
  </si>
  <si>
    <t>['terpaksa', 'semoga', 'muncul', 'pegawai', 'bumn', 'rusak', 'cepat', 'mati', 'menodai', 'bibit', 'indonesia', 'sembuh', 'rusak', 'contoh', 'generasi', '']</t>
  </si>
  <si>
    <t>['telkomsel', 'harga', 'kuota', 'mahal', 'kualitas', 'harga', 'kuota', 'mahal', 'kualitas', 'jelek', 'sinyal', 'lemah', 'game', 'ngelag', 'parah', 'btw', 'gua', 'tinggal', 'surabaya', 'tolong', 'tod', 'perbaiki', 'jaringan', 'telkomsel', 'surabaya', 'lancar', 'jaya']</t>
  </si>
  <si>
    <t>['telkomsel', 'jaringan', 'persis', 'kayak', 'orang', 'gajian', 'qlo', 'jaringannya', 'jelek', 'jaringannya', 'ngajak', 'orang', 'tawuran', '']</t>
  </si>
  <si>
    <t>['paket', 'mahal', 'pemakaian', 'kuota', 'jaringan', 'gangguan', 'beh']</t>
  </si>
  <si>
    <t>['telkomsel', 'kedepan', 'karuan', 'mahal', 'jaga', 'kwalitas', 'masak', 'sby', 'internetnya', 'lemot', '']</t>
  </si>
  <si>
    <t>['beli', 'internet', 'sakti', 'khusus', 'nomor', 'terpilih', 'ehh', 'saking', 'saktinya', 'internetnya', 'dipake', 'pas', 'dicek', 'kuota', 'internet', 'gb', 'paket', 'chat', 'stream', 'gb', 'gimana', 'solusinya', 'browsing', 'dikit', 'susah', 'gini', 'mending', 'dirumah', 'wifi', 'tujuan', 'beli', 'kuota', 'gini', 'rumah', 'berfungsi', 'semestinya', 'tolong', 'btw', 'program', 'kuota', 'pakai', 'data', 'kuota', 'pulsa', 'kepakai', 'what', '']</t>
  </si>
  <si>
    <t>['dear', 'telkomsel', 'sungguh', 'kecewa', 'percaya', 'tanda', 'telkomsel', 'dijual', '']</t>
  </si>
  <si>
    <t>['gunanya', 'beli', 'pulsa', 'jaringan', 'telkomsel', 'gangguan', '']</t>
  </si>
  <si>
    <t>['simpati', 'terkenal', 'lemot', 'skrng', 'wlaupun', 'pakatan', 'mahal', 'mahal', 'tetep', 'beli', 'kualiatas', 'mengecewakan', 'kalah', 'indosat', 'sinyal', 'hujan', 'badai', 'tetep', 'lancar', 'msh', 'mendung', 'muter', 'pdhal', 'paketan', 'msh', 'kecewa', 'bos', 'ganti', 'indosat', 'enk']</t>
  </si>
  <si>
    <t>['alhamdulillah', 'aplikasi', 'takut', 'habis', 'kuotp', 'dimana', 'lgsung', 'beli', 'paket', 'murah', 'nampoooll']</t>
  </si>
  <si>
    <t>['jaringannya', 'susah', 'internet', 'susah', '']</t>
  </si>
  <si>
    <t>['sangattt', 'kecewaa', 'menyesal', 'jaringan', 'telkomsel', 'jaringan', 'buruk', 'stabil', 'daerah', 'rumah', 'sangatt', 'jelek', 'jaringan', 'telkomsel', 'jeeeelllllleeeekkkkk', 'jaringan', 'telkomsel']</t>
  </si>
  <si>
    <t>['nomerku', 'bertahun', 'pakai', 'poinku', 'telkomsel', 'point', 'point', 'tukarkan', 'kog', 'tinggak', 'point', 'telkomsel', 'malingnya', '']</t>
  </si>
  <si>
    <t>['makasih', 'telkomsel', 'jaringan', 'lemot', 'hehehehe', 'kwkwkw', 'telkomsel', 'rugi', 'uda', 'lemot', 'mahal']</t>
  </si>
  <si>
    <t>['jaringan', 'telkomsel', 'buruk', 'nonton', 'youtube', 'bagus', 'tpi', 'buruk', 'banget', 'paket', 'data', '']</t>
  </si>
  <si>
    <t>['kasih', 'bintangnya', 'pembelian', 'game', 'pulsa', 'sia', 'sia', 'isi', 'pulsa', '']</t>
  </si>
  <si>
    <t>['tolong', 'jaringannya', 'perbaiki', 'telkomsel', 'tolong', 'perbaiki', 'jaringan', 'tolong', 'pelanggan', 'setia', 'karna', 'jaringannya', 'jelek', 'liat', 'jaringannya', 'full', 'pas', 'buka', 'internet', 'lambat', 'paket', 'datanya', 'habis', 'paket', 'data', 'belasan', 'tolong', 'perbaiki', 'bintangnya', 'kasih', 'full']</t>
  </si>
  <si>
    <t>['edit', 'jaringan', 'connect', 'internet', 'bintang', 'udah', 'rating', 'jaringan', 'harga', 'doang', 'mahal', 'jaringan', 'trouble', 'teros', 'kartu', 'three', 'bagus', 'ketimbang', 'telkom', '']</t>
  </si>
  <si>
    <t>['bingung', 'telkomsel', 'lelet', 'banget', 'bangga', 'telkomsel', 'paket', 'utama', 'habis', 'paket', 'bonusnya', 'buka', 'youtube', 'berat', 'banget', 'paket', 'sakti', 'rb', 'gb', 'gb', 'paket', 'utama', 'gb', 'sisanya', 'paket', 'bonus', 'gb', 'habis', 'gb', 'dipakai', 'lelet', 'banget', 'adakan', 'promo', 'ikhlas', 'bonus']</t>
  </si>
  <si>
    <t>['', 'ngasih', 'harga', 'mahal', 'layanan', 'becuzz', 'njing', 'rugi', 'coxx', 'sebanding', 'taekkk', 'tolong', 'lahhhhh', 'aplagi', 'pelanggan', 'make', 'kuota', 'harian', 'besok', 'udah', 'habiss', 'gimana', 'coxxxx', 'kompensasinya', 'gakkkkk', 'coxxx', 'pikir', 'elo', 'njing', 'rugiin', 'maap', 'ganti', 'ruginya', 'feedbacknya', 'coxxx', 'tolong', 'cepat', 'perbaiki', 'jaringan', 'orang', 'berkomunikasi', 'kerabat']</t>
  </si>
  <si>
    <t>['', 'comment', 'paham', 'dikasih', 'bintang', 'ngga', 'paham', 'ngga', 'mikir', 'parah', 'abis', 'jaringan', 'internetnya', '']</t>
  </si>
  <si>
    <t>['harapan', 'terbaik', 'ridzoi', '']</t>
  </si>
  <si>
    <t>['sinyal', 'penuh', 'internet', 'lag', 'dipakai', 'harga', 'mahal', 'dbanding', 'kompetitor', 'ganti', 'kartu', 'telkomsel', 'jaya', 'masanya']</t>
  </si>
  <si>
    <t>['wahh', 'telkomsel', 'jahat', 'dehh', 'giliran', 'udh', 'berhasil', 'claim', 'daily', 'check', 'gb', 'tarik', 'php', 'mulu', 'telkomsel', 'nihh', 'capee', 'deehh']</t>
  </si>
  <si>
    <t>['telkomsel', 'udh', 'jringan', 'buruk', 'app', 'buruk', 'beli', 'paket', 'doank', 'mahaal', 'jaringan', 'perbaiki', 'kah', 'habis', 'duit', 'beli', 'pulsa', 'data', 'jaringan', 'burik', '']</t>
  </si>
  <si>
    <t>['telkomsel', 'sebulan', 'jaringannya', 'lemot', 'udah', 'dicoba', 'matiin', 'data', 'restart', 'hapus', 'chace', 'tetep', 'lemot', 'pakai', 'pasca', 'bayar', 'pengen', 'menangis', '']</t>
  </si>
  <si>
    <t>['lemot', 'internet', 'telkomsel', 'paket', 'data', 'msh', 'bnyak', 'mati', 'lampu', 'sinyal', 'lgsung', 'ilang', 'silang', 'smua']</t>
  </si>
  <si>
    <t>['kenpa', 'telkom', 'susah', 'buka', 'sinyal', 'suka', 'hilang', 'mulu', 'tolong', 'perbaiki', 'secepat', 'kesellll']</t>
  </si>
  <si>
    <t>['menyesal', 'aktif', 'paket', 'data', 'simpati', 'karna', 'coba', 'kerugian', 'paket', 'data', 'im', '']</t>
  </si>
  <si>
    <t>['giliran', 'buak', 'appnya', 'lancar', 'banget', 'app', 'lemot', 'banget', 'kuota', 'data', 'telkomsel', 'gratis', 'koneksinya', 'karuan', 'bayar', 'boss', 'hak', 'pengguna', 'diman', 'kasih', 'koneksi', 'lambat', 'mempromosikan', 'tercepat', 'csnya', 'tlpon', 'sopan', 'solusi', 'udah', 'kaya', 'sales', 'vaksin', 'covid', 'hak', 'pelanggan', 'tertulis', 'penipu', '']</t>
  </si>
  <si>
    <t>['mahal', 'jaringan', 'buriknya', 'ampun', 'udah', 'kota', 'gila', 'jaringannya', 'nggak', 'ngotak']</t>
  </si>
  <si>
    <t>['slmat', 'malam', 'nma', 'angga', 'mohon', 'maaf', 'kenpa', 'jaringan', 'susah', 'banget', 'buka', 'game', 'pokonya', 'media', 'susah', 'bnget', 'pdahal', 'kouta', 'internet', 'kesalahan', 'tolong', 'perbaiki', 'pliss', '']</t>
  </si>
  <si>
    <t>['', 'kecewa', 'telkomsel', 'bayar', 'mahal', 'kualitas', 'sinyalnya', 'lemah', 'beralih', 'kartu', 'sebelah', 'stabil', 'sesuai', 'bayaran', 'tetapkn', 'merugikan', 'konsumen', 'halnya', 'tindakan', 'pidana', '']</t>
  </si>
  <si>
    <t>['mengenal', 'operator', 'perdana', 'telkomsel', 'telkomsel', 'merasakan', 'manfaat', 'keunggulan', 'telkomsel', 'telkomsel', 'the', 'best', '']</t>
  </si>
  <si>
    <t>['kekuatan', 'sinyal', 'buruk', 'sesuai', 'paket', 'kuota', 'malas', 'langanan', 'telkomsel']</t>
  </si>
  <si>
    <t>['jaringan', 'tekomsel', 'pas', 'hujan', 'lelet', 'parah', '']</t>
  </si>
  <si>
    <t>['maaf', 'turunkan', 'bintangnya', 'karna', 'jelek', 'jaringanya', '']</t>
  </si>
  <si>
    <t>['error', 'loading', 'terkadang', 'bugging', 'pengalaman', 'buruk', 'memakai', 'aplikasi']</t>
  </si>
  <si>
    <t>['kuota', 'udah', 'mahal', 'jaringan', 'eror', 'udah', 'jam', 'tunggu', 'main', 'game', 'sundalaaa', 'ashu']</t>
  </si>
  <si>
    <t>['udh', 'berlanganan', 'telkomsel', 'skrng', 'kayak', 'bebas', 'roming', 'skrng', 'internet', 'rewel', 'coba', 'cek', 'history', 'langanan', 'nomer', 'tlpon', 'lelet', 'telkomsel', 'skng']</t>
  </si>
  <si>
    <t>['anjenkk', 'jaringan', 'buruk', 'telkomsel', 'binatang', 'perbaiki', 'jaringan', 'kamprett', '']</t>
  </si>
  <si>
    <t>['hadehh', 'telkomsel', 'signal', 'hilang', 'area', 'gresik', 'telkomsel', 'jaringan', 'hilang', 'paket', 'mahal', 'min', 'masak', 'jaringan', 'kek', 'gini', 'muluh', 'keseringan', 'hilang', 'capek', 'gua', 'komplain', 'grapari', 'kampung', 'hmmm', 'perbaiki', 'lahh']</t>
  </si>
  <si>
    <t>['kian', 'sinyalnya', 'stabil', 'lemot', 'menjengkelkn', 'banget', 'tolong', 'perhatikan', 'pelayanan', 'sinyalnya', 'sibuk', 'promo', 'tuk', 'menarik', 'minat', 'ujung', 'tersedot', 'gara', 'lola', 'jaringan', 'bgini', 'mendingan', 'pindah', 'provider', 'trus', 'tuk', 'aplikasinya', 'waduhhhh', 'menjengkelkan', 'pakai', 'ruang', 'memori', 'gede', 'buka', 'lemmooooottttnya', 'ampun', 'gregeeetan', 'tollloooongggggg', 'perhatikan', 'keluhan', 'pelanggan', '']</t>
  </si>
  <si>
    <t>['jaringan', 'stabil', 'kadang', 'hilang', 'sinyal', 'nyaman', 'internet', 'jaringan', 'ditingkatkan', 'perbaikannya']</t>
  </si>
  <si>
    <t>['', 'telkomsel', 'aplikasi', 'poinnya', 'ditukar']</t>
  </si>
  <si>
    <t>['udah', 'paketan', 'mahal', 'jaringan', 'buruk', 'main', 'game', 'sinyal', 'turun', 'stabil', 'paketan', 'mahal', 'jaringannya', 'bagus', 'perbaiki', 'jaringannya', '']</t>
  </si>
  <si>
    <t>['jaringan', 'tercepat', 'menjangkau', 'pelosok', 'jaringan', 'lambat', 'dikota', 'doang', 'jaringan', 'bagus', 'didesa', 'make', 'kota', 'mulu', 'diperbaikin', 'omong', 'kosong', 'belaka']</t>
  </si>
  <si>
    <t>['', 'september', 'telkomsel', 'jelek', 'banget', 'fix', 'udah', 'paketnya', 'mahal', 'daerah', 'gunung', 'susah', 'sinyal', 'hilang', 'kayak', 'pakai', 'sinyal', 'edge', 'bang', '']</t>
  </si>
  <si>
    <t>['kesini', 'telkomsel', 'jaringan', 'lelet', 'eror', 'biaya', 'trf', 'plsa', 'paketan', 'mhal', 'sepadan', 'jaringan', 'eror', 'lemot', '']</t>
  </si>
  <si>
    <t>['ngerti', 'jaringan', 'telkomsel', 'harga', 'paket', 'mahal', 'jaringan', 'mengecewakan', 'ayolah', 'perbaiki', 'percaya', 'telkomsel', 'sampek', 'telkomsel', 'make', 'gara', 'kualitas', 'burukkkkk', 'game', 'sosmed', 'lancar', 'mahal', 'hadehhhhh', '']</t>
  </si>
  <si>
    <t>['oyyy', 'kode', 'voucher', 'gua', 'masuk', 'perbaiki', 'udah', 'jaringan', 'lelet', 'paket', 'data', 'mahal']</t>
  </si>
  <si>
    <t>['jam', 'jam', 'segini', 'maen', 'game', 'sinyal', 'ping', 'merah', 'trus', 'paketan', 'mahal', 'gag', 'setara', 'jaringan', 'bolak', 'gag', 'sinyalnya']</t>
  </si>
  <si>
    <t>['jaringan', 'telkomsel', 'buruk', 'jaringan', 'internet', 'hilang', '']</t>
  </si>
  <si>
    <t>['', 'error', 'sinyalnya', 'ngerjain', 'tugas', 'error', 'lag', 'parah']</t>
  </si>
  <si>
    <t>['pakai', 'telkomsel', 'nomor', 'pakai', 'susah', 'mempertahankan', 'nomor', 'kualitas', 'jaringan', 'stabil', 'buka', 'apps', 'loading', 'kuota', 'gb', 'kuota', 'jaringan', 'dibatasi', 'beli', 'kuota', 'jaringan', 'dibatasi', 'ganti', 'operator', 'pembatasan', 'jaringan', 'terimakasih', 'telkomsel', 'pelayanan', '']</t>
  </si>
  <si>
    <t>['sinyal', 'lemot', 'udh', 'mode', 'pesawat', 'tetep', 'lemot', 'kayak', 'ngabisin', 'kuota', 'sinyal', 'lemot', 'parah', '']</t>
  </si>
  <si>
    <t>['sorong', 'papan', 'tarik', 'papan', 'ambil', 'aki', 'perahu', 'promo', 'isi', 'paket', 'gas', 'diperbaiki']</t>
  </si>
  <si>
    <t>['gatau', 'apaa', 'masak', 'kuota', 'belajar', 'gabisa', 'zoom', 'gabisa', 'buka', 'link', 'universitas', 'gabisa', 'maunya', 'apaaa', 'beli', 'gabisa', 'dipake', 'samsek', 'tolong', 'ayok', 'telkomsel', 'bersahabat', 'diperbaiki', 'lagiii', '']</t>
  </si>
  <si>
    <t>['harga', 'paket', 'mahal', 'kualitas', 'jaringan', 'kaya', 'sampah', 'rugi', 'langganan', 'telkomsel', 'harga', 'paket', 'mahal', 'ttp', 'beli', 'tolong', 'kualitas', 'sinyal', 'perhatikan', 'kenyamanan', 'pelanggan', '']</t>
  </si>
  <si>
    <t>['jaringan', 'gangguannya', 'parah', 'ngga', 'klarifikasi', 'penyebab', 'gangguannya']</t>
  </si>
  <si>
    <t>['mahal', 'banget', 'telkomsel', 'murah', 'jelek', 'jaringan', 'harga', 'mahal']</t>
  </si>
  <si>
    <t>['', 'tolong', 'perbaikan', 'jaringan', 'udh', 'mahal', 'beli', 'paket', 'internet', 'lelet', 'ampun']</t>
  </si>
  <si>
    <t>['lemot', 'bangetttttttttttttt', 'veronika', 'nggak', 'membantu', '']</t>
  </si>
  <si>
    <t>['jaringan', 'burikkk', 'bukanya', 'hancur', 'paketan', 'harganya', 'mahal', 'burikk', 'menyesal', 'jaringan', 'lemott', 'memutuskan', 'pindah', 'kartu', 'perdana', 'sebelah', 'jaringan', 'bagus', 'telkomsel', '']</t>
  </si>
  <si>
    <t>['nyaman', 'telkomsel', 'gangguan', 'koneksi', 'kecewa', '']</t>
  </si>
  <si>
    <t>['udah', 'minggu', 'lho', 'jaringan', 'telkomsel', 'buruk', 'jateng', 'jatim', 'mah', 'internetan', 'nyesel', 'bayar', 'tagihan', 'internetan', 'nyesel', 'udah', 'pindah', 'kartu', 'hallo', 'kayak', 'gini', 'matiin', 'kartu', 'udah', 'minggu', 'lho', 'bedanya', 'make', 'telkomsel', '']</t>
  </si>
  <si>
    <t>['tolong', 'perbaiki', 'jaringan', 'wktu', 'main', 'game', 'lag', 'buruk', 'jaringannnya', 'bayar', 'mahal']</t>
  </si>
  <si>
    <t>['jaringannya', 'jelek', 'beli', 'kuota', 'mahal', 'muter', 'doang', 'parahnya', 'kuotanya', 'habis', 'padahl', 'muter', 'doang', '']</t>
  </si>
  <si>
    <t>['turun', 'lelet', 'buka', 'aplikasinya', 'berat', 'loadingnya', 'aplikasi', 'berat', 'butuh', 'source', 'gede', 'pke', 'ngaruh', 'biyuh', 'aplikasi', 'pooo', 'kiii']</t>
  </si>
  <si>
    <t>['jaringan', 'layanan', 'jelek', 'buruk', 'sinyal', 'hilang', 'pemancar', 'telkomsel', 'dekatnya', 'padam', 'listrik', 'jaringan', 'langsung', 'hilang', 'menyala', 'menunggu', 'normal', 'upaya', 'meningkatkan', 'layanan', '']</t>
  </si>
  <si>
    <t>['produk', 'telkomsel', 'membantu', 'konsumen', 'beli', 'paket', 'kasih', 'bener', 'percaya', 'bener', 'negara', 'udah', 'rusak', 'menderita']</t>
  </si>
  <si>
    <t>['malese', 'kasihhh', 'bintanggg', 'isi', 'pulsa', 'langsung', 'dsedottt', 'anjimmm', 'lahh', 'emng', 'dsedott', 'smua', 'pulaa', 'top', 'dsedott', 'anyinggg', 'balikinn', 'pulsaa', 'anjimmm', '']</t>
  </si>
  <si>
    <t>['nol', 'bintang', 'rela', 'kasih', 'bintang', 'jaringan', 'tsel', 'super', 'duper', 'hancur', 'malam', 'tanggung', 'udah', 'beli', 'kuota', 'mahal', 'mahal', 'ehh', 'gunain', 'terjun', 'bebas', 'jaringan', 'tsel', 'kota', 'manado', 'pokoknya', 'telkomsel', '']</t>
  </si>
  <si>
    <t>['super', 'duper', 'bodoh', 'tsel', 'olah', 'bodohi', 'udah', 'beli', 'kuota', 'mahal', 'jaringan', 'sekota', 'manado', 'lumpuh', 'total', 'trus', 'mengaduh', 'tolonglah', 'menyesal', 'tsel']</t>
  </si>
  <si>
    <t>['curang', 'beli', 'data', 'game', 'syarat', 'kuota', 'utama', 'masuk', 'game', 'kuota', 'utama', 'tersedot', 'habis', 'apapun', 'beli', 'kuota', 'utama', 'mengurangi', 'data', 'game', 'mengurangi', 'kuota', 'utama', 'curang', 'curang', 'curang', '']</t>
  </si>
  <si>
    <t>['telkomsel', 'ngak', 'waras', 'mahal', 'doang', 'iya', 'jaringan', 'lag', 'parah', 'main', 'doang', 'nge', 'lag', 'ngak', 'gerak', 'tinggal', 'daerah', 'bagus', 'parah', 'pengguna', 'kecewa', 'mahal', 'iya', 'jaringan', 'nob', 'ngak', 'kayak', 'gini', 'pengen', 'pindah', 'provider']</t>
  </si>
  <si>
    <t>['maaf', 'telkomsel', 'sinyalnya', 'buruk', 'game', 'lag', 'ping', 'merah', 'gamau', 'hijau', 'mohon', 'perbaiki']</t>
  </si>
  <si>
    <t>['jaringan', 'hacur', 'kali', 'udh', 'upgrade', 'hancur', 'tolol', 'paksakan', 'indo', 'sanggup', 'nampung', 'menyusahkan', 'pengguna', 'telkom', 'mahal', 'harga', 'kualitas', 'jaringan', 'sepadan', 'harga', 'hancur', 'indonesia', 'pantes', 'maju', 'jaringan', 'internet', 'hancur', 'tinggal', 'salin', 'indo', 'nyepalk']</t>
  </si>
  <si>
    <t>['', 'bln', 'buka', 'bka', 'mnta', 'update', 'giliran', 'lihat', 'paketny', 'mahallllll', 'akhirny', 'beli', 'paket', 'kartu', 'tetangga', 'payah', 'tmbah', 'bintang', 'min', 'msukan', 'trima', 'telko', 'knpa', 'sinyalny', 'ilang', 'mulu', 'tlong', 'min', 'nnti', 'tmbah', 'bintangny', '']</t>
  </si>
  <si>
    <t>['telkomsel', 'mohon', 'perbaiki', 'jaringannyo', 'full', 'masak', 'lemot', 'banget', 'udah', 'paket', 'mahal', 'lgi', 'terlanjur', 'kebeli', 'msih', 'lemot', 'beli', 'paket', 'rb', 'lemot', 'bener', 'sumpah', 'nyesel', 'mending', 'pakek', 'kartu']</t>
  </si>
  <si>
    <t>['hai', 'operator', 'telkomsel', 'sinyal', 'telkomsel', 'lemot', 'bangeet', 'cepat', '']</t>
  </si>
  <si>
    <t>['hancur', 'telkomsel', 'sinyalnya', 'cmn', 'mahalnya', 'kualitas', 'sinyalnya', 'ndk', 'bagus', 'cmn', 'mahalnya', 'kualitas', '']</t>
  </si>
  <si>
    <t>['mohon', 'disertakan', 'paket', 'data', 'unlimited', 'kuota', 'telkomsel', 'mahal']</t>
  </si>
  <si>
    <t>['bintang', 'kurangi', 'jaringan', 'telkomsel', 'down', 'main', 'game', 'lag', 'lancar', 'harga', 'paket', 'data', 'seluler', 'meroket', 'pelanggan', 'telkomsel', 'pakek', 'tolong', 'diperbaiki', 'harganya', 'sesuaikan', 'terimakasih']</t>
  </si>
  <si>
    <t>['sinyal', 'buruk', 'hujan', 'dikit', 'jaringan', 'hilang', 'restart', 'mode', 'pesawat', 'produk', 'tuan', 'rumah', 'bagus', 'burukk']</t>
  </si>
  <si>
    <t>['jaringan', 'internet', 'gangguan', 'mengganggu', 'serba', 'online']</t>
  </si>
  <si>
    <t>['sinyal', 'daerah', 'kadang', 'gangguan', 'harga', 'paket', 'lumayan', 'murah', 'terima', 'kasih', 'tsel', '']</t>
  </si>
  <si>
    <t>['tolong', 'kualitas', 'jaringannya', 'perbaiki', 'udah', 'harga', 'paketnya', 'mahal', 'sinyal', 'jelek', 'astaga', 'nangis', 'gegara', 'sinyal', 'telkomsel', 'jelek', 'ujianku', 'telat', 'kekirimnya', '']</t>
  </si>
  <si>
    <t>['mohon', 'dicek', 'operator', 'jaringannya', 'buruk', '']</t>
  </si>
  <si>
    <t>['jaringan', 'internet', 'jelek', 'hujan', 'dibandingkan', 'provider', 'bagus', 'sisa', 'pulsa', 'habis', '']</t>
  </si>
  <si>
    <t>['gua', 'beli', 'unlimited', 'gb', 'kuat', 'sinyal', 'tolol', 'kimak', 'banget', 'paketan', 'mahal', 'pakek']</t>
  </si>
  <si>
    <t>['harga', 'paket', 'kuota', 'internet', 'mahal', 'sinyal', 'kayak', 'sampah', 'tinggal', 'kota', 'main', 'game', 'sinyal', 'suka', 'jumping', 'kadang', 'ping', 'kadang', 'ping', 'rendah', 'sinyal', 'batang', 'sinyal', 'kenyataannya', 'game', 'sinyal', 'kayak', 'sampah', 'hati', 'guys']</t>
  </si>
  <si>
    <t>['jaringan', 'kagak', 'stabil', 'kagak', 'terhubung', 'internet', 'jaringan', 'paket', 'data', 'hubungan', 'jaringan', 'internet', '']</t>
  </si>
  <si>
    <t>['mohon', 'maaf', 'admin', 'down', 'telkomsel', 'mohon', 'maaf', 'sampe', 'down', 'terimaksih', '']</t>
  </si>
  <si>
    <t>['gangguan', 'kah', 'jaringannya', 'lemot', 'kuota', 'udh', 'mahal', 'jaringan', 'bagusin', 'lemot', 'kaya', 'gini', 'pelanggan', 'kecewa', 'gara', 'lemot', 'gini', 'kerja', 'tolong', 'perbaiki', 'jaringannya', '']</t>
  </si>
  <si>
    <t>['', 'genting', 'sinyal', 'bermasalah', 'paketan', 'mahal', 'sebanding', 'pelayanan', '']</t>
  </si>
  <si>
    <t>['jaringan', 'kayak', 'udah', 'parah', 'nyambung', 'akses', 'apapun', 'muter', 'udah', 'dipercaya', 'gajelas', 'udah', 'rela', 'beli', 'paketan', 'mahal', 'kualitas', 'zooonnnnkkkk', '']</t>
  </si>
  <si>
    <t>['jaringan', 'jlek', 'banget', 'admin', 'lenget', 'banget', '']</t>
  </si>
  <si>
    <t>['mohon', 'diperhatikan', 'jaringan', 'sinyal', 'tinggal', 'dikota', 'tpi', 'jaringan', 'sinyal', 'stabil', 'maen', 'game', 'berat', 'kaya', 'main', 'diplosok', 'lag', 'trus', '']</t>
  </si>
  <si>
    <t>['gimana', 'telkomsel', 'kuotaku', 'akses', 'youtube', '']</t>
  </si>
  <si>
    <t>['kecewa', 'banget', 'telkomzel', 'skrng', 'sinyal', 'jelek', 'perbaiki', 'nyantai', 'udah', 'keluhan', 'sinyal', 'buruk', 'woiii', 'adminnn', 'bls', 'doang', 'maaf', 'truss', 'perbaiki', 'kenyataan', 'kaga', 'lakuin', 'gue', 'kasi', 'bintang', 'ttp', 'sinyal', 'bagus', 'udah', 'terlanjur', 'kecewa', 'banget', 'telkomsel']</t>
  </si>
  <si>
    <t>['aplikasinya', 'oke', 'jaringannya', 'buruk', 'kecewa', 'telkomsel']</t>
  </si>
  <si>
    <t>['tolong', 'iya', 'telkomsel', 'jaringan', 'daerah', 'madura', 'tingkatkan', 'beli', 'paketan', 'mahal', 'lemotnya', 'ampun', 'males', 'makek']</t>
  </si>
  <si>
    <t>['tolong', 'sistem', 'paket', 'datanya', 'diperbaiki', 'kuota', 'utama', 'kuota', 'multimedia', 'sudh', 'habis', 'sinyal', 'nyangkut', 'kuota', 'multimedia', 'kuota', 'browsing', 'pdhl', 'kuota', 'ambil', 'paket', 'karna', 'aktif', 'multimedia', 'ttp', 'browsing']</t>
  </si>
  <si>
    <t>['telkomsel', 'lemot', 'itupun', 'tinggal', 'kota', 'makassar', 'bgini', 'jaringannya', 'parah', 'benerr', 'beli', 'data', 'mahal', 'jaringan', 'tpi', 'kalah', 'kartu', 'smartfren', 'mohon', 'perhatikan', 'operator', 'beli', 'mahal', 'jaringannya', 'lemot', 'mulu']</t>
  </si>
  <si>
    <t>['telkomsel', 'kualitas', 'jaringan', 'buruk', 'sinyalnya', 'payah', 'parraaaah', 'pokokx', 'bukanx', 'bagusss', 'jelleeek', '']</t>
  </si>
  <si>
    <t>['woii', 'sinyal', 'jelek', 'mulu', 'paket', 'mahal', 'kasihan', 'beli', 'paket', 'ketipu', 'sinyal', 'buruk', 'banget', 'semoga', 'cepet', 'bangkrut', 'deh', 'nipu', 'duit', 'org', 'paket', 'mahal', '']</t>
  </si>
  <si>
    <t>['aplikasi', 'lemot', 'pas', 'masuk', 'aplikasi', 'ngaheng', 'hapus', 'data', 'dlu', 'buka']</t>
  </si>
  <si>
    <t>['telkomsel', 'kepet', 'seharian', 'internet', 'sinyal', 'data', 'taeekkk']</t>
  </si>
  <si>
    <t>['gara', 'gara', 'dpt', 'gratisan', 'gb', 'aktif', 'paket', 'datanya', 'habis', 'internetan', 'langsung', 'super', 'lemot', 'paket', 'masi', 'paket', 'datanya', 'tolong', 'emg', 'nunggu', 'aktif', 'habis', 'kasih', 'pilihan', 'stop', 'paket', 'datanya', 'nggak', 'kayak', 'gini']</t>
  </si>
  <si>
    <t>['jaringan', 'bagus', 'internet', 'mahal', 'nyambung', 'gangguan', 'lagibini', 'internetnya', '']</t>
  </si>
  <si>
    <t>['telkom', 'telkom', 'butuh', 'kemahalan', 'internet', 'butuhkan', 'kestabilan', 'internet', 'sinyal', 'buka', 'ngisi', 'kouta', 'pribadi', 'gimana', 'hias']</t>
  </si>
  <si>
    <t>['jaringan', 'ngelag', 'paket', 'data', 'gb', 'ngelag', 'kaya', 'paket', 'data', 'mending', 'pindah', 'live', 'terimakasih', 'kawan', '']</t>
  </si>
  <si>
    <t>['pengguna', 'kartu', 'telkomsel', 'udah', 'berubah', 'berubah', 'buruk', 'sinyal', 'hilang', 'jaringan', 'karna', 'coba', 'ganti', 'kartu', 'gimana', 'solusi', 'ganti', 'provider', 'solusi', 'haedeuuh']</t>
  </si>
  <si>
    <t>['disayangkan', 'tarif', 'mahal', 'provider', 'kualitas', 'jaringan', 'buruk', 'hilang', 'jaringan', 'dlm', 'pemberitahuan', 'kompensasi', '']</t>
  </si>
  <si>
    <t>['telkomsel', 'skrg', 'performa', 'bagus', 'paket', 'internet', 'buka', 'facebook', 'mobile', 'lemot', 'muncul', 'facebook', 'gratis', 'hilangkan', 'kyk', 'gini', '']</t>
  </si>
  <si>
    <t>['jaringan', 'telkomsel', 'jelek', 'mohon', 'perbaiki', 'kualitas', 'jaringannya', 'sayang', 'kartu', 'mahal', 'jaringannya', 'jelek', '']</t>
  </si>
  <si>
    <t>['harga', 'paket', 'mahal', 'sinyalnya', 'jelek', 'udh', 'gitu', 'app', 'ngecrash', 'hamdeh', '']</t>
  </si>
  <si>
    <t>['telkomsel', 'signal', 'jelek', 'banget', 'kuota', 'pakai', 'lihat', 'status', 'nonton', 'youtube', 'parah', 'banget', 'menghubungi', 'agen', 'veronika', 'solusi']</t>
  </si>
  <si>
    <t>['kasih', 'bintang', 'performa', 'sinyal', 'bagus', 'nihyah', 'lemot', 'paaaaaarah', 'bener', 'bener', 'paaaaarraaahahahhhh']</t>
  </si>
  <si>
    <t>['tolong', 'yaaa', 'kalok', 'kartu', 'harga', 'sesuai', 'jaringan', 'laah', 'udah', 'kartu', 'mahaal', 'paket', 'mahaal', 'tpi', 'jaringan', 'kek', 'aneh', 'paket', 'ngelag', 'bermain', 'game', 'tolong', 'kalok', 'telkom', 'maju', 'jaringan', 'perbaiki', 'kek', 'nipu', 'paket', 'mahal', 'jaringan', 'kek', 'baca', 'laksanakan', 'langsung', 'kerjakan', 'baca', 'kntl', '']</t>
  </si>
  <si>
    <t>['jaringan', 'internet', 'simpati', 'buruk', 'ganti', 'mengalami', 'teman', 'pengguna', 'simpati', 'mengeluhkan', '']</t>
  </si>
  <si>
    <t>['sinyal', 'ngotak', 'nyesel', 'gua', 'beli', 'telkomsel', '']</t>
  </si>
  <si>
    <t>['terkadang', 'telkomsel', 'buruk', 'sinyalnya', 'lemot', 'buka', 'aplikasi', 'lambat', 'mendingan', 'pakai', 'kartu', 'kadang', 'telkomsel', 'sinyal', 'hilang', 'timbul', 'masuk', 'akal', 'lucu', 'kartu', 'sultan', 'sinyal', 'murahan', 'banget']</t>
  </si>
  <si>
    <t>['parah', 'banget', 'sinyalnya', 'simpati', 'bakyak', 'komplain', 'sinyal', 'udah', 'ngemail', 'butuh', 'perbaikan', 'signifikan', 'simpati', 'sinyal', 'bagus', 'permasalahan', 'sinyal', 'simpati', 'kesini', 'ngelus', 'dada']</t>
  </si>
  <si>
    <t>['jaringan', 'telkomsel', 'stabil', 'buka', 'aplikasi', 'lodingnya', 'main', 'tidka', 'solusinya', 'jaringan', 'telkomsel', 'tindakan']</t>
  </si>
  <si>
    <t>['heh', 'telkomsel', 'kau', 'lemot', 'males', '']</t>
  </si>
  <si>
    <t>['paket', 'mahal', 'sinya', 'kurwng', 'ajar', 'simpati', 'babi', 'badjingan', 'kontollll', '']</t>
  </si>
  <si>
    <t>['app', 'rusak', 'tarif', 'paket', 'masuk', 'akal', 'deh', 'provider', 'mahal', 'iya', 'kualitas', 'abal', 'make', 'provider', 'udah', 'ancur', 'harga', 'kualitas', 'beda', 'komplain', 'benerin', 'kasih', 'bot', '']</t>
  </si>
  <si>
    <t>['telkomsel', 'jaringan', 'taekkkkkk', 'nyesal', 'beli', 'gb', 'super', 'deal', 'jaringan', 'cacat', 'main', 'game', 'mulukk', '']</t>
  </si>
  <si>
    <t>['kecewa', 'pembaruan', 'kuota', 'telkomsel', 'kuota', 'internet', 'pakai', 'sosial', 'media', 'saran', 'sayamhon', 'perbarui', 'terimakasi', 'pecinta', 'telkomsel', 'peduli', 'telkomsel']</t>
  </si>
  <si>
    <t>['woy', 'knpa', 'simpati', 'sinyalnya', 'lemot', 'bngt', 'beli', 'mahal', 'mahal', 'tpi', 'sinyal', 'susah', '']</t>
  </si>
  <si>
    <t>['hujan', 'hujan', 'beli', 'kuota', 'memakai', 'jaringan', 'terlomsel', 'kecewa', 'jaringan', 'lemot', 'ngak', 'lemot', 'ganti', 'kartu', 'jaringan', 'bagus', 'telkomsel', '']</t>
  </si>
  <si>
    <t>['jaringan', 'buruk', 'pakai', 'kuota', 'internet', 'perbulan', 'ribuan', 'pelanggan', 'platinum', 'kualitas', 'internet', 'buruk', 'berencana', 'pindah', 'kartu', 'sebelah', 'murah', 'cepat', 'kuota', 'mahal', 'jaringan', 'buruk', '']</t>
  </si>
  <si>
    <t>['jaringan', 'suka', 'hilang', 'mohin', 'diperbaiki', 'jaringan', 'harga', 'paket', 'kualitas', 'memburuk', '']</t>
  </si>
  <si>
    <t>['beh', 'jaringannya', 'ngotak', 'lemot', 'astagaaa', 'signal', 'telkomsel', 'skrg', 'jaringannya', 'jlk', 'pda', 'aaat', 'maen', 'game', 'signal', 'ngelag', 'kuota', 'doang', 'mahal', 'jaringannya', 'ngelag', 'tolong', 'diperbaiki', 'modal', 'iklan', 'doanggggg', '']</t>
  </si>
  <si>
    <t>['gini', 'klian', 'jaringn', 'kayak', 'siput', 'kota', 'desa', 'jaringan', 'mendukung', 'kota', 'jaringan', 'lancar', 'banget', 'klu', 'beli', 'paketan', 'cek', 'dlu', 'jringn', 'kuat', 'jngn', 'memaksakan', 'milih', 'jaringn', 'telkomsel']</t>
  </si>
  <si>
    <t>['', 'gini', 'paket', 'aktif', 'dpt', 'sms', 'kuota', 'habis', 'data', 'pakai', 'kecewa', '']</t>
  </si>
  <si>
    <t>['sinyal', 'internet', 'telkomsel', 'lemot', 'maksimal', 'internet', 'perbaiki', 'sinyal', 'internet', 'trobel']</t>
  </si>
  <si>
    <t>['telkomsel', 'jaringan', 'sinyal', 'full', 'ngadat', 'buka', 'lelet', 'tolong', 'benerin', 'maaf', 'kasih', 'bintang', 'jaringan', 'jelek', 'full', '']</t>
  </si>
  <si>
    <t>['jaringan', 'lumayan', 'tpi', 'pas', 'beli', 'kuota', 'gb', 'rb', 'kuota', 'multimedianya', 'dipake', 'pengen', 'nangis', 'tabungan', 'uang', 'jajan', 'udah', 'tolong', 'veronica', 'disuruh', 'nunggu', 'sampe', 'mnit', 'please', 'diperbaikin', 'lupa', 'kuota', 'multimedia', 'diperbaikin', 'lgi', 'dipake', '']</t>
  </si>
  <si>
    <t>['sinyal', 'ilang', 'trus', 'paket', 'masi', 'harga', 'mahal', 'tpi', 'sinyal', 'kentang', 'udh', 'bangga', 'kartu', 'gitu', 'koneksi', 'harga', 'paket', 'imbangin', 'sumpah', 'ngeselin', 'kyak', 'nyaman', 'mohon', 'tingkatkan', 'jgan', 'gini', 'trus']</t>
  </si>
  <si>
    <t>['bagus', 'bermanfaat', 'data', 'paket', 'tersisa', 'bli', 'paket', '']</t>
  </si>
  <si>
    <t>['sungguh', 'kecewa', 'telkomsel', 'lelet', 'hilang', 'timbul', 'didaerah', 'minggu', 'bersabar', 'perbaiki', 'bintang', 'bagus', 'signalnya']</t>
  </si>
  <si>
    <t>['pejabatnya', 'kebanyakan', 'korupsi', 'pelayanan', 'buruk', 'kecewa', 'menyesal', 'berpindah', 'kartu', 'halo', 'pelayanan', 'buruk', 'mahal', 'teman', 'ditawarin', 'pindah', 'reguler', 'pascabayar', 'kartu', 'halo', 'rugi', 'bayar', 'mahal', 'rencana', 'pindah', 'indosat', 'telkomsel', 'menang', 'jaringan', 'luas', 'pelayanan', 'terburuk', 'operator', '']</t>
  </si>
  <si>
    <t>['tolong', 'perbaiki', 'jaringannya', 'koq', 'error', 'trouble', 'ojol', 'terganggu', '']</t>
  </si>
  <si>
    <t>['gangguan', 'gangguan', 'gangguan', 'gangguan', 'telkomsel', 'merugikan', 'konsumen', 'konsumen', 'raja', 'konsumen', 'tanggapi', 'keluhan', 'konsumen', 'perubahan', 'bertahun']</t>
  </si>
  <si>
    <t>['pengalaman', 'telkomsel', 'turun', 'kekuatan', 'sinyalnya', 'pembaruan', 'telkomsel', 'luama', 'puol']</t>
  </si>
  <si>
    <t>['woe', 'gue', 'kasih', 'saran', 'telkomsel', 'server', 'loe', 'down', 'baiknya', 'loe', 'kirim', 'sms', 'kayak', 'loe', 'lakuin', 'promoin', 'paketan', 'loe', 'ngak', 'muncul', 'sbgian', 'msyrkt', 'indo', 'make', 'telkomsel', 'selayaknya', 'pelayanannya', 'tingkatka', 'kalah', 'kominfo', '']</t>
  </si>
  <si>
    <t>['sinyalnya', 'susah', 'kadang', 'engga', 'sinyal', '']</t>
  </si>
  <si>
    <t>['udah', 'beli', 'kuota', 'mahal', 'jaringan', 'hilang', 'maksutnya', 'kek', 'sihh', 'kota', 'kartu', 'udah', 'ganti', 'nihh', 'kartu', 'dasar', 'burik']</t>
  </si>
  <si>
    <t>['jujur', 'kecewa', 'pakai', 'telkomsel', 'suka', 'eror', 'sinyal', 'full', 'buka', 'internet', 'paket', 'mahal', 'kualitas', 'busuk', '']</t>
  </si>
  <si>
    <t>['bagus', 'paket', 'murah', 'jaringan', 'lancar', 'ajah', 'main', 'game', 'kendala', 'kaya']</t>
  </si>
  <si>
    <t>['jaringan', 'kb', 'buka', 'youtube', 'unlimited', 'youtube', 'parah', 'jaringan', 'telkomsel', 'pengguna', 'kecewa', 'berat']</t>
  </si>
  <si>
    <t>['mohon', 'maaf', 'kak', 'telkomsel', 'jaringan', 'data', 'loading', 'trus', '']</t>
  </si>
  <si>
    <t>['menonton', 'disney', 'hotstar', 'terpotong', 'kuota', 'utama', 'kuota', 'nonton', 'tertulisnya', 'kuota', 'nonton', 'disney', 'hotstar', 'dll', 'but', 'overall', 'bagus', 'wilayah', 'kadang', 'sinyalnya', 'lag']</t>
  </si>
  <si>
    <t>['kecewa', 'sma', 'telkomsel', 'paket', 'data', 'bnyak', 'aktif', 'perpanjang', 'msi', 'dipke', 'datanya', 'bli', 'paket', 'data', 'bnyak', 'aktipnya', 'irit', 'tekor', 'uda', 'gtu', 'hilang', 'sinyalnya']</t>
  </si>
  <si>
    <t>['llllleeeeeemmmmmmmoooootttttttttttt', 'bantuan', 'mahal', 'lemot', '']</t>
  </si>
  <si>
    <t>['trouble', 'bar', 'sinyal', 'full', 'paket', 'internet', 'aktif', 'buffering', 'mulu', '']</t>
  </si>
  <si>
    <t>['jaringan', 'jalan', 'refresh', 'berfungsi', 'kouta']</t>
  </si>
  <si>
    <t>['kasih', 'bintang', 'telkomsel', 'jaringan', 'bagus', 'bagus', 'jaringan', 'kasih', 'bintang', '']</t>
  </si>
  <si>
    <t>['parah', 'jaringan', 'internet', 'telkomsel', 'buka', 'aplikasi', 'mytelkomsel', 'tolong', 'tingkatkan', 'pelayanan']</t>
  </si>
  <si>
    <t>['ancur', 'provider', 'paket', 'data', 'daerah', 'menjangkau', 'support', 'jalan', 'internetnya', 'sungguh', 'provider', 'terpakai']</t>
  </si>
  <si>
    <t>['kasih', 'bintang', 'karna', 'teknisi', 'perbaikan', 'jaringan', 'skrng', 'tsel', 'kumat', 'diperhatikan', 'jam', 'sore', 'keatas', 'jaringan', 'lemot', 'jam', 'namanya', 'jaringan', 'ilang', 'buka', 'aplikasi', 'twt', 'dll', 'buffering', 'trus', 'bayar', 'mahal', 'kualitas', 'internetnya', 'jelek', 'gini', 'tolong', 'diperbaiki']</t>
  </si>
  <si>
    <t>['telkomsel', 'maaf', 'kasih', 'bintang', 'solany', 'kunci', 'pulsanya', 'adain', 'kek', 'kayak', 'telkomsel', 'penguncinya', 'plis', 'adain', 'doang', 'kelemahan', 'telkomsel']</t>
  </si>
  <si>
    <t>['jaringan', 'error', 'banget', 'lelet', 'parah', 'harga', 'peket', 'internet', 'mahal', 'jaringan', 'jelek', 'tolong', 'jaringannya', 'lelet', '']</t>
  </si>
  <si>
    <t>['aplikasi', 'telkomsel', 'mantap', 'sayang', 'poin', 'isi', 'ulang', 'tukar', 'saldo', 'link']</t>
  </si>
  <si>
    <t>['kesini', 'nggak', 'bener', 'situs', 'block', 'situs', 'anime', 'skrng', 'jaringan', 'lelet', 'kerja', 'bener']</t>
  </si>
  <si>
    <t>['telkomsel', 'kyak', 'dlu', 'data', 'lag', 'ampun', 'kamprett', 'kamprettt', '']</t>
  </si>
  <si>
    <t>['jaringan', 'eror', 'status', 'sinyal', 'aneh', 'kalimantan', 'timur', 'samarinda', '']</t>
  </si>
  <si>
    <t>['pelayanan', 'veronika', 'buruk', 'telkom', 'menangani', 'keluhan', 'pelanggan', 'pelayanan', 'kah', 'telkomsel', 'sekelas', 'telkom', 'pelayanan', 'terbaik']</t>
  </si>
  <si>
    <t>['sumpah', 'paketan', 'simpati', 'emosi', 'game', 'super', 'lemot', 'mahal', 'sesuai', 'diterima', 'ampunnnn', 'ampunnnnn', 'emosi', 'simpati', 'sinyalmu', 'emosi', 'paket', 'mahal', 'bermutu', 'sinyalmu', 'bikinnn', 'emossiii']</t>
  </si>
  <si>
    <t>['gimana', 'paket', 'data', 'main', 'game', 'stuck', 'loading', 'screen', 'ngirim', 'pesan', 'jamkot', 'sinyal', 'kadang', 'ilang', 'udah', 'beli', 'telkomsel', 'main', 'game', 'lancar', 'angel', 'angel', 'ngasih', 'bintang', 'kawand', '']</t>
  </si>
  <si>
    <t>['jaringannya', 'hadehhhh', 'parah', 'harganya', 'mahal', 'sinyalnya', 'error', 'auto', 'pindah', 'indosat', 'harga', 'murah', 'jaringannya', 'mengecewakan', '']</t>
  </si>
  <si>
    <t>['pas', 'beli', 'kuota', 'lambat', 'lemot', 'pdahal', 'main', 'game', 'nge', 'lag', 'pas', 'habis', 'pemberitahuan', 'opertaor', 'sms', 'lancar', 'telkomsel', 'nipu', 'gimana', 'males', 'pakai', 'kuota', 'telkomsel', '']</t>
  </si>
  <si>
    <t>['beli', 'paket', 'gb', 'jaringan', 'sesuai', 'harga', 'lemot', 'parahhhhhhhhhhhh']</t>
  </si>
  <si>
    <t>['beli', 'paket', 'swadaya', 'ojol', 'jaringannya', 'putus', 'sayang', 'beli', '']</t>
  </si>
  <si>
    <t>['perusahaan', 'sekelas', 'bumn', 'leletnya', 'mati', 'ngojol', 'ngilangin', 'rejeki', 'orang', 'sial', '']</t>
  </si>
  <si>
    <t>['kali', 'jual', 'kuota', 'pikir', 'harganya', 'dijual', 'kuota', 'mahal', 'anehnya', 'kuota', 'berasa', 'kek', 'kuota', 'murahan', 'lost', 'signal', 'kaya', 'pegunungan', '']</t>
  </si>
  <si>
    <t>['paketan', 'tertera', 'gelobal', 'semoga', 'ditingkatkan', 'gelobal', '']</t>
  </si>
  <si>
    <t>['paket', 'dajal', 'habis', 'kouta', 'utama', 'kagak', 'anlimeted', 'game', 'kagak', 'buka', 'kali']</t>
  </si>
  <si>
    <t>['kesini', 'kartu', 'telkomsel', 'jengkel', 'nyata', 'kuotaku', 'gb', 'data', 'tarif', 'non', 'peket', 'pulsa', 'abis', 'paket', 'paket', 'aktifnya', 'duluan', 'abis', 'paket', 'aktifnya', 'msh', 'minggu', 'paket', 'pemerintah', 'udah', 'males', 'paket', 'data', 'telkomsel', '']</t>
  </si>
  <si>
    <t>['pakai', 'mode', 'terbang', 'paket', 'data', 'cepet', 'habis', 'claim', 'aplikasi', 'claim', 'pakai', 'pulsa']</t>
  </si>
  <si>
    <t>['internet', 'gag', 'signal', 'tpi', 'buka', 'aplikasi', 'kecewa', 'perbaiki']</t>
  </si>
  <si>
    <t>['kenapasih', 'telkomsel', 'sinyalnya', 'kaya', 'gini', 'bener', 'gangguan', 'rugi', 'udah', 'beli', 'peket', 'mahal', 'mlah', 'kaya', 'gini', '']</t>
  </si>
  <si>
    <t>['kualitas', 'jaringan', 'jawa', 'timur', 'sidoarjo', 'buruk', 'harga', 'mahal', 'kualitas', 'jaringanya', 'ancurrr', 'tolong', 'perbaiki', 'konsumen', 'kecewa', '']</t>
  </si>
  <si>
    <t>['tolong', 'jaringan', 'perbagus', 'ancur', 'udah', 'tarif', 'mahal', '']</t>
  </si>
  <si>
    <t>['neh', 'bintang', 'coba', 'peka', 'alasannya', 'ulasan', '']</t>
  </si>
  <si>
    <t>['tolong', 'sinyalnya', 'dperbaiki', 'secepatnya', 'lemot', 'banget', 'nonton', 'youtube', 'lelet', 'main', 'gimana', 'tolong', 'secepatnya', 'gue', 'udah', 'beli', 'paket', 'mahal', 'mahal', 'lelet']</t>
  </si>
  <si>
    <t>['beli', 'paket', 'combo', 'unlimited', 'rb', 'gb', 'dipake', 'duluan', 'paket', 'utama', 'stlh', 'habis', 'kuota', 'unlimitted', 'buffering', 'mulu', 'nyesel', '']</t>
  </si>
  <si>
    <t>['min', 'bari', 'beli', 'paketan', 'max', 'minggu', 'udah', 'buka', 'facebook', 'suruh', 'beli', 'pemakaian', 'kouta', 'jarang', 'jarang', 'ngecewain']</t>
  </si>
  <si>
    <t>['telkomsel', 'payah', 'paket', 'dataku', 'laporan', 'habis', 'data', 'disuruh', 'beli', 'ckckckckck']</t>
  </si>
  <si>
    <t>['telkomsel', 'sekrang', 'lelet', 'paketan', 'aktif', 'jaringan', 'lelet', 'polll']</t>
  </si>
  <si>
    <t>['sinyal', 'ilang', 'game', 'lag', 'lag', 'tolong', 'perbaiki', '']</t>
  </si>
  <si>
    <t>['tolong', 'telkomsel', 'enak', 'jaringannya', 'isi', 'kuota', 'jelek', 'jaringannya', 'tolong', 'telkomsel', 'enak', 'mahal', 'doang', 'jaringannya', 'sebanding', 'harganya', '']</t>
  </si>
  <si>
    <t>['jaringan', 'telkomsel', 'lemot', 'bekicot', 'semoga', 'kedepan', 'jaringan', 'cepat', 'masuk', 'ntt', 'flores', 'ganti', 'kartu', 'bosan', 'telkomsel', 'payah']</t>
  </si>
  <si>
    <t>['paket', 'paket', 'paket', 'tersisa', 'gb', 'aktifnya', 'sisa', 'karna', 'sibuk', 'beli', 'paket', 'gb', 'paket', 'paket', 'paket', 'emang', 'sistemnya', 'memprioritaskan', 'paket', 'paket', '']</t>
  </si>
  <si>
    <t>['signal', 'telkomsel', 'skrg', 'jelek', 'mabar', 'sinyal', 'bagus', 'merah', 'ngeselin']</t>
  </si>
  <si>
    <t>['woi', 'tolonglah', 'perbaiki', 'koneksinya', 'paketku', 'udh', 'ngelag', 'ngelag', 'main', 'game', 'ngelag', 'hpku', 'udh', 'restart', 'kali', 'koneksinya', 'ngelag', 'tolonglah', 'perbaiki', 'pindah', 'paket', 'data', 'indihome', 'ngak', 'yabg', 'cepat', 'perbaiki', 'keong', '']</t>
  </si>
  <si>
    <t>['telkomsel', 'buruk', 'sms', 'blokir', 'gimana', 'kerjanya', 'nomor', 'halo', 'kenyamanan', 'pelanggan', '']</t>
  </si>
  <si>
    <t>['telkomsel', 'ngotak', 'banget', 'jaringan', 'udah', 'lelet', 'lemot', 'kuota', 'kyak', 'kuota', 'coba', 'perbaiki', 'telkomsel', 'kmi', 'jdi', 'susah']</t>
  </si>
  <si>
    <t>['jaringannya', 'hancur', 'banget', 'kirim', 'chat', 'whatsapp', 'lemot', 'banget', 'ngak', 'ngotak', 'banget', 'jaringannya']</t>
  </si>
  <si>
    <t>['aplikasi', 'bagus', 'bangettttttttttttttttttttttttttttttttttttttttttttttttttttttttttttttttttt', '']</t>
  </si>
  <si>
    <t>['beli', 'paket', 'sakti', 'gb', 'ribu', 'internet', 'normal', 'gb', 'nonton', 'sehari', 'sosmed', 'jarang', 'buka', 'youtube', 'kuota', 'sisa', 'mb', 'hahah', 'dasar', 'nipu', 'banget']</t>
  </si>
  <si>
    <t>['knapa', 'daftar', 'paket', 'bulanan', 'pulsa', 'habis', 'jaringan', 'error', 'pemberitahuan', 'mengakses', 'internet', 'dikenakan', 'tarif', 'non', 'paket', 'kuota', 'habis', '']</t>
  </si>
  <si>
    <t>['jaringan', 'setabil', 'update', 'padahall', 'paketan', 'maaf', 'kasi', 'bintang', '']</t>
  </si>
  <si>
    <t>['kecewa', 'berat', 'berat', 'kecewa', 'isi', 'pulsa', 'rb', 'tukarkan', 'kouta', 'sisa', 'pulsa', 'rb', 'kesedot', 'udah', 'aplikasi', 'anjingg', 'hapus', 'aplikasi', 'nyesel', 'gua', 'dwonload', 'aplikasi', 'merugikan', '']</t>
  </si>
  <si>
    <t>['beli', 'paket', 'combo', 'sakti', 'kouta', 'utama', 'habis', 'tersisa', 'kouta', 'multimedia', 'chat', 'music', 'games', 'sosmed', 'coba', 'gunanya', 'kouta', 'multimedia', '']</t>
  </si>
  <si>
    <t>['ayo', 'teman', 'pindah', 'profider', 'telkomsel', 'lemot', 'jateng', 'wih', 'ngeri', '']</t>
  </si>
  <si>
    <t>['simpati', 'paketnya', 'mahal', 'kga', 'murah', 'sinyal', 'skrng', 'bagus', 'anti', 'lelet']</t>
  </si>
  <si>
    <t>['data', 'pribadi', 'bocor', 'menakutkan', 'paket', 'tawarkan', '']</t>
  </si>
  <si>
    <t>['aplikasi', 'jelek', 'banget', 'boong', '']</t>
  </si>
  <si>
    <t>['gimana', 'update', 'game', 'kuota', 'unlimited', 'main', 'update', 'ngga', 'gmna', 'main', 'ngga', 'update']</t>
  </si>
  <si>
    <t>['jaman', 'maju', 'canggih', 'telkomsel', 'mundur', 'merosot', 'bangat', 'signalnya', 'mengecewakan', 'pengguna', 'trmsk', 'pendapatan', 'gede', 'untungnya', 'pelayanan', 'jaringan', 'signalnya', 'buruk', 'bangat', 'sungguh', 'kecewa', 'hatiku', '']</t>
  </si>
  <si>
    <t>['aplikasi', 'mantap', 'semoga', 'telkomsel', 'hadiah', 'kejutan', 'pelanggan', 'memakai', 'kartu', 'prabayar', 'telkomsel', 'nama', 'kartu', 'simpati', 'nusantara', '']</t>
  </si>
  <si>
    <t>['tolong', 'sinyalnya', 'perkuat', 'masak', 'fiks', 'nyaman', 'bangt', 'sinyalnya', 'merah', 'trus', 'ngegame']</t>
  </si>
  <si>
    <t>['kuota', 'multimedia', 'berkurang', 'pakai', 'kuota', 'utama', 'kuota', 'utama', 'buruk', '']</t>
  </si>
  <si>
    <t>['kak', 'langganan', 'disney', 'pas', 'tekan', 'jaringanya', 'bagus', 'pas', 'cek', 'pulsa', 'tolong', 'update', 'jdi', 'bagus']</t>
  </si>
  <si>
    <t>['promo', 'beli', 'paket', 'mahal', 'lemot', 'signal', 'full', 'edge', 'lawak', 'banget', '']</t>
  </si>
  <si>
    <t>['kumpulin', 'poin', 'isi', 'pulsa', 'poin', 'dituker', 'tuker', 'poin', 'kuota', 'mulu', 'alasan', 'server', 'sibuk', 'mohon', 'maaf', 'sistem', 'sibuk', 'coba', 'poin', 'dikembalikan', 'terima', 'kasih', '']</t>
  </si>
  <si>
    <t>['maaf', 'kasih', 'bintang', 'jaringan', 'selang', 'telkomsel', 'parah', 'jaringannya', '']</t>
  </si>
  <si>
    <t>['susah', 'download', 'telkomsel', 'kemari', 'bagus', 'susah', 'mengakses', 'telkomsel', 'daftar', 'paket', 'internet', '']</t>
  </si>
  <si>
    <t>['mahal', 'beli', 'kuota', 'unlimited', 'udah', 'jarang', 'udah', 'bro', 'pindah', 'kartu', 'mahal', 'kuotanya', 'saran', 'bro', 'jaringan', 'bagus', 'banget', 'plosok', 'gangguan', 'hujan', 'padam', 'telkomsel', 'mah', 'parah', 'bro', 'sinyalnya', 'pas', 'hujan', 'udah', 'lemot', 'banget']</t>
  </si>
  <si>
    <t>['wahhh', 'beressss', 'kuota', 'utama', 'kuota', 'chat', 'pulsaku', 'kepotong', 'dikit', 'pdhl', 'sms', 'nelphone', 'kagak', 'system', 'sbnrnya', 'sprti', 'woiii', 'maling', 'nyolong', 'nyolong', 'low', 'bkn', 'nomor', 'udah', 'buang', 'merugikan', '']</t>
  </si>
  <si>
    <t>['', 'paket', 'internet', 'mahal', 'dimurahin', 'udah', 'murah', 'kasih', 'bintang']</t>
  </si>
  <si>
    <t>['telkomsel', 'jeblok', 'sinyalnya', 'maen', 'game', 'darah', 'kog', 'nggak', 'perbaikan', '']</t>
  </si>
  <si>
    <t>['jaringan', 'keren', 'harga', 'kuota', 'internet', 'murah', 'masyarakat', 'menikmati']</t>
  </si>
  <si>
    <t>['kuota', 'kemendikbud', 'nge', 'lag', 'buka', 'google', 'bener', 'lag', 'kerjain', 'tugas', '']</t>
  </si>
  <si>
    <t>['terima', 'kasih', 'telkomsel', 'memudahkan', 'masyarakat', 'indonesia', 'pembelian', 'pulsa', 'aplikasi', 'teruslah', 'berinovasi', 'kehidupan', 'masyarakat', 'indonesia', '']</t>
  </si>
  <si>
    <t>['jaringan', 'mengecewakan', 'harga', 'kualitas', 'sifutt', 'sangaat', 'mengecewakan', 'lag', 'bermaan', 'game', 'nonton', 'video', 'loading', 'intinya', 'mengecewakan', '']</t>
  </si>
  <si>
    <t>['promo', 'paketan', 'murah', 'jaringan', 'lemot', 'konsisten', 'kecewa', 'banget', 'costumer']</t>
  </si>
  <si>
    <t>['pelanggan', 'telkomsel', 'undian', 'bentuk', 'apapun', 'smg', 'dpt', 'undian', 'hepi', 'aamin']</t>
  </si>
  <si>
    <t>['paketan', 'normal', 'game', 'online', 'maaf', 'kasih', 'bintang', 'game', 'online', 'kasih', 'full']</t>
  </si>
  <si>
    <t>['akun', 'yaa', 'hargi', 'buka', 'aplikasinya', 'uninstal', 'pas', 'instal', 'instal', 'gimana', 'solusinya', '']</t>
  </si>
  <si>
    <t>['jaringan', 'kek', 'jaringan', 'perbaiki', 'paket', 'kasih', 'mahal', 'harga', 'mahal', 'jaringan', 'nol', 'paket', 'mahal', 'kualitas', 'nol']</t>
  </si>
  <si>
    <t>['mohon', 'jaringan', 'wilayah', 'cikarang', 'utara', 'benahi', 'beli', 'paketan', 'mahal', 'jaringan', 'drop', 'mulu', 'ujung', 'kuota', 'angus', 'kepakai', 'karna', 'jaribgan', 'lemah', 'batang', '']</t>
  </si>
  <si>
    <t>['', 'telkomsel', 'bagus', 'kuota', 'check']</t>
  </si>
  <si>
    <t>['paket', 'berubah', 'ubah', 'pesaing', 'kuat', 'jaringannnya', 'sya', 'tinggalkan', '']</t>
  </si>
  <si>
    <t>['uhhh', 'salah', 'lupa', 'memakai', 'pulsanya', 'nge', 'sms', 'nelpon', '']</t>
  </si>
  <si>
    <t>['telkomsel', 'parah', 'jaringan', 'selular', 'jaringan', 'internetnya', 'lelet', 'kalah', 'indosat', 'kartu', 'telkomselku', 'buang', 'kloset']</t>
  </si>
  <si>
    <t>['aplikasinya', 'terbuka', 'diupgarade', 'susah', 'masuk', 'cek', 'pulsa', 'kuota', 'sms', 'diinstal', 'aplikasinya', '']</t>
  </si>
  <si>
    <t>['khawatir', 'kehabisan', 'paket', 'data', 'program', 'promo', 'gratis', 'kemudahan', 'bertransaksi']</t>
  </si>
  <si>
    <t>['aplikasi', 'maaf', 'kasar', 'buruk', 'buruk', 'pokoknya', 'telkomsel', 'pelayananya', 'beli', 'pulsa', 'ilang', 'pulsa', 'dipaketin', 'data', 'langsung', 'habis']</t>
  </si>
  <si>
    <t>['sinyalnya', 'promonya', 'mudah', 'dijangkau', '']</t>
  </si>
  <si>
    <t>['may', 'tekomsel', 'aplikasi', 'membantu', 'semoga', 'promo', 'gratisan']</t>
  </si>
  <si>
    <t>['jaringan', 'babi', 'harga', 'mahal', 'kualitas', 'jelek', 'naikin', 'kualitas', 'kartu', 'minimal', 'turuinin', 'harga', 'mahal', 'mahal', 'jelek', '']</t>
  </si>
  <si>
    <t>['min', 'daerah', 'tegal', 'beli', 'kuota', 'internet', 'harian', 'cookkkkk', 'males', 'pengin', 'pindah', 'kartu', 'telkomsel']</t>
  </si>
  <si>
    <t>['pas', 'login', 'masuk', 'bangettt', 'dulunyaa', 'bagusss', 'engga', '']</t>
  </si>
  <si>
    <t>['sinyal', 'jelek', 'mohon', 'telkomsel', 'menjelaskannyah', 'terimakasih']</t>
  </si>
  <si>
    <t>['bagus', 'tolong', 'kuota', 'kota', 'kota', 'terimakasih']</t>
  </si>
  <si>
    <t>['gara', 'gara', 'main', 'game', 'online', 'sinyalnya', 'jelek', 'akun', 'kebanned', 'gara', 'keseringan', 'afk', 'main', 'sosmed', 'lancar', 'mohon', 'pertanggung', 'telkomsell', 'merugi', 'akun', 'kebanned', 'gara', 'gara', 'afk', 'mohon', 'pertanggung', 'jawabanya']</t>
  </si>
  <si>
    <t>['baguuuus', 'aplikasi', '']</t>
  </si>
  <si>
    <t>['kasih', 'nol', 'bintang', 'kosongin', 'bintangnya', 'aplikasi', 'sampah', 'bayar', 'pembelian', 'install', 'link', 'auto', 'uninstall', 'apps', 'menuhin', 'penyimpanan']</t>
  </si>
  <si>
    <t>['admin', 'update', 'masuknya', 'pilih', 'belanja', 'loading', 'viewernya', 'lancar', 'update', 'tampilannya', 'berbeda', 'ndak', 'percaya', 'silahkan', 'dicaba', 'admin', 'saran', 'membangun', 'rewardnya']</t>
  </si>
  <si>
    <t>['jam', 'pulsa', 'pdhl', 'terkirim', 'diulang', 'pulsa', 'terkirim', 'kemana', 'pulsa']</t>
  </si>
  <si>
    <t>['versi', 'terbarunya', 'masuk', 'main', 'menu', 'update', 'parah', 'kacau']</t>
  </si>
  <si>
    <t>['membantu', 'semoga', 'aplikasi', 'promo', 'kedepannya', '']</t>
  </si>
  <si>
    <t>['banget', 'dapet', 'promo', 'paket', 'data', 'pas', 'dibeli', 'pakai', 'manual', 'muncul', 'sistem', 'sibuk', 'kirim', 'pesan', 'promo', 'pas', 'dibeli', '']</t>
  </si>
  <si>
    <t>['membantu', 'tingkatkan', 'kecepatan', 'jaringan', 'donk', 'kecamatan', 'tayu', 'kabupaten', 'pati', 'jateng', 'kususnya', 'didesa', 'keboromo', 'karna', 'jaringannya', 'lemah', 'trimakasih']</t>
  </si>
  <si>
    <t>['', 'pendafatran', 'paket', 'inet', 'sms', 'nomer', 'menawarkan', 'pinjol', 'semoga', 'kenyamanan', 'pelanggan', 'kedepannya', '']</t>
  </si>
  <si>
    <t>['pengguna', 'kuota', 'terjangkau', 'hilangin', 'mahal', 'ngasi', 'promo', 'iklas', 'kecewa']</t>
  </si>
  <si>
    <t>['jaringan', 'error', 'ngubungi', 'daerah', 'rumah', 'jaringan', 'bagus', 'laporan', 'kendala', 'didaerah', 'jaringan', 'kota', 'peloksok', 'pulsa', 'habis', 'paket', 'data', 'habis', 'magic', 'tuch', 'nyolong', 'pulsanya', '']</t>
  </si>
  <si>
    <t>['udah', 'pelaporan', 'jarigan', 'jelek', 'telkomsel', 'ndak', 'perbaikan', 'perubahan']</t>
  </si>
  <si>
    <t>['telkomsel', 'parah', 'pulsa', 'terkuras', 'kuota', 'pemberitahuan', 'sms', 'penggunaan', 'tarif', 'non', 'paket', 'kuota', 'tolong', 'perbaiki', 'merugikan']</t>
  </si>
  <si>
    <t>['telkomsel', 'mahal', 'doang', 'jaringannya', '']</t>
  </si>
  <si>
    <t>['udah', 'telkomsel', 'sinyal', 'jelek', 'nyesel', 'telkomsel', '']</t>
  </si>
  <si>
    <t>['suka', 'bermasalah', 'loginnya']</t>
  </si>
  <si>
    <t>['brengsek', 'telkomsel', 'kesini', 'sinyal', 'ilang', 'kesel', 'gue', 'puluhan', 'telkomsel', 'kesini', 'sinyal', 'emosi', 'jiwa', 'area', 'jakarta', 'sue']</t>
  </si>
  <si>
    <t>['aplikasinya', 'lemot', 'malu', 'maluin', 'brand', 'aplikasinya', 'lemot', 'kalah', 'axis']</t>
  </si>
  <si>
    <t>['kartu', 'jaringan', 'matre', 'nelpon', 'sms', 'internetan', 'pulsa', 'berkurang', 'hantunya', 'peminatnya', 'orang', 'malas', 'ngisi', 'pulsa', 'semoga', 'kaya', 'deh', 'sedot', 'pulsa', 'terima', 'kasih']</t>
  </si>
  <si>
    <t>['sampah', 'jaringan', 'lelet', 'harga', 'mahal', 'ngasih', 'bonus', 'point', 'point', 'tukarkan', 'alasan', 'sistem', 'sibuk', 'cuih', 'perusahaan', 'hina', 'tutup', 'bro', 'tutup', 'udah', 'percaya', 'masyarakat', 'telkomsel', '']</t>
  </si>
  <si>
    <t>['aneh', 'pulsa', 'sedot', 'mulu', 'kmrn', 'pdhl', 'kuota', 'sya', 'sedot', 'mulu', 'giliran', 'cuman', 'ribu', 'pulsanya', 'sedot', 'pulsa', 'sedot', 'kuota', '']</t>
  </si>
  <si>
    <t>['telkomsel', 'auto', 'pemotongan', 'pulsa', 'biaya', 'internet', 'paket', 'data', 'melimpah', 'pencurian', 'pulsa', 'namanya', '']</t>
  </si>
  <si>
    <t>['mantap', 'min', 'cuman', 'saran', 'jaringan', 'tolong', 'dimaksimalkan', 'daerah', 'terpencil', 'paket', 'dibeli', 'warga', 'sia', 'sia', 'mahal']</t>
  </si>
  <si>
    <t>['parah', 'aing', 'beli', 'paketan', 'pakai', 'apk', 'bisaa', 'jaringan', 'lemot', 'tulisannya', 'coba', 'menit', 'setalah', 'tunggu', 'kagak', 'belii', 'paketan', 'apk', 'nii', 'parahhhh', 'parah']</t>
  </si>
  <si>
    <t>['susah', 'check', 'giliran', 'klaim', 'eeeee', 'poin', '']</t>
  </si>
  <si>
    <t>['tolong', 'sinyal', 'sumbul', 'dairi', 'tingkatkan', 'anak', 'sekolah', 'memakai', 'daring', '']</t>
  </si>
  <si>
    <t>['mahal', 'doang', 'kualitas', 'sampah', 'pakai', 'operator', 'kesini', 'kualiatas', 'kuantitas', 'ampas', '']</t>
  </si>
  <si>
    <t>['min', 'nelpon', 'cek', 'pulsa', 'cek', 'jaringannya', 'aktif', 'kartu', 'pemberitahuan', 'aktf', '']</t>
  </si>
  <si>
    <t>['jaringan', 'ngotak', 'ujan', 'gangguan', 'mulu', 'harga', 'doang', 'mahal', 'jaringn', 'kayak', 'perbaiki', 'daerah', 'bekasi', 'udah', 'kyak', 'gini', 'daerah']</t>
  </si>
  <si>
    <t>['kian', 'kian', 'mahal', 'telkomsel', 'aplikasinya', 'lemooootttt', 'buka', 'aplikasi', 'telkomsel', 'nunggunya', 'menit', 'lebiiiihh', 'tolong', 'diperbaiki']</t>
  </si>
  <si>
    <t>['baguss', 'harga', 'paket', 'internet', 'pulsa', 'wort', 'bayar', 'via', 'shopee', 'dapet', 'cashback', '']</t>
  </si>
  <si>
    <t>['sinyal', 'telkomsel', 'milik', 'hancur', 'kesulitan', 'daring', 'sebahmgainya']</t>
  </si>
  <si>
    <t>['telkomsel', 'tolong', 'yaa', 'jaringan', 'perbaiki', 'berulah', 'gua', 'tuker', 'kartu', 'udah', 'paket', 'mahal', 'jringan', 'kacau', '']</t>
  </si>
  <si>
    <t>['aplikasinya', 'bagus', 'suka', 'cthnya', 'kuota', 'beli', 'kuota', 'masanya', 'dimakan', 'kuota', 'tinggal', 'kesal', '']</t>
  </si>
  <si>
    <t>['', 'daerah', 'jaringan', 'internet', 'stabil', 'tolong', 'perbaiki', 'jaringan', 'daerah', 'kota', 'sii', 'trimakasih', 'tanggapan', '']</t>
  </si>
  <si>
    <t>['telkomsel', 'game', 'lambat', 'jaringan', 'kuota', 'combo', 'sakti', 'nunggu', 'malam', 'kenceng', 'habis', 'magrib', 'jam', 'malam', 'lambat', 'jaringan', 'kecewa', 'telkomsel', '']</t>
  </si>
  <si>
    <t>['jaringan', 'tolong', 'perbaiki', 'donh', 'jaringan', 'indonesia', 'jakarta', 'lemott']</t>
  </si>
  <si>
    <t>['woi', 'telkomsel', 'knp', 'kuota', 'games', 'sosmed', 'kepake', 'paketnya', 'gara', 'kuota', 'kemendikbud', 'kuota', 'jdi', 'kepake', 'main', 'game', 'kebuka', 'woi', 'telkomsel', 'jdi', 'provider', 'iyaa', 'gunain', 'paket', 'belinya', 'mahal', 'ajjgg', 'beli', 'rb', 'gakk', 'kuota', 'kemendikbud', 'habis', 'kuota', 'sosmed', 'games', 'ttap', 'terbuka', 'jualan', 'ajgg', 'rugi', 'bgsddd', '']</t>
  </si>
  <si>
    <t>['hai', 'telkomsel', 'jaringan', 'tinggal', 'dikota', 'jaringan', 'nggak', 'bagus', 'lambat', 'jaringannya', 'makan', 'kuota', 'orang', 'cepatan', 'kecepatan', 'jaringan', 'lambat', 'dibanding', 'jaringan', 'tolong', 'perbaikin', 'kayak', 'gini', 'hilang', 'make', 'telkomsel', 'kayak', 'gini', 'jaringan', '']</t>
  </si>
  <si>
    <t>['sya', 'kasi', 'bintang', 'karna', 'koneksi', 'gangguan', '']</t>
  </si>
  <si>
    <t>['aplikasi', 'telkomsel', 'bagus', 'keren', 'pulsa', 'kuota', 'internet', 'murah', 'suka', 'thank', 'you', '']</t>
  </si>
  <si>
    <t>['nomor', 'cek', 'pulsa', 'halaman', 'telepon']</t>
  </si>
  <si>
    <t>['maaf', 'bintang', 'koneksi', 'down', 'paketan', 'habis', 'beli', 'paket', 'lemot', 'tolong', 'diperbaiki', 'streaming', 'terganggu', 'tkp', 'kab', 'pekalongan', 'jateng', 'ngebut', 'full', 'bintang', 'lancar', 'jaya', 'tkp', 'tks']</t>
  </si>
  <si>
    <t>['aplikasi', 'pohon', 'angpao', 'bogor', 'rumah', 'atok', 'padahalkan', 'menit', 'kak', 'ros', 'bawa', 'sepedanya', 'pulang', 'kantor', 'pusat', 'delapan', 'sejarah', 'perkembangan', 'tumbuhan', 'durin', 'dunia', 'bertemu', 'okezone', 'dunia', 'mengumpulkan', 'informasi', 'game', 'online', '']</t>
  </si>
  <si>
    <t>['paketan', 'dipake', 'internetan', 'barusan', 'dicek', 'ulang', 'kuotanya', 'msih', 'dipake', 'mengecewakan', 'parah', 'membedakan', 'kuota', 'belajar', 'kuota', 'internet', 'lokal', '']</t>
  </si>
  <si>
    <t>['mersa', 'telkomsel', 'sekrang', 'sinyal', 'jelek', 'berkelanjutan', 'ganti']</t>
  </si>
  <si>
    <t>['mengecewakan', 'sduah', 'langganan', 'setahun', 'kecewa', 'beraaaat', 'sinyal', 'telkomsel', 'bagus', 'jueleeek', 'buangeet', '']</t>
  </si>
  <si>
    <t>['jaringan', 'kuota', 'mahal', 'sinyal', 'gaada', 'ngotak', 'dikit', 'beli', 'kuota', 'mahal', 'jaringan', 'suka', 'ilang', 'ilangan', 'gini', 'pindah', 'kartu', 'kuota', 'mahal', 'gaada', 'jaringan', 'jelek', 'mulu', 'lol']</t>
  </si>
  <si>
    <t>['tolong', 'telkomsel', 'lihat', 'beli', 'gamemax', 'silver', 'dikasih', 'voucher', 'tolong', 'kirimin']</t>
  </si>
  <si>
    <t>['provider', 'bayar', 'pulsa', 'paket', 'pebayaran', 'bank', 'ewallet', 'pulsa', '']</t>
  </si>
  <si>
    <t>['udah', 'telkomsel', 'internet', 'moga', 'bagus', '']</t>
  </si>
  <si>
    <t>['aplikasi', 'telkomsel', 'buka', 'download', 'buka', 'tutup', 'langsung', 'buka', 'muncur', 'layar', 'putih', 'kali', 'download', 'unistall', 'download', 'ulang', '']</t>
  </si>
  <si>
    <t>['sinyal', 'down', 'tolong', 'diperbaiki', 'kenyamanan', 'pengguna', 'telkomsel']</t>
  </si>
  <si>
    <t>['paket', 'mahal', 'mahal', 'hujan', 'sinyal', 'langsung', 'sesuai', 'harga', 'mahal', 'paketnya', 'emang', 'ngotak', 'emang', 'telkomsel']</t>
  </si>
  <si>
    <t>['sinyal', 'internet', 'telkomsel', 'skrg', 'smakin', 'lemot', 'kagak', 'stabil', 'super', 'parah', 'sekaleeeeeee', 'downlod', 'maen', 'game', 'nonton', 'yutub', 'malming', 'kcptnnya', 'cmn', 'kb', 'dtk', 'bener', 'mengecewakan', '']</t>
  </si>
  <si>
    <t>['telkomsel', 'buruk', 'jaringan', 'jelek', 'bangkrut', 'memperbaiki', 'permasalahan', 'gitu', 'sok', 'sokan', 'beralih', 'hahahahaaasssuuuu', 'jelek', 'aplikasi', 'asik', 'updet', 'njirrr', '']</t>
  </si>
  <si>
    <t>['sumpah', 'kecewa', 'telkomsel', 'lemot', 'bngt', 'main', 'game', 'hilang', 'sinyal', 'jaringan', 'kuota', 'mohon', 'perbaiki', '']</t>
  </si>
  <si>
    <t>['benci', 'operator', 'simpati', 'isi', 'pulsa', 'hri', 'pulsa', 'hilang', 'pdahal', 'mengaktifkam', 'palet', 'data', 'telkomsel', 'dri', 'operator', 'sms', 'mengunakan', 'akses', 'internet', 'tarif', 'non', 'paket', 'tolonglah', 'mencuri', 'pulsa', 'pelanggan', 'haram', 'hukumnya', 'petingginya', 'masuk', 'neraka', 'krna', 'jajarannya', 'mencuri', 'pulsa', 'pelanggannya', 'dimana', 'hati', 'tolong', 'kembalikan', 'pulsa', 'tuntut', 'telkomsel', 'dasar', 'setan', 'nyata']</t>
  </si>
  <si>
    <t>['telkomsel', 'yth', 'keluhan', 'paket', 'internet', 'pulsa', 'tlf', 'sms', 'berlangganan', 'apapun', 'untk', 'paket', 'internet', 'pls', 'habis', '']</t>
  </si>
  <si>
    <t>['tukar', 'poin', 'prnh', 'dpt', 'pdhal', 'kartu', 'salah', 'semoga', 'kali', 'dpt', 'hadiahnya', 'aamiin', '']</t>
  </si>
  <si>
    <t>['pulsa', 'terpotong', 'tampa', 'kejelasan', 'log', 'transaksi', 'tertera', 'pembelian', 'paket', 'maxstream', 'log', 'transaksi', 'rupiah', 'transaksi', 'kah', 'pulsa', 'kemana', '']</t>
  </si>
  <si>
    <t>['kirain', 'kawannya', 'mahal', 'sinyal', 'lemot', '']</t>
  </si>
  <si>
    <t>['tolong', 'min', 'aplikasi', 'beli', 'paketan', 'internet', 'udah', 'berkali', 'bacaan', 'ganguan', 'aplikasi', 'tolong', 'perbaiki', 'terimakasih']</t>
  </si>
  <si>
    <t>['tolong', 'perbaiki', 'nominal', 'pembelian', 'membeli', 'paket', 'combo', 'seharga', 'rb', 'pulsa', 'rb', 'terimakasih']</t>
  </si>
  <si>
    <t>['rugikan', 'beli', 'pulsa', 'langsung', 'hangus', 'membeli', 'paket', 'telkomsel']</t>
  </si>
  <si>
    <t>['tolong', 'telkomsel', 'kayak', 'lemot', 'lelet', 'nambah', 'lelet', 'tolong', 'pertimbangkan']</t>
  </si>
  <si>
    <t>['parah', 'saking', 'kecewanya', 'bertaun', 'taun', 'pakai', 'telkomsel', 'jaringan', 'nggak', 'banget', 'chek', 'harian', 'dapet', 'voucher', 'abis', 'php', 'abis', 'pokoknya', 'mah', 'ampun', '']</t>
  </si>
  <si>
    <t>['aplikasinya', 'jelek', 'transfer', 'kuota', 'saudara', 'beli', 'kuota', 'kuota', 'mubasir', 'berbagi', 'ribet', 'aneh']</t>
  </si>
  <si>
    <t>['aplikasi', 'bagus', 'sinyal', 'telkomsel', 'bagus', 'bar', 'jaringan', 'kalah', 'operator', 'murah', 'sinyal', '']</t>
  </si>
  <si>
    <t>['jaringan', 'terburuk', 'berdirinya', 'telkomsel', 'bumn', 'persatu', 'semrawut', 'sumatera', 'sinyal', 'telkomsel', 'laris', 'tinggal', 'kenangan', 'tarif', 'internet', 'mahal', 'kualitas', 'jaringan', 'jaringan', 'edge', 'timbul', 'sebentar', 'menghilang', 'berkeluh', 'kesah', 'admin', 'media', 'sosial', 'telkomsel', 'perubahan', 'ganti', 'kartu', 'provider', 'blm']</t>
  </si>
  <si>
    <t>['buruk', 'veronika', 'telkomsel', 'tinggal', 'promo', 'promo', 'perbaiki', 'jaringannya']</t>
  </si>
  <si>
    <t>['beli', 'paket', 'apapun', 'telkomsel', 'kendala', '']</t>
  </si>
  <si>
    <t>['bingung', 'min', 'orang', 'beda', 'beda', 'paketannya', 'nambah', 'temen', 'murah', 'murah', 'banget', 'paketannya', 'aneh']</t>
  </si>
  <si>
    <t>['live', 'chat', 'telkomsel', 'pengaduan', 'langsung', '']</t>
  </si>
  <si>
    <t>['kek', 'taik', 'jaringan', 'kau', 'udah', 'paket', 'mahal', 'sesuai', 'kualitas', 'ama', 'harga', 'gajelas', 'kau', '']</t>
  </si>
  <si>
    <t>['tolong', 'udah', 'langganan', 'kartu', 'halo', 'unlimited', 'viu', 'iqiyi', 'dlu', 'ngga', 'tolong', 'perbaiki', '']</t>
  </si>
  <si>
    <t>['app', 'udah', 'bagus', 'kelasnya', 'saran', 'ajah', 'menambah', 'kesan', 'enak', 'ganti', 'sudut', 'icon', 'bulat', 'kotak', 'kebanyakan', 'app', 'terimakasih']</t>
  </si>
  <si>
    <t>['penggunaan', 'fungsi', 'rumit', 'sengaja', 'rumit', 'pulsa', 'habis', 'kuota', 'perampokan', 'kecewa', 'aplikasi', '']</t>
  </si>
  <si>
    <t>['paket', 'utama', 'abis', 'sisa', 'paket', 'music', 'sosmed', 'game', 'pas', 'dipake', 'lemot', 'main', 'susah', 'masuk', 'game', 'butuh', 'mnt', 'masuk']</t>
  </si>
  <si>
    <t>['jaringan', 'pilih', 'karna', 'terbaik', 'knpa', 'skrng', 'terburuk', 'aduhhhh', 'parah', 'terpaksa', 'karna', 'kartu', 'udah', 'banyk', 'nomer', '']</t>
  </si>
  <si>
    <t>['napa', 'gaess', 'pakai', 'kuota', 'hadiah', 'check', 'app', 'koneksinya', 'greget', 'jaringan', 'pul', 'porji', 'beda', 'kuota', 'pembelian', 'kuota', 'hadiah', 'nebus', 'poin', 'rasakan', 'customer', '']</t>
  </si>
  <si>
    <t>['buruk', 'jatingan', 'sinyal', 'suka', 'ilang', 'ilang', 'udah', 'tahan', 'nunggu', 'gada', 'berubah', 'otw', 'ganti', 'provider', 'ampas', 'mahal', 'doang', 'spek', 'rendahan']</t>
  </si>
  <si>
    <t>['apk', 'update', 'kuhapus', 'instal', 'paket', 'data', 'instal', 'apk', '']</t>
  </si>
  <si>
    <t>['signal', 'jaringan', 'telkomsel', 'rusak', 'parah', 'ikutin', 'dibilang', 'signal', 'bentar', 'parah', 'nonton', 'vidio', 'durasi', 'menit', 'serasa', 'jam', 'liat', 'story', 'berasa', 'kartu', 'murah', 'kartu', 'murah', 'gini', 'lemooott', 'banget', 'tolong', 'perbaiki', 'jaringan', 'signal', '']</t>
  </si>
  <si>
    <t>['jaringan', 'jelek', 'beli', 'paket', 'mahal', 'dirin', 'tower', 'pasaman', 'barat', 'jaring', 'ngan', 'telkomsel', 'susah', 'dikit', 'make', 'beralih', 'exsis', '']</t>
  </si>
  <si>
    <t>['why', 'telkomsel', 'kemarin', 'jaringan', 'hilang', 'pagi', 'jaringan', 'ngilang', 'jam', 'siang', 'bar', 'kosong', 'kadang', 'kadang', 'muncul', 'bar', 'trus', 'ilang', 'ilang', 'why', 'btw', 'muara', 'enim', 'gunung', 'megang', 'udh', 'seminggu', 'jaringannya', 'kek', 'gitu', 'jam', 'sampe', 'berjam', 'jam', 'speed', 'internet', 'jga', 'menurun', 'drastis', 'pas', 'malem', 'dusun', 'dusun', 'susah', 'bngt', 'hidup', 'dusun', '']</t>
  </si>
  <si>
    <t>['dear', 'telkomsel', 'harga', 'paket', 'data', 'mahalin', 'jaringan', 'perbaiki', 'sesuai', 'hrga', 'paket', 'data', 'kualitas', 'jaringan', 'hrga', 'paket', 'data', 'ngk', 'masuk', 'akal', 'jaringan', 'ngk', 'ngotak', 'rapatkan', 'pddk', 'ntb', '']</t>
  </si>
  <si>
    <t>['gila', 'gila', 'udah', 'kayak', 'axis', 'nyedot', 'pulsa', 'wifi', 'paket', 'data', 'seluler', 'mati', 'pulsa', 'rbu', 'makan', 'pas', 'cek', 'penggunaan', 'tertulis', 'biaya', 'akses', 'internet', 'waw', 'waw', 'waw', 'ampun', 'ampun', 'mnding', 'pindah', 'klw', 'gini', 'pdhal', 'rutin', 'ambil', 'paket', 'yng', 'combo', 'sakti', 'extra', 'unlimited', '']</t>
  </si>
  <si>
    <t>['aplikasi', 'rusak', 'ngak', 'ditekan', 'loading', 'lambat', 'restart', 'aplikasinya', 'daily', 'checkin', 'paket', 'daruratnya', 'pesan', 'kemarin', 'masuk', 'paketnya', 'giliran', 'beli', 'paket', 'masuk', 'paket', 'daruratnya', 'udah', 'berminggu', 'buang', 'duit', 'telkomsel', 'burik']</t>
  </si>
  <si>
    <t>['pulsa', 'tersisa', 'isi', 'ulang', 'isi', 'paket', 'setelahnya', 'langsung', 'habis', 'dipakai', 'penjelasan', 'jawabannya', 'perbaiki', 'mentang', 'nama', 'pelayanan', 'buruk', 'kalah', 'provider']</t>
  </si>
  <si>
    <t>['kurasa', 'telkomsel', 'peningkatan', 'kendala', 'pembelian', 'tolong', 'perbaiki', 'sistemnya', 'beli', 'quota', 'harganya', 'ribu', 'udah', 'pembelian', 'jga', 'sistem', 'sibuk', '']</t>
  </si>
  <si>
    <t>['jaringan', 'telkomsel', 'knp', 'jelek', 'sekrang', 'hilang', 'timbul', 'jaringan', 'ngapa', 'in', 'susah', '']</t>
  </si>
  <si>
    <t>['maaf', 'kesalahan', 'sistem', 'silahkan', 'memuat', 'ulang', 'loading', 'mulu', 'aplikasi', 'ngk', 'berguna']</t>
  </si>
  <si>
    <t>['telkomsel', 'pelanggan', 'setia', 'hebat', 'semoga', 'hebat', '']</t>
  </si>
  <si>
    <t>['', 'kibulin', 'migrasi', 'kartu', 'hallo', 'dompet', 'jebol', 'layanan', 'mutu', 'banget', 'menjebak', 'rakyat', 'awam', '']</t>
  </si>
  <si>
    <t>['kasih', 'bintang', 'udh', 'sinyal', 'udh', 'paket', 'mahal', 'pulsa', 'palak', 'paket', 'data', 'anak', 'tiri', '']</t>
  </si>
  <si>
    <t>['bagus', 'isi', 'pulsa', 'poin', 'masuk', '']</t>
  </si>
  <si>
    <t>['sinyal', 'bagus', 'pelayanan', 'produk', 'tawarkan', 'pusing', 'pengguna', 'teman', 'sam', 'simpati', 'promo', 'produk', 'tawarkan', 'berbeda', 'notifikasi', 'habisnya', 'kuota', 'telat', 'sesudag', 'pulsa', 'terpotong', 'gangguan', 'klaim', 'hadiah', 'terima', 'kasih', 'telkomsel', 'pindah', 'bertahan', 'bagus', 'terlanjur', 'menggunakannya', '']</t>
  </si>
  <si>
    <t>['mantap', 'orang', 'hadiah', 'undiannya', '']</t>
  </si>
  <si>
    <t>['sinyal', 'telkomsel', 'mmg', 'bagus', 'aplg', 'daerah', 'pelosok', 'depannya', 'banyakin', 'bonus', 'kuota', 'penukaran', 'poin', '']</t>
  </si>
  <si>
    <t>['suka', 'paket', 'spesial', 'promo', 'klu', 'min', 'hehhehe', '']</t>
  </si>
  <si>
    <t>['', '']</t>
  </si>
  <si>
    <t>['jaringan', 'bagus', 'ruangan', 'dalem', 'ruangan', 'terang', 'telkomsel', 'kampung', 'jelek', 'banget', 'tower', 'towernya', 'deket', 'banget', 'rumah', 'jaraknya', 'meter', 'ngerjain', 'internet', 'loadingnya', 'aga', 'main', 'game', 'engga', 'pingnya', 'jelek', 'provider', 'ditinggalkan', 'diganti', 'provider', 'negeri', 'berharap', '']</t>
  </si>
  <si>
    <t>['paketnya', 'mahal', 'sinyal', 'bermasalah', 'buka', 'youtube', 'dll', 'buka', 'google', 'susah', 'telkomsel', 'emg', 'sinyalnya', 'bagus', 'banget', 'dibawah', 'harga', 'kuota', 'mahal', 'kualitas', 'ditingkatkan']</t>
  </si>
  <si>
    <t>['paket', 'seminggu', 'youtube', 'berjalan', 'kuota', 'internet', 'habis', 'helooooo', 'perbaiki', 'program', 'komputernya', '']</t>
  </si>
  <si>
    <t>['menu', 'beli', 'kuota', 'kebanyakan', 'internet', 'telpon', 'sms', 'gausah', 'embel', 'tiktod', 'facebook', 'apalah', 'macem', 'udah', 'gitu', 'mahal', 'tukar', 'poin', 'kuota', 'gb', 'alasanya', 'sistem', 'sibuk', 'adakan', 'penukaran', 'tukar', 'maen', 'game', 'pubg', 'mobile', 'kadang', 'suka', 'lag', '']</t>
  </si>
  <si>
    <t>['aplikasi', 'telkomsel', 'update', 'updatean', 'paket', 'internet', 'murah', 'aktf', 'terbuang', 'sia', 'kuota', 'dibeli', 'tolong', 'admin', 'promo', 'menarik', 'murah', 'aktif', 'oanjang', 'kuota', 'inernet', '']</t>
  </si>
  <si>
    <t>['update', 'mulu', 'berubah', 'berubah', 'kuota', 'tetep', 'ngealg', 'iya', 'susah', 'tower']</t>
  </si>
  <si>
    <t>['mudah', 'membantu', 'pembuatan', 'paket', 'recommended', '']</t>
  </si>
  <si>
    <t>['barusan', 'isi', 'pulsa', 'trus', 'knpa', 'berkurang', 'pas', 'beli', 'paket', 'combo', 'gb', 'apk', 'telkomsel', 'tpi', 'sisa', 'pulsa', 'mencukupi', 'membeli', 'paket', 'karna', 'terpaksa', 'coba', 'beli', 'sehat', 'gb', 'tpi', 'pesan', 'kaya', 'sisa', 'pulsa', 'mencukupi', 'membeli', 'paket', 'maksudnya', 'bangs', 'ajg', 'udh', 'mahal', 'jaringan', 'kadang', 'stabil', 'teus', 'sumpa', 'nyesel', 'beli', 'pulsa', '']</t>
  </si>
  <si>
    <t>['masak', 'paket', 'combo', 'sakti', 'unlimited', 'dibatasi', 'pemakaian', 'wajar', 'unlimited', 'terbatas', 'telkomsel', 'main', 'batas', 'batasi', 'pemakaian', 'wajar', 'ikhlas', 'ngasi', 'unlimited', 'hapus', 'embel', 'embel', 'unlimitednya', 'kasih', 'harapan', 'palsu', 'pelanggan']</t>
  </si>
  <si>
    <t>['mahal', 'paketannya', 'gila', 'ngontak', 'jaringan', 'kaya', 'siput', 'maaf', 'gua', 'uninstall', '']</t>
  </si>
  <si>
    <t>['kuota', 'habis', 'diskonek', 'potong', 'pulsa', 'sial', '']</t>
  </si>
  <si>
    <t>['kuota', 'mahal', 'doang', 'sinyalnya', 'gembel', 'nomer', 'terlanjur', 'nyebar', 'buang', 'kartu', 'sinyalnya', 'rapihin', 'kalah', 'ama', 'murah', 'malu', '']</t>
  </si>
  <si>
    <t>['kuota', 'kagak', 'cuman', 'butuh', 'kuota', 'lokal', 'orang', 'suka', 'nnton', 'stream', 'maxstream']</t>
  </si>
  <si>
    <t>['mendownloadnya', 'knp', 'terdownload', 'terdownloaad']</t>
  </si>
  <si>
    <t>['kurangi', 'bintang', 'beli', 'paket', 'kemarin', 'gangguan', 'tolong', 'perbaiki']</t>
  </si>
  <si>
    <t>['mohon', 'maaf', 'mengalami', 'gangguan', 'jaringan', 'stabil', 'membeli', 'paketan', 'apk', 'system', 'memberitahukan', 'gangguan', 'harap', 'cek', 'koneksi', 'koneksi', 'stabil', 'lancar']</t>
  </si>
  <si>
    <t>['terima', 'kasih', 'bantuannya', 'klaim', 'hadiahnya', 'bermasalah', 'nikmati']</t>
  </si>
  <si>
    <t>['parah', 'banget', 'telkomsel', 'skrng', 'kuota', 'internet', 'ngembat', 'pulsa', 'jugaa', 'jaringan', 'busuk']</t>
  </si>
  <si>
    <t>['aplikasi', 'bagus', 'kuota', 'gratis', 'check', 'setipa', 'doang', '']</t>
  </si>
  <si>
    <t>['bermanfaat', 'download', 'aplikasi', 'axisnet', 'disana', 'kuota', 'gratis', 'harinya', 'buruan', 'download', 'axisnet', 'mengggunakan', 'kartu', 'axis']</t>
  </si>
  <si>
    <t>['sinyal', 'bagus', 'bangettttt', '']</t>
  </si>
  <si>
    <t>['tolong', 'diperbaiki', 'combo', 'sakti', 'ultimatenya', 'lemot', 'ngk', 'buka', 'youtube', 'ultimate', 'memuaskan', 'paket', 'ultimate', 'lemot', 'gunanya', '']</t>
  </si>
  <si>
    <t>['alhamdulillah', 'telkomsel', 'membeli', 'paket', 'harga', 'murah', 'terima', 'kasih', '']</t>
  </si>
  <si>
    <t>['', 'telkomsel', 'nggak', 'beli', 'paketan', 'games', 'voucher', 'diamonya', 'kasih', 'beli', 'nggak', 'ajing', 'lahh']</t>
  </si>
  <si>
    <t>['pulsa', 'simpan', 'aplikasi', 'kesedot', 'memiliki', 'utang', 'menelpon', 'ragu', 'nyimpen', 'pulsa']</t>
  </si>
  <si>
    <t>['telkomsel', 'jaringannya', 'oke', 'telkomsel', 'hadiah', 'seneng', 'banget', 'kejutan', 'undiannya', 'terima', 'kasih', 'telkomsel', '']</t>
  </si>
  <si>
    <t>['sinyal', 'kuat', 'setabil', 'tingkatkan', 'kualitas', 'sinyal', 'program', 'promonya']</t>
  </si>
  <si>
    <t>['pengambilan', 'diskon', 'voucher', 'dibayar', 'isi', 'pulsa', 'hadiah', 'gratis', 'internet', 'program', 'cek', 'telkomsel']</t>
  </si>
  <si>
    <t>['praktis', 'ribet', 'mudah', 'telkomsel', 'jaringan', 'telkomsel', 'melemah', 'kemana', 'kota', 'kekampung', 'kampung', 'desa', 'desa', 'terjangkau', 'saran', 'jaringan', 'telkomsel', 'pengguna', 'telkomsel', 'jaringan', 'telkomsel', 'puas', 'bahagia', 'telkomsel', 'terima', 'kasih', '']</t>
  </si>
  <si>
    <t>['tuker', 'poin', 'ama', 'kuota', 'tambahan', 'pulsa', 'mahal', 'mending', 'promo', 'kayak', 'gitu', 'percuna', 'pakek', 'poin', 'plus', 'pulsa', 'nanggung', 'pulsa', 'mending', 'beli', 'kuota', 'lansung', 'kecewa']</t>
  </si>
  <si>
    <t>['mudah', 'murah', 'telkomsel', 'check', 'bonus', 'sayangnya', 'sisa', 'pulsa', 'kesedot', '']</t>
  </si>
  <si>
    <t>['kuota', 'buka', 'aplikasi', 'telkomsel', 'kuota', 'langsung', 'nol', 'kali', 'pakai', 'telkomsel', 'kejadian', 'temen', 'saudara', 'merasakan', 'langsung', 'main', 'potong', 'pulsa', 'telepon', 'mengambil', 'uang', 'pelanggan', '']</t>
  </si>
  <si>
    <t>['tolong', 'tingkat', 'sinyal', 'khusus', 'daerah', 'jawa', 'bagus', 'telkomsel', '']</t>
  </si>
  <si>
    <t>['sehari', 'mati', 'buka', 'aplikasi', 'apapun', 'jaringan', 'mati', 'suka', 'memakai', 'kartu', '']</t>
  </si>
  <si>
    <t>['paket', 'ditawarkan', 'telkomsel', 'berbeda', 'disetiap', 'pengguna', 'punyaku', 'paket', 'internet', 'ditawarkan', 'mahal', 'adil', 'pengguna', 'udah', 'kaya', 'pembagian', 'bansos', 'tolonglah', 'sya', 'orang', 'kaya', 'beralih', 'provider']</t>
  </si>
  <si>
    <t>['pokoknya', 'mantap', 'deh', 'aplikasinya', 'liat', 'bawa', 'puas', '']</t>
  </si>
  <si>
    <t>['terimakasih', 'telkomsel', 'sya', 'seneng', 'bangt', 'bnyk', 'paket', 'pilihan', 'bonus', 'bnyak', 'maju', 'simpati']</t>
  </si>
  <si>
    <t>['turun', 'harga', 'paket', 'kayak', 'lintah', 'darat', 'harga', 'sewajarnya', 'paket', 'dibagi', 'pusing', 'paket', 'komplain', 'dengarkan', 'langsung', 'kasih', 'bintang', '']</t>
  </si>
  <si>
    <t>['membeli', 'paket', 'malam', 'pulsa', 'memeliki', 'pulsa', '']</t>
  </si>
  <si>
    <t>['beli', 'paket', 'internet', 'malam', 'terpakai', 'kuota', 'utama', 'sikat', 'adain', 'paket', 'internet', 'malam', 'ujungnya', 'kuota', 'utama', 'penipuan', 'auto', 'turun', 'bintang', '']</t>
  </si>
  <si>
    <t>['napa', 'claim', 'paketan', 'daily', 'check', 'gb', 'ngeclaim', 'mlu', 'bisanya', 'kuotanya', 'masuk', 'napa', 'udh', 'rajin', 'log', 'blanan', 'kecewa', 'maaf', 'kasih', '']</t>
  </si>
  <si>
    <t>['beli', 'pulsa', 'uda', 'habis', 'hidupin', 'data', 'aplikasi', 'pengaturan', 'uda', 'matiin', 'habis', 'hidupin', 'data', 'truz', 'langsung', 'aplikasi', 'telkomsel', 'ngambil', 'pketan', 'unlimet', 'liat', 'pulsa', 'tinggal', 'langsung', 'gua', 'matiin', 'datanya', 'dapet', 'sms', 'lgi', 'pemakaian', 'non', 'internet', 'ngabisin', 'nyesel', 'gua', 'beli', 'tekomsel', 'berani', 'coba', 'pakek', 'telkomsel', 'rugi', 'pulsa', 'korupsi']</t>
  </si>
  <si>
    <t>['buka', 'aplikasinya', 'pakai', 'kuota', 'data', 'kuota', 'data', 'habis', 'masuk', 'aplikasi', 'pulsa', 'reguler', 'terpotong', 'sadar', 'selesai', 'isi', 'pulsa', 'counter', 'buka', 'aplikasi', 'beli', 'paket', 'data', 'pulsa', 'berkurang', 'membeli', 'paket', 'data', 'mengesalkan', 'orang', 'memakai', 'aplikasi', 'sekedar', 'bertransaksi', 'browsing', 'streaming', 'beban', 'data', 'fitur', 'proteksi', 'pulsa', '']</t>
  </si>
  <si>
    <t>['telkomsel', 'tolong', 'diperbaiki', 'klau', 'paket', 'internet', 'habis', 'sedot', 'pulsa', 'sembarang', 'pulsa', 'mengambil', 'hak', 'orang', 'maling', 'keseringan', 'pulsa', 'disedot']</t>
  </si>
  <si>
    <t>['paket', 'darurat', 'ajah', 'kecewa']</t>
  </si>
  <si>
    <t>['min', 'isi', 'pulsa', 'pagi', 'masuk', 'masuk', 'transaksi', 'udah', 'sukses', 'taoi', 'pulsanya', 'masuk']</t>
  </si>
  <si>
    <t>['saran', 'tinggal', 'lokasi', 'palembang', 'sematang', 'borang', 'jembatan', 'pakek', 'telkomsel', 'pakai', 'operator', 'smartfren', 'jelek', 'sinyal', 'telkomsel', 'lokasi', 'jalan', 'pas', 'masuk', 'perumahan', 'rumah', 'hancur', 'sinyal', 'komen', 'telkomsel', 'enga', 'solusinya', 'jawabanya', 'turun', 'kelapangan', 'cek', 'and', 'pantau', 'kekuatan', 'sinyal']</t>
  </si>
  <si>
    <t>['harga', 'mahal', 'paket', 'terpakai', 'merugikan', '']</t>
  </si>
  <si>
    <t>['parah', 'isi', 'pulsa', 'niatnya', 'beli', 'kuota', 'mari', 'masuk', 'kesini', 'kena', 'pulsa', 'non', 'kuota', 'pulsa', 'berkurang', 'beli', 'kuota', 'kamfreettttt', '']</t>
  </si>
  <si>
    <t>['telkomsel', 'sakit', 'hati', 'paket', 'data', 'byk', 'sms', 'pemakaian', 'internet', 'non', 'paket', 'pulsa', 'sbyk', 'abis', 'dlm', 'akhrnya', 'pemberitahuan', 'muncul', 'udah', 'pulsa', 'abis', 'sms', 'masuk', 'kek', 'gini', 'miskin', 'hasil', 'poroti', 'tnpa', 'sadar', 'kek', 'gini', 'gimana', 'telkomsel', 'chat', 'aplikasi', 'solusi']</t>
  </si>
  <si>
    <t>['aplikasi', 'jelek', 'pulsa', 'terpotong', 'pemakaian', 'udah', 'chat', 'besok', 'besoknya', 'gitu', 'smakin', 'kau', 'telkomsel', 'main', 'potong', 'potong', 'pulsa', 'orang', 'kau', 'balas', 'komentar', 'perbaiki', 'sistem', 'makan', 'gaji', 'buta', '']</t>
  </si>
  <si>
    <t>['woy', 'telkomsel', 'babi', 'paket', 'internet', 'paket', 'telpon', 'pulsa', 'sedot', 'bangsatttt', '']</t>
  </si>
  <si>
    <t>['apk', 'dikomen', 'perihal', 'paket', 'udah', 'beli', 'paket', 'belajar', 'kepake', 'tetep', 'kuota', 'utama']</t>
  </si>
  <si>
    <t>['membantu', 'bangett', 'deskripsi', 'kuota', 'isi', 'pulsa', 'beli', 'paket', 'data', 'pokoknya', 'terbantuu']</t>
  </si>
  <si>
    <t>['halo', 'telkomsel', 'kecewa', 'kualitas', 'jaringan', 'telkomsel', 'rada', 'hilang', 'kadang', 'mentong', 'kadang', 'kadang', 'mohon', 'perbaiki', 'kualitas', 'jaringan', 'konsumen', 'kecewa', 'terimakasih']</t>
  </si>
  <si>
    <t>['paket', 'mahal', 'jaringan', 'buruk', 'area', 'pasaman', 'barat', 'sumatera', 'barat', 'hujan', 'dateng', 'sinyal', 'lambat', 'lambat', 'siput', '']</t>
  </si>
  <si>
    <t>['aplikasinya', 'bagus', 'mudah', 'jaringan', 'tsel', 'suka', 'lag', 'drop', 'sampe', 'ms', 'pas', 'maen', 'game', 'pas', 'download', 'file', 'google', 'mb', 'tolong', 'diperbaiki', 'sinyal', 'jaringan', 'terima', 'kasih']</t>
  </si>
  <si>
    <t>['semenjak', 'dikasih', 'bintang', 'jaringan', 'mengecewakan', 'pulsa', 'menghilang', 'dasar', 'notifikasi', 'pemberitahuan', 'telkomsel', 'kemana', 'pulsa', 'membayar', 'pulsa', '']</t>
  </si>
  <si>
    <t>['ulasannya', 'lihat', 'pedes', 'kasih', 'five', 'star', 'telkomsel', 'kebanggaan', 'terimakasih', 'telkomsel', 'hadiah', 'kau', 'mantab', 'sukses', '']</t>
  </si>
  <si>
    <t>['menciptakan', 'provider', 'bagus', 'sinyalnya', 'pengguna', 'puas', 'menggunakannya', 'bertahun', 'pakai', 'telkomsel', 'jaringan', 'buruk', 'main', 'game', 'online', 'koneksi', 'jumping', 'kepuasan', 'pelanggan', 'pelanggan', 'kali', 'menegur', 'komplen', 'harap', 'komplen', 'tolong', 'terbaik', 'pengguna', 'telkomsel']</t>
  </si>
  <si>
    <t>['aplikasi', 'berguna', 'karna', 'promo', 'murah', 'pengguna', 'kondisi', 'pandemi', 'aplikasi', 'telkomsel', 'membantu', 'membeli', 'paket', 'murah', 'belajar', 'berharap', 'perusahaan', 'telkomsel', 'berkembang', 'maju', 'berharap', 'telkomsel', 'promo', 'murah', 'meriah', 'karna', 'membantu', 'recomendasikan', 'apk', 'terimakasih']</t>
  </si>
  <si>
    <t>['kemarin', 'beli', 'paket', 'hot', 'star', 'gb', 'seharaga', 'tanggal', 'september', 'mohon', 'adakan', 'paket', 'beli']</t>
  </si>
  <si>
    <t>['gila', 'tlkomsel', 'sumpah', 'jijik', 'liat', 'jaringannya', 'udah', 'beli', 'mahal', 'jaringannya', 'kek', '']</t>
  </si>
  <si>
    <t>['bangga', 'paket', 'telkomsel', 'paket', 'mahal', 'internet', 'lancar', 'kesel', 'sinyalnya', 'lelet', 'buruk', 'pengen', 'banting', 'karna', 'sinyal', 'telkomsel', 'cuaca', 'aman', 'berubah', 'karna', 'kartu', 'harganya', 'murah', 'sinyal', 'beh', 'ngga', 'mengecawakan', 'kencang', 'bye']</t>
  </si>
  <si>
    <t>['payah', 'updet', 'lelet', 'penukaran', 'poin', 'mentok', 'situ', 'situ', 'penukaran', 'game', 'lengkap', 'tesel', '']</t>
  </si>
  <si>
    <t>['jelek', 'banget', 'jaringan', 'telkomsel', 'enak', 'banget', 'paket', 'data', 'mahal', 'sinyal', 'lancar', 'paket', 'data', 'murah', 'jaringan', 'jelek', 'why', 'tolong', 'diperbaiki', 'pengguna', 'telkomsel', 'hilang', '']</t>
  </si>
  <si>
    <t>['saran', 'memiliki', 'kuota', 'diisi', 'pulsa', 'pakai', 'pulsa', 'pisah', 'kartunya', 'jaga', 'notif', 'kuota', 'habis', 'kuota', 'terkuras', 'pulsanya', '']</t>
  </si>
  <si>
    <t>['telkomsel', 'kejelekan', 'jaringan', '']</t>
  </si>
  <si>
    <t>['aneh', 'banget', 'isi', 'kuota', 'rb', 'paketin', 'combo', 'sakti', 'giga', 'besoknya', 'kuota', 'langsung', 'ilang', 'tolong', 'bantu', 'rugi', 'udah', 'isi', 'pulsa', 'rb', 'sia', 'sia', 'isi', 'pulsa', '']</t>
  </si>
  <si>
    <t>['isi', 'pulsa', 'pas', 'tengok', 'nggak', 'nomornya', 'mohon', 'min', 'perbaiki', '']</t>
  </si>
  <si>
    <t>['telkomsel', 'anjinggg', 'sinyalnya', 'jaringannya', 'emosi', 'diperbaiki', 'tutup', 'telkomsel', 'anjinglah', 'emosi', 'gua', '']</t>
  </si>
  <si>
    <t>['wilayah', 'oku', 'paket', 'unlimitedmax', 'paket', 'hilangkan', 'kartu', 'isi', 'pulsa', 'hilangkan']</t>
  </si>
  <si>
    <t>['udah', 'mahal', 'jaringan', 'lemot', 'telkomsel', 'telkontolllllll', 'telkomtodd']</t>
  </si>
  <si>
    <t>['coba', 'pke', 'pulsa', 'darurat', 'rb', 'kepentingan', 'telfon', 'nelfon', 'pdhl', 'nomor', 'tsel', 'kembalikan', 'uang', 'rb', 'lumayan', 'paketdata', 'kann']</t>
  </si>
  <si>
    <t>['peka', 'dikit', 'woy', 'udah', 'kritik', 'soall', 'sinyall', 'lag', 'game', 'ilang', 'sinyall', 'renting', 'bintang', 'kasih', 'ajh', 'smpe', 'skrng', 'perubahan']</t>
  </si>
  <si>
    <t>['kasih', 'bintang', 'pulsa', 'utama', 'langsung', 'habis', 'kesedot', 'internetan', 'paket', 'internet', 'aktif', 'tarif', 'non', 'paket', 'gitu', 'telkomsel']</t>
  </si>
  <si>
    <t>['apk', 'membantu', 'pengguna', 'telokomsel', 'harga', 'murah', 'apk', 'kuota']</t>
  </si>
  <si>
    <t>['lelet', 'jaringan', 'video', 'call', 'terputus', 'putus', 'lancar', 'skrg', 'lemot', 'nyaman', 'ngapa', 'in', '']</t>
  </si>
  <si>
    <t>['tingkatkan', 'pelayanannya', 'jaringan', 'suskes', 'telkomsel']</t>
  </si>
  <si>
    <t>['pakai', 'lom', 'dpt', 'hadiah']</t>
  </si>
  <si>
    <t>['kali', 'pakai', 'mencoba', 'daftar', 'paket', 'pulsa', 'sya', 'kepotong', 'harga', 'jaringan', 'suka', 'ngelag', 'memakai', 'pulsa', 'asli', 'paket', 'didaftarkan', 'cuman', 'prank', 'untung', 'keuntungan', 'jutaan', 'org', 'presentase', 'play', 'store', 'adalh', 'korban', 'keuntungan', 'telkomsel', 'kasi', 'bintang', 'bagus', 'kasih', 'bintang', 'jelek', 'mending', 'pindah', 'indosat']</t>
  </si>
  <si>
    <t>['tolong', 'tanggapai', 'jaringan', 'paket', 'jaringan', 'telkom', 'ngeleg', 'jaringan', 'kartu', 'laen', 'tolonglah', 'tanggapi', 'keluhan', '']</t>
  </si>
  <si>
    <t>['bedebah', 'provider', 'kebanyakan', 'maaf', 'maaf', 'knapa', 'afa', 'polisi']</t>
  </si>
  <si>
    <t>['please', 'telkomsel', 'mohon', 'tambahkan', 'fitur', 'pulsa', 'lock', 'kepotong', 'pulsa', 'kuota', 'habis', 'tolong', 'mah', 'nnti', 'kasi', 'bintang', 'fitur']</t>
  </si>
  <si>
    <t>['jaringan', 'tempatku', 'jelek', 'keliatan', 'jelek', 'tolong', 'kopirmasinya', 'tinggal', 'kaltim', 'kab', 'berau', 'kec', 'talisayan', '']</t>
  </si>
  <si>
    <t>['suka', 'program', 'telkomsel', 'yng', 'semoga', 'pertahankan', 'sukses', 'telkomsel']</t>
  </si>
  <si>
    <t>['muncul', 'pop', 'kesalahan', 'sistem', 'maintenance', 'error', '']</t>
  </si>
  <si>
    <t>['anjk', 'anjk', 'anjk', 'maen', 'game', 'telpon', 'doi', 'susah', 'open', 'ribet', 'anjk', 'bener', 'mending', 'gua', 'make', 'gini', 'modal', 'jdi', 'udh', 'gini', 'rugi', 'gua', 'anjk', 'jdi', 'isi', 'paket', 'gb', 'mahal', 'kasih', 'murah', 'jaringan', 'lelet', 'pulsa', 'terpotong', 'anjk', 'benerin', 'sinyal']</t>
  </si>
  <si>
    <t>['karyawan', 'bos', 'kantor', 'telkomsel', 'udah', 'kaya', 'makan', 'jaringn', 'nggak', 'urus']</t>
  </si>
  <si>
    <t>['provider', 'muslihat', 'paket', 'mahal', 'layanan', 'internet', 'stabil', 'promo', 'nampil', 'kebeli', 'bener', 'ambil', 'paket', 'darurat', 'masak', 'suruh', 'bayar', '']</t>
  </si>
  <si>
    <t>['telkomsel', 'menyediakan', 'pembayaran', 'playstore', 'wetv', 'iqiyi', 'dll', 'sinyal', 'kesini', 'jelek', 'percaya', 'dngn', 'telkomsel', 'dri', 'thn', 'kartu', 'udh', 'thn', 'ganti', 'nomer', 'keluarga', 'pakai', 'telkomsel', 'skrng', 'telkomsel', 'mengecewakan', 'sinyal', 'dengar', 'harga', 'paket', 'klu', 'didukung', 'dngn', 'sinyal', '']</t>
  </si>
  <si>
    <t>['kecewa', 'telkomsel', 'udah', 'hitung', 'pakai', 'kartu', 'telkomsel', 'kek', 'gini', 'udah', 'pakai', 'kartu', 'telkomsel', 'patah']</t>
  </si>
  <si>
    <t>['mahal', 'doang', 'dapet', 'sinyal', 'jelek', 'banget', 'jaringan', 'penuh', 'mending', 'ind', 'sat']</t>
  </si>
  <si>
    <t>['kapok', 'beli', 'telkomsel', 'unlimited', 'max', 'dikasih', 'fup', 'kayak', 'unlimited', 'turbo', 'sampek', 'tangan', 'putus', 'lemot', 'kecuali', 'smg', 'fup', 'dihilangkan', 'ruginya', 'nyenegin', 'pembeli', 'pelit', 'mending', 'beli', 'unlimited', 'turbo', 'beli', 'produk', 'merasakan', 'merasakan', 'ucapan', 'sekian', 'terimakasih', 'beli', 'unlimited', 'turbo', 'smg', 'dibaca', 'produk', 'don', 'buy', 'this', 'product', '']</t>
  </si>
  <si>
    <t>['kondisi', 'cuaca', 'hujan', 'berpengaruh', 'sinyal', 'kuat', 'mohon', 'diperhatikan', 'kualitas', 'harga', 'jaminan', 'mutu', '']</t>
  </si>
  <si>
    <t>['paket', 'data', 'mahal', 'dibagi', 'paket', 'dibutuhkan']</t>
  </si>
  <si>
    <t>['telkomsel', 'masuk', 'jam', 'malam', 'lemottt', 'pas', 'malam', 'lancar', 'males', 'dehh', '']</t>
  </si>
  <si>
    <t>['woi', 'telkom', 'cok', 'masak', 'tower', 'kesambar', 'petir', 'langsung', 'baperan', 'banget', 'signal', 'kagak', 'tower', 'rumah', 'gua', 'jaringan', 'maen', 'mobeltod', 'ngeleg', 'ngeleg', 'tolong', 'harga', 'mahal', '']</t>
  </si>
  <si>
    <t>['oioi', 'jelek', 'boong', 'bagus', 'telkomsel', 'jaringan', 'ngelag', 'tolong', 'gimana']</t>
  </si>
  <si>
    <t>['tolong', 'telkomsel', 'pulsa', 'hilang', 'masang', 'paket', 'apapun', 'kalinya', 'pulsa', 'hilang']</t>
  </si>
  <si>
    <t>['diskon', 'voucher', 'haya', 'permainan', 'mytelkomsel', 'menipu', 'pelanggan', '']</t>
  </si>
  <si>
    <t>['jelek', 'jaringan', 'telkomsel', 'kesini', 'jelek', 'jaringannya', 'kalah', 'provider']</t>
  </si>
  <si>
    <t>['jujur', 'make', 'telkomsel', 'jarang', 'karna', 'harga', 'lumayan', 'mahal', 'jaringan', 'kadang', 'drop', 'kadang', 'bagus', 'aplikasi', 'membantu', 'banget', 'beli', 'kuota']</t>
  </si>
  <si>
    <t>['harga', 'paket', 'internet', 'mahal', 'jaringan', 'lelet', 'pantad', 'harga', 'mahal', 'lelet', 'udah', 'hubungi', 'dibalas', 'kerja', 'saran', 'gue', 'kualitas', 'jaringan', 'jelek', 'kayak', 'siput', 'mending', 'turunin', 'deh', 'harga', 'paketnya', 'balance', 'harga', 'kualitas', '']</t>
  </si>
  <si>
    <t>['pengguna', 'kartu', 'hallo', 'aktif', 'telkomsel', 'email', 'telkomsel', 'keluhan', 'signal', 'edge', 'nomor', 'kartu', 'hallo', 'membalas', 'email', 'menanggapi', 'keluhan', 'solusi', 'kota', 'titik', 'koordinat', 'dll', 'balas', 'sebutkan', 'menerima', 'kenyataan', 'signal', 'edge', 'didaerah', 'tinggal', 'berubah', '']</t>
  </si>
  <si>
    <t>['program', 'promo', 'parah', 'pulsa', 'berkurang', 'kuota', 'nda', 'nambah', 'maaf', 'kasih', 'bintang', 'status', 'nunggu', 'proses']</t>
  </si>
  <si>
    <t>['apk', 'lumayan', 'undian', 'jga', 'tpi', 'sya', 'binggung', 'tntang', 'undiannya', 'bnar', 'ngak', 'undian', 'tsb', 'mhn', 'info', '']</t>
  </si>
  <si>
    <t>['jaringan', 'telkomsel', 'jelek', 'banget', 'udah', 'beli', 'kouta', 'mahal', 'mahal', 'njinglh']</t>
  </si>
  <si>
    <t>['memuaskan', '']</t>
  </si>
  <si>
    <t>['', 'thn', 'pakai', 'telkomsel', 'kali', 'hadiah', 'mengejutkan', 'napa', 'alhamdullilah', 'hem', 'thank', 'telkomsel', 'berkat', 'orang', 'desa', 'teknologi', 'harapan', 'staf', 'perusahaan', 'semangat', 'menjalan', 'tugas', 'terimakasih', 'salam', 'rio', 'anak', 'desa']</t>
  </si>
  <si>
    <t>['aplikasi', 'berguna', 'chat', 'veronika', 'butuh', 'bukti', 'tanggal', 'sekian', 'sayah', 'beli', 'pulsa', 'pulsa', 'masuk', 'butuh', 'secren', 'shot', 'balikin', 'dana', 'shopeepay', 'computer', 'pelayanan', 'pelanggan', 'respek', 'imel', 'kirim', 'ngilang', 'gua', 'maling', 'gua', 'penipu', 'pelayanan', 'ogah', 'ogahan', 'utamakan', 'pelanggan', 'meningkat', 'mah', 'kabur', '']</t>
  </si>
  <si>
    <t>['udah', 'beli', 'kuota', 'kuota', 'gabisa', 'kepake', 'gimana', '']</t>
  </si>
  <si>
    <t>['sinyal', 'tolong', 'perbaiki', 'desaku', 'deda', 'dukuh', 'jelek', '']</t>
  </si>
  <si>
    <t>['hei', 'telkomsel', 'bodat', 'hantu', 'kau', 'jual', 'kebohongan', 'kau', 'kuota', 'multimedia', 'kau', 'tawarkan', 'sengaja', 'kau', 'jaringan', 'lelet', 'moga', 'penyakitan', 'senua', 'keluargamu', 'makan', 'hasil', 'penipuan', '']</t>
  </si>
  <si>
    <t>['kartu', 'telkomsel', 'udah', 'bertahun', 'mantap', 'pokok', 'jaringan', 'manapun']</t>
  </si>
  <si>
    <t>['gratis', 'pulsa', 'downlod', 'aplikasi', 'top', 'beli', 'kuota', 'interenet', 'fungsinya', 'lol', '']</t>
  </si>
  <si>
    <t>['maaf', 'kak', 'aplikasi', 'mohon', 'diperbaiki', 'buka', 'aplikasinya', 'susah', '']</t>
  </si>
  <si>
    <t>['korupsi', 'pasang', 'ehh', 'aktifnya', 'kemanaaaa', 'banget', 'hilang', 'pulsa', 'lihat', 'komen', 'hilang', 'pulsa', 'udah', 'nggak', 'trm', 'ksh', 'diperbaiki', 'emang', 'beneran', 'mafia', 'korupsi', 'donk', 'diperbaiki', '']</t>
  </si>
  <si>
    <t>['kartu', 'terburuk', 'sinyal', 'kartu', 'beneran', 'jelek', 'kuota', 'tinggal', 'dikota', 'sinyal', 'ngelak', 'buruk', 'mending', 'kartu', 'kartu']</t>
  </si>
  <si>
    <t>['udah', 'paketan', 'kouta', 'mahal', 'mahal', 'jaringan', 'jelek', 'engga', 'kayak', 'jaringan', 'internet', 'manteng', 'melehoyyy', 'lemot']</t>
  </si>
  <si>
    <t>['membantu', 'informasi', 'butuhkan', 'apk', 'tsel', 'terimakasih', 'telkomsl']</t>
  </si>
  <si>
    <t>['sisa', 'kuota', 'gb', 'penggunaan', 'internet', 'biaya', 'pulsa', 'ribu', 'sisa', 'pulsaku', 'ribu', 'penipuan']</t>
  </si>
  <si>
    <t>['tukang', 'bohong', 'pulsa', 'untk', 'sms', 'nelpon', 'pas', 'ceq', 'nelpin', 'sms', 'ambil', '']</t>
  </si>
  <si>
    <t>['jaringannya', 'parah', 'ngk', 'main', 'game', 'online', 'putus', '']</t>
  </si>
  <si>
    <t>['melaporkan', 'signal', 'ditempat', 'mendadak', 'hilang', 'timbul', 'ntah', 'sukur', 'buang', 'pulsa', 'melaporkan', 'control', 'berkala', 'kelayakan', 'signal', 'pelanggan', '']</t>
  </si>
  <si>
    <t>['jaringan', 'tsel', 'jlek', 'tolong', 'seriusin', 'kinerja', 'lma', 'buruk', '']</t>
  </si>
  <si>
    <t>['gila', 'ginj', 'telkomsel', 'hei', 'pulsa', 'darurat', 'motong', 'pulsa', 'orang', 'kacau', 'kesinj', 'napa', 'woi', 'emosi', 'telkomsel', 'coba', 'kasih', 'penjelasan']</t>
  </si>
  <si>
    <t>['klaim', 'check', 'susah', 'melebihi', 'batas', 'tukar', 'point', 'tukar', 'rewardny', 'bilg', 'melebihi', 'batas', 'bilg', 'error']</t>
  </si>
  <si>
    <t>['tolong', 'telkomsel', 'harga', 'paket', 'internetnya', 'murahin', 'gitu', 'kuotanya', 'ditambahin', 'user', 'males', 'ganti', 'kartu', 'perdana', 'user', 'kuota', 'bonusannya', 'namanya', 'adil', 'kayak', 'gitu', 'nggak', 'ganti', 'kartu', 'bosen', 'oprator', 'sebelah', 'murah', 'kuota', 'internetnya', 'sinyal', 'telkomsel', '']</t>
  </si>
  <si>
    <t>['telkomsel', 'lancar', 'ngebug', 'mudah', 'membeli', 'paket', 'internet', 'kuotanya', 'dibandingkan', 'membeli', 'paket', 'konvensional', 'promonya', '']</t>
  </si>
  <si>
    <t>['harga', 'paket', 'apapun', 'mahal', 'paket', 'internet', 'telepon', 'sms', 'biaya', 'transfer', 'pulsa', 'perubahan', 'harga', 'mundur', 'telkomsel']</t>
  </si>
  <si>
    <t>['hai', 'kabar', 'kartu', 'telkomsel', 'celana', 'nggak', 'kecewa', 'download', 'atu', 'kartu', 'telkomsel', 'burwan', 'beli', 'kartu', 'telkomsel', 'download', 'aplikasi', 'nggak', 'kecewa', 'cinta', 'telkomsel', '']</t>
  </si>
  <si>
    <t>['dirumahku', 'dikelilingi', 'rumah', 'sinyal', 'bagus', 'pokoknya', 'suka', 'banget', 'makasih', 'telkomsel', 'dirgahayu', 'deh', '']</t>
  </si>
  <si>
    <t>['pertanyaanya', 'paketin', 'data', 'koma', 'rupiah', 'ganepin', 'lebihin', 'kali', 'penduduk', 'indonesia', 'buemn', 'tearsa', 'membebebani', 'pembayar', 'pajak', '']</t>
  </si>
  <si>
    <t>['ngeri', 'beli', 'kuota', 'telkomsel', 'sesuai', 'pemakaian', 'kuota', 'hbs', 'sms', 'system', 'pemblokir', 'jaringn', 'data', 'pulsa', 'kepakai', 'habis', 'contoh', 'provider', 'krtu', 'three', 'kuota', 'hbs', 'lngsung', 'system', 'blok', 'data', 'internet', 'jngn', 'mntng', 'menang', 'merk', 'sixl', 'bagus', 'merugikan', 'rakyat', 'indonesia', 'dasar', 'telllkamprertttt', '']</t>
  </si>
  <si>
    <t>['menukar', 'telkomsel', 'poin', 'kesalahan', 'server', 'bupan', 'alasannya']</t>
  </si>
  <si>
    <t>['udah', 'paketnya', 'mahal', 'mahal', 'interfacenya', 'sebagus', 'aplikasi', 'mym', 'respon', 'systemnya', 'aplikasi', 'sebelah', '']</t>
  </si>
  <si>
    <t>['koneksi', 'payah', 'muncul', 'notifikasi', 'gangguan', 'sistem', 'puluh', 'gangguan', 'sistemnya', '']</t>
  </si>
  <si>
    <t>['rubah', 'paket', 'sesuka', 'hati', 'harga', 'mahal', 'jaringan', 'busuk', 'temen', 'temen', 'udah', 'ganti', 'provider', 'otw', 'ganti']</t>
  </si>
  <si>
    <t>['membayar', 'tagihan', 'kartu', 'aplikasi', 'linkaja', 'membeli', 'paket', 'berlangganan', 'mohon', 'penjelasannya', '']</t>
  </si>
  <si>
    <t>['tolong', 'provider', 'ternama', 'kualitas', 'aplikasi', 'ditingkatkan', 'login', 'cepat', 'game', 'login', 'aplikasi', 'game', 'ukuran', 'kentang', 'ngaku', 'bagus', 'aplikasi', 'jaringan', 'sampah']</t>
  </si>
  <si>
    <t>['mahal', 'kebanyakan', 'ribet', 'sediain', 'paket', 'data', 'kuota', 'gb', 'harga', 'udah', 'gb', 'internet', 'streaming', 'pelanggan', 'nonton', 'sinetron', 'film', 'handphone', '']</t>
  </si>
  <si>
    <t>['kemarin', 'beli', 'paket', 'metode', 'pembayaran', 'apapun', 'gangguan', 'sistem', 'muluu', 'ganti', 'provider']</t>
  </si>
  <si>
    <t>['download', 'sekian', 'kali', 'kali', 'masuk', 'telkomsel', 'slalu', 'blank', 'tampilan', 'apapun', 'terpaksa', 'hapus', 'login', 'ulang', 'berulang', '']</t>
  </si>
  <si>
    <t>['sinyal', 'telkom', 'susah', 'kaya', 'serba', 'lancar', 'gua', 'ngerjain', 'tugas', 'sinyal', 'telkom', 'kya', 'gini', 'udah', 'males', 'ngerjain', 'tugas', 'tolong', 'telkomsel', 'baca', 'ulasan', 'tolong', 'perbaiki', 'sinyal', 'daerah', 'orang', 'pakai', 'telkom', 'semenjak', 'sinyalnya', 'lemot', 'nge', 'lag', 'pindah', 'operator', 'mahal', 'sinyal', 'bagus', 'kaya', 'telkom', 'udah', 'mahal', 'sinyal', 'lemot', 'nge', 'lag', 'operator', 'telkomsel', 'memperbaiki', 'sinyal', 'secepatnya', '']</t>
  </si>
  <si>
    <t>['kayek', 'setan', 'sinyal', 'parah', 'telkomsel', 'pengguna', 'telkomsel', 'out', 'sinyal', 'telkomsel', 'parah', 'habis', 'isi', 'paket']</t>
  </si>
  <si>
    <t>['', 'minggu', 'jaringan', 'telkomselku', 'bagus', 'pikir', 'hpku', 'hang', 'ngapain', 'terhalang', 'nyaman', 'telkomsel', 'susah', 'bangettt', 'main', 'game', 'afk', 'bener', 'kecewa', 'sampe', 'ulasan', 'gini', 'min', 'jaringan', 'telkomselku']</t>
  </si>
  <si>
    <t>['ngasih', 'pulsa', 'monetary', 'gratis', 'gunanya', 'nelpon', 'sms', 'doang', 'mending', 'deh', 'kasih', 'kuota', 'internet', 'mumpung', 'masanya', 'daring', 'kayak', 'gini', 'berguna', 'dikit', 'pulsa', 'ckck', 'telkomsel', 'udahlah', 'harganya', 'mahal', 'orang', 'telkomsel', 'pembodohan', 'fvking', 'hate', 'you', '']</t>
  </si>
  <si>
    <t>['jaringanya', 'seindah', 'nama', 'kota', 'pingiran', 'kota', 'lllleeeemmmmmoootttttt', 'pppppaaaarrraaahhhh', '']</t>
  </si>
  <si>
    <t>['sinyal', 'telkomsel', 'hilang', 'gitu', 'beli', 'kuota', 'mahal', 'mahal', 'sinyal', 'bagus', 'nyata', 'kecewa']</t>
  </si>
  <si>
    <t>['periksa', 'pulsa', 'terpotong', 'gimana', 'habis', 'pulsa', 'telepon', 'call', 'center', 'terselesaikan', 'payahhh', '']</t>
  </si>
  <si>
    <t>['beli', 'paket', 'youtube', 'paketan', 'berkurang', 'pulsa', 'yng', 'sedot', 'ampe', 'abis', 'udh', 'gtu', 'paketan', 'youtube', 'iya', 'beli', 'pulsa', 'oprator', '']</t>
  </si>
  <si>
    <t>['risih', 'bos', 'halo', 'udah', 'jaringan', 'extra', 'lemot', 'jatuh', 'tempo', 'jga', 'bayar', 'sms', 'jga', 'paham', 'ngerti', 'min', 'ganggu', 'nelf', 'meeting', 'rekomen', 'banget', 'halo', 'guys', '']</t>
  </si>
  <si>
    <t>['min', 'jaringan', 'telkomsel', 'lemmah', 'beli', 'paket', 'jaringan', 'lemah', 'parah', 'lelet', 'siput', 'komplain', 'anjurkan', 'mangatakan', 'costumer', 'servis', 'min', '']</t>
  </si>
  <si>
    <t>['program', 'undi', 'undi', 'hepy', 'beneran', 'menang', '']</t>
  </si>
  <si>
    <t>['maaf', 'telkomsel', 'jelek', 'jelek', 'frustasi', 'gara', 'sinyal', 'sekelas', 'telkomsel', 'sinyal', 'saring', 'kali', 'kartu', 'telkomsel', 'ganti', 'telkomsel', 'telkomsel', 'parah', 'udah', 'capek', 'telkomsel', '']</t>
  </si>
  <si>
    <t>['kualitas', 'jaringan', 'telkomsel', 'buruk', 'wilayah', 'keluhan', 'pelaporan', 'karna', 'kualitas', 'telkom', 'buruk', 'stabilan', 'wilayah', 'karna', 'beralih', 'im', 'indosat', 'kecepatan', 'intenetnya', 'kestabilannya', 'penggunaan', 'game', 'sosmed', 'mengecewakan', 'telkomsel', 'kecewa', 'layanan', 'telkom', 'pengguna', 'telkomsel', '']</t>
  </si>
  <si>
    <t>['udah', 'kuota', 'unlimited', 'udh', 'sinyal', 'lag', 'bnget', 'tolong', 'min', 'benarin', 'telkom', 'msa', 'kalah', 'indosat']</t>
  </si>
  <si>
    <t>['paket', 'beli', 'suka', 'ilang', 'susah', 'membeli', 'paket', 'tersisa', 'tinggal', 'mahal', 'sesuai', 'harapan']</t>
  </si>
  <si>
    <t>['aplikasi', 'bagus', 'telkomsel', 'kali', 'berita', 'telkomsel', 'kuota', 'pulsa', 'membantu', 'pandemi']</t>
  </si>
  <si>
    <t>['beli', 'paket', 'diskonan', 'jaringannya', 'diskon', 'susah', 'masuk', 'game', 'jaringannya', 'ampas']</t>
  </si>
  <si>
    <t>['paket', 'sakti', 'gimana', 'dapatkan', 'kuota', 'paket', 'sakti', '']</t>
  </si>
  <si>
    <t>['download', 'kasih', 'klw', 'nyusahin', 'kurangi', 'langsung', 'bintang', '']</t>
  </si>
  <si>
    <t>['update', 'susah', 'masuk', 'aplikasi', 'stuck', 'icon', 'doang', 'loading', 'teruuuusss', 'digunain', 'aplikasi']</t>
  </si>
  <si>
    <t>['knpa', 'lemot', 'telkom', 'buka', 'apk', 'setahun', 'tolong', 'perbaikin', 'keeel', 'nunggu', 'buka', 'apk', 'telkom', 'ajh', 'kopi', 'dlu']</t>
  </si>
  <si>
    <t>['semoga', 'telkomsel', 'ttp', 'jaya', 'jaringan', 'jaya', 'manapun', 'khusus', 'desa', 'aminn']</t>
  </si>
  <si>
    <t>['woy', 'paketan', 'abis', 'notifikasi', 'gara', 'gara', 'pulsaku', 'habis', 'bulannya']</t>
  </si>
  <si>
    <t>['min', 'knp', 'pulsa', 'kog', 'kesedot', 'kuota', 'gb', 'lbh', 'pulsa', 'rb', 'habis', 'smw', 'tanggapan', 'ganti', 'operator', 'tmbah', 'ksini', 'ngawur', 'taiii']</t>
  </si>
  <si>
    <t>['tanggal', 'september', 'beli', 'paket', 'internet', 'rb', 'gb', 'tanggal', 'september', 'sms', 'operator', 'memakai', 'pulsa', 'rp', 'akses', 'internet', 'non', 'paket', 'aktif', 'kuota', 'internet', 'telkomsel', 'mengambil', 'pulsa', 'enaknya', 'maling', 'namanya', 'saran', 'pengguna', 'beralih', 'operator', '']</t>
  </si>
  <si>
    <t>['enak', 'aplikasi', 'poin', 'chek', 'enakan', 'aplikasi', 'pulsa', 'mesti', 'berkurang', 'habis', 'kuota', 'gratis', 'chek', 'harian', 'update']</t>
  </si>
  <si>
    <t>['kuota', 'habis', 'paket', 'internet', 'dipakai', 'habis', 'kuota', 'berjangka', 'kuota', 'berjangka', 'harian', 'dihabiskan', 'tolong', 'perbaiki', 'sistem', 'pengambilan', 'pemakaian', 'kuotanya', 'habiskan', 'kuota', 'harian', 'dipakai', 'kuota', 'jangkanya', 'terimakasih']</t>
  </si>
  <si>
    <t>['apk', 'penipuan', 'top', 'pulsa', 'mna', 'blum', 'masuk', 'saldo', 'pulsa', 'sya', 'pdahal', 'transaksi', 'berhasil', 'lwat', 'virtual', 'account', 'bagaimna', 'uang', 'terlajut', 'kepotong', 'bukti', 'resinya', 'nee', 'laporkan', 'berwajib', '']</t>
  </si>
  <si>
    <t>['pelajar', 'internet', 'murah', 'menunjang', 'sekolah', 'telkomsel', 'internet', 'mahal', 'mahal', 'kesusahan', 'belajar', '']</t>
  </si>
  <si>
    <t>['jelek', 'banget', 'pulsa', 'tersedot', 'chat', 'pacar', 'pulsa', 'habis', 'ajar', 'gua', 'sampe', 'omelin', 'keluarga', 'gue', '']</t>
  </si>
  <si>
    <t>['harga', 'paket', 'internet', 'mahal', 'operator']</t>
  </si>
  <si>
    <t>['upload', 'video', 'yutub', 'sinyal', 'gangguan', 'gamau', 'muncul', 'seharian', 'listrik', 'mati', 'pas', 'udah', 'nyala', 'ehhh', 'tetep', 'gamau', 'muncul', 'sinyalnya', '']</t>
  </si>
  <si>
    <t>['allhamdulilah', 'membantu', 'kekurangan', 'pemakaian', 'sehari', 'promo', 'diskon', 'terbaik', 'kagum', 'terima', 'kasih', 'mytelkomsel', '']</t>
  </si>
  <si>
    <t>['turunin', 'bintang', 'pengguna', 'telkomsel', 'pakek', 'udah', 'telkomsel', 'pakek', 'tpih', 'kecewa', 'telkomsel', 'karna', 'telkomsel', 'poin', 'tukar', 'saldo', 'link', 'program', 'penukaran', 'poin', 'skrang', 'nggk', 'sma', 'sia', 'sia', 'ngumpulin', 'poin', 'tpih', 'nggk', 'berharap', 'telkomsel', 'kaya', 'dlu', 'lgi', 'orang', 'kampung', 'rindu', 'telkomsel', 'dlu', 'program', 'skrng', 'orng', 'kota']</t>
  </si>
  <si>
    <t>['sinyal', 'pelosok', 'desa', 'kuat', 'perbanyak', 'tower', 'paketnya', 'permurah', '']</t>
  </si>
  <si>
    <t>['telkomsel', 'top', 'markotop', 'semoga', 'sukses', 'maju', 'membantu', 'masyarakat', 'membutuhkan', 'thanks']</t>
  </si>
  <si>
    <t>['bisanya', 'pulsa', 'terpakai', 'beli', 'paket', 'internet', 'paketnya', 'terpakai', 'pulsaku', 'sisa', '']</t>
  </si>
  <si>
    <t>['makasih', 'pelayanan', 'kesal', 'pembelian', 'sukses', 'tpi', 'bukti', 'masuk', 'app', 'mytelkom', 'gopay', 'makasih', 'saldo', 'pembelian', 'ulang', 'berhasil', 'makasih', 'responnya']</t>
  </si>
  <si>
    <t>['aplikasinya', 'payah', 'informasi', 'sulit', 'menghubungi', 'operator', 'pulsa', 'bicara', 'operator', 'gratis', 'pelayanan', 'customer', 'pakai', 'pulsa', 'gratis', 'ratusan', 'sms', 'klu', 'what', 'operator', 'jaringan', 'lbh', 'pelayanannya', '']</t>
  </si>
  <si>
    <t>['', 'pulsa', 'hilang', 'kemana', 'larinya', 'kouta', 'tinggal', 'gb', 'jaga', 'jaga', 'beli', 'nggak', 'kehabisan', 'koutanya', 'aktif', 'berkurang', 'kouta', 'langsung', 'kouta', 'pakek', 'habisin', 'kouta', 'tinggal', 'kouta', 'sinyal', 'drop', 'tower', 'kualitas', 'kalah', 'operator', 'sebelah', 'tolong', 'perbaiki']</t>
  </si>
  <si>
    <t>['main', 'game', 'online', 'sinyal', 'lag', 'kluar', 'sinyal', 'quota', 'bnyak', 'rumah', 'samping', 'bts', 'telkom', 'kadang', 'pelanggan', 'kecewa', '']</t>
  </si>
  <si>
    <t>['mytelkomsel', 'mantap', 'smoga', 'jaringan', 'internetnya', 'sukses', 'murah', 'kuotanya']</t>
  </si>
  <si>
    <t>['kasih', 'bintang', 'saran', 'aplikasi', 'telkomsel', 'fitur', 'kunci', 'pulsa', 'sisa', 'pulsa', 'terpotong', 'habis', 'paket', 'data', 'habis', 'terima', 'kasih', '']</t>
  </si>
  <si>
    <t>['jaringan', 'telkomsel', 'emosi', 'main', 'game', 'online', 'kecewa', 'main', 'game', 'lancar', 'kali', 'lag', 'lag', 'pokok', 'gitu', 'keluhan', 'cari', 'kartu', 'deh']</t>
  </si>
  <si>
    <t>['aplikasi', 'telkomsel', 'memudahkan', 'cek', 'saldo', 'paket', 'kuota', 'makasih', '']</t>
  </si>
  <si>
    <t>['udah', 'harga', 'kuota', 'mahal', 'signal', 'jelej', 'bgd', 'sebanding', 'harga', 'kualitasnya', '']</t>
  </si>
  <si>
    <t>['pngguna', 'setia', 'telkom', 'kecewa', 'bukanya', 'harga', 'paketan', 'dipengunna', 'prioritaskan', 'kasih', 'promo', 'diskon', 'gede', 'harga', 'paketan', 'wajar', 'unlimited', 'batasanya', 'bodoh', 'arti', 'unlimited']</t>
  </si>
  <si>
    <t>['berhenti', 'dri', 'kartu', 'hallo', 'kartutidak', '']</t>
  </si>
  <si>
    <t>['pengguna', 'setia', 'telkomsel', 'pulsa', 'tersedot', 'pas', 'cek', 'riwayat', 'transaksi', 'pulsa', 'terpotong', 'karna', 'penggunaan', 'internet', 'kouta', 'paket', 'aktif', 'tolong', 'cepat', 'perbaiki', 'kasih', 'bintang', 'full', 'cepat', 'didengar', 'terimakasih']</t>
  </si>
  <si>
    <t>['mengunduh', 'aplikasi', 'telkomsel', 'langsung', 'pulsa', 'merespon', 'keluhan', 'pelanggan', 'wadah', 'membaca', 'ulasan', 'pelanggan', 'pulsa', 'bungkam', 'alias', 'tanggapan', 'apapun', 'maaf', 'ajarkan', 'penipu', 'menipu', 'perbuatan', 'melanggar', 'hukum', 'hukum', 'alloh', 'hukum', 'pidana']</t>
  </si>
  <si>
    <t>['jaringan', 'telkomsel', 'bagus', 'main', 'game', 'ngleg', 'paket', 'internetnya', 'mahal', 'mending', 'jaringannya', 'bagus', 'ganti', 'operator', 'sebelah', 'paketnya', 'murah', 'jaringannya', 'bagus', '']</t>
  </si>
  <si>
    <t>['suhendri', 'clarks', 'pemuda', 'tampan', 'kuat', 'pemberani', 'cepat', 'memiliki', 'hak', 'cepat', 'praktis', 'lowongan', 'kerja', 'bahasa', 'sastra', 'inggris', 'china', 'india', 'korea', 'bahasa', 'indonesia', 'sastra']</t>
  </si>
  <si>
    <t>['telkomsel', 'sinyalnya', 'suka', 'hilang', 'lag', 'sinyalnya', 'hilang', 'bener', 'bener', 'gaada', 'nunggu', 'menit', 'sehari', 'kali', 'kyk', 'gini', 'ganggu', 'main', 'game', '']</t>
  </si>
  <si>
    <t>['sinyal', 'telkomsel', 'parah', 'banget', 'maen', 'wild', 'rift', 'leg', 'parah', 'ping', 'sampe', 'merah', 'temen', 'telkomsel', 'maen', 'emel', 'game', 'sampe', 'ngefreeze', 'udah', 'telkomsel', 'gini']</t>
  </si>
  <si>
    <t>['jaring', 'lemah', 'padah', 'lokasi', 'kota', 'kenyataan', '']</t>
  </si>
  <si>
    <t>['semenjak', 'berpindah', 'kartu', 'loop', 'kartu', 'haloo', 'sungguh', 'mengecewakan', 'dimana', 'browsing', 'youtube', 'sosmed', 'game', 'parah', 'jaringan', 'dimana', 'janji', 'telkomsel', 'kecepatan', 'jaringan', 'prioritaskan', 'diubah', 'kartu', 'haloo', '']</t>
  </si>
  <si>
    <t>['sedot', 'pulsa', 'konsumen', 'kouta', 'gratis', 'kampus', 'pulsa', 'sisa', 'kouta', 'pas', 'nyalain', 'data', 'nyedot', 'pulsa', 'kesedot', 'sampe', 'pulsanya', 'parah']</t>
  </si>
  <si>
    <t>['maaf', 'kasi', 'bintang', 'jaringan', 'mytelkomsel', 'stabil', 'sesuai', 'harga', 'mahal', 'internet', 'mytelkomselnya', 'tolong', 'dibenarkan', 'karna', 'menggangu', 'sesuai', 'banget', 'harganya', 'pulsa', 'slalu', 'terpotong', 'cicilan', 'beli', 'pulsa', 'sia', 'kegunaannya', 'semoga', 'update', 'berkembang', 'semangat', 'mytelkomsel', 'kash', 'bintang', 'deh', '']</t>
  </si>
  <si>
    <t>['kadang', 'maen', 'game', 'sinyal', 'langsung', 'lompat', 'youtube', 'instagram', 'lancar', 'lancar', 'pas', 'buka', 'apl', 'mytelkomsel', 'nyedot', 'banget', 'data', 'sampe', 'mb', 'harap', 'iritkan', '']</t>
  </si>
  <si>
    <t>['pulsaku', 'hilang', 'kuota', 'gb', 'dapet', 'notif', 'pemakaian', 'inet', 'tarif', 'non', 'paket', 'tolong', 'kembalikan', 'pulsaku', 'hilang', 'kuota', 'gb', 'dipake', 'kali', 'dialami', 'udah', 'kali', 'skrg', 'muak', '']</t>
  </si>
  <si>
    <t>['membeli', 'paket', 'combo', 'harga', 'penurunan', 'pelayanan', 'haruskah', 'buang', 'ganti', 'provider', 'pelayanan', 'salah', 'pelanggan', 'menurun', 'dirasakan', 'boros', '']</t>
  </si>
  <si>
    <t>['kartu', 'pulsa', 'diisi', 'dipakai', 'terkuras', 'pencurri', 'pulsa', '']</t>
  </si>
  <si>
    <t>['malam', 'hancur', 'telkomsel', 'keuntungan', 'gmna', 'paket', 'mahal', 'jaringan', 'murahan']</t>
  </si>
  <si>
    <t>['segitu', 'telkomsel', 'jaringan', 'hilang', 'lemot', 'paket', 'cepat', 'habis', 'hancur', 'provider', 'bumn', 'gini']</t>
  </si>
  <si>
    <t>['kasih', 'bintang', 'jaringan', 'telkomsel', 'lelet', 'khusus', 'daerah', 'riau', 'asli', 'lelet', 'parah', '']</t>
  </si>
  <si>
    <t>['simpati', 'parah', 'sinyal', 'lemot', 'kalah', 'axis', 'paket', 'bnyak', 'sinyal', 'lemot', 'parah', 'pulsa', 'sedot', 'abis', 'sinyal', 'lemot', 'ambil', 'pulsa', 'paraaaaaaaaaaaaahhhh', 'pengaduan', 'iya', 'nti', 'ditindak', 'lanjuti', 'sampe', 'sekarng', 'blo', '']</t>
  </si>
  <si>
    <t>['harga', 'paketnya', 'turuninlah', 'sesuai', 'kualitas', 'jaringan', 'rendah', 'september', 'bener', 'jaringannya', '']</t>
  </si>
  <si>
    <t>['kali', 'pulsa', 'hilang', '']</t>
  </si>
  <si>
    <t>['tolong', 'beli', 'paketan', 'unlimited', 'youtub', 'buka', 'youtub', 'putar', 'jaringan', 'full', '']</t>
  </si>
  <si>
    <t>['penawaran', 'promo', 'spesial', 'pelanggan', 'telkomsel', 'hadiah', 'undian', 'undian', 'berhadiah', 'telkomsel', '']</t>
  </si>
  <si>
    <t>['sebagus', 'apapun', 'sinyal', 'telkomsel', 'jelek', 'bkln', 'ensk', 'maen', 'game', 'bertahun', 'sya', 'pkek', 'tekml', 'bngstt', 'telkomsel']</t>
  </si>
  <si>
    <t>['pengguna', 'telkomsel', 'simpati', 'kecewa', 'paket', 'data', 'simpati', 'gb', 'harganya', 'rb', 'sisa', 'data', 'gb', 'kualitasnya', 'buruk', 'mengganggu', 'kerja', 'lokasi', 'wilayah', 'kalimantan', 'utara', 'beli', 'paket', 'combo', 'simpati', 'beli', 'gb', 'sia', 'sisa', 'gb', 'berguna']</t>
  </si>
  <si>
    <t>['signal', 'telkomsel', 'dialkautsar', 'kec', 'satui', 'kab', 'tanah', 'bumbu', 'kalimantan', 'selatan', 'lelet', 'laporan', 'telkomsel', 'lelet', 'percumah', 'beli', 'paket', 'data', 'mahal', 'mahal', 'maksimal', 'buka', 'data', 'susah', '']</t>
  </si>
  <si>
    <t>['serius', 'nanya', 'signal', 'telkomsel', 'jelekkkk', 'banget', 'area', 'semarang', '']</t>
  </si>
  <si>
    <t>['harga', 'mahal', 'kualitas', 'sesuai', 'harga', 'paketan', 'sesuai', 'deskripsi', 'pokoknya', 'nyesel', 'nomornya', 'udah', 'ganti', 'kartu', '']</t>
  </si>
  <si>
    <t>['aplikasi', 'membantu', 'pelanggan', 'mudah', 'memperoleh', 'informasi', 'promo', 'telkomsel', 'praktis', 'cepat', '']</t>
  </si>
  <si>
    <t>['kecewa', 'sinyal', 'suka', 'down', 'paket', 'beli', 'mahal', 'pelayanan', 'pengguna', 'stabil', '']</t>
  </si>
  <si>
    <t>['pulsa', 'sisa', 'rb', 'beli', 'paket', 'ketengan', 'harga', 'ribu', 'tulisanya', 'pulsa']</t>
  </si>
  <si>
    <t>['telkomsel', 'membantu', 'musim', 'pandemi', 'belajar', 'online', 'mudah']</t>
  </si>
  <si>
    <t>['jdi', 'crita', 'gini', 'planggan', 'stia', 'trus', 'paket', 'internet', 'trus', 'harga', 'jmpollh']</t>
  </si>
  <si>
    <t>['coba', 'jaringan', 'telkomsel', 'parah', 'kecewa', 'paket', 'mahal', 'mahal', 'tpi', 'jaringan', 'kek', 'gini', 'kecewa', 'kecewa', 'kecewa']</t>
  </si>
  <si>
    <t>['telkomsel', 'lemot', 'sinyalnya', 'jalan', 'harga', 'paketnya', 'mahal', 'lemot', '']</t>
  </si>
  <si>
    <t>['membuka', 'aplikasi', 'telkomsel', 'klik', 'butuh', 'perjuangan', 'masuk', 'noted', 'diperbaiki', 'buka', 'aplikasinya', '']</t>
  </si>
  <si>
    <t>['nyesel', 'pakek', 'telkomsel', 'sinyal', 'welek', 'temen', 'sinyal', 'fullll', 'game', 'weleeekkkkkk', 'polll', 'kasi', 'bintang', 'pengumuman', 'suka', 'main', 'game', 'onlen', 'pakek', 'kartu', 'dijamin', 'leg', 'poll', 'telokomsel', 'lemot', 'abis', 'wajip', 'ganti', 'kartu', 'aman', 'kalah', 'main', 'game', '']</t>
  </si>
  <si>
    <t>['jaringan', 'kyk', 'anjggg', 'mending', 'beralih', 'internet', 'nyesal', 'beli', 'telkomsel', 'harga', 'sesuai', 'kualitas']</t>
  </si>
  <si>
    <t>['aplikasi', 'mudah', 'cepat', 'cuman', 'koutanya', 'mahal', 'kaya', 'indosat', 'koutanya', 'murah', 'murah', '']</t>
  </si>
  <si>
    <t>['telkomsel', 'internet', 'terbagus', 'males', 'bnget', 'gua', 'main', 'game', 'ping', 'merah', 'cocok', 'internet', 'terbagus', 'kek', 'gini', 'ping', 'pas', 'main', 'game', '']</t>
  </si>
  <si>
    <t>['jaringan', 'telkomsel', 'gangguan', 'hujan', 'akses', 'shopee', 'streaming', 'lemot', 'menurun', 'mohon', 'tingkatkan', 'min', 'pelanggan', 'kecewa', '']</t>
  </si>
  <si>
    <t>['paketan', 'sosial', 'media', 'game', 'buka', 'game', 'online', 'mutu', 'skali']</t>
  </si>
  <si>
    <t>['telkomsel', 'hancurr', 'udah', 'ngak', 'pulsa', 'habis', 'makan', 'isi', 'buka', 'pulsa', 'pas', 'masuk', 'langsung', 'habis', 'pulsanya', 'udah', 'kli', 'kejadiannya', 'sma', 'jaringannya', 'ngelag', 'main', 'game', 'emg', 'telkomsel', 'hancurrrrrr', 'ehhh', 'developer', 'jujur', 'ngambil', 'pulsa', 'org', 'pikir', 'pulsa', 'belinya', 'daon', 'kesel', 'banget', 'gua']</t>
  </si>
  <si>
    <t>['', 'aplikasi', 'mytelkomsel', 'kekurangan', 'mengunci', 'pulsa', 'apk', 'axisnet', 'kunci', 'pulsa', 'telkomsel']</t>
  </si>
  <si>
    <t>['telkomsel', 'kayak', 'iblis', 'beli', 'kuota', 'gue', 'sinyalnya', 'bagus', 'gataunya', 'jelek', 'provider', 'menyesal', 'last', 'telkomsel', 'pelanggan', '']</t>
  </si>
  <si>
    <t>['telkomsel', 'paket', 'data', 'berlakunya', 'habis', 'berlakunya', 'narik', 'paket', 'datanya', 'gini', 'buang', 'buang', 'pulsa', 'pasang', 'pket']</t>
  </si>
  <si>
    <t>['pulsa', 'habis', 'kuota', 'sistem', 'ngunci', 'pulsa', 'pulsa', 'kemakan', 'kuota', 'habis', 'kayak', 'aplikasi', 'oprator', 'sebelah']</t>
  </si>
  <si>
    <t>['', 'tlkmsl', 'prnh', 'hutang', 'pkt', 'tlpn', 'knp', 'aktif', 'kali', 'sllu', 'isi', 'paket', 'tlpn', 'bulanan', 'prnh', 'hutang', 'aktif', 'bokek', 'gni']</t>
  </si>
  <si>
    <t>['jaringan', 'telkomsel', 'jelek', 'kuota', 'internet', 'lemot', 'harga', 'kuota', 'mahal', '']</t>
  </si>
  <si>
    <t>['tolong', 'sinyal', 'telkomsel', 'bandung', 'udh', 'minggu', 'jelek', 'tolong', 'perbaiki', '']</t>
  </si>
  <si>
    <t>['bagus', 'peningkatan', 'good', 'pertahankan', '']</t>
  </si>
  <si>
    <t>['paaraaah', 'nyanyi', 'doang', 'bisanya', 'aplikasi', 'dimonitor', 'mlakukan', 'pembayaran', 'pembelian', 'paket', 'data', 'susah', 'aplikasi', 'beraaaat', 'sampe', 'aplikasi', 'sll', 'close', 'panas', 'batre', '']</t>
  </si>
  <si>
    <t>['terima', 'kasih', 'telkomsel', 'pelayananmu', 'berharga', 'bagiku', 'terjalinnya', 'komunikasi', 'indikasi', 'tingkatkan', 'sinyal', 'jaringannya', '']</t>
  </si>
  <si>
    <t>['sinyalnya', 'undiannya', 'banget', 'semoga', 'berkesempatan', 'menang', 'mobil', 'amin', 'yra', 'terimakasih', 'telkomsel']</t>
  </si>
  <si>
    <t>['mantap', 'telkomsel', 'allah', 'mudah', 'mudahan', 'hadiah', 'hadiah', 'adek', 'anak', 'yatim']</t>
  </si>
  <si>
    <t>['pakai', 'nomor', 'telkomsel', 'pindah', 'operator', 'biayanya', 'mahal', 'jaringan', 'skrg', 'terganggu', '']</t>
  </si>
  <si>
    <t>['mending', 'lho', 'ancurin', 'perusahaan', 'lho', 'nipu', 'orang', 'beli', 'paketan', 'mahal', 'banget', 'janringan', 'nge', 'lag', 'engga', 'sinyal', 'dasar', 'penipu', 'kerjaan']</t>
  </si>
  <si>
    <t>['keren', 'update', 'jaringan', 'kualitas', 'harga', 'paket', 'internet', 'mahal', 'semoga', 'sukses', 'telkomsel', 'indonesia', '']</t>
  </si>
  <si>
    <t>['nukar', 'poin', 'donasi', 'mesti', 'persyaratan', 'poin', 'ber', 'amal', 'sulit', '']</t>
  </si>
  <si>
    <t>['halo', 'sinyal', 'telkomsel', 'kemana', 'pakek', 'main', 'game', 'lambat', 'sinyalnya', 'kena', 'ppkm', 'nyampek', 'kali', 'tolong', 'betulkan', 'sblm', 'pindah', 'provider', 'sebelah', '']</t>
  </si>
  <si>
    <t>['mohon', 'maaf', 'telkomsel', 'kemarin', 'membeli', 'paket', 'promo', 'telkomsel', 'harga', 'paket', 'kunjung', 'pulsa', 'potong', 'mohon', 'pulsa', '']</t>
  </si>
  <si>
    <t>['gimana', 'telkomsel', 'daily', 'check', 'nambah', 'check', 'kecewa', 'apk', '']</t>
  </si>
  <si>
    <t>['aplikasi', 'pembaharuan', 'muncul', 'pembaharuan']</t>
  </si>
  <si>
    <t>['waduuh', 'pulsa', 'gua', 'gua', 'wifi', 'operator', 'telkomsel', '']</t>
  </si>
  <si>
    <t>['tolong', 'perbaiki', 'beli', 'paketan', 'eror', 'sampe', 'maketin', 'manual']</t>
  </si>
  <si>
    <t>['nukar', 'poin', 'kuota', 'sehari', 'kepake', 'kuota', 'reguler', 'maunya', 'kuota', 'reguler', 'berlakunya', 'gitu', 'niat', 'ngasih', 'ngasih', '']</t>
  </si>
  <si>
    <t>['kesini', 'jelek', 'jaringan', 'game', 'online', 'sosmed', 'streaming', 'msh', 'oke', 'tolong', 'diperbaiki', 'kualitas', 'jaringan', '']</t>
  </si>
  <si>
    <t>['telkomsel', 'susah', 'dipaketkan', 'ketengan', 'min', 'kendala', 'kah', 'haruskah', 'dowload', 'aplikasi', 'terhubung', 'telkomsel', 'suka', 'maketkan', 'paket', 'ketengan', 'diajak', 'kompromi', 'pas', 'darurat', 'upload', 'youtube', 'susah', 'salam', 'perbaikan', '']</t>
  </si>
  <si>
    <t>['tolong', 'telkomsel', 'paket', 'berbatas', 'dahulukan', 'ketimbang', 'paket', 'utama']</t>
  </si>
  <si>
    <t>['tolong', 'kembangkan', 'fitur', 'kunci', 'pulsa', 'paket', 'data', 'pengguna', 'habis', 'pulsa', 'pengguna', 'termakan', 'cth', 'paket', 'habis', 'pulsa', 'tergunakan', 'data']</t>
  </si>
  <si>
    <t>['maaf', 'ahir', 'sinyal', 'telkomsel', 'melambat', 'pdhal', 'paket', 'data', 'isi', 'semoga', 'nge', 'game', 'ilang', 'sinyal', 'buka', 'kdang', 'lag', 'dlu', 'palinh', 'joss', 'sinyalnya', 'berkurang', 'knpa', 'mohon', 'infonya', '']</t>
  </si>
  <si>
    <t>['sediakan', 'pilihan', 'poin', 'ditukar', 'min', 'hadiah', 'cuman', 'usaha', 'nukarnya', 'ampun']</t>
  </si>
  <si>
    <t>['sinyal', 'telkomsel', 'jeleeekk', 'parah', 'kualitas', 'sesuai', 'harga', 'layanan', 'harga', 'paket', 'internet', 'mahal', 'banget', 'kualitas', 'sinyal', 'buruuuuuukkk', 'lokasi', 'rumah', 'kota', '']</t>
  </si>
  <si>
    <t>['woi', 'jaringan', 'tolong', 'benerin', 'lose', 'trik', 'mulu', 'gua', 'main', 'tolong', 'udh', 'mahal', 'paket', 'kaya', 'gini', 'jaringan', 'nga']</t>
  </si>
  <si>
    <t>['siyal', 'kesini', 'aneh', 'telkomsel', 'engga', 'aneh', 'paket', 'mahal', 'kualitas', 'tolong', 'perbaiki']</t>
  </si>
  <si>
    <t>['pulsa', 'berkurang', 'habis', '']</t>
  </si>
  <si>
    <t>['pulsa', 'tersedot', 'otomatis', 'berlaku', 'paket', 'bilangnya', 'otomatis', 'mengaktifkan', 'penukaran', 'poin', 'ditukar', 'refund', 'mencoba', 'kuota', 'aktif', 'pesan', 'sibuk', 'server', 'dicoba', 'limit', 'transaksi']</t>
  </si>
  <si>
    <t>['knpa', 'isi', 'voucher', 'nominal', 'gb', 'hri', 'jwabanta', 'maaf', 'sistem', 'sibuk', 'bisanya', 'bisaya', 'mlm', 'itung', 'anb', 'hri', 'sampe', 'pkul', 'sbgai', 'konsumen', 'rugi', 'knapa', 'itunganya', 'pas', 'paket', 'aktif', 'tpi', 'nominal', 'lngsung', 'aktif', 'mngapa', '']</t>
  </si>
  <si>
    <t>['selesai', 'susah', 'login', 'coba', 'developer', 'tambahin', 'fitur', 'off', 'paket', 'data', 'ngatur', 'paket', 'data', 'dipake', 'pastinya', 'terpaku', 'cmn', 'paket', 'paket', 'niat', 'pengen', 'ngabisin', 'paket', 'karna', 'kadaluarsa', 'kepake', 'paket', 'beli', 'hilang', 'karna', 'kadaluarsa', 'rugi', 'tolong', 'developer', 'selebihnya', 'bagus', 'bonus', 'mantap']</t>
  </si>
  <si>
    <t>['lintah', 'darat', 'pulsa', 'habis', 'tolong', 'dibenarin', 'emang', 'disengaja', 'nyuri', 'pulsa', 'pelanggan', 'makan', 'uang', 'haram', 'doyan', '']</t>
  </si>
  <si>
    <t>['paketan', 'beli', 'udah', 'tersedia', 'paketan', 'berubah', 'aneh']</t>
  </si>
  <si>
    <t>['kartu', 'taik', 'kartu', 'dajjal', 'harga', 'mahal', 'jaringan', 'kayak', 'babi', 'telkomsel', 'hapus', 'kartu', 'telkomsel', 'anak', 'dajjal', 'taik', 'taik', 'taik']</t>
  </si>
  <si>
    <t>['jaringannya', 'buruk', 'harga', 'mahal', 'kualitas', 'mengecewakan', '']</t>
  </si>
  <si>
    <t>['program', 'poin', 'cek', 'semoga', 'pertahankan', 'bermanfaat', 'klaim', 'dapatkan', 'kuota', 'belajar', 'daring', 'kehabisan', 'poin', 'jaya', 'berkah', 'telkomsel', 'ditunggu', 'yaa', '']</t>
  </si>
  <si>
    <t>['bagus', 'banget', 'aplikasinya', 'ribet', 'ribet', 'telkomsel', 'serba', 'instan', 'josss', '']</t>
  </si>
  <si>
    <t>['jaringan', 'tolong', 'dilancarkan', 'anjiing', 'paket', 'mahal', 'jaringan', 'jelek', 'ngotak', 'kah', 'dikit', 'uang', 'habis', 'beli', 'paket', 'ngasih', 'uang', 'jaringan', 'tolong', 'dilancarkan', 'main', 'kredit', 'skor', 'hilang', 'gara', 'gara', 'jaringan', 'jelek', 'kalik', '']</t>
  </si>
  <si>
    <t>['kali', 'membeli', 'pulsa', 'aplikasi', 'poin', 'alasannya', 'pembayaran', 'gagal', 'saldo', 'berkurang', 'pulsa', 'masuk', 'kartu', 'simpati', '']</t>
  </si>
  <si>
    <t>['bagus', 'aplikasi', 'semoga', 'menang', 'menang', 'kasih', 'bintang', 'semoga', 'menjdi', 'terbaik', 'terbaik', 'alhamdulillah', 'kesempatan', 'bagus', 'pertahanan', 'iya', 'menang', 'menang', 'menang', '']</t>
  </si>
  <si>
    <t>['gangguan', 'mulu', 'ngelag', 'lemot', 'mahal', 'nonton', 'film', 'anime', 'durasi', 'menit', 'jam', 'durasinya', 'gara', 'sinyal', 'lemot', 'udah', 'beli', 'paket', 'mahal', 'sinyal', 'lemot', 'banget', 'kecewa', 'gua']</t>
  </si>
  <si>
    <t>['benci', 'kecewa', 'produk', 'pulsa', 'habis', 'sinyal', 'lag', 'menjalankan', 'aplikasi', 'data']</t>
  </si>
  <si>
    <t>['aplikasi', 'membantu', 'disamping', 'memudahkan', 'bonus', 'kuota', 'dll', 'telkomsel', 'kedepannya', 'mohon', 'aplikasi', 'dikembangkan', 'menambah', 'fitur', 'mengatur', 'prioritas', 'penggunaan', 'kuota', 'kuota', 'utama', 'ganti', 'penggunaanya', 'kuota', 'tsb', 'temui', 'disamping', 'tsb', 'memuaskan', 'terimakasih', '']</t>
  </si>
  <si>
    <t>['pengguna', 'telkomsel', 'sinyal', 'telkomsel', 'lancar', 'kendala', 'sinyal', 'telkomsel', 'lelet', 'pelayanan', 'sesuai', 'harga', 'paket', 'internet', 'melonjak', 'harganya', '']</t>
  </si>
  <si>
    <t>['provider', 'penuh', 'kekecewaan', 'sinyal', 'stabil', 'apapun', 'streaming', 'film', 'zoom', 'meeting', 'game', 'online', 'keluhan', 'customer', 'digubris']</t>
  </si>
  <si>
    <t>['telkom', 'sel', 'udah', 'capek', 'beli', 'paket', 'mahal', 'mahal', 'kayak', 'taik', 'sinyal', '']</t>
  </si>
  <si>
    <t>['promo', 'tukar', 'poin', 'dpt', 'pas', 'ditukar', 'kuota', 'pakai', 'kuota', 'lokal', 'kesedot', 'telkomsel', 'ngadi', 'ngadi', 'nipu', 'pelanggan']</t>
  </si>
  <si>
    <t>['bagus', 'aplikasinya', 'mempermudah', 'beli', 'paket', 'data', 'pulsa', 'trus', 'hadiahnya']</t>
  </si>
  <si>
    <t>['bagus', 'kepo', 'yaaaa', 'sukses', 'telkomsel', 'semoga', 'jaringan', 'kekuatan', 'sinyal', 'telkomsel', 'lancar', 'lag', '']</t>
  </si>
  <si>
    <t>['masuk', 'akal', 'membeli', 'kuota', 'belajar', 'kuota', 'utama', 'habis', 'duluan', 'sida', 'tertipu', 'ribu', 'menit']</t>
  </si>
  <si>
    <t>['bagus', 'banget', 'aplikasi', '']</t>
  </si>
  <si>
    <t>['telkomsel', 'gblk', 'nukar', 'paket', 'poin', 'udah', 'tukar', 'tenyata', 'dapet', 'paket']</t>
  </si>
  <si>
    <t>['aplikasi', 'update', 'mulu', 'bosan', 'tauk', 'update', 'huh']</t>
  </si>
  <si>
    <t>['udah', 'langganan', 'murah', 'paket', 'datanya', 'mahalnya', 'kebangetan', 'udah', 'gitu', 'telkomsel', 'gangguanya', 'susah', 'sinyal', 'lag', 'sumpah', 'kecewa', 'telkomsel', 'kayak', '']</t>
  </si>
  <si>
    <t>['telkomsel', 'hrs', 'berani', 'berubah', 'skrng', 'aga', 'mendingan', 'pilihan', 'paket', 'hematnya', '']</t>
  </si>
  <si>
    <t>['tolong', 'sinyal', 'perbaiki', 'mentang', 'jam', 'istirahat', 'kaya', 'gini', 'sinyal', 'langsung', 'eror', 'mendung', 'pengguna', 'internet', 'aktif', 'jam', 'kecewa', 'trus', 'sinyal', 'kaya', 'gini', 'tolong', 'perbaiki']</t>
  </si>
  <si>
    <t>['pindah', 'kartu', 'im', 'kaget', 'harga', 'paket', 'im', 'jaih', 'banget', 'murah', 'dibanding', 'telkomsel', 'istila', 'paket', 'mid', 'night', 'malam', 'pagi', 'siang', 'sore', 'lokal', 'interlokal', 'nonton', 'belajar', 'apalah', 'kebanyakan', 'jenis', 'kartu', 'udah', 'murah', 'kuota', 'dibisa', 'dipakai', 'ngapain', 'pembagian', 'semoga', 'telkomsel', 'memperbaiki', 'segi', 'harga', 'penggunaan', 'paket', 'konsumen', 'pindah', 'operator', 'jaringan', '']</t>
  </si>
  <si>
    <t>['tolong', 'tambahkan', 'fitur', 'top', 'game', 'pembelian', 'web', 'potongannya', 'lumayan']</t>
  </si>
  <si>
    <t>['beralih', 'telkomsel', 'penggunaan', 'medsos', 'game', 'browsing', 'menyenangkan', 'mudah', 'diakses', 'bedanya', 'kartu', 'harapan', 'semoga', 'kedepannya', 'kestabilan', 'jaringannya', 'pengguna', 'puas', 'senang', 'sehubungan', '']</t>
  </si>
  <si>
    <t>['bintang', 'hadiah', 'penukaran', 'poin', 'bintang']</t>
  </si>
  <si>
    <t>['paketan', 'mahal', 'sinyal', 'kek', 'ampas', 'tolong', 'sebandingkan', 'harga', 'kesetabilan', 'mls', 'data', 'mending', 'ganti', 'trs']</t>
  </si>
  <si>
    <t>['aktif', 'paket', 'darurat', 'tampa', 'izin', 'pelanggan', 'pelanggan', 'merugikan', 'tauuu']</t>
  </si>
  <si>
    <t>['jaringan', 'mudah', 'diakses', 'pengoprasian', 'data', 'berkala', 'maksimal']</t>
  </si>
  <si>
    <t>['kuota', 'unlimited', 'kuota', 'utama', 'abis', 'dipake', 'game', 'youtube', 'loading', 'emang', 'bener', 'lebel', 'bumn', 'kualitas', 'buruk', '']</t>
  </si>
  <si>
    <t>['pertahankan', 'pelayanan', 'thank', 'mytelkomsel']</t>
  </si>
  <si>
    <t>['tinggal', 'daerah', 'karawaci', 'tangerang', 'perkotaan', 'knp', 'sinyalnya', 'kyk', 'hutan', 'lelet', 'malu', 'telkom', 'bayarnya', 'mahal', 'bet']</t>
  </si>
  <si>
    <t>['tolong', 'baca', 'pengguna', 'telkomsel', 'sinyal', 'nge', 'lek', 'mulu', 'daerah', 'pik', 'jakarta', 'utara', 'susah', 'sinyal', 'provaider', 'mahal', 'harga', 'paket', 'pulsa', 'tolong', 'perbaikilah', 'sinyal']</t>
  </si>
  <si>
    <t>['ruginya', 'telkomsel', 'mah', 'internet', 'murah', 'lemot', 'bayar', 'sampe', 'bln', 'kepake', 'paket', 'telkomsel', 'flash', 'poin', 'rewardnya', 'gada', 'akhlak', 'belanja', 'topup', 'kena', 'biaya', 'rb', 'topup', 'tepok', 'jidat', 'telkomsel', 'jaman', 'purba', 'bagusnya', 'disignal', 'doang', 'bener', 'gada', 'perubahan', '']</t>
  </si>
  <si>
    <t>['kak', 'tower', 'telkomsel', 'mempengaruhi', 'jaringan', 'masuk', 'dri', 'tower', 'tmpat', 'kmi', 'blom', 'bangun', 'sinyal', 'bagus', 'tower', 'bangun', 'bagus', 'jaringan', 'jelek', 'bos', '']</t>
  </si>
  <si>
    <t>['membingunkan', 'pulsa', 'abis', 'gara']</t>
  </si>
  <si>
    <t>['', 'paket', 'internet', 'doang', 'combo', 'melulu', 'gwga', 'butuh', 'paket', 'combo', 'butuh', 'paket', 'internet', 'doang', 'internet', 'bulanan', 'doang']</t>
  </si>
  <si>
    <t>['benahi', 'kualitas', 'jaringan', 'harga', 'kuota', 'internet', 'terjangkau', 'pengguna', '']</t>
  </si>
  <si>
    <t>['dlu', 'ttp', 'telkomsel', 'kadang', 'daerah', 'sinyalnya', 'kuat', '']</t>
  </si>
  <si>
    <t>['', 'kemana', 'sinyal', 'tolong', 'diperbaiki', '']</t>
  </si>
  <si>
    <t>['telkomsel', 'program', 'hadiah', 'cuman', 'bohongan', 'bagus', 'udah', 'ngadain', 'jaringan', 'stabil']</t>
  </si>
  <si>
    <t>['applikasinya', 'macet', 'macet', 'udah', 'canggih', 'berlaku', 'masuk', 'mytelkomsel', 'hang', 'tolong', 'tingkatkan', 'update', 'applikasinya', 'macet', 'masuk', 'app', '']</t>
  </si>
  <si>
    <t>['lumayan', 'bagus', 'tingkatkan', 'promo', 'paket', 'internet', 'gratis', 'molatv', 'netflix', 'hbo']</t>
  </si>
  <si>
    <t>['login', 'aplikasinya', 'link', 'dikirim', 'dibuka', 'halaman', 'ditemukan', 'dicoba', 'metode', 'login', 'jaringan', 'telkomsel']</t>
  </si>
  <si>
    <t>['rugi', 'instal', 'apk', 'promo', 'promo', 'utang', 'pulsa', 'uninstal']</t>
  </si>
  <si>
    <t>['parah', 'pulsa', 'habis', 'berkurang', 'memaketkan', 'susah', 'beli', 'masuk', 'notifikasinya', '']</t>
  </si>
  <si>
    <t>['coba', 'pakai', 'telkomsel', 'suami', 'pakai', 'ktnya', 'gampang', 'murah', 'mudah', 'mudahan', 'bersahabat', 'telkomsel', 'terbaik']</t>
  </si>
  <si>
    <t>['nice', 'memudahkan', 'bertransaksi', 'paket', 'data', 'bonus', 'kouta', 'promo', 'promo', 'terbaik']</t>
  </si>
  <si>
    <t>['sukaaaaaa', 'enteng', 'trus', 'bonusnya', 'pokokx', 'sukaaaaaaaaaa', '']</t>
  </si>
  <si>
    <t>['kuota', 'unlimitid', 'ampe', 'sebulan', 'kuota', 'abis', 'sebulan', 'zbl']</t>
  </si>
  <si>
    <t>['menikmati', 'berita', 'tawa', 'ria', 'berbagi', 'kebahagian', 'kesedihan', 'pengalaman', 'hidup', 'hiburan', 'menyalah', 'artikan', 'pait', 'getir', 'manis', 'dlm', 'hidup', 'dicurahkan', 'batasan', 'norma', 'agama']</t>
  </si>
  <si>
    <t>['kabupaten', 'bojonegoro', 'dusun', 'njasem', 'jawa', 'timur', 'signal', 'telkomsel', 'buruk', 'provider', 'kartu', 'maklumi', 'harga', 'beli', 'paket', 'internet', 'pulsa', 'telpon', 'murah', 'aktif', 'telkomsel', 'biaya', 'mahal', 'membaik', 'provider', 'kartu', 'terima', 'kasih', 'kerja', 'kerja', 'keras', 'telkomsel', 'berusaha', 'terbaik', 'semoga', 'kedepannya', 'membaik', '']</t>
  </si>
  <si>
    <t>['maaf', 'kak', 'heran', 'telkomsel', 'beli', 'kuota', 'mahal', 'gangguanya', 'ampun', 'sesuai', 'harga', 'maaf', 'kak', 'pengguna', 'telkomsel', 'heran', 'terimakasih', '']</t>
  </si>
  <si>
    <t>['min', 'tolong', 'diubah', 'ngeklaim', 'vocher', 'batas', 'penukaran', 'poin', 'maksimal', 'kali', 'suka', 'kepencet', 'langsung', 'mencet', 'reedem', 'tolong', 'dirubah', 'ketentuan', 'tambahin', 'bintang', 'udah', 'dirubah']</t>
  </si>
  <si>
    <t>['redem', 'hadiah', 'daily', 'chekin', 'gagal', 'pulsa', 'poin', 'ketersediaan', 'hadiah', 'capek', 'chekin', 'kecewa', 'ditipu']</t>
  </si>
  <si>
    <t>['aplikasi', 'telkomsel', 'download', 'oppo', '']</t>
  </si>
  <si>
    <t>['isi', 'pulsa', 'isi', 'pulsa', 'paketan', 'gb', 'aktif', 'buka', 'aplikasi', 'telkomsel', 'kesedot', 'abis', 'pulsa', 'utamanya', 'data', 'dipakek', 'nich', 'telkomsel', '']</t>
  </si>
  <si>
    <t>['pulsa', 'isi', 'catatan', 'riwayat', 'penggunaan', 'pulsa', 'aplikasi', '']</t>
  </si>
  <si>
    <t>['penukarab', 'poin', 'limitnya', 'berguna', 'poin', 'gimana', '']</t>
  </si>
  <si>
    <t>['aplikasi', 'super', 'lemot', 'isine', 'iklan', 'ora', 'membebani', 'ruang', 'penyimpanan', '']</t>
  </si>
  <si>
    <t>['dear', 'tsel', 'download', 'tulisannya', 'tertunda', 'download', 'muter', '']</t>
  </si>
  <si>
    <t>['daily', 'cek', 'nipu', 'promo', 'iklan', 'indosat', 'axis', 'enak', 'harga', 'murah', 'ribu', 'udah', 'minggu', 'ganti', 'akun', 'keungan', 'operator', 'bertanggung', '']</t>
  </si>
  <si>
    <t>['aplikasi', 'cukp', 'memuaskn', 'memudahkn', 'memberikn', 'kenyamanan', 'dsayangkn', 'pengguna', 'setia', 'telkomsel', 'mendapatkn', 'paket', 'spesial', 'pda', 'aplikasi', 'pakai', 'telkomsel', 'plih', 'sinyal', 'dluar', 'daerah', 'msh', 'trsedia', 'kartu', 'telkomsel', 'singkt', 'crita', 'pernh', 'mnjadi', 'pengguna', 'mndapatkn', 'info', 'paket', 'spesial', 'infokn', 'mlalui', 'mdapatkn', 'ciciln', 'pket', 'perdana', '']</t>
  </si>
  <si>
    <t>['sinyal', 'hilang', 'main', 'game', 'main', 'area', 'sinyal', 'telkomselnya', 'kencang']</t>
  </si>
  <si>
    <t>['sesuai', 'kebutuhan', 'mahal', 'tarifnya', 'skrg', 'paket', 'hemat', 'murah', 'makasih', 'kartu', 'hallo']</t>
  </si>
  <si>
    <t>['yamaha', 'terdepan', 'telkomsel', 'terbelakang', 'lelet', 'parah', '']</t>
  </si>
  <si>
    <t>['tolong', 'buatkan', 'fitur', 'kunci', 'pulsa', 'paket', 'datanya', 'pulsa', 'hilang', 'terimakasih']</t>
  </si>
  <si>
    <t>['lumayan', 'servis', 'android', 'udah', 'canggih', 'hemat', 'keperluan', 'rumah', 'tangga', 'punah', 'percaya', 'tali', 'kawat', 'gigi', 'fashion', 'asia', 'pasifik', 'samudra', 'hindia', 'belanda']</t>
  </si>
  <si>
    <t>['app', 'bagus', 'banget', 'vitur', 'mudah', 'fahami', 'mudah', 'pengguna', 'pokok', 'bes']</t>
  </si>
  <si>
    <t>['parah', 'udah', 'berhasil', 'transaksi', 'beli', 'paket', 'internet', 'tetep', 'potong', 'pulsa', 'sampe', 'ludes', '']</t>
  </si>
  <si>
    <t>['penukaran', 'poin', 'redeem', 'extra', 'kuoat', 'gb', 'pas', 'nuker', 'mencapai', 'batas', 'maksimal']</t>
  </si>
  <si>
    <t>['harga', 'paket', 'mahal', 'jaringan', 'rusak', 'mengecewakan', 'kartu', 'telkomsel', 'tolong', 'perbaiki', 'jaringan', 'turunkan', 'hara', 'paket', '']</t>
  </si>
  <si>
    <t>['jujur', 'pengguna', 'kasi', 'komentarnya', 'miring', 'kuringin', 'bintangnya', 'thanks']</t>
  </si>
  <si>
    <t>['terimakasih', 'telkomsel', 'melayani', 'costumer', 'pelanggan', 'setia', 'telkomsel', 'akun', 'mytelkomsel', 'gold', 'kinerja', 'penawaran', 'pelayanan', 'kecewa', 'promo', 'poin', 'mytelkomsel', 'kenpa', 'promo', 'penukuran', 'poin', 'mytelkomsel', 'diamon', 'game', 'pocher', 'game', 'sayang', 'poin', 'tahunnnya', 'hangus', 'bintang', 'trimakasih', '']</t>
  </si>
  <si>
    <t>['internet', 'oke', 'bedanya', 'telkomsel', 'kartu', 'perdana', 'keistimewaan', 'telkomsel', 'harga', 'pelanggan', 'puas', 'kecewa', 'ekstra', 'unlimited', 'didalam', 'game', 'pubgm', 'khusus', 'mengalami', 'ping', 'stabil', 'penuhi', 'kebutuhan', 'puas', 'senang']</t>
  </si>
  <si>
    <t>['komenan', 'menyesal', 'memakai', 'kartu', 'telkomsel', 'pas', 'pulsa', 'paket', 'darurat', 'giliran', 'pulsa', 'butuh', 'belajar', 'paket', 'darurat']</t>
  </si>
  <si>
    <t>['gimana', 'barusan', 'upgrade', 'kepotong', 'pulsa', 'sengaja', 'aktifkan', 'internetnya', 'kepotong', 'gimana', 'pemberian', 'paket', 'gunanya', 'pulsa', 'utama', 'dipotong', 'gitu', 'kaga', 'kaya', 'perusahaan', 'hasilnya', 'pemotongan', 'kayak', 'gini', 'mohon', 'forum', 'makan', 'gaji', 'buta', 'cari', 'uang', 'susah', 'maen', 'nyuri', 'telkom', '']</t>
  </si>
  <si>
    <t>['gimna', 'buruk', 'jaringanya', 'bukanya', 'mkin', 'bagus', 'burik', 'tolong', 'perbaiki', 'kecewa', 'kek', 'gini', 'trus', 'paket', 'tpi', 'serasa', 'paket', 'gabisa', 'digunain', 'lemot', '']</t>
  </si>
  <si>
    <t>['jaringanya', 'buruk', 'tolong', 'perbaiki', 'susah', 'banget', 'sinyalnya', 'ilang', 'ilangan', 'muluuuu']</t>
  </si>
  <si>
    <t>['telkomsel', 'paraah', 'harga', 'signal', 'rendah', 'bbrp', 'kali', 'beli', 'data', 'internet', 'saking', 'lemahnya', 'siignal', 'pdhal', 'telkomsel', 'kebanggaan', 'kemanapun', 'dimanapun', 'telkomsel', 'terbaik', 'signalnya', 'sampe', 'rela', 'bayar', 'mahal', 'memuaskan', 'udah', 'mahal', 'mengecewakan', 'mending', 'toko', 'sebelah', 'deh', 'udah', 'murah', 'memuaskan', '']</t>
  </si>
  <si>
    <t>['gimana', 'telkomsel', 'lemot', 'bngt', 'jaringannya', 'ngegame', 'kadang', 'sinyalnya', 'ilang', 'tolong', 'perbaiki', '']</t>
  </si>
  <si>
    <t>['telkomsel', 'ilang', 'ilang', 'jaringan', 'gitu', 'pelanggan', 'setia', 'telkomsel', 'beli', 'paket', 'murah', 'bantuan', 'pemerintah', 'paket', 'data', 'telkomsel', 'jaringan', 'down', 'parah', 'telkomsel', 'beda', 'gratisan', 'beli', 'oon', 'telkomsel']</t>
  </si>
  <si>
    <t>['telkomsel', 'hancur', 'sinyal', 'kecewa', 'gara', 'gara', 'sinyal', 'internet', 'lag', 'menggangu', 'usaha', 'sad', 'telkom']</t>
  </si>
  <si>
    <t>['telkomsel', 'poinnya', 'ditukar', 'paket', 'data', 'poin', 'mencukupi', 'ditukar', 'bilangnya', 'sibuk', 'niat', 'ngasih', 'data', 'gratis', 'mendingan', 'adain', 'penukaran', 'poin', 'kesal', 'mohon', 'perbaiki', 'min', 'hilangkan', 'sistem', '']</t>
  </si>
  <si>
    <t>['kukira', 'sinyal', 'bagus', 'ampas', 'dibanding', 'indosat', 'terima', 'kasih', 'pengalamannya', 'buruk', 'mending', 'indosat', 'deh']</t>
  </si>
  <si>
    <t>['kadang', 'kesal', 'liat', 'sinyal', 'telkomsel', 'mati', 'lampu', 'sinyal', 'putus', 'main', 'game', 'telkomsel', 'mengadakan', 'perbaikan', 'gitu', '']</t>
  </si>
  <si>
    <t>['aplikasi', 'mantab', 'jaringan', 'telkomsel', 'ngawur', 'harga', 'paket', 'mahal', 'kualitas', 'sesuai', 'harga', '']</t>
  </si>
  <si>
    <t>['mudah', 'cek', 'kuota', 'aktif', 'saldo', 'maju', 'kepuasan', 'pelanggan', 'mantab']</t>
  </si>
  <si>
    <t>['telkom', 'babi', 'sinyal', 'dimana', 'gua', 'bogor', 'sinyal', 'gua', 'jakarta', 'sinyal', 'gmna', 'telkom', 'harganya', 'mahal', 'bulannya', 'harga', 'seribu', 'ribu', 'udh', 'gitu', 'apknya', 'update', 'kacau', 'mending', 'tetangga', 'sebelah', 'sinyal', 'lancar', 'harga', 'murah', 'kaget', 'org', 'pindah', 'tetangga', 'sebelah', '']</t>
  </si>
  <si>
    <t>['kesini', 'bagus', 'apknya', 'upgrade', 'jelass', 'sinyalnya', 'lemotttt', 'ayolahhh', 'gara', 'sinyal', 'stabil', 'tugas', 'kerjakan', '']</t>
  </si>
  <si>
    <t>['semoga', 'grand', 'price', 'pemakai', 'jaringan', 'telkomsel', 'kaltim', 'menunggu', 'siaran', 'langsung', 'hadiah', 'kendaraan', 'telkomsel']</t>
  </si>
  <si>
    <t>['telkomsel', 'pulsa', 'rb', 'abis', 'gtu', 'pdhl', 'mengecewakan']</t>
  </si>
  <si>
    <t>['kartu', 'skarang', 'sinyal', 'hilang', 'kalah', 'provider', 'sebelah', 'pulsa', 'gua', 'disedot', 'pelan', 'woi', 'gua', 'paket', 'paket', 'data', 'gua', 'alasan', 'nyedot', 'pulsa', 'gua', 'waras', '']</t>
  </si>
  <si>
    <t>['jaringan', 'stabil', 'membantu', 'driver', 'online', 'trima', 'ksh', 'telkomsel', '']</t>
  </si>
  <si>
    <t>['pindah', 'kartu', 'halo', 'berlangganan', 'penipuan', 'menyesal', 'pindah', 'kartu', 'berlangganan', 'parah', 'parah', 'kecewa', 'kecewa']</t>
  </si>
  <si>
    <t>['sumpah', 'telkomsel', 'banget', 'pulsa', 'kesedot', 'sisa', 'ribu', 'make', 'pulsa', 'darurat', 'dapet', 'sms', 'mengakses', 'internet', 'tarif', 'non', 'paket', 'info', 'tsel', 'data', 'tarif', 'hemat', 'beli', 'paket', 'internet', 'tsel', 'gaada', 'akses', 'internet', 'banget', 'kemaren', 'temen', 'komplain', 'dibales', 'udahnya', 'gaada', 'tanggung']</t>
  </si>
  <si>
    <t>['update', 'berat', 'force', 'close', 'loadingnya', 'banget', 'mohon', 'diperbaiki', 'keliatan', 'perusahaan', 'profesional', 'kelas']</t>
  </si>
  <si>
    <t>['semingguan', 'jaringannya', 'stabil', 'slalu', 'mohon', 'diperbaiki', 'yoo', 'sayang', 'beli', 'kuota', 'mahal', 'jaringannya', 'kalah', 'jaringan', 'rugii', 'donk', 'make', 'beli', 'mahal', 'lantas', 'jaringanx', 'anjlok', 'kyk', 'gini', 'kecewa', 'banget', 'krjaan', 'terganggu', 'bsa', 'krm', 'laporan']</t>
  </si>
  <si>
    <t>['memudahkan', 'beli', 'paket', 'data', 'pilihannya', 'thank', 'telkomsel']</t>
  </si>
  <si>
    <t>['telkomsel', 'jaringan', 'mahal', 'ngelag', 'gunanya', 'coba', 'mahal', 'mahal', 'beli', 'ngelag', 'sumpah', '']</t>
  </si>
  <si>
    <t>['', 'kasih', 'bintang', 'karna', 'jaringan', 'telkomsel', 'bermasalah', 'paketnya', 'telalu', 'mahal']</t>
  </si>
  <si>
    <t>['koneksi', 'hancut', 'hancuran', 'lemot', 'bobrok', 'migrasi', 'provider', 'kayak', 'gini']</t>
  </si>
  <si>
    <t>['aplikasinya', 'byk', 'fitur', 'tll', 'sizenya', 'menguras', 'memory', 'sya', 'butuh', 'fungsinya', 'aplikasi', 'simpel']</t>
  </si>
  <si>
    <t>['kesin', 'jelek', 'sinyal', 'telkomsel', 'pas', 'malam', 'jijik', 'kali', 'sinyal', 'telkomsel', 'serius', 'udh', 'telkomsel', 'jelek', 'jaringannya', 'tolong', 'bagus', 'enak', 'nge', 'game', 'sinyal', 'jelek', '']</t>
  </si>
  <si>
    <t>['telkomsel', 'tolong', 'petbaiki', 'sinyal', 'mengembangkan', 'sinyal', 'tolong', 'perbaiki', 'sinyal', 'kecewa', 'kali', 'main', 'game', 'ama', 'youtub', 'jalan', 'lemot', 'banget', '']</t>
  </si>
  <si>
    <t>['lemot', 'sinyalnya', 'kuota', 'utama', 'habis', 'pakai', 'kuota', 'multimedia', 'lemot', 'gb', 'rugi', 'susah', 'pakai', 'kecewa', 'pelayanannya', 'mending', 'pakai', 'operator', 'sebelah', '']</t>
  </si>
  <si>
    <t>['beli', 'paket', 'koneksi', 'ancur', 'sisa', 'terpakai', 'cuan', 'gede']</t>
  </si>
  <si>
    <t>['paket', 'tergantung', 'kartu', 'kartu', 'mahal', 'kartu', 'standar', 'dlu', 'telkomsel', 'gb', 'paket', 'paket', 'gb', 'harga', 'gua', 'segitu', 'wajar', 'beli', 'konter', 'langsung', 'beli', 'paket', 'data', 'kartu', 'paket', 'telkomsel', 'mahal', 'coba', 'beli', 'paketan', 'kartu', 'kartu', 'kadang', 'berbeda']</t>
  </si>
  <si>
    <t>['telkomsel', 'bagus', 'tolong', 'cek', 'daerah', 'tanjung', 'morawa', 'gang', 'madirsan', 'sinyal', 'jaringan', 'stabil', 'isi', 'paket', 'tenggang', 'paket', 'habis', 'pengguna', 'telkomsel', 'dirugikan', '']</t>
  </si>
  <si>
    <t>['apaansih', 'telkomsel', 'beli', 'paket', 'data', 'kendala', 'pulsa', 'udah', 'mohon', 'diperbaiki', 'secepatnua', '']</t>
  </si>
  <si>
    <t>['suka', 'kartu', 'simpati', 'jaman', 'sekolah', 'smp', 'pdhal', 'skrang', 'udh', 'tpi', 'kadang', 'ujan', 'mati', 'lampu', 'sinyal', 'semoga', 'kedepannya', 'trus', 'kartu', 'favorit', 'dapet', 'reward', '']</t>
  </si>
  <si>
    <t>['minggu', 'telkomsel', 'beli', 'paket', 'unlimited', 'youtube', 'day', 'cuman', 'day', 'dapatkan', 'paket', 'checks', 'tolong', 'perbaiki', '']</t>
  </si>
  <si>
    <t>['maaf', 'kak', 'transfer', 'pulsa', 'operator', 'nggk', 'telkomsel', 'metode', 'pembayaran', 'top', 'game', 'tolong', 'pertimbangkan', 'kak', 'sekian', 'terima', 'kasih', '']</t>
  </si>
  <si>
    <t>['telkomsel', 'jaringan', 'stabil', 'kalah', 'rival', '']</t>
  </si>
  <si>
    <t>['lawak', 'yaa', 'paket', 'nelpon', 'digunain', 'pulsa', 'trs', 'beli', 'paket', 'nelpon', 'woyyy', 'mahal', 'doang']</t>
  </si>
  <si>
    <t>['paket', 'kaga', 'slalu', 'update', 'unlimited', 'youtube', 'pakai', 'stts', 'udah', 'unlimited', 'youtube', 'pulsa', 'ribu', 'hangus', 'sia', 'tolong', 'telkomsel', 'coba', 'profesional', '']</t>
  </si>
  <si>
    <t>['masuk', 'aplikasi', 'kode', 'verifikasi', 'kadaluarsa', 'sndiri', 'diulang', 'ulang']</t>
  </si>
  <si>
    <t>['mengeluhkan', 'jaringa', 'jelak', 'madalan', 'paketan', 'gb', 'beli', 'mbuka', 'titok', 'kadang', 'ngk', 'jam', 'kot', 'tolong', 'mengalami', 'salah', 'kabel', 'telkomsel', 'eror', 'tolong', 'respon', 'aing', 'komen', 'loding', '']</t>
  </si>
  <si>
    <t>['', 'bintang', 'dlu', 'aplikasi', 'membantu', 'mengecek', 'kuota', 'ribet', 'keluhannya', 'kuota', 'mahal', 'jaringan', 'jelek', 'tolong', 'perbaiki', 'dlu', 'jaringan']</t>
  </si>
  <si>
    <t>['dibenak', 'telkomsel', 'kuota', 'multimedia', 'bergiga', 'giga', 'kepakai', 'kuota', 'reguler', 'kena', 'hisap', 'telkomsel', 'vampir', 'dijual', 'paket', 'ahirnya', 'paket', 'kuota', 'reguler', 'tumpaskan', '']</t>
  </si>
  <si>
    <t>['jaringan', 'telkomsel', 'lambat', 'sinyal', 'kuota', 'tolong', 'telkomsel', 'perbaiki', 'permasalahan', '']</t>
  </si>
  <si>
    <t>['jaringan', 'lemot', 'pakai', 'kartu', 'mending', 'pakai', 'jakarta', 'busuk', 'sinyalnya', 'jaringan', 'maksa', 'gan', '']</t>
  </si>
  <si>
    <t>['aplikasi', 'maslah', 'hnya', 'kecewa', 'signal', 'telkomsel', 'zoom', 'meeting', 'ampun', 'ampunan', 'paraaah', 'sngat', 'parah', '']</t>
  </si>
  <si>
    <t>['', 'kasih', 'bintang', 'dlu', 'karna', 'telkomsel', 'adil', 'kartu', 'paket', 'mahal', 'tpi', 'kartu', 'murah']</t>
  </si>
  <si>
    <t>['ribet', 'tampilannya', 'gbsa', 'dibuka', 'gada', 'internet', 'please', 'bring', 'the', 'bac', 'like', 'used', 'kemudahan', 'lansia', 'faham', 'dripada', 'install', 'aplikasi']</t>
  </si>
  <si>
    <t>['bintang', 'palsu', 'kecewa', 'harga', 'paket', 'mahal', 'mamksa', 'beli', 'telkomsel', 'sialan', '']</t>
  </si>
  <si>
    <t>['kualitas', 'berasa', 'kuantitas', 'promosi', 'user', 'telkomsel', 'paket', 'ekonomis', 'dompet', 'tipis', 'koar', 'sinyal', 'bagus', 'manaa', 'tetep', 'senin', 'kamis', 'bagus']</t>
  </si>
  <si>
    <t>['', 'skrng', 'telkomsel', 'bagus', 'upload', 'download', 'banding', 'maen', 'game', 'ngegame', 'lag', 'bngt', 'pdhl', 'kartu', 'sebelah', 'lancar', 'yaah', 'lumayan', 'worth', 'upload', 'downloadnya', 'cpt']</t>
  </si>
  <si>
    <t>['sinyal', 'kuat', 'paket', 'makan', 'pulsa', 'hilang', 'misterius', 'mohon', 'area', 'wringin', 'anom', 'area', 'gresik', 'diperkuat', 'sinyal', 'jaringannya', '']</t>
  </si>
  <si>
    <t>['sinyal', 'telkomsel', 'lemot', 'hilang', 'beli', 'paket', 'internet', 'skrng', 'berkurang', 'beli', 'tgl', 'tgl', 'bln', 'skrng', 'tgl', 'pdhl', 'paketan', 'datanya', 'hangus']</t>
  </si>
  <si>
    <t>['paket', 'internet', 'daerah', 'sumatra', 'mahal', 'kualitas', 'sinyal', 'buruk', 'mending', 'beli', 'provider', 'murah', 'kualitas', '']</t>
  </si>
  <si>
    <t>['tolong', 'kuotanya', 'kasih', 'murah', 'pro', 'rakyat', 'komisarisnya', 'personil', 'slank', 'menyuarakan', 'pro', 'rakyat', 'profaider', 'bole', 'telkomsel', 'bole']</t>
  </si>
  <si>
    <t>['parah', 'udah', 'kayak', 'diskon', 'mah', 'mahal', 'menyesuaikan', 'pandemi', 'gini', 'bnyk', 'duit']</t>
  </si>
  <si>
    <t>['sept', 'jam', 'tukar', 'point', 'sms', 'point', 'terpotong', 'reward', 'sms', 'blm', 'dapatkan', 'hub', 'bgm', 'trm', 'kasih', '']</t>
  </si>
  <si>
    <t>['aplikasi', 'mantap', 'akses', 'data', 'kuota', 'paket', 'kartu', 'telkomsel', 'semoga', 'telkomsel', 'jaya']</t>
  </si>
  <si>
    <t>['telkomsel', 'mesti', 'buka', 'apk', 'link', 'isi', 'pulsa', 'ribet', 'musti', 'apk', 'apk', '']</t>
  </si>
  <si>
    <t>['main', 'game', 'mobile', 'lag', 'macet', 'macet', 'jaringan', 'stabil', 'kemarin', 'beli', 'paket', 'corporate', 'paket', 'internet', 'lokalnya', 'dipakai', 'beli', 'paketnya', 'kota']</t>
  </si>
  <si>
    <t>['kualitas', 'internet', 'media', 'buruk', 'jaringan', 'buffering', 'putus', 'putus', 'nyaman', 'memakai', 'kuota', 'telkomsel']</t>
  </si>
  <si>
    <t>['aplikasi', 'berbahasa', 'inggris', 'merobah', 'dlm', 'bahasa', 'indonesia', '']</t>
  </si>
  <si>
    <t>['jaringan', 'telkomsel', 'memiliki', 'sinyal', 'buruk', 'respon', 'keluhan', 'sinyal', 'telkomsel', 'membaik', '']</t>
  </si>
  <si>
    <t>['parahh', 'nipu', 'telkomsel', 'pulsa', 'kepotong', 'udah', 'telpon', 'call', 'center', 'kali', 'bantu', 'sesuai', 'topik', 'keluhan', 'jga', 'judes', 'bat', 'nanyak', 'sopan', 'paket', 'internet', 'beres', 'udah', 'beli', 'paket', 'ngelak', 'truss', 'dasar', 'sampahhh', 'taikkkk', 'udalahh', 'pindah', 'tower', 'buang', 'kartu', 'taikkkk', '']</t>
  </si>
  <si>
    <t>['mbps', 'mbps', 'pakai', 'kuota', 'lag', 'gini', 'sinyal', 'full', 'smpe', 'mbps']</t>
  </si>
  <si>
    <t>['bobrok', 'iya', 'pagi', 'sore', 'sinyal', 'bobrok', 'internet', 'lemot', 'harganya', 'mahal', 'sebanding', 'pelayanannya']</t>
  </si>
  <si>
    <t>['tolong', 'adminnya', 'dikondisikan', 'jaringannya', 'kecewa', 'kouta', 'internet', 'udah', 'mahal', 'jaringannya', 'lemot', 'banget', 'tolong', 'dikondisikan', '']</t>
  </si>
  <si>
    <t>['jatuhnya', 'jdi', 'boros', 'wifi', 'jga', 'tagihannya', 'banking', 'kartu', 'halo', 'nyesel', 'banget', 'nomor', 'udh', 'lgi', 'males', 'ganti', 'kemudahan', 'lgi', 'kartu', 'prabayar', '']</t>
  </si>
  <si>
    <t>['maaf', 'komentar', 'masuk', 'eror', 'tolong', 'perbaikin', '']</t>
  </si>
  <si>
    <t>['gila', 'harga', 'paket', 'telkomsel', 'mohon', 'maaf', 'andai', 'jaringannya', 'lancar', 'banget', 'kyak', 'uang', 'ngalir', 'mah', 'udah', 'mahal', 'jaringan', 'laload', 'parah', 'pliss', 'klau', 'ngasih', 'harga', 'paket', 'otak', 'org', 'kaya', 'mah', 'masyarakat', 'seadanya', 'berbaik', 'masyarakat', 'bro', 'apasih', 'harga', 'paket', 'mahal', 'jaringan', 'lelet', 'kek', 'gitu', 'kartu', 'sebelah', 'udah', 'murah', 'lancar', 'kartu', 'kek', 'gini', '']</t>
  </si>
  <si>
    <t>['sinyal', 'telkomsel', 'lemot', 'banget', 'beli', 'kuota', 'lemot', 'gimana', 'min', 'kendala', 'tolong', 'makasih']</t>
  </si>
  <si>
    <t>['woi', 'telkomsel', 'ngapa', 'lelet', 'banget', 'buka', 'aplikasi', 'lelet', 'banget', 'emosi', 'perbaiki', 'aplikasi', 'berat', 'bamget', 'jaringan', 'ping', 'turun', 'bahaya', 'pelanggan', 'betah']</t>
  </si>
  <si>
    <t>['dipaksa', 'ganti', 'pasca', 'bayar', 'udah', 'diganti', 'pasca', 'bayar', 'pelayanannya', 'deaktif', 'paketan', 'chat', 'ama', 'mimin', 'aplikasi', 'langsung']</t>
  </si>
  <si>
    <t>['apk', 'lemot', 'bukti', 'telkomsel', 'diisi', 'karyawan', 'sdm', 'rendah', 'orang', 'bodoh', 'bodoh', 'keb', '']</t>
  </si>
  <si>
    <t>['beli', 'voucer', 'data', 'tulisan', 'regional', 'why', 'beli', 'samping', 'rumah', 'kartu', 'vcer', 'regional', 'jawa', 'cilacap', 'bngst']</t>
  </si>
  <si>
    <t>['perubahan', 'kualitas', 'jaringan', 'sinyal', 'buruk', 'kualitasnya', 'telkomsel', 'dikasih', 'masukan', 'silahkan', 'kirim', 'komplainanan', 'email', 'facebook', 'twitter', 'dll', 'giliran', 'dikomplain', 'aplikasi', 'tsb', 'respon', 'telkomsel', 'anti', 'komplain', 'kebal', 'komplain', 'pelayanan', 'jasa', 'aneh', '']</t>
  </si>
  <si>
    <t>['maksudnya', 'miskah', 'udah', 'diperbarui', 'dibuka', 'tetep', 'suruh', 'memperbarui', 'teruss', 'gimana', '']</t>
  </si>
  <si>
    <t>['tolong', 'masalh', 'jaringan', 'perbaiki', 'ktnya', 'telkomsel', 'jaringan', 'bagus', 'scrool', 'tiktok', 'maen', 'game', 'mohon', 'perhatikan', 'jaringan', 'untung', 'kartu', 'coba', 'sebulan', 'gua', 'buang', 'bakar', 'jng', 'harga', 'naikin', 'kualitas', 'jaringan', 'perbaiki', 'bngt', 'tolong', 'baca']</t>
  </si>
  <si>
    <t>['sinyal', 'bagus', 'semenjak', 'proyek', 'kereta', 'cepat', 'sinyal', 'bagus', 'posisi', 'cavling', 'ciburial', 'kec', 'ngmprah', 'bandung', 'barat', 'belajar', 'daring', 'loading', 'sinyalnya']</t>
  </si>
  <si>
    <t>['woy', 'sinyal', 'tolong', 'diperbaiki', 'udah', 'gitu', 'paketnya', 'mahal', 'sinyal', 'kayak', 'setan', 'woyyy', 'balesss', 'woyy', 'telkomsel', 'sinyalllllllllllllllllllllllllllllllllllllllllllllllllllllllllll', 'setannnnnnnnnnnnnnnnnnnnnnnnnnnnnnnnnnnnn']</t>
  </si>
  <si>
    <t>['aplikasinya', 'sampe', 'lamaaaa', 'dibuka', 'sinyal', 'bagus', '']</t>
  </si>
  <si>
    <t>['overall', 'aplikasi', 'mytelkomsel', 'terkadang', 'tukar', 'point', 'notifikasi', 'error', '']</t>
  </si>
  <si>
    <t>['membantu', 'tingkatkan', 'kemudahan', 'bonus', 'pengguna']</t>
  </si>
  <si>
    <t>['maksudnya', 'gimana', 'minggu', 'kemaren', 'pulsa', 'hilang', 'dpt', 'sms', 'akses', 'non', 'internet', 'pagi', 'pulsa', 'hilang', 'sms', 'paketan', 'aktif', 'gb', 'full', 'kecewa', 'telkomsel', 'semenjak', 'covid', '']</t>
  </si>
  <si>
    <t>['telkomsel', 'dilengkapi', 'aplikasi', 'pengunci', 'pulsa', 'pulsa', 'aman', 'terpakai', 'berkurang', 'hilang', '']</t>
  </si>
  <si>
    <t>['menjelajah', 'dunia', 'tiada', 'jarak', 'ruang', 'pribadi', 'aktivitas', 'pribadi', 'termudah', 'terdekat', 'terpercaya', 'ber', 'tumbuh', 'telkomsel', 'dewi', 'soegeng', 'sarjadi', '']</t>
  </si>
  <si>
    <t>['bagus', 'dapet', 'hadiah', 'kuota', 'daily', 'check', 'berlakunya', 'sebentar', 'banget', 'please']</t>
  </si>
  <si>
    <t>['semenjak', 'simpati', 'telkomsel', 'mudah', 'cepet', 'membuka', 'aplikasi', 'berkembang', '']</t>
  </si>
  <si>
    <t>['buka', 'aplikasi', 'susah', 'hapus', 'sampah', 'cecha', 'buka', 'registrasi']</t>
  </si>
  <si>
    <t>['', 'buka', 'apk', 'loading', 'buka', 'apk', 'kuisioner', 'peningkatan', 'pelayanan', 'sampe', 'skrg', 'ttp', 'buruk', 'loading', 'gilaaa', 'sampe', 'ahir', 'tulisan', 'menanggapi', 'gampangan', 'cek', 'beli', 'aplikasi', 'sadar', 'ulasan', 'bintang', 'telkomsel', 'bangkrut', 'dunia', 'digital', 'canggih', 'telkomsel', 'ancoeerr', 'sinyal', '']</t>
  </si>
  <si>
    <t>['sengaja', 'telkom', 'sinyal', 'stabil', 'main', 'genshin', 'jelek', 'sinyal', 'udh', 'tinggal', 'claim', 'hadiah', 'domain', 'gagal', 'ngulang', 'garagara', 'telkomsel', 'jaringannya', 'jelek', 'kayak', 'dlu', 'kecewa', 'telkom', '']</t>
  </si>
  <si>
    <t>['harga', 'paket', 'internet', 'gila', 'jaringan', 'eror', 'paket', 'internetnya', 'pekerja', 'penonton', 'youtobe', 'woy', 'kasih', 'paket', 'internet', 'nonton', 'telkomsel', 'ngaco', 'bangkek', 'perbaikin', 'sistemnya', 'promosi', 'paket', 'nonton', 'kasih', 'paket', 'internet', 'full', 'gedein', 'paket', 'nontonnya', 'gedek', 'emosi', 'telkomsel', '']</t>
  </si>
  <si>
    <t>['paket', 'unlimited', 'youtube', 'dipake', 'kuota', 'utama', 'habis', 'pemborosan', 'paket', 'isi', 'paket', 'isi', 'pulsa', 'politik', 'dagangnya', 'main', '']</t>
  </si>
  <si>
    <t>['', 'loadingnya', 'terkadang', 'buka', 'developmen', 'mohon', 'tingkatkan', 'karna', 'pengguna', 'telkomsel', '']</t>
  </si>
  <si>
    <t>['pengguna', 'telkomsel', 'telkomsel', 'telkomsel', 'pasang', 'jaringan', 'monconglowe', 'maros', 'belajar', 'susah', 'jaringan', 'buka', 'gogle', 'susah', 'menit', 'iti', 'mohon', 'maklumi', '']</t>
  </si>
  <si>
    <t>['jaringan', 'ditempat', 'lelet', 'peningkatan', 'jaringan', 'telkomsel', 'memperbaiki', 'jaringan', 'ditempat', 'aktivitas', 'lancar', 'tks', '']</t>
  </si>
  <si>
    <t>['suka', 'telkomsel', 'lokasi', 'tinggal', 'sinyalnya', 'lelet', 'ilang', 'tolong', 'beneri', 'sinyalnya', 'lancar', 'main', 'internetnya', '']</t>
  </si>
  <si>
    <t>['cak', 'pulsa', 'ajang', 'bisnis', 'minggu', 'update', 'update', 'kecewa', 'pelanggan', 'telkomsel']</t>
  </si>
  <si>
    <t>['aplikasinya', 'bagus', 'gampang', 'dipakai', 'sayang', 'kualitas', 'signalnya', 'buruk', 'pakai', 'nomor', 'simpati', '']</t>
  </si>
  <si>
    <t>['telkomsel', 'hebat', 'jaringan', 'kuat', 'luas', 'promo', 'perna', 'berhenti', '']</t>
  </si>
  <si>
    <t>['mahal', 'doang', 'sinyal', 'ilang', 'ilangan', 'org', 'bayar', 'duit', 'karna', 'pengen', 'puas', 'jaringan', 'tolong', 'perhatikan', 'mahal', 'doang']</t>
  </si>
  <si>
    <t>['tidk', 'pembayaran', 'memakai', 'dana', 'mytelkomsel', 'saldo', 'saldo', 'dana', 'diperbaiki']</t>
  </si>
  <si>
    <t>['kecewa', 'apk', 'alasannya', 'beli', 'pulsa', 'paketin', 'telkomsel', 'data', 'nyala', 'masuk', 'apknya', 'masuk', 'datanya', 'nyalain', 'pas', 'nyalain', 'datanya', 'masuk', 'pas', 'masuk', 'pulsa', 'terpotong', 'jujur', 'kecewa', 'apk', 'membuang', 'uang', 'apk', 'harap', 'apk', 'lock', 'buttom', 'pulsa', 'lock', 'ambil', 'mohon', '']</t>
  </si>
  <si>
    <t>['', 'telkomsel', 'membantu', 'transaksi', 'beli', 'paket', 'murah', 'terpercaya', '']</t>
  </si>
  <si>
    <t>['sinyal', 'telkomsel', 'susah', 'buka', 'google', 'susah', 'sekolah', 'daring', 'tolong', 'pikah', 'telkomsel', 'gimana', 'matikan', 'telkomsel', 'gangguan']</t>
  </si>
  <si>
    <t>['aplikasi', 'bagus', 'harga', 'kuota', 'internetnya', 'mahal', 'kuota', 'bonus', 'lemot', '']</t>
  </si>
  <si>
    <t>['apk', 'membantu', 'sisa', 'paket', 'brp', 'pilihan', 'kouta']</t>
  </si>
  <si>
    <t>['udah', 'paketin', 'rb', 'apk', 'notif', 'sms', 'paket', 'aktif', 'trus', 'muncul', 'paket', 'ehh', 'selang', 'aktif', 'pas', 'cek', 'pulsa', 'pulsa', 'raib', 'hadehhh', 'udah', 'sinyal', 'error', 'sistem', 'error']</t>
  </si>
  <si>
    <t>['halo', 'telkomsel', 'pembeliaan', 'paket', 'terjadwal', 'lsng', 'membeli', 'paket', 'otomatis', 'mengisi', 'pulsa', '']</t>
  </si>
  <si>
    <t>['mahal', 'paket', 'data', 'paket', 'telpon', 'paket', 'telpon', 'biasany', 'kecewa', 'membantu', 'ditengah', 'pandemi', 'berhubungan', 'keluarga', '']</t>
  </si>
  <si>
    <t>['aplikasinya', 'bagus', 'mmbantu', 'aplikasi', 'trlalu', 'update', 'mengganggu', 'sbgai', 'saran', 'aplikasi', 'diupdate', 'ttp', 'dpergunakan', 'versi', 'sblmnya', '']</t>
  </si>
  <si>
    <t>['hadiah', 'kuota', 'daily', 'check', 'keterangan', 'terklaim', 'masuk', 'voucher', 'diskon', 'langsung', 'masuk', 'bantuan', 'membantu']</t>
  </si>
  <si>
    <t>['jaringan', 'udah', 'lumayan', 'bagus', 'bagusan', 'indosat', 'sihh', 'semangat', 'min', 'ngebagusin', 'jaringannya']</t>
  </si>
  <si>
    <t>['paket', 'telkomsel', 'mahal', 'dibanding', 'brand', 'sebelah', '']</t>
  </si>
  <si>
    <t>['bagus', 'jaringan', 'mangkin', 'hancur', 'oklah', 'harga', 'kuota', 'mahal', 'tolonglah', 'jaringan', 'keseringan', 'ilang', 'main', 'game', 'parah', 'banget', 'ngak', 'ngotak', 'lagnya']</t>
  </si>
  <si>
    <t>['pulsa', 'hilang', 'pemberitahuan', 'kecurangan', 'menghubungi', 'bantu', 'jelasin', 'pulsa', 'hilang', 'alasan', 'pemberitahuan', '']</t>
  </si>
  <si>
    <t>['kasi', 'bintang', 'nnti', 'membantu', 'kasi', 'bintang', '']</t>
  </si>
  <si>
    <t>['ambil', 'gratisannya', 'beli', 'pulsa', 'tenggang', 'bertambah']</t>
  </si>
  <si>
    <t>['telkomsel', 'harga', 'paketnya', 'nominal', 'paketnya', 'dikurangin', 'aturan', 'harganya', 'nominalnya', 'tambahin', 'dikurangin']</t>
  </si>
  <si>
    <t>['lag', 'main', 'mobile', 'legend', 'unlimited', 'tolong', 'kecepatannya', 'naikan', 'main', 'mobile', 'legend', 'gitu', 'liat', 'kebawa', '']</t>
  </si>
  <si>
    <t>['kuota', 'tawarkan', 'terkadang', 'murah', 'dipakai', 'kualitas', 'lemot', 'pelanggan', 'telkomsel', 'murah', 'abal', 'abal', '']</t>
  </si>
  <si>
    <t>['metode', 'pembayaran', 'nyaa', 'pulsa', 'gaada', 'ribet', 'jaringan', 'udah', 'jelek']</t>
  </si>
  <si>
    <t>['metode', 'pembayaran', 'hilang', 'muncul', 'aduhhhhhhhhh']</t>
  </si>
  <si>
    <t>['menjebak', 'buyer', 'kouta', 'dipake', 'karna', 'alasan', 'kouta', 'satunya', 'habis', 'aktif', 'udah', 'habis', 'kouta', '']</t>
  </si>
  <si>
    <t>['lohhhhhh', 'top', 'balance', 'fitur', 'pembayaran', 'via', 'dana', 'dihapusssssss', 'cuman', 'pakai', 'ituuu', 'yaampun', 'cukupsakit']</t>
  </si>
  <si>
    <t>['hai', 'telkomsel', 'program', 'aktif', 'perangkat', 'bar', 'sinyal', 'web', 'telkomsel', 'kriteria', 'diatas', 'promo', 'paket', 'harga', 'menu', 'paket', 'temukan', 'aplikasi', 'mytelkomsel', 'thanks']</t>
  </si>
  <si>
    <t>['mohon', 'maaf', 'tolong', 'sinyal', 'perbaiki', 'posisi', 'surabaya', 'game', 'lag', 'parah', 'ampun', 'bintang', 'peningkatan', 'kasi', 'bintang', 'trimakasi', 'respon']</t>
  </si>
  <si>
    <t>['kalaau', 'paket', 'mahal', 'smua', 'pakek', 'telkomsel', 'paket', 'internet', 'nelfon', 'kalaah', 'saing', 'kartu', '']</t>
  </si>
  <si>
    <t>['ngasih', 'sinyal', 'telkomsel', 'parah', 'banget', 'udh', 'kecewa', 'banget', 'telkomsel', 'harga', 'udh', 'main', 'mahal', 'tpi', 'jaringan', 'kyag', 'taik', 'niat', 'jaringan', 'sok', 'enak', 'sinyal']</t>
  </si>
  <si>
    <t>['bagus', 'deh', 'jaringan', 'harga', 'promo', 'kek', 'gua', 'unggul', 'ganteng', 'pokoknya']</t>
  </si>
  <si>
    <t>['event', 'wheel', 'poin', 'telkomsel', 'hadiah', 'langsung', 'lihat', 'pemain', 'putaran', 'transparan', 'event', 'lucky', 'draw', 'transparan', 'semoga', 'tanggapi', 'adakan', 'event', 'wheel', 'poin', 'telkomsel']</t>
  </si>
  <si>
    <t>['kartu', 'jaringan', 'kagak', 'leg', 'jaringan', 'hilang', 'gua', 'pindah', 'jaringan', 'teruss', 'menerus', 'normal', 'gini', 'mending', 'ganti', 'kartu', '']</t>
  </si>
  <si>
    <t>['hat', 'hat', 'pakai', 'paket', 'sinyal', 'hilang', 'ganti', 'sisa', 'pulsa', 'auto', 'sed', 'pul', 'aaa']</t>
  </si>
  <si>
    <t>['mohon', 'sortir', 'beli', 'pulsa', 'harap', 'hadiah', 'orang', 'beli', 'pulsa', 'membutuhkan', 'hadiah', '']</t>
  </si>
  <si>
    <t>['gua', 'kecewa', 'berat', 'telkomsel', 'bermain', 'game', 'online', 'sinyal', 'stabil', 'kadang', 'hilang', 'muncul', 'nonton', 'youtube', 'aplikasi', 'habisin', 'kuota', 'sinyalnya', 'lancar', 'jaya', 'iklan', 'tdak', 'loading', 'meter', 'tower', 'sinyal', 'stabil', 'iklan', 'youtube', 'stabil', '']</t>
  </si>
  <si>
    <t>['sinyal', 'jelek', 'tinggal', 'sumatera', 'utara', 'perkotaan', 'jelek', 'malam', 'hujan', 'sinyal', 'hilang', 'mati', 'lampu']</t>
  </si>
  <si>
    <t>['telkomsel', 'lemottttt', 'sekalii', 'rugi', 'beli', 'paketan', 'rutin', 'jaringan', '']</t>
  </si>
  <si>
    <t>['kecewa', 'telkomsel', 'layanan', 'masyarakat', 'pengguna', 'aktif', 'ntah', 'dibenahi', 'ntah', 'terusan', 'keluhan', 'masyarakat', 'pengguna', 'kartu', 'telkomsel', 'mohon', 'banget', 'dibaca', 'keluhannya', 'cuman', '']</t>
  </si>
  <si>
    <t>['apaa', 'bangett', 'telkomsel', 'jelek', 'ancurrr', 'gilaa', 'kecewa', 'bangett', 'harga', 'mahal', 'jaringan', 'jelek', 'bagussnn', 'mahal', 'papa', 'jaring', 'haruss', 'oke', 'mahal', 'jaring', 'jelek', 'kecewaa', 'bangettt', 'gue', 'kasih', 'bintang', 'udah', 'membaik', 'telkomsel', 'gue', 'kasih', 'bintang', '']</t>
  </si>
  <si>
    <t>['kuota', 'games', 'mengecewakan', 'lag', 'parah', 'jaringan', 'stabil', 'main', 'mobile', 'legends', 'ping', 'kuning', 'menghubungkan', 'ulang', 'terhitung', 'kali', 'afk', 'relogin', 'main', 'pubg', 'mobile', 'nggak']</t>
  </si>
  <si>
    <t>['sumpah', 'jaringan', 'jaringan', 'daerah', 'pekanbaru', 'busuk', 'ayolah', 'rame', 'boikot', 'telkom', 'mahal', 'jelek', 'jaringannya', 'direkomendasikan', 'langsung', 'uninstall', 'ganti', 'indosat', '']</t>
  </si>
  <si>
    <t>['ksh', 'star', 'kosong', 'kasih', 'masukan', 'sinyal', 'buruk', 'down', 'sampah', 'setahun', 'kesini', 'sampah', 'karna', 'nomor', 'pakai', 'beralih', 'prnh', 'beralih', 'provider', 'karna', 'nomor', 'msh', 'aktif', 'pas', 'coba', 'coba', 'msh', 'sampah', 'gini', 'ksh', 'tahta', 'lupa', 'gajian', 'jabatan', 'nyaman', 'sampahhh', 'hahaha']</t>
  </si>
  <si>
    <t>['kecewa', 'produk', 'indonesia', 'mengecewakan', 'jaringan', 'internet', 'putus', '']</t>
  </si>
  <si>
    <t>['belik', 'paket', 'mahal', 'telkom', 'gini', 'blik', 'bukn', 'mintak', 'klian', 'masak', 'klian', 'pernh', 'memperbaiki', 'jaringan', '']</t>
  </si>
  <si>
    <t>['kecewa', 'banget', 'parah', 'kuota', 'mahal', 'sinyal', 'lemot', 'kaya', 'parah', 'kuota', 'tetep', 'abis', 'aneh', '']</t>
  </si>
  <si>
    <t>['game', 'dimainkan', 'paket', 'multimedia', 'ngasal', 'buffering', 'minggu', 'sinyal', 'telkomsel', 'hilang', 'memuaskan', 'lemot', 'bangkrut', 'maksa', 'ntar', 'kayak', 'nokia', 'anteng', 'anteng', 'laah', 'nongol', 'pasaran', '']</t>
  </si>
  <si>
    <t>['beli', 'rb', 'nggak', 'masuk', 'nyesel', 'deh', 'masuk', 'habis', 'nyesel', 'banget', '']</t>
  </si>
  <si>
    <t>['nggak', 'suka', 'aplikasi', 'boong', '']</t>
  </si>
  <si>
    <t>['pengguna', 'kartu', 'hallo', 'pindah', 'kartu', 'halo', 'karna', 'jaringan', 'internetnya', 'stabil', 'mengecewakan', 'daerah', 'skrng', 'internet', 'lambat', 'buka', 'youtub', 'buffering', 'main', 'game', 'slalu', 'lag', 'parah', 'ahirnya', 'coba', 'pakai', 'brand', 'dlnya', 'terkenal', 'lemot', 'banget', 'mlh', 'skrng', 'kebalikannnya', 'bener', 'gua', 'akui', 'speednya', 'pertahankan', 'kartu', 'hallo', 'telkomsel', 'perbaikan', 'jaringan', 'pakai', 'kartu', 'halo', 'internet', 'susah', 'paket', 'mhl']</t>
  </si>
  <si>
    <t>['kualitas', 'jaringan', 'fitur', 'mengsikkan', 'fromosi', 'paket', 'data', 'telpon', 'bergam', 'terjangkau', 'cocok', 'msyarakat', '']</t>
  </si>
  <si>
    <t>['parah', 'beli', 'paket', 'gimana', 'kesalahan', 'sistem', 'mulu', 'pakai', 'jaringan', 'parah', 'banget', '']</t>
  </si>
  <si>
    <t>['daerah', 'susah', 'jaringan', 'kouta', 'susah', 'main', 'game', 'medsos', '']</t>
  </si>
  <si>
    <t>['tolong', 'sinyal', 'harga', 'paket', 'sediakan', 'pengguna', 'promo', 'kecewa', 'tolong', 'developer', 'mahal', '']</t>
  </si>
  <si>
    <t>['tolong', 'perbaiki', 'jaringan', 'udh', 'make', 'telkomsel', 'iya', 'pindah', 'kartu', 'tolong', 'perbaiki', 'bintang', 'ganti']</t>
  </si>
  <si>
    <t>['coba', 'telkomsel', 'poin', 'dijadiin', 'saldo', 'dana', 'voucher', 'google', 'play', 'diclaim', 'pulsa', 'telkomsel', 'gakpapa', 'stok', 'habis', 'terimakasih']</t>
  </si>
  <si>
    <t>['terkadang', 'suka', 'down', 'jaringan', 'peyebab', 'telkomsel', 'membatu', 'perihal', 'pekerjaan', 'jaringan', 'internet', 'minus', 'down', 'jaringan', 'kasih', 'pengguna', 'ilang', 'jaringan', 'kesel']</t>
  </si>
  <si>
    <t>['jaringan', 'busuk', 'harga', 'sesuai', 'tolol', 'kualitas', 'eek', 'jngn', 'nyepam', 'koment', 'gua', 'ngehek', '']</t>
  </si>
  <si>
    <t>['kecewa', 'jaringan', 'buruk', 'kuota', 'habis', 'karna', 'habis', 'karna', 'kadaluarsa', 'kuota', 'gb', 'kepake', 'tinggal', 'karna', 'jaringan', 'buruk', 'masukan', 'update', 'apk', 'update', 'jaringan', 'stabil', 'paham', '']</t>
  </si>
  <si>
    <t>['tolong', 'perbaiki', 'jaringan', 'udah', 'mahal', 'jaringan', 'stabil', 'kecewa']</t>
  </si>
  <si>
    <t>['susah', 'jaringan', 'bagus', 'lancar', 'lemot', 'bnyak', 'unlimited', 'fup', 'non', 'unlimited', 'rendahin', 'sinyal', 'parah', 'kecewa', '']</t>
  </si>
  <si>
    <t>['kecewa', 'telkomsel', 'kuota', 'aktif', 'tinggal', 'beli', 'paket', 'kuota', 'dipakai', 'kuota', 'paket', 'memprioritaskan', 'kuota', 'aktif', 'habis', 'jujur', 'kecewa', 'telkomsel']</t>
  </si>
  <si>
    <t>['beli', 'paket', 'kendalanya', 'jaringan', 'mandet', 'parah', 'giliran', 'paket', 'habis', 'lancar', 'koneksinya', 'gimana', 'telkomsel', 'beli', 'paketnya', 'mahal']</t>
  </si>
  <si>
    <t>['jaringan', 'benerin', 'harga', 'paketan', 'doang', 'taikin', '']</t>
  </si>
  <si>
    <t>['udah', 'kagak', 'beres', 'telkomsel', 'berkembang', 'biaya', 'transfer', 'pulsa', 'nominal', 'rb', 'berkembang', 'sekian', 'transfer', 'telkomsel', 'transfer', 'biaya', 'telkomsel', 'menutup', 'perusahaan', 'selamat', 'telkomsel', 'berkembangnya', 'biaya', 'transfer', 'pulsa', 'telkomsel', 'saran', 'telkomsel', 'kedepannya', 'biaya', 'transfer', 'ditingkatkan', 'minimal', 'transaksi', '']</t>
  </si>
  <si>
    <t>['jaringannya', 'buruk', 'kemarin', 'sayangkan', 'biaya', 'paket', 'data', 'mahal', 'kualitas', 'murahan', 'kecewa', 'telkomsel']</t>
  </si>
  <si>
    <t>['pulsa', 'hilang', 'paket', 'internet', 'tri', 'udah', 'mahal', 'tukang', 'nyedot', 'pulsa', 'rentenir', '']</t>
  </si>
  <si>
    <t>['jaringan', 'best', 'the', 'best', 'udah', 'harganya', 'mahal', 'sebanding', 'sinyal', 'gamasalah', 'lemot', 'jaringan', 'banget', 'main', 'game', 'searching', 'internet', 'lemotnya', 'parah', 'make', 'telkomsel', 'masak', 'kalah', 'kompetitor', 'sebelah', 'jaringan', 'stabil', 'dimanapun', '']</t>
  </si>
  <si>
    <t>['tolong', 'sinyal', 'jaringan', 'internetnya', 'diperluas', 'wilayah', 'pelosok', 'internetan', 'lancar', 'terimakasih']</t>
  </si>
  <si>
    <t>['limit', 'kartuhalo', 'ribu', 'dapet', 'tagihan', 'diatas', 'ribu', 'beli', 'paket', 'tambahan', 'gitu', 'paket', 'berguna', 'multimedia', 'sms', 'ditambah', 'signal', 'setara', 'provider', 'sejuta', 'umat', '']</t>
  </si>
  <si>
    <t>['beneriinnn', 'wooii', 'sinyal', 'daerah', 'sumsel', 'ngapa', 'kayak', 'taiikkk', 'bener', 'sinyal', 'telkomsel', 'pagi', 'siang', 'sore', 'malam', 'main', 'game', 'ngelag', 'terusss', 'beli', 'kuota', 'mahal', 'mahal', 'sinyal', 'kayak', 'taeekkkkk']</t>
  </si>
  <si>
    <t>['susah', 'aplikasi', 'rentetan', 'kode', 'verifikasi', 'mesti', 'klik', 'link', 'ribet', 'pokoknya', 'buka', 'aplikasi', 'verifikasi', 'aplikasi', 'burik']</t>
  </si>
  <si>
    <t>['jakarta', 'mah', 'bagus', 'sinyal', 'kecamatan', 'mande', 'kabupaten', 'cianjur', 'sinyal', 'lemot', 'tolong', 'perbaiki', '']</t>
  </si>
  <si>
    <t>['tolong', 'perbaiki', 'aplikasi', 'upgrade', 'semkin', 'buruk', 'performanya', 'aplikasi', 'error', 'secepat', 'apapun', 'wifi', 'jaringan', 'kuota', 'dibuka', 'aplikasi', 'mending', 'pakai', 'aplikasi', 'lawas', 'bro', 'kecewa', 'buka', 'aplikasi', '']</t>
  </si>
  <si>
    <t>['gag', 'ngerti', 'simpati', 'harga', 'kuota', 'naek', 'kualitas', 'gag', 'naek', 'daerah', 'mati', 'lampu', 'jaringan', 'mati', 'hadeuhhhhhhhh', 'kecewa', 'bingit']</t>
  </si>
  <si>
    <t>['tolong', 'woi', 'min', 'sinyal', 'burik', 'beli', 'unlimited', 'sebulan', 'trs', 'tpi', 'sinyal', 'kek', 'gini', 'tolong', 'woi', 'sinyal', 'kek', 'gini', 'sesuai', 'harga']</t>
  </si>
  <si>
    <t>['jaringan', 'kalah', 'main', 'sceter', 'jaringan', 'hantu', 'tolong', 'perbaiki', 'jaringan', 'merugikan', 'orang', 'setan', '']</t>
  </si>
  <si>
    <t>['provider', 'jaringan', 'mengecewakan', 'merosot', 'jaringan', 'bkin', 'emosi', '']</t>
  </si>
  <si>
    <t>['jaringan', 'terluas', 'tercepat', 'indo', 'udah', 'gitu', 'paketnya', 'mahal', 'mahal', 'jelek', 'banget', 'jaringannya', 'main', 'game', 'ping', 'stabil', 'udah', 'komplen', 'solusi', 'jaringannya', 'drop', '']</t>
  </si>
  <si>
    <t>['jaringan', 'nihh', 'paketan', 'mahal', 'mahal', 'jaringan', 'orang', 'main', 'game', 'hilang', 'asuuuu']</t>
  </si>
  <si>
    <t>['paketan', 'data', 'beda', 'nomer', 'beda', 'pembelian', 'data', 'perbaiki', 'kontrol', 'sistemnya', '']</t>
  </si>
  <si>
    <t>['tambahkan', 'kuota', 'unlimited', 'game', 'roblox', 'minecraft', 'bedrock', 'edition', 'tambahkan', 'bintang']</t>
  </si>
  <si>
    <t>['jaringan', 'jelek', 'kaya', 'super', 'cepat', 'hutan', 'kota', 'bagus', 'jelek', 'mahal', 'tpi', 'bagus', 'layanan', 'telkomsel', 'tpi', 'buruk', 'kecewa', 'tolong', 'perbaiki', 'percepat', 'jaringan', 'mahal', 'tpi', 'jelek', 'gara', 'gara', 'kartu', 'halo', 'bayar', 'blokir', 'gimna', 'jelasin', '']</t>
  </si>
  <si>
    <t>['wilayah', 'jln', 'darmo', 'sugondo', 'jln', 'kapten', 'dulhasim', 'jln', 'panglima', 'sudirman', 'jln', 'veteran', 'gresik', 'jawa', 'timur', 'jaringan', 'internet', 'telkomselnya', 'buruk', 'lokasi', 'area', 'kota', 'tolong', 'perbaiki', 'pelanggan', 'kecewa', 'terima', 'kasih']</t>
  </si>
  <si>
    <t>['mohin', 'jaringan', 'internet', 'perbaiki', 'kota', 'bandar', 'lampung', 'ibukota', 'way', 'kanan', 'kecamatan', 'baradatu', 'kelurahan', 'bengkulu', 'tolong', 'sinyal', 'internet', 'susah', 'tolong', 'perbaiki']</t>
  </si>
  <si>
    <t>['woy', 'telkomsel', 'jaringannya', 'diperbaiki', 'ngapain', 'menjelang', 'magrib', 'jam', 'malam', 'huu', 'sinyalnya', 'jelek', 'tolong', 'telkomsel', 'sigap', 'mengahadapi', 'udah', 'daftarannya', 'mahal', 'jaringan', 'hancur', 'banget', 'konsumen', 'puas', 'beli', 'luu', 'yaa', 'ditempat', 'gue', 'tower', 'indosat', 'udah', 'pembuatan', 'karna', 'orang', 'beralih', 'indosat', '']</t>
  </si>
  <si>
    <t>['atasan', 'jajaran', 'telkomsel', 'makan', 'gajih', 'buta', 'perbaiki', 'jaringan', 'paketan', 'mahal', 'jaringan', 'kaya', 'kaya', '']</t>
  </si>
  <si>
    <t>['bener', 'bener', 'apk', 'telkomsel', 'membantu', 'trouble', 'loading', 'isi', 'pulsa', 'susah', 'kuota', 'gmn', 'performanya', 'pelayanan', 'memuaskan', 'konsumen', 'aktif', 'pendek', '']</t>
  </si>
  <si>
    <t>['siyal', 'bentar', 'mati', 'koneksi', 'buruk', 'harga', 'paket', 'mahal', 'smpai', 'skarang', 'ngga', 'perbaikan', 'kah', 'dapatkan', 'layanan', 'memuaskan', 'dri', 'paket', 'mahal', 'beli', '']</t>
  </si>
  <si>
    <t>['telkomsel', 'koruptor', 'undiannya', 'php', 'udah', 'kaya', 'harta', 'bawa', 'mati', 'awas', 'bangkrut', '']</t>
  </si>
  <si>
    <t>['beli', 'pulsa', 'mahal', 'sebanding', 'sinyalnya', 'jelek', 'mohon', 'perbaiki', 'sya', 'daerah', 'kec', 'malangbong', 'garut', 'sinyal', 'telkomsel', 'benerin', 'gangguan', 'mulu', 'sya', 'gamer', 'asli', 'kecewa', 'banget']</t>
  </si>
  <si>
    <t>['terimakasih', 'mytelkomsel', 'kasih', 'promo', 'gb', 'bintang', 'tambahin', 'kasih', 'temen', 'promo', 'udh']</t>
  </si>
  <si>
    <t>['komputerku', 'memasuki', 'server', 'telkomsel', 'harga', 'kuota', 'mahal', 'menyulitkan', 'mahasiswa']</t>
  </si>
  <si>
    <t>['buka', 'aplikasi', 'knpa', 'gangguan', 'masak', 'uninstall', 'install', 'ulang', 'ngabisin', 'kuota']</t>
  </si>
  <si>
    <t>['', 'klaim', 'daily', 'chekin', 'kuota', 'mb', 'telkomsel', 'berhasil', 'sms', 'gagal', 'gimana', 'apknya', 'akurat', 'chekin', 'bonusnya', 'bohongan', 'belaka', 'pulsa', 'dipotong', 'parah', 'kecewa', 'provider', 'profesional', 'padah', 'update', 'terbaru', 'ttp', 'ngaco']</t>
  </si>
  <si>
    <t>['aplikasi', 'telkomsel', 'susah', 'masuk', 'masuk', 'perintah', 'konfirmasi', 'log', 'alamat', 'web', 'telkomsel', 'dikirim', 'sms', 'alamat', 'web', 'telkomsel', 'menampilkan', 'halaman', 'ditemukan', 'halaman', 'web', 'telkomsel', 'mencoba', 'log', 'alamat', 'mail', 'akun', 'medsos', 'log', '']</t>
  </si>
  <si>
    <t>['ngasih', 'bintang', 'mahal', 'jaringan', 'kesel', 'njir', 'nyari', 'tugas', 'google', 'lemotny', 'ampun', 'sialan', 'ganti', 'telkomsel', 'jaringannya', 'cepet', 'nambah', 'lemot', 'tadiny', 'kaya', 'gini', 'mending', 'tetep', 'make', 'indosat', 'udah', 'mah', 'murah', 'cepat', 'nyesel', 'beli', 'kuota', 'rb', 'doang', 'kenceng', 'skrg', 'lemotny', 'melebihi', 'hutan', 'pedalaman', '']</t>
  </si>
  <si>
    <t>['kasih', 'bintang', 'kecewa', 'pulsa', 'beli', 'menit', 'abis', 'pakai', 'tpi', 'terima', 'kasih']</t>
  </si>
  <si>
    <t>['kecewa', 'kpada', 'telkomsel', 'jaringan', 'apl', 'mytelkomsel', 'terkait', 'metode', 'pembelian', 'paket', 'kuota', 'mahal', 'udah', 'stengah', 'toleran', 'potongan', 'harga', 'pembelian', 'pengguna', 'telkomsel', 'puluhan', 'juta', 'umat', 'sangt', 'disayangkan', 'platform', 'utama', 'pelit', 'tolong', 'diperhatikan', 'maslh', 'check', 'apl', 'mytelkomsel', 'aktif', 'mohon', 'kondifirmasi', 'tang', '']</t>
  </si>
  <si>
    <t>['set', 'jelek', 'banget', 'jaringan', 'telkomsel', 'bagus', 'cuman', 'zoom', 'doang', 'dipake', 'nge', 'game', 'jelek', 'banget']</t>
  </si>
  <si>
    <t>['telkomsel', 'pas', 'beli', 'paket', 'kuota', 'jaringannya', 'lemot', 'belaku', 'paketnya', 'habis', 'jaringannya', 'normal']</t>
  </si>
  <si>
    <t>['tolong', 'telkomsel', 'pengen', 'telkomsel', 'nomer', 'mahal', 'kuotanya', 'murah', 'dompet', 'awak', 'menangis', 'tolong', 'yakan', 'sewajarnya', 'gtu', 'harganya', 'kurasa', 'segitu', 'doang', 'bcotanku', 'ulasan', 'terima', 'kasih', 'uwoe', '']</t>
  </si>
  <si>
    <t>['parah', 'banget', 'aplikasi', 'lemot', 'banget', 'berat', 'trus', 'apl', 'merespon', 'korain', 'perbarui', 'udah', 'ngmong']</t>
  </si>
  <si>
    <t>['aplikasi', 'ama', 'provider', 'nyari', 'duit', 'doang', 'mahal', 'bkin', 'ksel', 'skrng', 'mahal', 'jaringan', 'lemot', 'komplittt']</t>
  </si>
  <si>
    <t>['perusahaan', 'provider', 'selular', 'maling', 'pulsa', 'pelanggan', 'sebenernya', '']</t>
  </si>
  <si>
    <t>['paket', 'khusus', 'corporate', 'sinyalnya', 'lancar', 'pakai', 'paket', 'lancar', 'tinggal', 'kantor', 'telkom', 'iya', 'paket', 'corporate', 'daerah', 'kah', 'sinyal', 'kencangnya', '']</t>
  </si>
  <si>
    <t>['harganya', 'mahal', 'sinyalnya', 'update', 'telkomsel', 'login', 'mlbb', 'kuat', 'sinyalnya', 'hadeh']</t>
  </si>
  <si>
    <t>['membaca', 'kolom', 'comentar', 'pupuslah', 'harapan', 'bintang', 'berkurang', 'tpi', 'keluhan', 'pelanggan', 'setia', 'telkomsel', 'kecewa', 'buruk', 'tarif', 'jaringan', 'bukti', 'telkomsel', 'memikirkan', 'keuntungan', '']</t>
  </si>
  <si>
    <t>['gara', 'gara', 'jaringan', 'buruk', 'kerugian', 'terima', 'parah', 'jaringan', 'tolong', 'perbaikin', 'jaringan', 'pengguna', 'rugikan']</t>
  </si>
  <si>
    <t>['aplikasi', 'busuk', 'udh', 'update', 'msh', 'utuh', 'login', 'ngetik', 'susah', 'ketik', 'nomernya', 'harga', 'paketan', 'doang', 'mahal', 'tpi', 'kualitas', 'murahan', '']</t>
  </si>
  <si>
    <t>['maaf', 'kualitas', 'jaringan', 'harga', 'mahal', '']</t>
  </si>
  <si>
    <t>['update', 'telkomsel', 'trus', 'sya', 'instal', 'kmbali', 'download', 'tetep', 'trusss', 'sya', 'bli', 'pketan', 'nyaa', 'gimnaaaa', 'iniiii', 'beli', 'gb', 'skrg', 'gmn', 'siiih', 'telkomsel', '']</t>
  </si>
  <si>
    <t>['hadeeeeh', 'udh', 'update', 'susah', 'buka', 'tolong', 'min', 'update', 'gampang', 'buka', 'knp', 'skrng', 'susah', '']</t>
  </si>
  <si>
    <t>['sinyal', 'lemot', 'pas', 'udh', 'beli', 'kuota', 'seharga', 'rb', 'sinyal', 'ilang', 'sampe', 'sinyalnya', 'balikin', 'duit', 'gue', 'gua', 'ulasan', 'kartu', 'indosat', 'ngertiii', 'indosat', 'murah', 'sinyalnya', 'bagus', 'kyak', 'telkomsel', 'balikin', 'duit', 'guaa']</t>
  </si>
  <si>
    <t>['sumpah', 'telkomsel', 'gila', 'udh', 'sinyalny', 'jelek', 'lemot', 'ampun', 'paketan', 'mkin', 'mahal', 'mkin', 'gila', 'udah', 'bner', 'korupsi', 'org', 'dlm']</t>
  </si>
  <si>
    <t>['mohon', 'maaf', 'telkomsel', 'yaa', 'kuota', 'mahal', 'sinyalnya', 'anjlok', 'bgtt', 'pas', 'hujan', 'bolak', 'mode', 'pesawat', 'telkomsel', 'sinyal', 'enak', 'gini', 'jujur', 'kecewa', 'banget', '']</t>
  </si>
  <si>
    <t>['oyyy', 'gua', 'beli', 'paket', 'nyesel', 'gua', 'beli', 'pulsa', 'ehh', 'paket', 'beli', 'kode', 'dial', 'tolong', 'telkomsel', 'tolong', 'perbaiki', 'bener', 'kecewaa']</t>
  </si>
  <si>
    <t>['paket', 'ngilang', 'udah', 'mah', 'pulsa', 'ngilang', 'isi', 'pulsa', 'trus', 'ilang', 'trus', 'isi', 'ilang', 'pulsa', 'gimana', 'maksudnya', '']</t>
  </si>
  <si>
    <t>['setia', 'pakai', 'telkomsel', 'telkomsel', 'duanya', 'kemudahan', 'berkomunikasi']</t>
  </si>
  <si>
    <t>['terpaksa', 'turunin', 'bintang', 'udah', 'mahal', 'pembagian', 'kuota', 'nonton', 'males', 'pakenya', '']</t>
  </si>
  <si>
    <t>['jaringan', 'bagus', 'ngak', 'bagus', 'kayak', 'tolong', 'perbaiki', 'jaringan', 'gan', '']</t>
  </si>
  <si>
    <t>['weeii', 'telkom', 'tolong', 'benerin', 'sinyal', 'desa', 'kedungjati', 'kab', 'purbalingga', 'sinyal', 'banget', 'main', 'game', 'langsung', 'hilang', 'aduhhhh', 'benerin', 'ahh', 'harga', 'sinyal']</t>
  </si>
  <si>
    <t>['woy', 'jaringan', 'udh', 'harga', 'nge', 'ganja', 'jaringan', 'bagus', 'nonton', 'kadang', 'lola', 'tinggal', 'dihutan', 'make', 'telkomtod', 'nambahin', 'dosa', 'mulu', 'kerjaannya', 'sampah']</t>
  </si>
  <si>
    <t>['harga', 'paket', 'melejit', 'sinyal', 'ancurrr', 'parah', 'parah', '']</t>
  </si>
  <si>
    <t>['udh', 'harga', 'mahal', 'sinyal', 'kualitas', 'slogan', 'harga', 'kualitas', 'main', 'lag', 'lag']</t>
  </si>
  <si>
    <t>['harga', 'paket', 'mahal', 'jaringan', 'sesuai', 'harga', 'lemot', 'telkomsel', 'telkomsel', 'astagfirullah']</t>
  </si>
  <si>
    <t>['ndak', 'mutunya', 'jaringan', 'indosat', 'program', 'kecewa', 'telkomsel', 'hapus', 'jual', 'iklan', '']</t>
  </si>
  <si>
    <t>['kadang', 'quota', 'isi', 'terpakai', 'duluan', 'aktif', 'dibanding', 'quota', 'aktifnya', 'tinggal', 'sebentar', '']</t>
  </si>
  <si>
    <t>['sok', 'paket', 'unlimited', 'masi', 'pakai', 'fup', 'btw', 'kecepatan', 'kbps', 'ajawkwkwk', 'jaringan', 'paketnya', 'masi', 'batasi', 'fup', 'mantap', '']</t>
  </si>
  <si>
    <t>['telkomsel', 'harga', 'paketan', 'internetnya', 'mahal', 'mahal', 'ngisi', 'pulsa', 'ribu', 'dapet', 'beli', 'paket', 'gigamax', 'itupun', 'kuota', 'internetnya', 'giga', 'tolonglah', 'paket', 'combo', 'sakti', 'murahin', 'harganya', '']</t>
  </si>
  <si>
    <t>['kecewa', 'jaringan', 'talkomsel', 'daerah', 'bagus']</t>
  </si>
  <si>
    <t>['semenjak', 'bnyak', 'makai', 'telkomsel', 'melonjak', 'hrga', 'paket', 'internet', 'pulsa', 'perdan', 'paket', 'internet', 'skrng', 'dibagi', '']</t>
  </si>
  <si>
    <t>['kecewa', 'berat', 'poin', 'tuker', 'nga', 'hrs', 'nunggu', 'hangus', 'hilangkan', 'aplikasi', 'min']</t>
  </si>
  <si>
    <t>['tolong', 'jaringan', 'mytelkomsel', 'perbaiki', 'masuk', 'mytelkomsel', 'kog', 'keluarnya', 'muncul', 'coba', 'kaya', 'gini', 'tolong', 'serpon', 'keluhan', 'makasih', 'sukses', 'mytelkomsel', '']</t>
  </si>
  <si>
    <t>['bintang', 'gua', 'kasih', 'bintang', 'harga', 'paket', 'mahal', 'jaringan', 'kyk', 'mikir', 'kau', 'woi', 'bayar', 'mahal', 'cman', 'menunggu', 'sinyalmu', 'ilang', 'timbul', 'doang', 'anjim', '']</t>
  </si>
  <si>
    <t>['sinyalnya', 'bagus', 'banget', 'suka', 'boong', 'ngeleg', 'ora', 'sung', 'edan']</t>
  </si>
  <si>
    <t>['bantuan', 'kuota', 'belajar', 'terbantu', 'pemerintah', 'indonesia', 'pemimpin', 'indonesia', 'perduli', 'pendidikan', 'anak', 'sekolah', '']</t>
  </si>
  <si>
    <t>['telkomsel', 'gausah', 'ngayal', 'jelek', 'hujan', 'langsung', 'turun', 'pikirin', 'sinyal', 'bagus']</t>
  </si>
  <si>
    <t>['contoh', 'anak', 'sinyal', 'lag', 'trus', 'kuota', 'mahal', 'dikomen', 'kaya', 'gini', 'suruh', 'hubungi', 'twiter', 'otak', 'dimana', 'pikiran', 'kaya', 'anak', '']</t>
  </si>
  <si>
    <t>['lapor', 'tweet', 'tetep', 'jaringan', 'stabil', 'main', 'game', 'lelet', 'kecewa', 'kuota', 'udah', 'mahal', 'jaringan', 'buruk', 'dahlah', 'ganti', 'jaringan']</t>
  </si>
  <si>
    <t>['sorry', 'banget', 'kesekian', 'kalinya', 'pulsa', 'tersedot', 'paket', 'internet', 'ngk', 'ngerti', 'dirugiin', 'telkomsel', 'pengguna', 'telkomsel', 'kaya', 'dirampok', 'beli', 'paket', 'malal', 'ehh', 'pulsa', 'disedot', 'tipis', 'solusi', 'gimana', '']</t>
  </si>
  <si>
    <t>['mudah', 'mudahan', 'telkomsel', 'sekedar', 'harapan', 'dallam', 'pemberian', 'fromo', 'hadiah', '']</t>
  </si>
  <si>
    <t>['mahal', 'pengguna', 'setia', 'harga', 'paket', 'spesial', 'payah']</t>
  </si>
  <si>
    <t>['top', 'harga', 'paket', 'combo', 'saktinya', 'turunin', 'harga', 'skrg', 'udh', 'rb', 'gb', '']</t>
  </si>
  <si>
    <t>['lambat', 'jaringan', 'hpnya', 'restart', 'pemancarnya', 'responyan', 'paket', 'jaringan', 'kayak', 'kura', 'kura', '']</t>
  </si>
  <si>
    <t>['aplikasinya', 'jelek', 'boong', 'aplikasinya', 'bagus', '']</t>
  </si>
  <si>
    <t>['jaringan', 'telkomsel', 'lemot', 'kecepatan', 'maksimum', 'internet', 'kb', 'kuota', 'jaringan', 'tolong', 'diperbaiki', 'pakai', 'telkomsel', 'lemot', 'gini', 'daerah', 'pakai', 'telkomsel', 'gara', 'gara', '']</t>
  </si>
  <si>
    <t>['sinyal', 'penuh', 'bar', 'penuh', 'ngakses', 'google', 'kebuka', 'padahl', 'bagus', '']</t>
  </si>
  <si>
    <t>['jaringan', 'bagus', 'harga', 'paket', 'internet', 'mahal', 'diskon', 'harga', 'paket', 'pelanggan', 'puas', '']</t>
  </si>
  <si>
    <t>['busuk', 'berganti', 'perdana', 'udah', 'pakek', 'telkomsel', 'bagus', 'merepotkan', '']</t>
  </si>
  <si>
    <t>['', 'telkomsel', 'buka', 'telkomsel', 'susah', 'ampun', 'download', 'ulang', 'dibersihkan', 'hpnya', 'riset', 'hpnya', 'susah', 'bukanya', 'lgi', 'hrs', 'gmn', 'membuka', 'cepat', 'telkomsel', 'lgi', '']</t>
  </si>
  <si>
    <t>['jaringan', 'bagus', 'paket', 'semoga', 'pull', 'tanoa', 'semoga', 'harga', 'paket', 'murah']</t>
  </si>
  <si>
    <t>['aktivasi', 'paket', 'berlaku', 'aktif', 'telkomsel', 'uda', 'ditunggu', 'proses', 'mohon', 'perbaikan']</t>
  </si>
  <si>
    <t>['busuk', 'jaringan', 'padahan', 'kota', 'jaringannya', 'ganti', 'tetep', 'busuk', 'jaringannya']</t>
  </si>
  <si>
    <t>['mahal', 'doang', 'internet', 'lemottt', 'udh', 'tlp', 'masihh', 'lemotttt', 'payah', 'perbaikan', 'internet', 'dongg', 'masihh', 'lemottt', 'lokasi', 'kota', 'tangerang', '']</t>
  </si>
  <si>
    <t>['halo', 'kak', 'nanya', 'kuota', 'multimedia', 'pakai', 'membuka', 'youtube', 'dipakai', 'membuka', 'youtube', 'lihat', 'komentar', 'orang', 'akses', 'membuka', 'youtube', 'kuota', 'multimedia', 'membuka', 'youtube', 'membuka', 'aplikasi', 'tiktok', 'zoom', 'lumayan', 'lambat', 'lemot', 'keterangan', 'kuota', 'multimedia', 'tiktok', 'zoom', 'knp', 'lemot', '']</t>
  </si>
  <si>
    <t>['bintang', 'program', 'berkaitan', 'penukaran', 'poin', 'berguna', 'gitu', 'poin', 'terakumulasi', 'ditukar', 'pulsa', 'paket', 'internet', 'kayaknya', 'better', 'deh', '']</t>
  </si>
  <si>
    <t>['paket', 'mahal', 'signal', 'down', 'mati', 'lampu', 'kacau', '']</t>
  </si>
  <si>
    <t>['knapa', 'beli', 'kuota', 'data', 'keterangan', 'proses', 'udh', 'bberapa', 'kali', 'berhasil', 'trus', 'mengatasinya', 'tlong', 'pnjelasn', '']</t>
  </si>
  <si>
    <t>['ass', 'mohon', 'kemarin', 'memikirkan', 'tandy', 'bonus', 'terima', 'persaratan', 'flimty', 'daftar', 'nama', 'alamat', 'selesai', 'dimaklumi', 'wass', 'telkomsel', 'lihat', 'grapari', 'mengisi', 'paket', 'mohon', 'thn', 'putus', 'telkomsel', 'grapari', 'bantu', 'kudur', '']</t>
  </si>
  <si>
    <t>['puas', 'memakai', 'aplikasi', 'telkomsel', 'aplikasi', 'daftar', 'paket', 'hemat', 'promonya', 'kartu', 'telkomsel', 'pembelian', 'paketnya', 'mahal', 'murah', 'belinya', 'beralihlih', 'aplikasi', 'telkomsel', 'hemat', 'gb', 'rb', '']</t>
  </si>
  <si>
    <t>['udah', 'non', 'aktifin', 'halo', 'udah', 'lunasin', 'langsing', 'msh', 'tagihan', 'ebiling', 'gmn', 'sistemnya', 'saran', 'mending', 'lo', 'pascabayar', 'ribet', 'urus', 'dipake', 'dipake', 'limit', 'nol', 'mending', 'kartu', 'ribet', 'duit', 'beli', 'beli', 'telkomsel', 'capruk', 'kocal']</t>
  </si>
  <si>
    <t>['haii', 'min', 'yaa', 'beli', 'paket', 'udah', 'berkali', 'kali', 'coba', 'pembayarannya', 'proses', 'notif', 'sms', 'masuk', 'mohon', 'bantuannya', 'min']</t>
  </si>
  <si>
    <t>['buka', 'aplikasi', 'pemakaian', 'internet', 'motong', 'pulsa', 'rupiah', 'kuota', 'internet', 'telkomsel', '']</t>
  </si>
  <si>
    <t>['hallo', 'min', 'telkomsel', 'buruk', 'jaringannya', 'pindah', 'provider', 'min', 'tolong', 'tingkatkan', 'kualitas', 'jaringanya', '']</t>
  </si>
  <si>
    <t>['kartu', 'mahal', 'indonesia', 'hanggar', 'batam', 'aero', 'technic', 'hang', 'nadim', 'kuat', 'internetan', '']</t>
  </si>
  <si>
    <t>['semoga', 'org', 'selamat', 'penipuan', 'atasi', 'mengatasnamakan', 'telkomsel']</t>
  </si>
  <si>
    <t>['liat', 'tetangga', 'sebelah', 'harga', 'paketan', 'internet', 'murah', 'siknalnya', 'tolong', 'perbaiki', 'paket', 'tetangga', 'sebelah', 'color', 'banana']</t>
  </si>
  <si>
    <t>['suka', 'telkomsel', 'kuota', 'multimedia', 'dipakai', 'sayang', 'banget', 'gb', 'kebuang', 'sia', 'sia']</t>
  </si>
  <si>
    <t>['', 'tingkat', 'jaringan', 'bagus', 'kecewa', 'pakai', 'telkomsel', '']</t>
  </si>
  <si>
    <t>['masuk', 'aplikasi', 'mytelkomsel', 'beranda', 'intinya', 'udah', 'masuk', '']</t>
  </si>
  <si>
    <t>['mohon', 'maaf', 'saran', 'telkomsel', 'kwalitas', 'jaringan', 'signal', 'tingkatkan', '']</t>
  </si>
  <si>
    <t>['fitur', 'isi', 'paket', 'voucer', 'voucer', 'jual', 'fitul', 'aplikasi', 'mohon', 'kasih', 'karna', 'isi', 'manual', 'sistem', 'sibuk', 'udah', 'ulangi']</t>
  </si>
  <si>
    <t>['aplikasi', 'gangguan', 'something', 'wrong', 'telkomsel', 'udah', 'telkomnyet', 'gua', 'telkomsel', 'bobrok', 'muanya', 'sinyal', 'jelek', 'aplikasinya', 'gangguan', '']</t>
  </si>
  <si>
    <t>['mohon', 'telkomsel', 'pemberitahuan', 'ngasih', 'akses', 'internet', 'make', 'pulsa', 'pulsa', 'ribu', 'ilang', 'gara', 'gara', 'buka', 'game', 'kirain', 'kuota', 'kemendikbud', 'game', 'ahh', 'kasih', 'peringatan', 'tayilah']</t>
  </si>
  <si>
    <t>['telkomsel', 'menjangkau', 'wilayah', 'indonesian', 'tnggalx', 'daerah', 'terpencil', 'berkomunikasi', 'saudara', 'teman', 'keluarga', 'kartu', 'telkomsel', '']</t>
  </si>
  <si>
    <t>['sinyal', 'jelek', 'banget', 'suka', 'ngilang', 'stabil', 'merugikan', 'pengguna', 'ngga', 'perubahan', 'mohon', 'maaf', 'pengguna', 'telkomsel', 'udah', 'kesini', 'sinyal', 'jelek', '']</t>
  </si>
  <si>
    <t>['sinyal', 'telkomsel', 'operator', 'sebelah', 'kencengan', 'operator', 'sebelah', 'ngegame', 'enakan', 'sebelah', 'logis', 'harga', 'paketnya', 'bedanya', 'banget', 'kepaksa', 'males', 'beli', 'telkomsel', '']</t>
  </si>
  <si>
    <t>['tolong', 'kemaren', 'beli', 'kari', 'telekomsel', 'udah', 'kuota', 'isi', 'pulsa', 'pulsa', 'masuk', 'trs', 'saldo', 'udah', 'tari', 'pulsa', 'blm', 'masuk', 'tolong', 'bantuan']</t>
  </si>
  <si>
    <t>['udh', 'diupdate', 'terbaru', 'pas', 'topup', 'pulsa', 'via', 'pembayaran', 'shopeepay', 'msk', 'udh', 'konsul', 'customer', 'serviceny', 'penanganan', 'ribet', 'diproses', 'berhari', 'kesimpulanny', 'kapok', 'isi', 'ulang', 'pulsa', 'telkomsdl']</t>
  </si>
  <si>
    <t>['tolong', 'telkomsel', 'harga', 'paket', 'internet', 'mangkin', 'mahal', 'tolong', 'turunkan', 'pandemi', 'gini', 'permudah', 'persulit', 'internet', 'tolong', 'perbaiki', 'daring', 'sinyalnya', 'hilang', 'mohon', 'usahakan', 'sinyalnya', 'maaf', 'kiritikan', 'pengguna', 'kartu', 'telkomsel', 'resah']</t>
  </si>
  <si>
    <t>['daily', 'click', 'pekerjaan', 'sia', 'sia', 'click', 'hadiah', 'klaim', 'poin', 'menghilang', '']</t>
  </si>
  <si>
    <t>['min', 'tolong', 'perbaiki', 'paket', 'internet', 'omg', 'beli', 'tolong', 'perbaiki', 'secepatnya', 'orang', 'marah', 'langganan', 'telkomsel', 'perbaiki', 'oke', 'segitu', 'perkataan', 'sekian', 'terimakasih', '']</t>
  </si>
  <si>
    <t>['bayar', 'dana', 'gaada', 'pilihannya', 'udah', 'berkali', 'kali', 'kayak', 'gini', 'gabisa', 'dibenerin']</t>
  </si>
  <si>
    <t>['sinyal', 'ilang', 'ilangan', 'main', 'game', 'sperti', 'mobile', 'legends', 'lag', 'harga', 'mahal']</t>
  </si>
  <si>
    <t>['beli', 'kuota', 'gagal', 'berulang', 'kali', 'gajelas', 'banget', 'deh', 'emosi', 'ihhhh', 'ganti', 'ganti']</t>
  </si>
  <si>
    <t>['orang', 'tolol', 'kasi', 'bintang', 'skolah', 'blajar', 'otaknya', 'bego', 'sok', '']</t>
  </si>
  <si>
    <t>['jaringan', 'payah', 'banget', 'klau', 'mlam', 'berfungsi', 'ngelodiang', 'lelet', 'lat', 'gimana', 'telkomsel', 'memuas']</t>
  </si>
  <si>
    <t>['telepon', 'telkomsel', 'hemat', 'pulsa', 'transaksi', 'isi', 'pulsa', 'dipakai', 'tlp', 'menit', 'habis', 'mohon', 'petunjuknya', 'mimin', '']</t>
  </si>
  <si>
    <t>['telkomsel', 'sinyal', 'lemot', 'banget', 'kesal', 'banget', 'kecewa', '']</t>
  </si>
  <si>
    <t>['kecewa', 'banget', 'gue', 'emng', 'pengguna', 'telkom', 'thn', 'kesini', 'harga', 'mahal', 'koneksi', 'internet', 'jdi', 'lemot', 'parah']</t>
  </si>
  <si>
    <t>['area', 'makassar', 'jam', 'suka', 'putus', 'rutinitas', 'buruk']</t>
  </si>
  <si>
    <t>['update', 'terbaru', 'aplikasinya', 'stabil', 'mantap', 'deh', 'user', 'interfacenya', 'ringan', 'mata', 'jempol', 'telkomsel', 'semoga', 'kedepannya', 'berinovasi', 'menyatukan', 'indonesia', 'tambahan', 'plis', 'kasih', 'darkmode', 'kena', 'flashbang', 'pas', 'buka', 'aplikasi']</t>
  </si>
  <si>
    <t>['pengguna', 'setia', 'pakai', 'kecewa', 'paket', 'multi', 'media', 'pakai', 'buka', 'apapun', 'kuota', 'utama', 'pakai', 'beli', 'mahal', 'terbuang', 'mang', 'pakai', 'pakai', 'embel', 'bonus', 'kuota', 'multi', 'media', 'cuman', 'alat', 'tipu', '']</t>
  </si>
  <si>
    <t>['susah', 'customer', 'service', 'veronika', 'fungsi', 'menawarkan', 'produk', 'mahal', 'quota', 'multimedia', 'fungsi', 'apaaaaaaa', 'tolong', 'admin', 'jelek', 'telkomsel', 'bnyak', 'promo', 'kgk', 'pakai', 'coba', 'promo', 'engga', 'pakai']</t>
  </si>
  <si>
    <t>['pembaharuan', 'melulu', 'dikasih', 'pengunci', 'data', 'beli', 'paket', 'data', 'telkomsel', 'udah', 'pulsa', 'langsung', 'abis', 'tolong', 'kasih', 'pengunci', 'data', 'kaya', 'aplikasi', 'axis', 'donk', 'tenang', 'beli', 'paket', 'data', 'ngabil', 'pulsa', 'langsung']</t>
  </si>
  <si>
    <t>['klaim', 'bonus', 'kuota', 'pulsa', 'disedot', 'bonus', 'kuota', 'sungguh', 'payah', 'check', 'mahal', 'lelet', 'jaringannya', '']</t>
  </si>
  <si>
    <t>['buruk', 'jaringan', 'internet', 'putus', 'parah', 'jaringan', 'bubarin', 'pelayanan', 'buruk', 'bubarkan', 'telkomsel', 'rugi', 'penguna', 'mahal', 'doank', 'kualitas', 'buruk']</t>
  </si>
  <si>
    <t>['log', 'masukin', 'nomernya', 'diketik', 'muncul', 'tombol', 'angka']</t>
  </si>
  <si>
    <t>['sinyal', 'penuh', 'mantap', 'kawan', 'pertahankan', 'tsel', 'emang', 'mantap', 'urusan', 'sinyal']</t>
  </si>
  <si>
    <t>['', 'daerah', 'kecamatan', 'dente', 'teladas', 'kabupaten', 'tulang', 'bawang', 'provinsi', 'lampung', 'sinyal', 'nomor', 'hilang', 'slalu', 'beli', 'paket', 'mahal', '']</t>
  </si>
  <si>
    <t>['jaringan', 'parah', 'petingginya', 'udh', 'kaya', 'customer', 'udah', 'diperhatikan', 'kayak', 'gini', 'mending', 'pindah', 'provider', 'becus', 'mementingkan', 'kepuasan', 'customer', 'provider', 'teratas', 'produk', 'mahal', 'kualitas', 'jaringan', '']</t>
  </si>
  <si>
    <t>['telkomsel', 'gangguan', 'udah', 'keren', 'udah', 'kayak', 'kartu', 'sampah', 'udahlah', 'mls', 'kartu', 'telkomsel', 'tolong', 'kantor', 'pusat', 'telkomsel', 'benerin', 'jaringan', 'telkomsel', 'nomor', 'maaf', 'kasar']</t>
  </si>
  <si>
    <t>['jaringan', 'inyrnet', 'kaya', 'taik', 'lokasi', 'kumai', 'kalimantan', 'mohon', 'ditingkatkan', 'kualitas', 'internet', 'kecewa']</t>
  </si>
  <si>
    <t>['telkomsel', 'ribet', 'pindah', 'prabayar', 'berhenti', 'langganan', 'nomer', 'hangus', 'solusi', 'pengguna', 'kebijakan', 'sesuai', 'untung', 'paket', 'mahal', 'tolong', 'telkomsel', 'aturan', 'masuk', 'akal', '']</t>
  </si>
  <si>
    <t>['paket', 'klaim', 'daily', 'checkin', 'terisi', 'mohon', 'perbaiki']</t>
  </si>
  <si>
    <t>['kualitas', 'buruk', 'udah', 'paketan', 'kesini', 'mahal', 'ketambahan', 'sinyal', 'kualitas', 'edge', 'udh', 'coba', 'berkali', 'kali', 'telfon', 'oprator', 'alasannya', 'perbaikkan', 'jaringan', 'mulu', 'normalnya', 'tolong', 'perbaiki', 'normal', 'biaya', 'doang', 'mahal', '']</t>
  </si>
  <si>
    <t>['berat', 'ringan', 'donk', 'load', 'halamannya', 'gabisa', '']</t>
  </si>
  <si>
    <t>['sya', 'suka', 'telkomsel', 'murah', 'jaringan', 'driver', 'ojol', 'pakai', 'telkomsel']</t>
  </si>
  <si>
    <t>['ganti', 'provider', 'istri', 'hengkang', 'simpati', 'jaringan', 'emosi', 'mulu']</t>
  </si>
  <si>
    <t>['maaf', 'bintang', 'turunkan', 'drastis', 'kesini', 'kualitas', 'sinyal', 'jelek', 'harga', 'paket', 'data', 'mahal', 'pengguna', 'kecewa', 'berharap', 'perubahan', 'kedepan', 'tks']</t>
  </si>
  <si>
    <t>['banyakin', 'hadiahnya', 'kuota', 'pakai', 'internet', '']</t>
  </si>
  <si>
    <t>['barengilah', 'harga', 'kuota', 'mahal', 'kualitas', 'jaringannya', '']</t>
  </si>
  <si>
    <t>['sinyal', 'telkomsel', 'stabil', 'bener', 'bener', 'parah', 'udah', 'nyangkut', 'mulu', 'buff', '']</t>
  </si>
  <si>
    <t>['pelanggan', 'setia', 'kecewa', 'signal', 'ilang', 'ghosting', 'banget', 'urgent', 'merepotkan']</t>
  </si>
  <si>
    <t>['telkomsel', 'parah', 'sinyal', 'penuh', 'data', 'internet', 'ngga', 'paket', 'full', 'beli', 'dimode', 'pesawat', 'kali', 'kecewa', 'kesal', 'sumpah']</t>
  </si>
  <si>
    <t>['maaf', 'telkomsel', 'mati', 'listrik', 'sinyalnya', 'langsung', 'jelek', 'mohon', 'perbaiki', 'terimakasih']</t>
  </si>
  <si>
    <t>['operator', 'telkomsel', 'payah', 'bertahun', 'sinyal', 'lemot', 'buka', 'google', 'susah', 'kalah', 'operator', 'harganya', 'mahal', 'kualitasnya', 'rendah', '']</t>
  </si>
  <si>
    <t>['hati', 'aplikasi', 'skrg', 'penipuan', 'nyedot', 'pulsa', 'habis', 'beli', 'kuota', 'kuotanya', 'masuk', 'pulsa', 'dipotong', 'dikomplain', 'diputar', 'kayak', 'org', 'bodoh', '']</t>
  </si>
  <si>
    <t>['tolonglah', 'telkomsel', 'udh', 'beli', 'mahal', 'knp', 'pakai', 'buka', 'kecewa', 'mengikuti', 'telkomsel', 'udh', 'knp', 'skng', 'parah', 'klw', 'bakaln', 'hapus', 'aplikasi', 'teman', 'pakai', 'bakaln', 'suruh', 'hapus', 'beli', 'mahal', 'pakai']</t>
  </si>
  <si>
    <t>['kali', 'akses', 'berhenti', 'gelap', 'layar', 'habis', 'nyala', 'tutup', 'layar', 'tulisan', 'tutup', 'lln', 'aplikasi', 'jelek', 'telkomsel', 'sponsor', 'nama', 'telkomsel', 'jelek', 'mata', 'konsumer']</t>
  </si>
  <si>
    <t>['sinyal', 'suka', 'hilang', 'sesuai', 'harga', 'terbilang', 'kota', 'sinyal', 'penuh', 'full', 'ngilang']</t>
  </si>
  <si>
    <t>['aplikasi', 'mytelkomsel', 'mudah', 'membeli', 'kuota', 'internet', 'sesuai', 'kebutuhan', '']</t>
  </si>
  <si>
    <t>['buka', 'apl', 'cepet', 'afa', 'pulsanya', 'habis', 'gimana', '']</t>
  </si>
  <si>
    <t>['komplen', 'makai', 'kartu', 'telkomsel', 'jaringan', 'buruk', 'kartu', 'internetan', 'proses', 'nyaa', 'lampu', 'mati', 'hilang', 'jaringan', 'kaya', 'lampu', 'mati', 'ngk', 'pengaruh', 'terkecuali', 'kerusakan', 'parah', 'kantor', 'berkaitan', 'telkomsel', 'menerima', 'tolong', 'perbaiki', 'kualitas', 'kartu', 'jaringan', 'nyaa']</t>
  </si>
  <si>
    <t>['semoga', 'sinyal', 'internet', 'telkomsel', 'daerah', 'terpencil', 'jangkauan', 'tower', 'kuat', '']</t>
  </si>
  <si>
    <t>['sinyal', 'kmna', 'maen', 'games', 'tolong', 'perbaiki', 'sinyal', 'buka', 'facebook', 'sinyal', 'kadang', 'dancok', 'maen', 'games', 'teros']</t>
  </si>
  <si>
    <t>['sinyal', 'susahnya', 'ampun', 'minggu', 'sampe', 'stresssss', 'gara', 'gara', 'sinyal', 'beli', 'paket', 'internet', 'paketan', 'mahal', 'sinyal', 'siput', 'idiot', 'taeklah', 'ganti', 'kartu', 'parah', 'telkomsel']</t>
  </si>
  <si>
    <t>['mantap', 'mudah', 'penggunaan', 'pemanfaatan', 'tuk', 'paket', 'unlimited', 'tolong', 'adakan', 'isi', 'modem']</t>
  </si>
  <si>
    <t>['knp', 'min', 'gue', 'kesal', 'trus', 'hah', 'kartu', 'anjg', 'udh', 'mahal', 'internet', 'kek', 'anjg', 'babi', 'parah', 'najis', 'najis', 'najis', 'gue', 'ngtd', 'perbaiki', 'paket', 'gamemax', 'anjg', 'berfungsi', 'paket', 'gamemax', 'anjg', 'ngtd', 'tolong', 'perbaiki', 'kembalikan', 'pulsa', 'gue', 'ngtd']</t>
  </si>
  <si>
    <t>['ngibul', 'paket', 'game', 'max', 'silver', 'kuota', 'internetnya', 'abis', 'kuota', 'gamenya']</t>
  </si>
  <si>
    <t>['bener', 'parah', 'banget', 'sinyal', 'simpati', 'harga', 'doang', 'paketan', 'mahal', 'sinyal', 'bener', 'jelek', 'banget', 'kaga', 'kaya', 'sinyal', 'kenceng', 'didalem', 'rumah', 'parah', 'banget', 'sinyal', 'simpati', 'kaya', 'nyesel', 'banget', 'beli', 'kartu', 'simpati', 'parah', 'banget', 'sampe', 'emosi', 'liat', 'sinyal', 'kaga', 'kaya', 'gini', 'update', 'parah', 'sumpah', 'jengkel', 'banget', 'gua', 'sinyal', 'simpati', 'tolong', 'sinyal', 'perbaiki', 'main', 'game', 'ngleg', 'bener']</t>
  </si>
  <si>
    <t>['gwe', 'kecewa', 'pakai', 'internet', 'telkomsel', 'gwe', 'udah', 'oakai', 'telkomsel', 'ganti', 'main', 'mobile', 'legends', 'sinyal', 'ilang', 'ilang', 'lag', 'parah', 'main', 'game', 'tolong', 'telkomsel', 'dioerbaiki', 'jaringan', 'internet', '']</t>
  </si>
  <si>
    <t>['tolonglah', 'telkomsel', 'tukar', 'poinnya', 'tambahin', 'voucher', 'game', 'tukar', 'poin', 'kadang', 'kaga', 'undian', 'jga', 'ngk', 'dpat', '']</t>
  </si>
  <si>
    <t>['beli', 'paket', 'unlimited', 'aktif', 'pas', 'diaktifkan', 'paket', 'nyampe', 'beli', 'tanggal', 'abis', 'paket', 'sampe', 'tgl', 'gimana', 'maksudnya', 'pengguna', 'gold', 'tolong', 'telkomsel', 'diperbaiki']</t>
  </si>
  <si>
    <t>['telkomsel', 'sinyal', 'buruk', 'banget', 'internet', 'tolong', 'cek', 'area', 'cilacap']</t>
  </si>
  <si>
    <t>['maap', 'kasih', 'bintang', 'udah', 'jaringan', 'lemot', 'stabil', 'kaya', 'kali', 'make', 'alhamdulillah', 'telkomsel', 'skrg', 'lemot', 'mahalnya', 'doang', 'makasih', 'min']</t>
  </si>
  <si>
    <t>['semoga', 'kedepannya', 'telkomsel', 'berenti', 'beroperasi', 'amin', 'kesini', 'signal', 'udah', 'kaya', 'kaya', 'kartu', 'murahan', 'emosi', 'gajelas', '']</t>
  </si>
  <si>
    <t>['sinyal', 'telkomsel', 'bab', 'smoga', 'pemilik', 'telkomsel', 'bkar', 'dineraka', 'harga', 'trus', 'kualitas', 'trunntrus', 'bab', 'klian', 'monopoli', 'telkomunikasi', 'indonesia']</t>
  </si>
  <si>
    <t>['apdet', 'trbaru', 'dunia', 'game', 'bgaimana', 'top', 'game', 'telkomsel', '']</t>
  </si>
  <si>
    <t>['tolong', 'perbaiki', 'systemnya', 'pulsa', 'keambil', 'nelpon', 'sms', 'paket', 'internet', 'sisa', 'gb', 'paket', 'mahal', 'pulsa', 'hilang', '']</t>
  </si>
  <si>
    <t>['tolong', 'telkomsel', 'sinyal', 'daerah', 'gunung', 'sindur', 'bogor', 'perbaiki', 'sinyal', 'buruk', 'banget', 'buruk', 'kartu', 'sinyal', 'bagus']</t>
  </si>
  <si>
    <t>['aplikasi', 'bagu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t>
  </si>
  <si>
    <t>['tel', 'telkomsel', 'promo', 'paketan', 'gb', 'lemotnya', 'ampun', 'berasa', 'ketipu', 'deh', 'tolong', 'tel', 'wahhh']</t>
  </si>
  <si>
    <t>['super', 'loading', 'duluan', 'terbuka', 'website', 'konten', 'animasi', 'aplikasi', 'mytelkomsel', 'notabene', 'aplikasi', 'besutan', 'provider', '']</t>
  </si>
  <si>
    <t>['buka', 'telkomsel', 'loudingnya', 'menit', 'buka', 'loginnya', 'lelet', 'liudingnya', 'adakan', 'perubahan', 'harga', 'kuota', 'rb', 'seperi', 'kartu', 'seluler']</t>
  </si>
  <si>
    <t>['gimana', 'sinyal', 'telkomsel', 'bar', 'penuh', 'nyambung', 'kol', 'lelet', 'ampun', 'harga', 'paketan', 'mahal', 'sinyal', 'buruk', 'gimana', 'harga', 'ngga', 'sesuai', 'kualitas', 'ulasan', 'ditanggapi']</t>
  </si>
  <si>
    <t>['top', 'deh', 'dpt', 'bonus', 'sekeluarga', 'telkomsel', 'jaman', 'baheula']</t>
  </si>
  <si>
    <t>['tingkatkan', 'kualitas', 'kuantitas', 'pelanggan', 'perioritas', 'utama', '']</t>
  </si>
  <si>
    <t>['masuk', 'telkomsel', 'main', 'game', 'menit', 'hang', 'aplikasi', 'google', 'play', 'hang', 'masuk', 'telkomsel', 'takterlihat', 'pulsa', 'kesalahan', 'koneksi', 'kecewa', 'sebulan', '']</t>
  </si>
  <si>
    <t>['develover', 'tolong', 'kecilkan', 'ukuran', 'aplikasi', 'telkomsel', 'lemot', 'membuka', 'transaksi', 'terimakasih', '']</t>
  </si>
  <si>
    <t>['aplikasi', 'dibuka', 'paket', 'sinyal', 'bagus', 'buka', 'aplikasi', 'snyal', 'langsung', 'turun', 'mhon', 'perbaiki']</t>
  </si>
  <si>
    <t>['nomor', 'mendaftar', 'akun', 'telkomsel', 'kuota', 'belajar', 'sms', 'pemberitahuan', 'kuota', 'belajar', 'dpt', 'telkomsel', 'mohon', 'diperbaiki', '']</t>
  </si>
  <si>
    <t>['sukses', 'telkosel', 'berubah', 'mantap', '']</t>
  </si>
  <si>
    <t>['notif', 'muncul', 'angkanya', 'notif']</t>
  </si>
  <si>
    <t>['ngisi', 'pulsa', 'ribu', 'berkurang', 'seribu', 'kuota', 'bener', 'nyolong', 'ntar', 'bangkrut', 'mampus', '']</t>
  </si>
  <si>
    <t>['bug', 'beli', 'internet', 'omg', 'menit', 'tolong', 'diperbaikin']</t>
  </si>
  <si>
    <t>['nyesel', 'gwa', 'update', 'nomer', 'prabayar', 'udah', 'mahal', 'jaringan', 'buruk', 'ganti', 'sayang', 'intinya', 'pengen', 'kasar', 'gwa', 'telkomsel']</t>
  </si>
  <si>
    <t>['tolong', 'telkomsel', 'main', 'potong', 'pulsa', 'paket', 'internet', 'habis', 'sopan', 'santun', 'main', 'sedot', 'pulsa', 'orang', 'enaknya', '']</t>
  </si>
  <si>
    <t>['pulsa', 'ilang', 'tulisannya', 'internet', 'paket', 'kouta', 'kaya', 'gini', 'kecewa', 'telkomsel', 'sinyalnya', 'mantap', 'tetep', 'kecewa', 'pulsa', 'hilang', 'kejelasan']</t>
  </si>
  <si>
    <t>['admin', 'telkom', 'niat', 'jual', 'kuota', 'unlimited', 'jual', 'main', 'game', 'jelek', 'banget', 'senyal', 'mending', 'gausah', 'jual', 'beli', 'mahal', 'jaringannya', 'jelek', 'puas', 'pelayanan', 'telkom', 'beli', 'kartu', 'telkom', 'mikir', 'kali', 'jelak', 'banget', 'sinyalnya', 'main', 'pubg', 'beli', 'paketan', 'mahal', 'mahal']</t>
  </si>
  <si>
    <t>['sinyal', 'jelek', 'banget', 'sya', 'kota', 'ampun', 'kapok', 'pke', 'telkomsel', 'bukaan', 'bagus', 'mlh', 'mkin', 'acur', 'brp', 'telkomsen', 'pindah', 'provider', 'mksh', 'telomsel', 'menemani', 'brp', 'daya', 'sinyal', 'ancur']</t>
  </si>
  <si>
    <t>['internet', 'muncul', 'beli', 'paket', 'internet', 'hub', 'call', 'center', 'kedepan', 'buruk', 'mutu', 'layanan', 'telkomsel', '']</t>
  </si>
  <si>
    <t>['ganjal', 'perusahaan', 'telkomsel', 'gue', 'isi', 'paket', 'combo', 'sakti', 'pakai', 'hotspot', 'laptop', 'buka', 'cuman', 'browser', 'paket', 'sisa', 'jaringan', 'turun', 'mengakibatkan', 'panas', 'telkomsel', 'permainanmu', 'kah', 'negara', 'super', 'power', 'bro', 'covid', 'mengambil', 'hak', 'orang', 'harga', 'beli', 'paket', 'ribu', 'bro', 'habis', 'cuman', 'muantap', '']</t>
  </si>
  <si>
    <t>['knp', 'telkomsel', 'bngt', 'ambil', 'pulsa', 'sttsnya', 'pemakaaian', 'internet', 'tarif', 'pulsa', 'kuota', 'internet', 'banyaaaaak', 'lumayankan', 'kepotong', 'nyari', 'untung', 'gtulah', '']</t>
  </si>
  <si>
    <t>['harga', 'doang', 'mahal', 'hilang', 'jaringannya', 'turnamen', 'ilang', 'mulu', 'sinyalnya', 'kaya', 'gini', 'mending', 'harganya', 'turunin', 'beli', 'kuota', 'mahal', 'ilang', 'mulu', 'jaringan', 'gara', 'sinyal', 'doang', 'kalah', 'mulu', 'gua', 'taekk']</t>
  </si>
  <si>
    <t>['applikasi', 'telkomsel', 'gaak', 'langsung', 'bayar', 'diamond', 'game', 'mesti', 'lewal', 'poin', 'dompet', 'wallet', 'poin', 'aplikasi', 'download', 'aplikasi', '']</t>
  </si>
  <si>
    <t>['update', 'paket', 'sekalinya', 'mahal', 'parahh', 'abissss']</t>
  </si>
  <si>
    <t>['memuat', 'halaman', 'kondisi', 'jaringan', 'bagus', 'mohon', 'cepat', 'ditangani']</t>
  </si>
  <si>
    <t>['pulsa', 'terkuras', 'makaian', 'internet', 'paket', 'internet', 'masi', 'aktif', 'isi', 'pulsa', 'sesuai', 'pakrt', 'dibeli', 'sisa', 'pulsa', 'tersedot', 'habis', 'pulsa']</t>
  </si>
  <si>
    <t>['kasih', 'bintang', 'bagus', 'fungsionalnya', 'diaspek', 'performanya', 'app', 'lemot', 'semoga', 'diperbaiki', 'depannya', 'salam', '']</t>
  </si>
  <si>
    <t>['aneh', 'habis', 'pulsa', 'isi', 'trrus', 'daftar', 'paket', 'internet', 'pulsa', 'msh', 'sisa', 'kesedot', 'kuota', 'udh', 'potong', 'pulsa', 'potong', 'kecewa', '']</t>
  </si>
  <si>
    <t>['tolong', 'kasih', 'fitur', 'kunci', 'pulsa', 'min', 'fiturnya', 'bintang', 'thanks']</t>
  </si>
  <si>
    <t>['kuota', 'unlimited', 'udh', 'kaya', 'unlimited', 'kecuali', 'youtube', 'macet', 'skr', 'doang', 'bun', 'lambat']</t>
  </si>
  <si>
    <t>['harga', 'mahal', 'kualitas', 'jelek', 'main', 'mobile', 'legend', 'sinyal', 'ilang', 'gimana', 'ribu', 'jelek', 'banget']</t>
  </si>
  <si>
    <t>['mengambil', 'paket', 'darurat', 'pulsa', 'sedot', 'mohonlah', 'operator', 'telkomsel', 'cari', 'uang', 'susah', 'sedot', 'gajelas']</t>
  </si>
  <si>
    <t>['dear', 'telkomsel', 'suka', 'ngaco', 'ajarin', 'custamer', 'servisnya', 'bicara', 'ayang', 'jujur', 'suka', 'bohong', 'kasi', 'promo', 'promonya', 'kartu', 'pelanggang', 'kartu', 'hallo', 'berenti', 'kartu', 'hallo', 'pindah', 'dasar', 'telkomsel', 'sukanya', 'bohong', '']</t>
  </si>
  <si>
    <t>['telkomsel', 'paket', 'gamemax', 'kwalitas', 'internetnya', 'buruk', 'didaerah', 'tinggalku', 'bermain', 'game', 'jaringan', 'internetnya', 'putus', 'nyambung', 'maksudnya', 'coba', 'disengaja', 'paket', 'dibeli', 'pakai', 'uang', 'lho', 'gratis', 'pengguna', 'kecewa', 'ping', 'game', 'buruk', 'diatas', 'ms', '']</t>
  </si>
  <si>
    <t>['gimana', 'ngomong', 'gini', 'nihh', 'youtube', 'nonton', 'lancar', 'nihh', 'game', 'urusan', 'donwload', 'ngebrowser', 'lemottttt', 'ampunmm', 'coba', 'deh', 'komen', 'pliss', 'fix']</t>
  </si>
  <si>
    <t>['kak', 'jaringan', 'telkomsel', 'daerah', 'hilang', 'kak', 'udah', 'sabtu', 'september', 'daerah', 'kelurahan', 'balai', 'raja', 'kecamatan', 'pinggir', 'kabupaten', 'bengkalis', 'provinsi', 'riau', 'camatan', 'kendala', 'jaringan', 'apapun', 'sabtu', 'kemarin', 'merasakan', 'jaringan', 'internet', 'bermasalah', 'garis', 'mohon', 'jawabannya', 'kakak']</t>
  </si>
  <si>
    <t>['simpati', 'jaringan', 'parah', 'parah', 'kapok', 'pulsa', 'darurat', 'kuota', 'gb', 'semenit', 'ilang', 'ngerugiin', 'orang', 'donk', 'parah']</t>
  </si>
  <si>
    <t>['sinyal', 'telkomsel', 'bagus', 'ganti', 'kartu', 'operator', 'dsni', '']</t>
  </si>
  <si>
    <t>['paket', 'mahal', 'jaringan', 'lol', 'balas', 'budi', 'telkomsel', 'paket', 'bayar', 'mahal', 'mahal', 'jaringan', 'eror']</t>
  </si>
  <si>
    <t>['pengaduan', 'modus', 'penipuan', 'efektif', 'maunya', 'cabang', 'grapari', 'langsung', '']</t>
  </si>
  <si>
    <t>['mohon', 'maaf', 'kasih', 'ranting', 'aplikasi', 'kartu', 'adik', 'oke', 'good', 'tpi', 'kartu', 'beda', 'mahal', 'mahal', 'tolong', 'diperbaiki', 'krna', 'sya', 'suka', 'pkai', 'aplikasi']</t>
  </si>
  <si>
    <t>['sisa', 'pulsa', 'sedot', 'srmuanya', 'kuota', 'internet', 'pulsanya', 'sedot', 'jugaa', 'emng', 'nabung', 'pulsa', 'telkomsel', 'yaa', 'pengunci', 'pulsanya', 'rugi', 'sisa', 'pulsa', 'beli', 'kuota', 'internet', 'respon', 'min', '']</t>
  </si>
  <si>
    <t>['sinyal', 'kadang', 'trs', '']</t>
  </si>
  <si>
    <t>['selebihnya', 'maaf', 'setia', 'penggunaan', 'telkomsel', 'tolong', 'sinyal', 'telkomsel', 'daerah', 'stabil', 'pasir', 'pinang', 'desa', 'kadu', 'payung', 'kec', 'menes', 'kab', 'pandeglang', 'prov', 'banten', 'tolong', 'bantuannya', 'terima', 'kasih']</t>
  </si>
  <si>
    <t>['nomor', 'telkomsel', 'mahal', 'yaa', 'temen', 'murah', 'murah', '']</t>
  </si>
  <si>
    <t>['pulsa', 'gua', 'ambil', 'kuota', 'pulsa', 'tetep', 'ambil', 'haram', 'emang', 'telkomsel', 'anjig', 'rugi', 'gua', 'beli', 'plsa', 'ambil']</t>
  </si>
  <si>
    <t>['telkomsel', 'error', 'tempatku', 'jaringan']</t>
  </si>
  <si>
    <t>['udah', 'bagus', 'diperbaiki', 'bug', 'membeli', 'paket', 'terkadang', 'pulsa', 'pas', 'membeli', 'paket', 'membeli', 'pulsa', '']</t>
  </si>
  <si>
    <t>['keliru', 'beli', 'paket', 'xtream', 'nggak', 'maksudnya', 'paket', 'data', 'internet', '']</t>
  </si>
  <si>
    <t>['telkomsel', 'sepayah', 'kuote', 'internet', 'pemakain', 'data', 'pulsa', 'reguler', 'hadeuuh', 'sayang', 'isi', 'pulsa', 'deh', 'udah', 'jaringan', 'lemot', 'pokoknya', 'payah', 'payah', 'payah']</t>
  </si>
  <si>
    <t>['kartuku', 'berusia', 'th', 'mohon', 'telkomsel', 'setia', 'diriku', 'padamu', 'kasih', 'promo', 'padaku', 'kartu', 'telkomsel', 'paket', 'murah', 'meriah', '']</t>
  </si>
  <si>
    <t>['keren', 'sayang', 'hadiah', 'tukar', 'point', 'veronika', 'ganti', 'simpotely', 'ajh']</t>
  </si>
  <si>
    <t>['review', 'koneksi', 'internet', 'respon', 'internet', 'lambat', 'nyambung', 'bro']</t>
  </si>
  <si>
    <t>['lancar', 'dibuka', 'bln', 'susah', 'black', 'screen', 'diulang', '']</t>
  </si>
  <si>
    <t>['buruk', 'mati', 'ulang', 'lambat', 'berputar', 'putar', 'pdhl', 'praktis', 'skrg', 'ceritanya', 'pakai', 'aplikasi', 'menghambat']</t>
  </si>
  <si>
    <t>['kouta', 'game', 'kouta', 'utama', 'habis', 'kecepatan', 'sinyal', 'game', 'turun', 'derastis', '']</t>
  </si>
  <si>
    <t>['nga', 'banggakan', 'sinyal', 'internetnya', 'lemot', 'sejagat', 'kecepatannya', 'telkomsel', 'berbenah', 'spy', 'pindah', 'sebelah', '']</t>
  </si>
  <si>
    <t>['harga', 'kualitas', 'mahal', 'lihat', 'total', 'hati', 'kuota', 'utama', 'kawan', 'kqlau', 'kuota', 'utama', 'habis', 'dijamin', 'chating', 'wkwkww', 'unlimitidnya', 'sabar', 'unlimited', '']</t>
  </si>
  <si>
    <t>['masuk', 'aplikasi', 'telkomsel', 'pas', 'habis', 'diperbarui', 'tolong', 'diperbaiki']</t>
  </si>
  <si>
    <t>['telkomsel', 'sinyal', 'kuat', 'promo', 'pelayanan', 'perbaiki', 'spy', 'kebanggaan', 'pengguna']</t>
  </si>
  <si>
    <t>['halah', 'taaii', 'harga', 'duit', 'mna', 'promo', 'promo', 'dibatasi', 'unlimited', 'tpi', 'batasan', 'unlimited', 'gblk']</t>
  </si>
  <si>
    <t>['tolong', 'paketan', 'mahal', 'kerena', 'aplikasinya', 'bagus', 'bnyak', 'membantu']</t>
  </si>
  <si>
    <t>['beli', 'kuota', 'belajar', 'nomor', 'menu']</t>
  </si>
  <si>
    <t>['telkomsel', 'gimanaaaa', 'kemarin', 'isi', 'ulang', 'pulsa', 'trus', 'cek', 'tinggal', 'rupiahh', 'tolong', 'gimana', 'kejelasannya', 'rugi', 'ribu', 'uang', 'tujuan', 'beli', 'pulsa', 'mengklaim', 'kuota', 'gratis', 'gini', 'gimanaaaa', 'iya', 'beli', 'beli', 'pulsa', 'banget', 'tolong', 'banget', 'anjerrrrr', 'allah', 'emosi', 'pagi', 'pagi', 'gara', 'telkomsel']</t>
  </si>
  <si>
    <t>['program', 'daily', 'check', 'poin', 'hapus', 'klaim', 'hadiah', 'gimana']</t>
  </si>
  <si>
    <t>['gimana', 'masuk', 'kode', 'link', 'kirim', 'kirim', 'ikuti', 'petunjuk', 'kirim']</t>
  </si>
  <si>
    <t>['aplikasi', 'kali', 'selesai', 'buka', 'aplikasi', 'notifikasi', 'aplikasi', 'telkomsel', 'memakai', 'daya']</t>
  </si>
  <si>
    <t>['telkomsel', 'jaringan', 'koq', 'karuan', 'paket', 'mahal', 'jaringan', 'delay', 'seri', 'banget', 'payah']</t>
  </si>
  <si>
    <t>['aplikasinya', 'telkomsel', 'sebulan', 'update', 'menjengkelkan', 'knpa', 'aplikasi', 'fanatik', 'update']</t>
  </si>
  <si>
    <t>['opsi', 'pilihan', 'paket', 'internet', 'berubah', 'ubah', 'masuk', 'akal', 'promo', 'menarik', 'maaf', 'kasih', 'bintang', 'buatlah', 'menarik', 'opsi', 'terbelit', 'belit', 'teabaikan', '']</t>
  </si>
  <si>
    <t>['jaringan', 'buruk', 'harga', 'mahal', 'udah', 'pakek', 'special', 'gitu', 'pelanggan', 'harga', 'sebanding', 'kualitas', '']</t>
  </si>
  <si>
    <t>['coba', 'menu', 'kontrol', 'pulsa', 'myxl', 'khawatir', 'pulsa', 'terpotong', 'data', 'paket', 'data', 'udah', 'abis', 'pilihan', 'paket', 'beda', 'kartu', 'terkesan', 'pilih', 'pilih', '']</t>
  </si>
  <si>
    <t>['tolong', 'pisahin', 'pulsa', 'ama', 'kuota', 'kayak', 'cmn', 'hitungan', 'menit', 'pulsa', 'kesedot', 'lupa', 'matikan', 'data', 'kuotanya', 'habis', '']</t>
  </si>
  <si>
    <t>['temen', 'beli', 'kartu', 'telkomsel', 'sekarag', 'tlkomsel', 'sinting', 'game', 'jaringan', 'jellek', 'bngt', 'emosi', 'bnget', 'paket', 'game', 'max', 'main', 'game', 'gmana', '']</t>
  </si>
  <si>
    <t>['kesini', 'harga', 'paketan', 'mahal', 'kalopun', 'diskon', 'krg', 'membantu', 'jaringan', 'eror', 'brada', 'jakarta', 'jogja', 'skali', 'sinyal', 'pdhl', 'bkn', 'pdlman', 'provider', 'terkenal', 'plg', 'mahal', 'kualitas', 'jaringan', 'smakin', 'menurun', 'tolong', 'perbaiki', 'terimakasih']</t>
  </si>
  <si>
    <t>['min', 'tambahin', 'fitur', 'pulsa', 'lock', 'lupa', 'kouta', 'pulsa', 'ngehidupin', 'data', 'seluler', 'terpakai', 'pulsanya', '']</t>
  </si>
  <si>
    <t>['suka', 'aplikasi', 'komplain', 'kuota', 'internet', 'memiliki', 'tenggat', 'tenggat', 'didahulukan', 'mohon', 'komplain', 'ditanggapi', 'terimakasih', '']</t>
  </si>
  <si>
    <t>['ngentod', 'kartu', 'suka', 'ngeleg', 'mendadak', 'gara', 'kalah', 'tour', 'ajng', 'ganti', 'rugi', 'kartu']</t>
  </si>
  <si>
    <t>['kasih', 'bintang', 'karna', 'kecewa', 'dikarnakan', 'jaringan', 'internet', 'jaringan', 'sibuk', 'coba', 'hapus', 'bintang', 'jaringan', 'internet', 'khusus', 'kartu', 'telkomsel', 'suka', 'sedot', 'pulsa', 'pemberitahuan', 'penjelasan', 'kenaa', 'pulsa', 'sedot', 'terima', 'kasih']</t>
  </si>
  <si>
    <t>['mantab', 'beli', 'paket', 'mahal', 'mahal', 'jaringan', 'full', 'maen', 'game', 'ngelag', 'cok', 'cok', 'asuu', '']</t>
  </si>
  <si>
    <t>['sumpah', 'gajelas', 'kuota', 'gb', 'buka', 'tiktok', 'pulsa', 'kesedot', 'internet', 'pas', 'main', 'game', 'pulsa', 'ribu', 'tinggal', 'ribu', 'telkomsel', 'eror', '']</t>
  </si>
  <si>
    <t>['simpati', 'the', 'best', 'telecomunication', 'the', 'world', 'trimakasih', 'telkomsel', 'kemudahan', 'berkomunikasi', 'sahabat', 'orang', 'tua', 'kerabat', 'thnks', 'very', 'much', 'telkomsel', 'smoga', 'terbaik', 'mata', 'dunia']</t>
  </si>
  <si>
    <t>['jaringan', 'telkomsel', 'jelek', 'kecewa']</t>
  </si>
  <si>
    <t>['aneh', 'kuota', 'aktifny', 'lgi', 'kptong', 'dluan', 'kuota', 'msa', 'aktifny', 'tinggl', 'hri', 'mlh', 'kpotong', 'mubadzir', 'bngt', 'kuota', 'gbny']</t>
  </si>
  <si>
    <t>['please', 'telkomsel', 'menjual', 'paket', 'telkomsel', 'menjebak', 'terperinci', 'paket', 'aplikasi', 'tertipu', '']</t>
  </si>
  <si>
    <t>['tolong', 'beritahu', 'alasannya', 'paket', 'habis', 'automatis', 'dialihkan', 'pulsa', 'tolong', 'dipindahkan', 'pulsa', 'user', 'pelanggan', 'kadang', 'betah', 'menyimpan', 'pulsa', 'kebutuhan', 'mendadak', 'tolong', 'direspon', 'terima', 'kasih']</t>
  </si>
  <si>
    <t>['app', 'cari', 'duit', 'kualitas', 'sampah', 'iklan', 'berguna', 'kuota', 'internet', 'internet', 'sampah', 'nonton', 'sayang', 'ngin', 'kuota', 'kedepan', 'bukanya', 'muda', 'kedepan', 'ribet', '']</t>
  </si>
  <si>
    <t>['keluhan', 'kuota', 'kepakai', 'dibanding', 'kuota', 'habis', 'aktifnya', 'tinggal', 'terima', 'kasih', '']</t>
  </si>
  <si>
    <t>['jaringan', 'telkomsel', 'rumah', 'parah', 'lemot', 'kab', 'puluh', 'kota', 'payakumbuh', 'sumatera', 'barat', 'semoga', 'kualitas', 'jaringan', 'ditingkatkan']</t>
  </si>
  <si>
    <t>['aplikasi', 'telkomsel', 'jelek', 'kemarin', 'paket', 'seharga', 'isi', 'ulang', 'hilang', 'kecewa', 'banget', 'sia', 'isi', 'ulang', 'pulsa', 'telkomsel']</t>
  </si>
  <si>
    <t>['harga', 'kualitas', 'pelayanan', 'teklomsel', 'memuaskan', 'disamping', 'harganya', 'mahal', 'kualitas', 'sinyal', 'internetnya', 'buruk', 'down']</t>
  </si>
  <si>
    <t>['telkomsel', 'terdepan', 'urusan', 'sinyal', 'bentuknya', 'sperti', 'sabun', 'balok', 'antena', 'serba', 'touch', 'pindah', 'kartu', 'hati', 'murah', 'bnyak', 'berkualitas', 'kartu', 'merah', 'telkomsel']</t>
  </si>
  <si>
    <t>['mengecewakan', 'jaringan', 'lelet', 'lampu', 'padam', 'jaringan', 'hilang', 'lemah', 'emang']</t>
  </si>
  <si>
    <t>['tolong', 'perbaiki', 'jaringan', 'kouta', 'jaringan', 'buruk', 'makan', 'kouta', 'kebuang']</t>
  </si>
  <si>
    <t>['lubuk', 'kab', 'siak', 'prov', 'riau', 'mantap', 'kali', 'jaringan', 'provider', 'sumpahhh', 'udah', 'paket', 'mahal', 'jaringan', 'kalah', 'smartfren', 'malu', '']</t>
  </si>
  <si>
    <t>['sumpah', 'kecewa', 'program', 'telkomsel', 'mengubah', 'kartu', 'kartu', 'halo', 'dimana', 'berhutang', 'dibayar', 'kartu', 'mati', 'hentikan', 'sistem', 'kartu', 'halo', 'kartu', 'mati', 'sumpah', 'nggak', 'suka', 'banget', 'mohon', 'dikembalikan']</t>
  </si>
  <si>
    <t>['', 'telkomsel', 'lamakelamaan', 'kecewa', 'pelayan', 'telkomsel', 'sinyal', 'hilang', 'kuota', 'gabisa', 'dipakai', 'point', 'telkomsel', 'hangus', 'hilang', 'pemakaian', 'diatas', 'juta', 'galagi', 'deh', 'telkomsel', 'bye']</t>
  </si>
  <si>
    <t>['kesini', 'lemot', 'mulu', 'sinyal', 'berkembang', 'menurun', 'sinyal', 'serasa', 'mah', 'hujan', 'parah', 'bet']</t>
  </si>
  <si>
    <t>['telkomsel', 'kaya', 'binatang', 'jaringan', 'kadang', 'kadang', 'hilang', 'darah']</t>
  </si>
  <si>
    <t>['refund', 'pulsa', 'proses', 'tanggapan', 'tindak']</t>
  </si>
  <si>
    <t>['', 'akun', 'telkomsel', 'paket', 'combo', 'sakti', 'kartu', 'satunya', 'direkomendasikan', 'coba', 'direkomendasikan', 'combo', 'sakti', '']</t>
  </si>
  <si>
    <t>['internet', 'telkomsel', 'lemot', 'dirugikan', 'kuota', 'unlimited', 'sepenuhnya']</t>
  </si>
  <si>
    <t>['sinyal', 'telkomsel', 'daerah', 'jelek', 'busuuk', 'bnyak', 'game', 'ngeleg']</t>
  </si>
  <si>
    <t>['maaf', 'maaf', 'telkomsel', 'kesinii', 'makinn', 'lemootttt', 'nauzubillah', 'kuotaku', 'gb', 'lemoootttnya', 'mintaa', 'ampunn', 'buka', 'gabisaa', 'kirim', 'pesan', 'pending', 'melulu', 'gimana', 'harga', 'sesuai', 'kualitas', '']</t>
  </si>
  <si>
    <t>['kasih', 'bintang', 'karna', 'sinyal', 'gangguan', 'trs', 'maunya', 'gimana']</t>
  </si>
  <si>
    <t>['bangke', 'bangke', 'beli', 'paket', 'games', 'jalan', 'dipake', 'sialan', 'sinyal', 'ilang', 'ilangan', 'kntl']</t>
  </si>
  <si>
    <t>['pelanggan', 'telkomsel', 'tolong', 'paket', 'internet', 'lokal', 'ganti', 'internet', 'utama', 'kota', 'kasih', 'bintang', 'ganti', 'internet', 'utama', 'kuota', 'lokal']</t>
  </si>
  <si>
    <t>['mahal', 'sinyal', 'jelek', 'pakai', 'mengecewakan', 'bsk', 'ganti', 'provider']</t>
  </si>
  <si>
    <t>['min', 'sinyalnya', 'bagus', 'sekrang', 'sinyalnya', 'kesel', 'internetan', 'mengklaim', 'sinyal', 'nomer', 'kenyataannya', 'sinyalnya', 'buruk', 'min', 'tolong', 'cek', 'lapangan', 'mengklaim', 'doang', '']</t>
  </si>
  <si>
    <t>['sinyal', 'kalah', 'skrg', 'berkualitas', 'telkomxxx', 'kalah', 'provider', '']</t>
  </si>
  <si>
    <t>['kecewa', 'banget', 'telkomsel', 'paket', 'mahal', 'sinyal', 'kaya', 'siput', 'paket', 'nelfon', 'rb', 'perbulan', 'gnti', 'mahall', 'kecewa', 'banget', 'pelanggan', 'setia', 'rencana', 'beli', 'prdana', 'telkomsel', 'dehh', '']</t>
  </si>
  <si>
    <t>['pembelian', 'kuota', 'apk', 'lemot', 'knp', 'klaim', 'hadiah', 'check', 'mesti', 'pulsa', 'pulsa', 'ngerti', 'ngerti', 'habis', 'terpaksa', 'beli', 'pulsa', 'tolong', 'perbaiki', 'pas', 'beli', 'kuota', 'apk', 'langsung', 'cepet', 'respon']</t>
  </si>
  <si>
    <t>['telkomsel', 'kendoooooooor', 'lemot', 'terdepan', 'menjelang', 'malam', 'sinyal', 'ancur', 'lebur', 'telkomsel', 'mengecewakan', '']</t>
  </si>
  <si>
    <t>['hilang', 'jaringannya', 'emosi', 'laporan', 'bot', 'solusi']</t>
  </si>
  <si>
    <t>['telkomsel', 'ampas', 'mengsedihkan', 'jaringan', 'stabil', 'mahal', 'doang', 'kesel', 'gitu', 'maen', 'game', 'live', 'strem', 'stabil', 'kacau', 'telkomsel', 'kacau', 'terimakasih', '']</t>
  </si>
  <si>
    <t>['telkomsel', 'sinyal', 'susah', 'tolong', 'perbaiki', 'paket', 'beli', 'tolong', 'perbaiki', '']</t>
  </si>
  <si>
    <t>['tolong', 'diperbaiki', 'tower', 'daerah', 'kec', 'mantewe', 'kab', 'tanah', 'bumbu', 'prov', 'kalsel', 'towernya', 'kena', 'petir', 'kayanya', 'bosok', 'bngt', 'sinyalny', 'negara', 'busuk', 'gni']</t>
  </si>
  <si>
    <t>['ampun', 'sinyal', 'parah', 'telkomsel', 'jakarta', 'pasar', 'induk', 'jakarta', 'timur', 'sinyal', 'internetnya', 'susah', 'hujan', 'mati', 'lampu', 'lihat', 'youtube', 'susah', '']</t>
  </si>
  <si>
    <t>['operqtor', 'terhormat', 'tolong', 'perbaiki', 'maksimal', 'performa', 'daerah', 'kudus', 'kembangkan', 'daerah', 'pro', 'max', 'jatuh', 'coba', 'bayangin', 'main', 'game', 'tolongggg', 'lahhhh', 'lag', 'lag', 'lag', 'terusss', 'woi', 'telkommmmmmmmmmmm', 'plisss', 'deh', 'perbaiki']</t>
  </si>
  <si>
    <t>['', 'babi', 'tambahin', 'kabel', 'jaringan', 'desa', 'ngaku', 'internet', 'tercepat', 'dunia', 'babi', 'internet', 'udh', 'kaya', 'siput', 'lambat', 'suka', 'blacklist', 'ajh', 'kartu', 'suka']</t>
  </si>
  <si>
    <t>['kadang', 'lemot', 'promo', 'bagus', 'data', 'roll', 'over', 'terpakai', 'penuh']</t>
  </si>
  <si>
    <t>['aduh', 'beli', 'mahal', 'mahal', 'tawaran', 'unlimited', 'sengaja', 'skrg', 'signalnya', 'susah', 'banget', 'beli', 'paket', 'mahal', 'buka', 'whatsapp', 'web', 'laptop', 'susahnya', 'ampun']</t>
  </si>
  <si>
    <t>['bagus', 'napa', 'liat', 'kebawah', 'tinggiiiiiiiiiiiiiiiiiiiii']</t>
  </si>
  <si>
    <t>['mahal', 'banget', 'quotanya', 'udah', 'kartu', 'promo', 'udah', 'mahal', 'sinyal', 'masi', 'turun']</t>
  </si>
  <si>
    <t>['mengeluhkan', 'jaringan', 'oprator', 'bermain', 'game', 'online', 'jaringan', 'memuaskan', 'bermain', 'game', 'jaringan', 'normal', 'maksudnya', 'gmn', '']</t>
  </si>
  <si>
    <t>['dear', 'admin', 'kecewa', 'jaringan', 'telkomsel', 'sinyalnya', 'sekencang', 'dlu', 'seminggu', 'sinyal', 'dsini', 'buruk', 'bagus', 'banget', 'tpi', 'skrang', 'buruk', 'bngen', 'tlong', 'perbaiki', 'jaringannya', 'bagus', 'dri', 'skrang', 'dri', 'dlu']</t>
  </si>
  <si>
    <t>['provider', 'terbusuk', 'utang', 'ganti', 'kuota', 'mahal', 'sesuai', 'kualitas', 'jaringan', 'buruk', '']</t>
  </si>
  <si>
    <t>['uda', 'lumayan', 'bagus', 'skrg', 'terima', 'kasih', 'telkomsel', 'promo', 'data', 'murah', 'donk', 'hehehehe']</t>
  </si>
  <si>
    <t>['sinyalnya', 'bagus', 'lemot', 'hujan']</t>
  </si>
  <si>
    <t>['seharuanya', 'akses', 'telkomsel', 'pakai', 'paket', 'data', 'beli', 'paket', 'kehilangan', 'pulsa']</t>
  </si>
  <si>
    <t>['jujur', 'penggemar', 'telkomsel', 'lupa', 'isi', 'pulsa', 'masuk', 'tenggang', 'alihkan', 'kartu', 'halo', 'karna', 'sayang', 'nomernya', 'beralih', 'kartu', 'halo', 'kartu', 'halo', 'nggak', 'seindah', 'bayangkan', 'udah', 'paketan', 'mahal', 'banding', 'kartu', 'prabayar', 'gitu', 'serba', 'persulit', 'nggak', 'aktifkan', 'banking', 'karna', 'nggak', 'sms', 'premium', 'limit', 'nunggu', 'nonaktifkan', 'halo', 'nunggu', 'mengecewakan', '']</t>
  </si>
  <si>
    <t>['kuota', 'mahal', 'sinyal', 'gajelas', 'paket', 'dibagi', 'gajelas', 'gabiasa', 'memuaskan', 'penggunanya', 'milih', 'update', 'sinyal', 'palsu', 'udah', 'kuota', 'mahal', 'mendingan', 'pindah', 'tri', 'udah', 'murah', 'kecepatan', 'internet', 'telkomnyet', 'mending', 'hapus', 'telkomnyet']</t>
  </si>
  <si>
    <t>['aplikasi', 'kerennnnnnnnnnnnnnnnnnnnnnnnnnnnnnnnnnnnnnnnnnnnnnnnnnnmnnnnnnnnnnnnnnnnnnnnnnnnnnnnnnnnnnnnnnnnnnnnnnnnnnnnnnnnnmnnnnnnnnnnnnnnnnnnnnnnnnnnnnnnnnnnnnnnnnnnnnnnnnnnnnnnnnnmnnnnnnn']</t>
  </si>
  <si>
    <t>['tolong', 'kasih', 'paket', 'game', 'game', 'call', 'duty', 'mobile', 'habis', 'beli', 'paket', 'internet', 'paket', 'game']</t>
  </si>
  <si>
    <t>['mohon', 'maaf', 'rating', 'sya', 'turun', 'jaringan', 'lemot', 'area', 'jambi', 'ntah', 'lemot', 'kecewa', 'bertahun', 'telkomsel', 'kondisi', 'melirik', 'kesebelah', 'harga', 'murah', 'kualitas', 'jaringan', '']</t>
  </si>
  <si>
    <t>['kesini', 'jelek', 'sebanding', 'harga', 'paket', 'ngasih', 'ulasan', 'kesabaran', 'habis', 'sinyal', 'jelek', 'banget', 'tolong', 'perbaiki', 'mengganti', 'kartu', 'terima', 'kasih']</t>
  </si>
  <si>
    <t>['paket', 'data', 'pulsa', 'dipotong', 'telkomsel', 'kembalikan', 'pulsa', 'woooy', 'merugikan', 'telkomsel', '']</t>
  </si>
  <si>
    <t>['telkomsel', 'daerah', 'purwakarta', 'jawa', 'barat', 'jaringannya', 'lemot', 'bagus', 'kuota', 'tolong', 'perbaiki', 'susah', 'internet', 'pindah', '']</t>
  </si>
  <si>
    <t>['apk', 'bagus', 'parah', 'beguna', 'beli', 'paket', 'isi', 'pas', 'cek', 'besok', 'ilang', 'buka', 'apk', 'telkomsel', 'gini', 'harap', 'cari', 'provider', 'dahlah', 'pulsa', 'isi', 'ilang', '']</t>
  </si>
  <si>
    <t>['kwalitas', 'tinggal', 'jelek', 'dibanding', 'operator', 'mesti', 'telkomsel', 'mkn', 'mkinturun', 'kwalitas', 'signal']</t>
  </si>
  <si>
    <t>['telkomsel', 'udah', 'beda', 'unlimited', 'sosmed', 'lancar', 'kerasa', 'tipu', 'kuota', 'utama', 'abis', 'yaudah', 'lemot', 'kuota']</t>
  </si>
  <si>
    <t>['menukarkan', 'poin', 'kupon', 'undian', 'kupon', 'pemberitahuan', 'kupon', 'jam', 'tertipu', 'sinyal', 'telkomsel', 'buruk', 'sinyal', 'busuk']</t>
  </si>
  <si>
    <t>['kesni', 'jaringan', 'wifi', 'indihome', 'lemot', 'banget', 'stremaing', 'youtube', 'susah', 'banget', 'internetan', 'mohon', 'perbaikin', '']</t>
  </si>
  <si>
    <t>['paket', 'ceria', 'berlaku', 'tanggal']</t>
  </si>
  <si>
    <t>['telkomsel', 'kesini', 'buruk', 'sinyal', 'lemotnya', 'ampun', 'balasan', 'ulasan', 'disuruh', 'hubungi', 'diperbaiki', 'sistemnya', 'anjlok']</t>
  </si>
  <si>
    <t>['', 'pakai', 'paket', 'sesuai', 'kebutuhan', 'paket', 'dihapus', 'diarahkan', 'beli', 'paket', 'kuotanya', 'dibutuhkan', 'parah', '']</t>
  </si>
  <si>
    <t>['tolong', 'min', 'tambahin', 'fitur', 'pulsa', 'safe', 'kayak', 'provider', 'sebelah', 'masak', 'kuota', 'habis', 'trs', 'motong', 'pulsa', 'udah', 'kepotong', 'pulsa', 'sinyal', 'lemot', 'ping', 'maen', 'game', 'jelek', 'mohon', 'ditindak', 'lanjuti', 'min', 'sekian', '']</t>
  </si>
  <si>
    <t>['jaringan', 'telkomasel', 'game', 'buruk', 'kuota', 'mahal', 'banget', 'rugi', 'pokoknya']</t>
  </si>
  <si>
    <t>['kuota', 'mahal', 'sesuai', 'jaringan', 'jaringan', 'telkomsel', 'tolong', 'perbagus']</t>
  </si>
  <si>
    <t>['kuota', 'pulsa', 'pas', 'nyalain', 'data', 'pulsanya', 'sedot', 'yaa', '']</t>
  </si>
  <si>
    <t>['operator', 'licik', 'suka', 'maling', 'pulsa', 'suka', 'penipu', 'nelpon', 'live', 'streaming']</t>
  </si>
  <si>
    <t>['aplikasi', 'jelek', 'kali', 'mendukung', 'awokwokwowkwk', 'lancar', 'emng', 'signal', 'buruk', 'karna', 'cuaca', 'maklum', 'paketannya', 'dikit', 'expensive', 'over', 'all', 'good', 'banding', 'oprator', 'mantap', 'telkomsel']</t>
  </si>
  <si>
    <t>['membantu', 'jaringan', 'kuat', '']</t>
  </si>
  <si>
    <t>['telkomsel', 'mengecewakan', 'sinya', 'buruk', 'pelanggan', 'setia', 'kali', 'gangguan', 'jaringan', 'sangaaaatttttt', 'burukkkkkkkkkkkk']</t>
  </si>
  <si>
    <t>['apk', 'bagus', 'mengerti', 'poin', 'membeli', 'pulsa', 'kuota', 'poin', '']</t>
  </si>
  <si>
    <t>['', 'udh', 'sinyal', 'telkomsel', 'jelek', 'parah', 'udh', 'sekian', 'masuk', 'app', 'susah', 'sinyal', 'jelek', 'emang', 'bener', 'jelek', 'telkomsel', 'gimana', 'kaya', 'bangkrut', 'padajhal', 'pemakai', 'org']</t>
  </si>
  <si>
    <t>['jelek', 'banget', 'jaringan', 'ngeleg', 'kadang', 'main', 'game', 'langsung', 'putus', 'sinyal', 'suka', 'banget', 'ngeblank', 'sinyal', 'harga', 'sesuai', 'kenyamanan', 'konsumen', 'tolong', 'diperbaiki', 'konsumen', 'pindah', 'provider', '']</t>
  </si>
  <si>
    <t>['fitur', 'lock', 'pulsa', 'kehabisan', 'kuota', 'langsung', 'nyedot', 'pulsa', '']</t>
  </si>
  <si>
    <t>['sinyal', 'telkomsel', 'buruk', 'masak', 'beli', 'paket', 'omg', 'seharga', 'buka', 'aplikasi', 'telkomsel', 'ngak', 'itumasak', 'tukar', 'poin', 'mendingan', 'beli', 'paket', 'unlimited', 'jembut']</t>
  </si>
  <si>
    <t>['telkomsel', 'tolong', 'harga', 'internetnya', 'diturunin', 'mahal', 'mahal', 'rakyat', 'terkaya', 'tinggalnya', 'terpencil', 'kota', 'impian', 'kesusahan', 'coba', 'kartu', 'perdana', 'kaya', 'smart', 'frent', 'emtree', 'itukan', 'bonusnya', 'murah', 'harganya', 'memakai', 'kartu', 'susah', 'sinyal', 'sinyal', 'telkomsel', 'satunya', 'mahalnya', 'rakyat', 'miskin', 'meras', 'kantong', 'nomor', 'promo', '']</t>
  </si>
  <si>
    <t>['tolong', 'sinyalnya', 'stabilkan', 'tingkatkan', 'turun', 'performa', '']</t>
  </si>
  <si>
    <t>['paket', 'pembelian', 'internet', 'beli', 'terbayar', 'kali', 'bertransaksi', 'kali', '']</t>
  </si>
  <si>
    <t>['mengapresiasi', 'telkomsel', 'mengakui', 'puas', 'kepercayaan', 'telkomsel', 'menurun', 'kemarin', 'tawaran', 'kartu', 'diimigrasikan', 'berlangganan', 'kuota', 'otomatis', 'setujui', 'bersedia', 'menunggu', 'minggu', 'pemberitahuan', 'coba', 'hub', 'kartu', 'diimigrasikan', 'disitu', 'kekecewaan', 'muncul', 'minggu', 'membuang', 'menunggu', '']</t>
  </si>
  <si>
    <t>['sinyal', 'jelek', 'paketan', 'mahal', 'harganya', 'pokoknya', 'tolong', 'diperbaiki', 'admin', 'pokoknya', 'telkomsel', 'jelek', 'banget', 'sinyalnya', '']</t>
  </si>
  <si>
    <t>['provider', 'kaga', 'harga', 'mahal', 'kwalitas', 'murahan', 'untung', 'beralih', '']</t>
  </si>
  <si>
    <t>['hai', 'telkomsel', 'knpa', 'lemot', 'pdhal', 'awl', 'lncar', 'bgtss', 'skrg', 'knpa', 'lemot', 'syekali', 'kuota', 'msih', 'byk', 'msa', 'aktv', 'kuota', 'msih', 'lma', 'tpi', 'knpa', 'lemot', 'bwt', 'nnton', 'sosmed', 'loading', 'muter', 'bkin', 'nyaman', 'tolong', 'donk', 'telkomsel', 'solusi', 'konsumen', 'kabur', 'mkasih', '']</t>
  </si>
  <si>
    <t>['poin', 'tukar', 'kli', 'perbulan', 'poin', 'udah', 'poin']</t>
  </si>
  <si>
    <t>['paket', 'internet', 'sisa', 'pulsa', 'berkurang', 'sisa', 'pulsa', 'seminggu', 'habis', 'krg', 'profesional', 'operator', 'telkomsel', '']</t>
  </si>
  <si>
    <t>['mohon', 'maaf', 'kecewa', 'jaringan', 'telkomsel', 'gangguan', 'koneksinya', 'stabil', 'buruk', 'sampe', 'telkomsel', 'providers', 'menawarkan', 'harga', 'telkomsel', 'jaringan', 'stabil', 'heran', 'berpindah', 'providers']</t>
  </si>
  <si>
    <t>['paketan', 'mahal', 'sinyal', 'lemot', 'mesti', 'cadangan', 'kartu', 'provider', '']</t>
  </si>
  <si>
    <t>['undian', 'telkomsel', 'point', 'bneran', 'nggak', 'dapet', 'poin', 'pertaruhkan', 'poin', '']</t>
  </si>
  <si>
    <t>['apps', 'lumayan', 'lengkap', 'sayang', 'kesini', 'kestabilan', 'internet', 'buruk', 'mohon', 'diperhatikan', 'koneksi', 'stabil', 'telkomsel', 'salah', 'provider', 'terlama', 'terbesar', 'indonesia', 'kalah', 'provider', 'muda', 'murah', '']</t>
  </si>
  <si>
    <t>['pengelompokan', 'paket', 'kuota', 'beda', 'nomer', 'beda', 'perlakuan', 'maksudnya', 'konsisten', 'segmennya', 'beda', 'pelanggan', 'dikeluarga', 'orang', 'pakai', 'telkomsel', 'paketan', 'sediakan', 'beda', 'bisnisnya', 'koq', 'dibtambah', 'kelihan', 'jaringan', 'lemot', 'upload', 'sebanding', 'download', 'aneh', 'telkomsel', 'mengelompokkan', 'bgini', 'banggakan', 'provider', 'bumn', 'paham', '']</t>
  </si>
  <si>
    <t>['pemula', 'bintang', 'uda', 'meliat', 'isi', 'aplikasi', 'bagus', 'kasi', 'full', 'bintang', '']</t>
  </si>
  <si>
    <t>['iya', 'amiin', 'semoga', 'telkomsel', 'terbaik', 'pengguna']</t>
  </si>
  <si>
    <t>['', 'beli', 'pulsa', 'nelpon', 'beli', 'paket', 'kuota', 'pulsa', 'habis', 'pulsa', 'rampok', '']</t>
  </si>
  <si>
    <t>['udah', 'telkomsel', 'bagus', 'ngelunjak', 'kuota', 'pulsa', 'dipake', 'jaringan', 'lag', 'pulsa', 'kesedot', '']</t>
  </si>
  <si>
    <t>['sya', 'seneng', 'pakek', 'telkomsel', 'mohon', 'tingkat', 'sinyal', 'karna', 'sinyal', 'daerah', 'sya', 'lemot', 'terimah', 'kasih']</t>
  </si>
  <si>
    <t>['jaringan', 'sampahhh', 'kota', 'kaya', 'kebon', 'benerin', 'koneksi', 'deket', 'rel', 'kedaton', 'bandar', 'lampung', 'gua', 'ganti', 'bintang', '']</t>
  </si>
  <si>
    <t>['alhamdulillah', 'gabung', 'semoga', 'hadiahnya', 'aamiin', 'rabb', '']</t>
  </si>
  <si>
    <t>['pelanggan', 'kecewa', 'mahal', 'beli', 'paket', 'dipakai', 'puas', 'karna', 'jaringan', 'internet', 'gangguan', 'tolong', 'provider', 'memperhatikan', 'kepuasan', 'pelanggan', 'terimakasih']</t>
  </si>
  <si>
    <t>['bagus', 'suka', 'telkomsel', 'promo', 'pilihan', 'jaringanya', 'bagus', '']</t>
  </si>
  <si>
    <t>['membuatmu', 'komentar', 'baca', 'intinya', 'keluhan', 'mngkin', 'smoga', 'pulih', 'terimakasih']</t>
  </si>
  <si>
    <t>['notif', 'notif', 'aplikasi', 'isinya', 'promo', 'mytelkomsel', 'pas', 'dibuka', 'kosong', 'paket', 'tersedia', 'nglawak', 'gimana', 'notifnya', 'jarang', 'gpp', 'muncul', 'pas', 'dibuka', 'zonk', 'parah', 'kaya', '']</t>
  </si>
  <si>
    <t>['maaf', 'kasih', 'bintang', 'telkomsel', 'kebanyak', 'ganguan', 'tolong', 'perbaiki', 'secepatnya', 'pelanggan', 'setia', 'telkomsel', 'kabur', 'operator']</t>
  </si>
  <si>
    <t>['ratingnya', 'jelek', 'banget', 'kirain', 'rugi', 'pakai', 'app', 'orang', 'merasakan', 'udah', 'terhitung', 'pulsa', 'tersedot', 'habis', 'udah', 'habis', 'dinfokan', 'pelajaran', 'kali', 'mohon', 'hati', 'pulsa', 'pakai', 'belanja', 'kek', 'hasilnya', 'disisakan', 'ntar', 'kesedot']</t>
  </si>
  <si>
    <t>['puas', 'layanan', 'telkomsel', 'jaringan', 'lambat', 'kesel']</t>
  </si>
  <si>
    <t>['kecewa', 'menghentikan', 'langgan', 'desney', 'hostar', 'beli', 'pulsa', 'langsung', 'otomatis', 'berlangganan', 'coba', 'unreg']</t>
  </si>
  <si>
    <t>['', 'dagang', 'keliing', 'pasar', 'desa', 'desa', 'pelosok', 'pakai', 'sim', 'provider', 'kecewa', 'udah', 'masuk', 'desa', 'pelosok', 'jaringan', 'tersedia', 'tersedia', 'penuh', 'simpati', 'kuatir', 'terkendala', 'sinyal', 'menelpon', 'ditelpon', 'pelanggan']</t>
  </si>
  <si>
    <t>['bagus', 'bagus', 'gratisan', 'kuota', 'isi', 'pulsa', 'tetep', 'kuota', 'belajar', 'sayang', 'kuota', 'gratisnya']</t>
  </si>
  <si>
    <t>['tolong', 'min', 'jaringan', 'mati', 'lampu', 'sinyal', 'eror', 'tolong', 'penjelasanya', '']</t>
  </si>
  <si>
    <t>['kuota', 'cepat', 'habis', 'sinyal', 'kayak', 'keong', 'mahal', 'bagusnya', 'lol', 'daerah', 'bojong', 'gede', 'buruk', 'sinyal', 'telkomsel', 'pakai', 'provider', 'ganti', 'kartu']</t>
  </si>
  <si>
    <t>['admin', 'telkomsel', 'tolong', 'banget', 'sinyal', 'bagusin', 'karna', 'mengganggu', 'aktivitas']</t>
  </si>
  <si>
    <t>['jujur', 'kecewa', 'paket', 'unlimited', 'nyaman', 'memakai', 'pket', 'batas', 'kecepatan', 'kbps', 'tolong', 'jadiin', 'kaya', 'batas', 'wajr', '']</t>
  </si>
  <si>
    <t>['telkomsel', 'unternetnya', 'engak', 'cepat', 'disaat', 'kirim', 'laporan', 'terbengkalai', 'karna', 'lelet', 'loadingnya', 'sinyalnya', 'menurun', 'smapai', 'lelet', '']</t>
  </si>
  <si>
    <t>['pulsa', 'isi', 'tb', 'hilang', 'pas', 'beli', 'paket', 'tulisan', 'error', 'pulsa', 'kemakan', 'coba', 'kalinya', 'pesannya', 'pembelian', 'paket', 'gagal', 'kuota', 'nol', 'pulsa', 'berkurang', 'iya', 'error', 'perbaikin', 'layanan', 'berlangganan', 'apapun', 'berkaitan', 'pembayaran', 'via', 'pulsa', 'aman', 'aplikasi', '']</t>
  </si>
  <si>
    <t>['tolong', 'perbaiki', 'sinyal', 'telkomsel', 'daerah', 'sebulan', 'lancar', 'lancar', 'berubah', 'lelet', 'download', 'banget']</t>
  </si>
  <si>
    <t>['kesini', 'kesini', 'telkomsel', 'jaringan', 'internet', 'parah', 'bangeut', 'sinyal', 'manteng', 'internetan', 'lemot', 'bangeut', '']</t>
  </si>
  <si>
    <t>['perbaiki', 'jaringan', 'bagus', 'ganti', 'logo', 'update', 'update', 'apl', 'keren', 'ribuan', 'pelanggan', 'keluhkan', 'kualitas', 'jaringan', 'telkomsel', 'buruk', 'update', 'logo']</t>
  </si>
  <si>
    <t>['apk', 'telkomsel', 'gratisan', 'paket', 'internet', 'telepon', 'kartu', 'kartu', 'sakti', 'dengang', 'apk', 'promo', 'sukses', 'telkomsel', '']</t>
  </si>
  <si>
    <t>['tolong', 'harga', 'kuota', 'murahkan', 'paket', 'internet', 'max', 'paket', 'internet', 'max']</t>
  </si>
  <si>
    <t>['bagus', 'pas', 'beli', 'pulsa', 'paket', 'beli', 'senasibkah', '']</t>
  </si>
  <si>
    <t>['', 'sistem', 'telkomsel', 'rancang', 'sengaja', 'menipu', 'pelanggan', 'mimin', 'cek', 'nomor', 'kakak', 'tanggal', 'wib', 'peminjaman', 'paket', 'darurat', 'penggunaan', 'sesuai', 'kak', 'tanggal', 'pembelian', 'paket', 'combo', 'jam', 'pembelian', 'paket', 'combo', 'potong', 'pengambalian', 'paket', 'darurat', 'tanggal', 'aktif', 'paket', 'darurat', '']</t>
  </si>
  <si>
    <t>['halo', 'min', 'bsa', 'login', 'slalu', 'gagal', 'alasannya', 'jaringan', 'telkomsel', 'kartu', 'telkomsel', 'berubah', 'jaringan', 'indosat', 'gmna', 'pelayanannya', '']</t>
  </si>
  <si>
    <t>['perbaiki', 'jaringan', 'kasih', 'harga', 'mahal', 'jaringan', 'jelek', 'harga', 'mahal', 'mending', 'operator', 'ribett', '']</t>
  </si>
  <si>
    <t>['lumayan', 'sinyalnya', 'kebakaran', 'galeri', 'pekanbaru', 'oke', 'skrg', '']</t>
  </si>
  <si>
    <t>['update', 'aplikasi', 'telkomsel', 'pilihan', 'paket', 'data', 'langsung', 'berubah', 'paket', 'internet', 'omg', 'pilihan', 'harga', 'sungguh', 'mengecewakan', 'mengikuti', 'instruksi', 'perubahan', '']</t>
  </si>
  <si>
    <t>['paket', 'unlimited', 'kuuuu', 'aduh', 'gmn', 'beli', 'kuota', 'paket', 'unlimited', 'koq', 'hilangin', '']</t>
  </si>
  <si>
    <t>['korupsi', 'gua', 'ngisi', 'pulsa', 'ribu', 'hilang', 'ribu', 'sms', 'masuk', 'selamat', 'pulsa', 'lunas', 'ribu', 'gua', 'ngutang', 'pulsa', '']</t>
  </si>
  <si>
    <t>['mytelkomsel', 'jaringan', 'wifi', 'aplikasi', 'error', 'butuh', 'koneksi', 'internet', 'kuota', 'habis']</t>
  </si>
  <si>
    <t>['', 'bro', 'niat', 'buka', 'provider', 'ditutup', 'beli', 'paket', 'unlimax', 'harga', 'pemakean', 'blom', 'udah', 'lucu', 'bro', 'org', 'spent', 'duid', 'percaya', 'ama', 'kasih', 'embel', 'doang', 'unli', 'ama', 'apps', 'kali', 'tulis', 'bener', 'bro', 'harga', 'bayar', 'sepadan', 'naikin', 'harganya', 'mikir', 'duid', 'spent', 'provider', 'ceritanya', 'diprank', 'gimana', 'unli', 'max', 'bro', 'kau', 'bercanda', '']</t>
  </si>
  <si>
    <t>['telkomsel', 'mohon', 'potong', 'pulsa', 'aktif', 'kuota', 'habis', 'kuota', 'habis', 'lakukan', 'save', 'pulsa', 'tolong']</t>
  </si>
  <si>
    <t>['suka', 'benci', 'paket', 'darurat', 'daftar', 'paket', 'darurat', 'menhentikan']</t>
  </si>
  <si>
    <t>['teman', 'susah', 'buka', 'aplikasi', 'telkomsel', 'jaringan', 'telkomsel', 'coba', 'aplikasinya', 'buka', 'provider', 'lancar', 'jaya', 'hahahah', 'beralih', 'jaringan', 'super', 'lelet', '']</t>
  </si>
  <si>
    <t>['mengecewakan', 'banget', 'jaringan', 'internet', 'lelet', 'banget', '']</t>
  </si>
  <si>
    <t>['', 'telkomsel', 'udah', 'bagus', 'sayangkan', 'pulsa', 'terpotong', 'isi', 'pulsa', 'habis', 'tolong', 'kunci', 'pulsa', 'terpotong']</t>
  </si>
  <si>
    <t>['mohon', 'maaf', 'pulsa', 'berkurang', 'kuota', 'isi', 'pulsa', 'langsung', 'abis', 'pulsanya', 'ngak', 'solusi', 'parah', '']</t>
  </si>
  <si>
    <t>['bagus', 'tingkatkan', 'pelayanannya', 'ditambah', 'jaringan', 'data']</t>
  </si>
  <si>
    <t>['', 'gini', 'pulsa', 'knp', 'pas', 'nlp', 'ket', 'pulsa', 'miliki', 'coba', 'mohon', 'perbaiki']</t>
  </si>
  <si>
    <t>['aplikas', 'susah', 'buka', 'suruh', 'masukin', 'nomor', 'rusak', 'aplikasi']</t>
  </si>
  <si>
    <t>['terima', 'kasih', 'beli', 'paket', 'kuota', 'internet', 'harga', 'terjangkau', 'paket', 'murah', 'dibanding', 'paket', 'membantu', 'semoga', 'paket', 'murah', '']</t>
  </si>
  <si>
    <t>['terima', 'kasih', 'telkomsel', 'kartu', 'perdana', 'terbantu', 'depannya', 'perluas', 'jaringan', 'pelosok', 'perdesaan', 'khusus', 'wilayah', 'kalimantan', 'barat', 'perdesaan', 'memiliki', 'jaringan', 'apapun']</t>
  </si>
  <si>
    <t>['jaringan', 'internetnya', 'nyaman', 'stabil', 'mohon', 'layanan', 'data', 'turun', 'signal', 'kecepatnnya', 'stop', 'pemotongan', 'pulsa', 'paket', 'data', 'aktif', 'jaringan', 'wifi', 'perhatian', 'diperbaiki', 'terima', 'kasih']</t>
  </si>
  <si>
    <t>['paket', 'internet', 'aktif', 'sms', 'masuk', 'pemberitahuan', 'mengakses', 'internet', 'tarif', 'non', 'paket', 'namanya', 'pencurian', 'pulsa', 'kecewa', 'berat', 'kaya', 'gini', 'trus', '']</t>
  </si>
  <si>
    <t>['pulsa', 'berkurang', 'paketan', '']</t>
  </si>
  <si>
    <t>['mahal', 'mahal', 'paketnya', 'signal', 'lemot', 'tolong', 'diperbaiki', 'diatas', 'sesuka', 'hatimu', '']</t>
  </si>
  <si>
    <t>['pengguna', 'kartu', 'halo', 'kecewa', 'jaringan', 'telkomsel', 'skarang', 'stabil', 'bermain', 'aplikasi', 'berat', 'sprt', 'zoom', 'kali', 'jaringannya', 'langsung', 'tatkala', 'berjalam', 'mohon', 'tingkat', 'kam', 'murahin', 'kuotanya', 'sperti', 'provider', 'sebelah']</t>
  </si>
  <si>
    <t>['mohon', 'maaf', 'menjelekan', 'perusahaan', 'telekomunikasi', 'kartu', 'simpati', 'dlu', 'harga', 'paketan', 'sinyal', 'lumayan', 'bagus', 'dlu', 'yaaaa', 'perhatikan', 'harga', 'paket', 'gila', 'harga', 'sinyal', 'hilang', 'situ', 'aga', 'kecewa', 'beralih', 'indosat', 'internet', 'indosat', 'harga', 'paketan', 'murah', 'bonus', 'paket', 'karna', 'sesuai', 'bajed', '']</t>
  </si>
  <si>
    <t>['paket', 'unlimited', 'turbo', 'kecewa', 'sungguh', 'kecewa', 'kmana', 'larinya', 'paket', 'unlimited', 'turbo', 'skrang', 'unlimited', 'max', 'unlimited', 'paket', 'abis', 'kecewa', 'kecewa', '']</t>
  </si>
  <si>
    <t>['semenjak', 'update', 'gaanguan', 'beli', 'paket', 'lancar', 'update', 'kesini', 'sampah']</t>
  </si>
  <si>
    <t>['pelayanan', 'telkomsel', 'buruk', 'merespon', 'keluh', 'kesah', 'pelanggan', 'menguntungkan', 'perusahaan']</t>
  </si>
  <si>
    <t>['puass', 'telkomsel', 'tolong', 'izinkan', 'menukar', 'poin', 'pulsa', 'kouta', 'internet', 'karna', 'memiliki', 'dana', 'membeli', 'kouta', 'pulsa', 'trimakasih', 'telkomsel', 'slalu', 'dihati']</t>
  </si>
  <si>
    <t>['jaringan', 'telkomsel', 'lelet', 'banget', 'gimana', 'mohon', 'petunjuk', '']</t>
  </si>
  <si>
    <t>['aplikasi', 'mengesalkan', 'masuk', 'login', 'login', 'berulang', 'kali', 'login', 'gitu', 'sinyal', 'stabil', 'malam', 'update', 'aplikasi', 'dibuka', 'kasih', 'kenyamanan', 'pengguna', 'donk', '']</t>
  </si>
  <si>
    <t>['aprikasi', 'ribet', 'logo', 'gampang', 'daftar', 'susah', '']</t>
  </si>
  <si>
    <t>['knp', 'membeli', 'paket', 'internet', 'blum', 'diproses', 'thanks', 'telkomsel', 'udh', 'pket', 'internet', 'cerianya', 'tlong', 'ksih', 'promo', 'internet', 'murah', 'bgi', 'pelanggan', 'udh', 'bertahun', 'makai', 'kartunya', '']</t>
  </si>
  <si>
    <t>['pelanggan', 'setia', 'telkomsel', 'puas', 'minggu', 'tolong', 'jaringan', 'tingkat', 'khusus', 'daerah', 'sumatera', 'riau']</t>
  </si>
  <si>
    <t>['bonus', 'kuota', 'unlimited', 'kecepatan', 'dikurangi', 'kbps', 'promo', 'bunuh', 'menjual', 'ratusan', 'voucher', 'telkomsel', 'konter', 'besok', 'migrasi', 'pelanggan', 'berganti', 'kompetitor', 'real', 'kuotanya', 'manfaatin', 'pelanggan', 'mahal', 'gaya', 'pulak']</t>
  </si>
  <si>
    <t>['tukar', 'poin', 'paket', 'data', 'balesannya', 'system', 'sibuk', 'mulu', 'hmmmm']</t>
  </si>
  <si>
    <t>['paket', 'combo', 'sakti', 'hilang', 'paket', 'internet', 'telkomsel', 'mahal', 'itupun', 'sinyalnya', 'bagus', 'ditambah', 'paket', 'terjangkaunya', 'hilang', 'telkomsel', 'bercanda', 'pingin', 'pelanggan', 'pindah', 'provider', '']</t>
  </si>
  <si>
    <t>['min', 'udah', 'paket', 'internet', 'mahal', '']</t>
  </si>
  <si>
    <t>['buka', 'apps', 'apps', 'pindah', 'operator', '']</t>
  </si>
  <si>
    <t>['paket', 'habis', 'pas', 'jam', 'makan', 'pulsa', 'pelupa', 'trs', 'sedot', 'pulsa', 'buang', 'rugi', 'kartu', 'tri', 'main', 'sedot', 'pulsa', 'kuota', 'habis']</t>
  </si>
  <si>
    <t>['pinter', 'banget', 'menipu', 'konsumen', 'gratis', 'sosmed', 'combo', 'sakti', 'kecepatan', 'kayak', 'siput', 'lambat', 'siput', 'iklas', 'kasi', 'bonus', 'mending', 'iklan', 'manis', 'manis', 'deh', 'kayak', 'caleg', '']</t>
  </si>
  <si>
    <t>['harga', 'paket', 'mahal', 'jaringan', 'buruk', 'gaada', 'perbaikan', 'wilayahnya', '']</t>
  </si>
  <si>
    <t>['telkomsel', 'kesini', 'gajelas', 'bar', 'lemot', 'provider', 'terbaik', 'kualitas', 'buruk', 'rutin', 'mengalami', 'susah', 'dipakai', 'dibutuhkan', 'kuliah', 'dll', 'harap', 'telkomsel', 'memerhatikan', 'cape', 'email', 'telkomsel', '']</t>
  </si>
  <si>
    <t>['plis', 'lahh', 'pengen', 'ngatur', 'paket', 'dipake', 'paket', 'beli', 'dateng', 'kuota', 'kemdikbud', 'trs', 'dipake', 'sosmed', 'cenah', 'euweuh', 'hiburann', 'refressing', 'nii', 'kuota', 'kemdikbud', 'didahulukan', 'nyaman', 'pakenya', '']</t>
  </si>
  <si>
    <t>['kouta', 'murah', 'gb', 'rb', 'kouta', 'mahal', 'mahal', 'ampun', 'daah', 'telkomsel', 'kouta', 'murah', '']</t>
  </si>
  <si>
    <t>['kecewa', 'telkomsel', 'beli', 'paket', 'bayar', 'via', 'ovo', 'beli', 'paketnya', 'aktif', 'ovo', 'balikin', 'kecewa', 'hati', 'hati', 'membeli', 'paket', 'telkomsel', 'via', 'ovo', 'veronica', 'system', 'sibuk']</t>
  </si>
  <si>
    <t>['uda', 'telkomsel', 'uda', 'bagus', 'ajha', 'suka', 'jaringan', 'mkin', 'lemot', 'pas', 'selesai', 'hujan', 'angin', 'kesel', 'banget', 'mohon', 'perbaiki', 'mksi', '']</t>
  </si>
  <si>
    <t>['app', 'bagus', 'berlaku', 'paket', 'pulsa', 'utuk', 'saran', 'sarankan', 'utuk', 'memperkecil', 'datanya', 'terkadang', 'keditek', 'aplikasi', 'berat', 'bug', 'semacamnya', 'muncul', 'cma', 'ulasan', 'kores', 'telkom', 'hehehe']</t>
  </si>
  <si>
    <t>['kecewa', 'telkomsel', 'jaringan', 'jelek', 'jaringan', 'telfon', 'jaringan', 'internet', 'tolong', 'perbaiki', 'donk', 'jaringannya', 'orang', 'pindah', 'kartu', 'jelekk', 'jelekkkkk', 'jelekkkkk', 'babiiiiiiii', 'anjingggggggg', 'telkomsel', 'jelek', '']</t>
  </si>
  <si>
    <t>['jaringan', 'bgs', 'kecewa', 'kelupaan', 'paket', 'habis', 'langsung', 'potong', 'pulsa', 'kelupaan', 'menit', 'pulsa', 'berkurang', 'tolong', 'perbaiki', 'sistem']</t>
  </si>
  <si>
    <t>['udah', 'beli', 'paket', 'internet', 'terkenal', 'mahal', 'seharus', 'kelen', 'berilah', 'sinyal', 'bagus', 'sinyal', 'telkomsel', 'jelek', 'provider', 'kelen', 'kurangi', 'harga', 'paket', 'internet', 'kelen']</t>
  </si>
  <si>
    <t>['kecewa', 'jaringan', 'telkomsel', 'stabil', 'didalam', 'diluar', 'ruangan', 'harga', 'mahal', 'kualitas', 'jongkok', 'banget', '']</t>
  </si>
  <si>
    <t>['memakai', 'telkomsel', 'kendala', 'apapun', 'komunikasi', 'telpon', 'jaringan', 'internet']</t>
  </si>
  <si>
    <t>['beli', 'paket', 'data', 'pilih', 'metode', 'pembayaran', 'stuck', 'disitu', 'ajah', 'keterangan', 'bgitu', 'transaksi', 'pakai', 'metode', 'beli', 'paket', 'data', 'parah', 'parah', 'parah', '']</t>
  </si>
  <si>
    <t>['nunggu', 'booting', 'tidur', 'ngopi', 'mindo', 'sinyal', 'tepok', 'jidad', 'sinyal', 'abis', 'ujan', 'pengen', 'ganti', 'provider', 'harga', 'paket', 'tertandingi', 'keluhan', 'sekian', 'terima', 'kasih', 'wassalam']</t>
  </si>
  <si>
    <t>['selamat', 'tinggal', 'telkomsel', 'udh', 'thn', 'bersamamu', 'paketanmu', 'nambah', 'ngeselin', 'dibanyakin', 'kuota', 'kuota', 'tiktok', 'kuota', 'malem', 'dll', 'sdgkn', 'kuota', 'utama', 'dikit', 'sesuai', 'harga', 'kartu', 'halo', 'udh', 'nonaktifkan', 'skrg', 'buang', 'sdgkn', 'istri', 'suruh', 'brenti', 'make', 'telkomsel', 'menonaktifkan', 'kartu', 'halonya', 'pindah', 'opsel', 'merakyat', 'pengertian', '']</t>
  </si>
  <si>
    <t>['membantu', 'sayangy', 'log', 'ulang', 'tautan', 'aktivasi', 'nggak', 'dipakai', 'pdhl', 'telkomsel', 'terinstal', '']</t>
  </si>
  <si>
    <t>['sinyal', 'bagus', 'tpi', 'hujan', 'ilang', 'tukar', 'poin', 'telkomsel', 'cek', 'menunggu', 'keberuntungan', '']</t>
  </si>
  <si>
    <t>['jaringan', 'telkomsel', 'parah', 'tolong', 'perhatikan', '']</t>
  </si>
  <si>
    <t>['harga', 'paket', 'internetny', 'wajar', 'paket', 'ditawarkan', 'kadang', 'kadang', 'ilang', 'kayak', 'paket', 'gb', 'butuh', 'muncul', 'butuh', 'dibeli', 'disuruh', 'cek', 'koneksi', 'pandemi', 'gini', 'banget', 'kuota', 'gede', 'aktivitas', 'kuota', 'nonton', 'film', 'gede', '']</t>
  </si>
  <si>
    <t>['taik', 'promo', 'smua', 'ekstra', 'unlimited', 'mlah', 'promo', 'bermutu', 'preeettt']</t>
  </si>
  <si>
    <t>['ngadain', 'paket', 'game', 'tpi', 'kepake', 'relog', 'kesini', 'kualitas', 'jaringannya', 'buruk', 'mahal', 'iya']</t>
  </si>
  <si>
    <t>['tolong', 'diperbaiki', 'sinyal', 'teruntuk', 'daerah', 'trenggalek', 'kendala', 'harga', 'paketan', 'mahal', 'mmberikan', 'kualitas', 'terbaik', 'kualitas', 'jelek']</t>
  </si>
  <si>
    <t>['pengguna', 'telkomsel', 'puas', 'kinerja', 'kartu', 'wilayah', 'area', 'menjangkau', 'sinyal', 'kadang', 'gangguan', 'harga', 'kuota', 'terbilang', 'mahal', 'kadang', 'menikmati', 'bonus', 'bonus', 'intinya', 'provider', 'kekurangan', 'kelebihan', 'menghargai', 'semoga', 'mengeluh', 'harga', 'mahal', 'sinyal', 'bagus', 'teratasi', 'menikmati', 'layanan', 'memuaskan', '']</t>
  </si>
  <si>
    <t>['senang', 'aplikasi', 'menukarkan', 'poin', 'menukar', 'paket', 'internet', 'pulsa', 'sekian', 'terima']</t>
  </si>
  <si>
    <t>['temen', 'ojol', 'sinyal', 'busuk', 'banget', 'ngojol', 'susah', 'banget', 'loading', 'mulu', 'tolong', 'donk', 'servernya', 'diperbaiki']</t>
  </si>
  <si>
    <t>['jaringan', 'tolong', 'perbaiki', 'jngan', 'suka', 'hilang', 'nyambung', 'malam', 'pakai', 'harga', 'mahal', 'komplain', 'kualitas', 'dijaga', 'pelanggan', 'belasan', 'telkomsel', 'kecewa']</t>
  </si>
  <si>
    <t>['sinyal', 'stabil', 'dikota', 'madya', 'provider', 'harga', 'kuota', 'internet', 'mahalnya', 'ampun', 'mending', 'tutup', 'kekgini', 'benahi', 'masuk', '']</t>
  </si>
  <si>
    <t>['jaringan', 'telkomsel', 'kek', 'babi', 'data', 'gara', 'jaringannya', 'jelek', 'jaringan', '']</t>
  </si>
  <si>
    <t>['namanya', 'ganti', 'mybegadang', 'jaringannya', 'bagus', 'pas', 'malam', '']</t>
  </si>
  <si>
    <t>['telkomselbjancoook', 'pekok', 'beli', 'paket', 'pulsa', 'aktifnya', 'update', 'alhasil', 'aktif', 'sehari', 'sebulan', 'paket', 'mahal', 'kek', 'babi']</t>
  </si>
  <si>
    <t>['', 'sampe', 'sinyal', 'daerah', 'telkomsel', 'gangguan', 'jam', 'malem', 'sampe', 'jam', 'pagi', 'langsung', 'ilang', 'udh', 'telkomsel', 'gangguan', 'daerah', 'tolong', 'responya', '']</t>
  </si>
  <si>
    <t>['mahal', 'doang', 'sinyal', 'jelek', 'telfon', 'suara', 'ilang', 'ilangan', 'gambar', 'patah', 'patah', 'main', 'moba', 'pink', 'rendah', 'kecewa', 'berat', 'telkomsel', 'thnks', '']</t>
  </si>
  <si>
    <t>['men', 'download', 'apk', 'telkomsel', 'pulsa', 'rb', 'dipakai', 'pulsa', 'utama', 'habiss', 'tersisa', 'tolong', 'min', 'penipu', 'rakyat', 'miskin', 'berharap', 'bonus', 'pulsa', 'menipu', '']</t>
  </si>
  <si>
    <t>['telkomsel', 'pilihan', 'combo', 'sakti', 'bantu']</t>
  </si>
  <si>
    <t>['bagus', 'telkomsel', 'mudah', 'membeli', 'kuota', 'mengecek', 'kuota']</t>
  </si>
  <si>
    <t>['telkomsel', 'pilih', 'kasih', 'harga', 'paket', 'nomer', 'beda', 'udh', 'telkomsel', 'th', 'harga', 'paket', 'internet', 'mahal', 'kualitas', 'jaringannya', 'ngga', 'sebanding', 'harganya', 'jujur', 'kecewa', 'kaya', 'gini', 'mah', 'ntar', 'pda', 'pindah', 'provider']</t>
  </si>
  <si>
    <t>['ngga', 'susai', 'dngan', 'harga', 'mahal', 'jaringanya', 'bagusss', 'russsakk', 'mulu', 'malam', '']</t>
  </si>
  <si>
    <t>['internetnya', 'bener', 'bener', 'sampah', 'dikit', 'dikit', 'diskonek', 'fix', 'kemakan', 'promo', 'provider', 'beli', 'gb', 'kek', 'mengecewakan', 'buang', 'buang', 'duit', '']</t>
  </si>
  <si>
    <t>['kuota', 'game', 'gb', 'pakai', 'ngapain', 'adakan', 'provider', 'bohong']</t>
  </si>
  <si>
    <t>['paketan', 'mahal', 'sinyal', 'sinyal', 'hilang', 'main', 'game', 'nge', 'lag', 'ampun', '']</t>
  </si>
  <si>
    <t>['harga', 'kuota', 'mahal', 'ngoktak', 'kasi', 'harga', 'cari', 'uang', 'susah']</t>
  </si>
  <si>
    <t>['akses', 'mytelkomsel', 'area', 'kotawaringintimur', 'kal', 'teng', 'lumayan', 'bagus', 'lancar', 'jaringannya', 'hilang', 'timbul', 'cuaca', 'mendung', 'perbaiki', 'mytelkomsel', '']</t>
  </si>
  <si>
    <t>['pengalaman', 'kuota', 'telkomsel', 'taikk', 'hahah', 'saran', 'gue', 'klau', 'kuota', 'internet', 'jaringan', 'sja', 'telkomsel']</t>
  </si>
  <si>
    <t>['malu', 'in', 'telkomsel', 'provider', 'kualitas', 'jaringan', 'tetep', 'lelet', 'lemot', 'kualitas', 'provider', 'kualitas', 'jaringan', 'internet', 'msh', 'lemah']</t>
  </si>
  <si>
    <t>['isi', 'ulang', 'pulsa', 'berkali', 'kali', 'poin', '']</t>
  </si>
  <si>
    <t>['', 'harganya', 'naekk', 'internet', 'susah', 'jangkau', 'harganya', 'bagus', 'harga', 'murah', 'meriah', 'tolong', 'harganya', 'kondisikan', '']</t>
  </si>
  <si>
    <t>['jaringan', 'internet', 'lemot', 'ngak', 'bukak', 'pelanggan', 'setia', 'kecewa', 'banget']</t>
  </si>
  <si>
    <t>['udah', 'bagus', 'sii', 'tapiiiii', 'pas', 'kuota', 'game', 'lag', 'banget', 'woi', 'kuota', 'game', 'malam', 'beuh', 'lag', 'pelit', 'singal', 'malam', 'jam', 'sampe', 'jam', 'singal', 'beuh', 'batangnya', 'main', 'game', 'beuh', 'gila', 'banget', 'lag']</t>
  </si>
  <si>
    <t>['signal', 'kadang', 'kadang', 'garis', 'full', 'signyal', 'kawan', 'pakai', 'telkomsel', 'kecewa', 'pokonya', 'kali', 'respon', 'tanggapannya', 'perbaikan', 'trs', 'smp', '']</t>
  </si>
  <si>
    <t>['jaringan', 'harian', 'jaringan', 'telkomsel', 'jaringan', 'luas', 'orderan', 'alhasil', 'balas', 'chat', 'pelanggan']</t>
  </si>
  <si>
    <t>['memantu', 'darurat', 'pulsa', 'harga', 'terjangkau', '']</t>
  </si>
  <si>
    <t>['aplikasinya', 'membantu', 'gausah', 'ngetik', 'ngetik', 'kuotanya', 'murah', 'bandingkan', 'kartu']</t>
  </si>
  <si>
    <t>['ber', 'ulang', 'kali', 'beli', 'paket', 'paket', 'masuk', 'capek', 'tunggu', 'rugi', 'isi', 'pulsa', 'paket', 'masuk', '']</t>
  </si>
  <si>
    <t>['kuota', 'mahal', 'cepet', 'bangey', 'nyedot', 'data', 'zooman', 'jam', 'kuota', 'zoom', 'lemot', '']</t>
  </si>
  <si>
    <t>['keluhan', 'barusan', 'alami', 'pulsa', 'niat', 'membeli', 'kuota', 'unlimited', 'youtube', 'harga', 'pulsa', 'mencukupi', '']</t>
  </si>
  <si>
    <t>['pokonya', 'telkomsel', 'terbaik', 'sampe', 'sekrng', 'ganti', 'paket', 'internet', 'mahal', 'kesini', 'murah', 'banget', 'cuman', 'rbu', 'udah', 'dapet', 'gb', 'terimakasih', 'telkomsel', 'semoga', 'sukses', '']</t>
  </si>
  <si>
    <t>['update', 'lelet', 'banget', 'app', 'buka', 'gitu', '']</t>
  </si>
  <si>
    <t>['sumpahhh', 'parah', 'telkomsel', 'isi', 'pulsa', 'masuk', 'jaringannya', 'jelek', 'duhhhh', '']</t>
  </si>
  <si>
    <t>['maaf', 'telkomsel', 'mohon', 'perbaiki', 'jaringan', 'karna', 'paket', 'mahal', 'jaringa', 'stabil', 'aplikasi', 'update', '']</t>
  </si>
  <si>
    <t>['pengen', 'maki', 'jaringan', 'telkomsel', 'kadang', 'jaringan', 'hilang', 'suka', 'lelet', 'tolong', 'perbaiki', 'secepat', 'jngan', 'harga', 'mahal', 'kualitas', 'murahan', '']</t>
  </si>
  <si>
    <t>['pagi', 'sampe', 'sore', 'sinyal', 'stabil', 'udh', 'jam', 'sinyal', 'mati', 'idup', 'mati', 'idup', 'paketan', 'udh', 'mahal', 'sinyal', 'malem', 'gaberes', 'ampunn', 'mahal', 'doang', 'kualitas', 'buruk']</t>
  </si>
  <si>
    <t>['kecewa', 'jaringan', 'kali', 'lokasi', 'mao', 'aktifkan', 'jaringan', 'lag', 'buka', 'aplikasi', 'kuota', 'nonstop']</t>
  </si>
  <si>
    <t>['udah', 'parah', 'telkomsel', 'sinyal', 'nglag', 'lokasi', 'mega', 'mendung']</t>
  </si>
  <si>
    <t>['ganti', 'kartu', 'paketan', 'mahal', 'pas', 'hujan', 'jaringan', 'lemot', 'sinyal', 'sring', 'hilang', 'ngisi', 'pulsa', 'slalu', 'sedot', 'ngisi', 'pulsa', 'hutang', 'paket', 'darurat', 'isi', 'pulsa', 'paket', 'darurat', 'bayar', 'langsung', 'habis', 'pulsa', 'nipu', 'mikir', 'ppkm', 'cari', 'uang', 'susah', 'kartu', 'bagus', 'indonesia', 'mah', 'kartu', 'jelek', 'aneh', 'telkomsel', '']</t>
  </si>
  <si>
    <t>['mengisi', 'pulsa', 'ribu', 'membeli', 'kuota', 'unlimited', 'instagram', 'pulsa', 'terpakai', 'paket', 'beli', 'adaa', 'tolong', 'telkomsel', 'kembalikan', 'pulsa']</t>
  </si>
  <si>
    <t>['telkomsel', 'jaringan', 'plosok', 'daerah', 'terjangkau', 'jaringan', 'telkomsel', 'kalah', 'provider']</t>
  </si>
  <si>
    <t>['metode', 'pwmbayaran', 'linkaja', 'hilang', 'telkomsel', 'konek', 'klaim', 'poin', 'bonus', 'saldo', 'masuk', 'knp', 'metode', 'pembayaran', 'terhubung', '']</t>
  </si>
  <si>
    <t>['ngeselin', 'beli', 'paketan', 'trus', 'giganya', 'plus', 'duitnya', 'tpi', 'knape', 'lemot', 'cepet', 'abis', 'kuota', 'pindah', 'smartfriend', 'unlimititnya', 'lemot', 'kaya', 'telkomsel']</t>
  </si>
  <si>
    <t>['applikasinya', 'berat', 'pemakaian', 'menarik', 'simple', 'beda', 'kartu', 'beda', 'pilihan', 'paketnya', 'telkomsel', 'promo', 'penguna', 'telkomsel', '']</t>
  </si>
  <si>
    <t>['kasih', 'bintang', 'kasih', 'tolong', 'mind', 'promo', 'paket', 'internet', 'unlimited', 'pegen', 'harganya', 'mahal', 'dikit', 'nggk', 'papa']</t>
  </si>
  <si>
    <t>['njir', 'udh', 'poin', 'trus', 'tukerin', 'gagal', 'mulu', 'mohon', 'bantuannya', 'donk']</t>
  </si>
  <si>
    <t>['hdh', 'harga', 'mahal', 'jaringn', 'lelet', 'penipu', 'nyesal', 'beli', 'paket', 'mahal', 'jaringan', 'bagus', 'tutup', 'jaringn', 'telkom', '']</t>
  </si>
  <si>
    <t>['udah', 'berlangganan', 'kartu', 'telkomsel', 'udah', 'tpi', 'telkomsel', 'jaringannya', 'jelek', '']</t>
  </si>
  <si>
    <t>['tlkomsel', 'skrg', 'ribet', 'ajaa', 'liat', 'akun', 'kbnyakan', 'verifikasi', 'heran', 'pntesan', 'skrg', 'mkin', 'diminati', 'sma', 'planggan', 'udh', 'sinyal', 'jlek', 'kbnyakan', 'verifikasi', 'hduhh', 'ribet', 'ohiya', 'lgi', 'knapa', 'skalian', 'tarif', 'data', 'ditambah', 'jdi', 'gb', 'bagus', 'naikin', 'trus', 'tarifnyaa', 'pda', 'pindah', 'oprator', 'sebelah', 'yglain', 'lomba', 'jdi', 'mkin', 'murah', 'mlh', 'jdi', 'mkin', 'mahal', 'sinyalpunjelek', 'pulaaa', 'mhonditanggapi', 'keluhan', 'thx']</t>
  </si>
  <si>
    <t>['aplikasi', 'berjalan', 'normal', 'cek', 'pulsa', 'cek', 'paket', 'cek', 'pulsa']</t>
  </si>
  <si>
    <t>['telkomsel', 'nggak', 'muncul', 'layar', 'utama', 'beli', 'paket', 'play', 'store', 'tolong', 'penjelasannya', 'minggu', 'alami', 'terdownload', '']</t>
  </si>
  <si>
    <t>['senang', 'memakai', 'telkomsel', 'pemakaian', 'telkomsel', 'bagus', 'kartu', 'kesini', 'kuota', 'mahal', 'pengguna', 'sebentar', 'mengikis', 'pengguna', 'telkomsel', 'harga', 'mahal', 'ditambah', 'jaringan', 'gangguan', 'berbeda', 'telkomsel', 'harga', 'stabil', 'jaringan', 'bagus', 'gangguan', 'parah', '']</t>
  </si>
  <si>
    <t>['beli', 'paketan', 'beli', 'pulsa', 'bsa', 'paket', 'combo', 'bln', 'pulsa', 'paketnya', 'combo', 'cma', 'ktnya', 'pulsa', 'mencukupi', 'akirnya', 'hrs', 'buka', 'paket', 'mahal', 'aneh']</t>
  </si>
  <si>
    <t>['halo', 'bang', 'beli', 'paket', 'khusus', 'game', 'pakai', 'terkuras', 'paket', 'nasional', 'bonus', 'paket', 'gamenya', 'terkuras', 'habis', 'tolong', 'perbaiki', 'bang']</t>
  </si>
  <si>
    <t>['kartu', 'paket', 'registrasikan', 'padalan', 'kartu', 'paket', 'kartu', 'telepon', 'jaringan', 'hilang', 'gimana', 'sel', 'infonya']</t>
  </si>
  <si>
    <t>['promonya', 'kartunya', 'tsel', 'pelanggan', 'beda', 'bedakan', '']</t>
  </si>
  <si>
    <t>['aplikasi', 'telkomsel', 'dibuka', 'layar', 'putih', 'mulu', 'terkadang', 'buka', 'uninstall', 'install', 'ulang', 'tolong', 'perbaiki', 'bug', '']</t>
  </si>
  <si>
    <t>['apk', 'membantu', 'dlm', 'iginkan']</t>
  </si>
  <si>
    <t>['mohon', 'diperbaiki', 'petunjuk', 'kuota', 'kuota', 'internet', 'omg', 'digunain', 'koq', 'penjelasan', 'prakterknya', 'sesuai', '']</t>
  </si>
  <si>
    <t>['login', 'cek', 'paketan', 'nelpon', 'udah', 'daftar', 'pulsa', 'udah', 'sedot', 'habis', 'nelpon', 'ngecek', 'gimana', 'males', 'pakek', 'telkomsel', 'karna', 'ortu', 'pakek', 'pakek', 'nomor', 'mahal']</t>
  </si>
  <si>
    <t>['beli', 'paket', 'tsel', 'pembayaran', 'via', 'shopeepay', 'masuk', 'masuk', 'bilangnya', 'gangguan', 'gangguan', 'sampe', 'bln', 'perkembangan', 'komplain']</t>
  </si>
  <si>
    <t>['', 'telkomsel', 'bebaskan', 'kuota', 'isi', 'pulsa', 'beli', 'paket', 'internet', 'pulsa', 'uda', 'berkurang', 'reload', 'aplikasi', 'gmana', 'beli', 'paket', 'internet', 'contoh', 'bima']</t>
  </si>
  <si>
    <t>['dear', 'admin', 'telkomsel', 'sinyal', 'lelet', 'beli', 'combo', 'gb', 'lelet', 'niat', 'jaringan', 'jalan', 'jalan', 'tolong', 'perbaiki', 'sinyal', 'pelanggan', 'diamond', 'kecewa', '']</t>
  </si>
  <si>
    <t>['aplikasi', 'beli', 'paket', 'gaem', 'free', 'frii', 'gimana', 'pakai']</t>
  </si>
  <si>
    <t>['senang', 'telkomsel', 'mengadakan', 'acara', 'semoga', 'terpilih', 'memenangkan', 'henpon', 'adik', 'belajar', 'aminnnn']</t>
  </si>
  <si>
    <t>['jaringan', 'bagus', 'trus', 'bru', 'isi', 'pulsa', 'tinggal', 'nyedot', 'pulsa', 'bnget', 'pdahal', 'bru', 'paket', 'paket', 'internetnya', 'mahal', '']</t>
  </si>
  <si>
    <t>['anying', 'operator', 'isi', 'pulsa', 'habis', 'daftar', 'nelpon', 'cobalah', 'sistem', 'bagus', 'nydot', 'pulsa']</t>
  </si>
  <si>
    <t>['harga', 'kuota', 'mahal', 'jaringan', 'sesuai', 'harga', 'jaringan', 'buruk', 'diperbaiki', '']</t>
  </si>
  <si>
    <t>['mantab', 'mempermudah', 'informasi', 'kartu', 'telkomsel', 'promosi', 'undiannya', '']</t>
  </si>
  <si>
    <t>['', 'jaringan', 'error', 'aplikasi', 'peringatan', 'jaringan', 'error', 'stabil', 'telkomsel', '']</t>
  </si>
  <si>
    <t>['turuun', 'telkomsel', 'jengkel', 'hujan', 'susah', 'jarigan', 'mahal', 'bli', 'paket', 'fikir', 'mahal', 'bli', 'paket', 'bagus', 'jariganya', 'mohon', 'perbaiki', '']</t>
  </si>
  <si>
    <t>['jaringan', 'internet', 'telkomsel', 'lemot', 'kadang', 'jaringan', 'internet', 'stabil', 'telkomsel', 'oke', 'jaringannya', 'full']</t>
  </si>
  <si>
    <t>['', 'sampe', 'kpn', 'jaringan', 'parah', 'gini', 'ngeluh', 'udah', 'ngikutin', 'panduan', 'udah', 'smuanya', 'udah', 'tetep', 'perubahan', '']</t>
  </si>
  <si>
    <t>['kecewa', 'banget', 'sumpah', 'telkomsel', 'super', 'duper', 'lelet', 'tinggal', 'kota', 'internetan', 'super', 'duper', 'lelet', 'emosi', 'sumapah', 'kecewa', '']</t>
  </si>
  <si>
    <t>['maaf', 'kasih', 'bintang', 'udh', 'masuk', 'trus', 'udh', 'kucoba', 'kali', 'tetep', 'ajh', 'melulu', 'tolong', 'perbaiki', '']</t>
  </si>
  <si>
    <t>['telkomsel', 'ajang', 'tipu', 'jaringan', 'stabil', 'kawasan', 'banda', 'aceh', 'area', 'lung', 'bata', 'sinyal', 'kayak', 'babi', 'bts', 'area', 'lung', 'bata', 'bakar', 'sialan', 'khusus', 'terminal', 'lung', 'bata', 'iklan', 'terun', 'menerus', 'masuk', 'inbok', 'messenger', 'blokir', 'iklan', 'nyaman', 'pengguna', 'telkomsel', 'aktif', 'data', 'telkomsel', 'masuk', 'masuk', 'jaringan', 'berhenti', 'tekan', 'yes', 'batal', '']</t>
  </si>
  <si>
    <t>['senang', 'memakai', 'kartu', 'telkomsel', 'ponsel', 'kartu', 'telkomsel', 'jaringannya', 'bagus', 'promo', 'terima', 'kasih', 'telkomsel', '']</t>
  </si>
  <si>
    <t>['telkomsel', 'knp', 'jelek', 'tgl', 'kmrin', 'habis', 'isi', 'pulsa', 'nomornya', 'aktif', 'kartu', 'kuliah', 'online', 'nelpon', 'sms', 'buka', 'telkomsel', 'lgsung', 'log', 'out', 'sndiri', 'pas', 'log', 'pulsa', 'udh', 'ilang', 'emang', 'gini', 'kek', 'tipu', 'namanya', 'semoga', 'pelayanannya']</t>
  </si>
  <si>
    <t>['aplikasi', 'sebenernya', 'bagus', 'bijak', 'pemakaian', 'sabar', 'berhasil', 'berhasil', '']</t>
  </si>
  <si>
    <t>['kesel', 'kuota', 'utama', 'pulsa', 'kesedot', 'udah', 'beribu', 'repot', 'banget', 'jaringan', 'lemot', 'kadang']</t>
  </si>
  <si>
    <t>['deh', 'gimana', 'paketan', 'sinyal', 'oke', 'brosing', 'internet', 'buka', 'youtube', 'game', 'udah', 'telpon', 'telkomsel', 'bukti', 'rugi', 'udah', 'isi', 'paket', 'pindah', 'sebelah', '']</t>
  </si>
  <si>
    <t>['yth', 'telkom', 'indonesia', 'jual', 'paket', 'internet', 'mahal', 'jaringan', 'stabil', 'kacau', 'pelanggan', 'beralih', 'provider', 'inovasi', 'malas', 'beli', 'paket', 'mahal', 'jaringan', 'kayak', 'taik']</t>
  </si>
  <si>
    <t>['mytelkomsel', 'keong', 'kku', 'cari', 'untung', 'donk', 'jaringan', 'internet', 'meningkat', 'jelek', 'mending', 'nga', 'pakai', 'deh', 'jaringan', 'internet', 'simbol', '']</t>
  </si>
  <si>
    <t>['telkomsel', 'produk', 'sampah', 'ngk', 'heran', 'bnyk', 'beralih', 'provider', 'telkomsel', 'skrng', 'jaringam', 'super', 'jelek', 'lost', 'connection', 'harap', 'gammer', 'streammer', 'nyaman', 'pakai', 'telkomsel', 'promo', 'cma', 'promo', 'tipu', 'ngk', 'promo', 'perlukan', 'perbaiki', 'jaringan', '']</t>
  </si>
  <si>
    <t>['tolong', 'jaringannya', 'diperbaiki', 'lgi', 'driver', 'online', 'kesulitan', 'terima', 'orderan', 'terkadang', 'orderan', 'nyampe', 'mlh', 'lma', 'terimanya', 'tolong', 'diperbaiki', 'bintangnya', 'kurangi', 'udh', 'nnt', 'naikin', 'bintangnya', 'trma', 'ksh']</t>
  </si>
  <si>
    <t>['lihat', 'pulsa', 'reguler', 'amblas', 'paket', 'dimakan', 'jal', '']</t>
  </si>
  <si>
    <t>['tolong', 'apk', 'telkomsel', 'fitur', 'lock', 'pulsa', 'apk', 'sebelah', 'pakai', 'kartu', 'telkomsel', 'internetan', 'pulsa', 'tersedot', 'kuotanya', '']</t>
  </si>
  <si>
    <t>['pakai', 'telkomsel', 'udah', 'alhamdulillah', 'mantap', 'telkomsel']</t>
  </si>
  <si>
    <t>['operator', 'lelet', 'sinyal', 'ganti', 'operator', 'sdra', 'sinyal', 'stabil', 'indosat', 'smartfren', 'dll', 'puas']</t>
  </si>
  <si>
    <t>['suka', 'banget', 'kartu', 'telkomsel', 'cepet', 'bangett', 'jaringannya', 'sekolah', 'online', 'enak', 'thankyou', 'telkomsel', 'aplikasi', 'membantu', '']</t>
  </si>
  <si>
    <t>['jelek', 'mahel', 'borosss', 'mending', 'liveon', 'kuotany', 'rollover', 'lngsung', 'nyedot', 'pulsa', 'pas', 'kuota', 'abis', 'riba', 'jatuhnya', 'kena', 'karma', 'gedung', 'telkomsel', 'terbakar', 'skrg', 'sinyalnya', 'jelek', 'ngaca', 'gih', '']</t>
  </si>
  <si>
    <t>['telkomsel', 'promonya', 'aneh', 'beli', 'combo', 'sakti', 'gb', 'gb', 'internet', 'gb', 'sosmed', 'buka', 'kuota', 'internet', 'dipotong', 'kuota', 'sosmed', 'dasar', 'telkomsel', 'licik', 'bangga', 'pakai', 'sim', 'card', 'tri', 'telkomsel', 'kartu', 'tri', 'promonya', 'aneh', 'aneh', 'beli', 'paket', 'internet', 'gb', 'rb', 'dibagi', 'kaya', 'paket', 'telkomsel', 'suasta', 'maju', 'mikirnya', 'plat', 'merah', 'orang', 'nyantai', 'butuh', 'dana', 'tinggal', 'tlp', 'pemerintah', 'suntikan', 'dana', '']</t>
  </si>
  <si>
    <t>['tolong', 'jaringannya', 'perkuat', 'putus', 'putus', 'berjayalah', 'telkomsel', 'jadikan', 'terbaik', 'pelanggan', 'setia', '']</t>
  </si>
  <si>
    <t>['nyaman', 'pembelian', 'data', 'jadwal', 'akurat', 'beli', 'data', 'kepake', 'jam', '']</t>
  </si>
  <si>
    <t>['beranggapan', 'pakai', 'telkomsel', 'sayangnya', 'kuota', 'harganya', 'murah']</t>
  </si>
  <si>
    <t>['make', 'telkomsel', 'koneksi', 'kyk', 'sampah', 'gini', 'kyk', 'kartu', 'sebelah', 'paket', 'gabisa', 'buka', 'sampah', 'bener', 'asli']</t>
  </si>
  <si>
    <t>['sore', 'sampe', 'malem', 'jaringan', 'telkomsel', 'jelek', 'pas', 'hujan', 'tolonglah', 'perbaiki', 'kualitas', 'jaringannya', '']</t>
  </si>
  <si>
    <t>['habis', 'pikir', 'telkomsel', 'udah', 'paket', 'mahal', 'banget', 'internetnya', 'kek', 'babi', 'beli', 'paket', 'kemarin', 'ehh', 'udah', 'pindah', 'operator', 'pakai', 'telkomsel', 'nyesel', '']</t>
  </si>
  <si>
    <t>['', 'sms', 'murah', 'prihal', 'paketan', 'nyata', 'sulit', 'akses', 'bohongin', 'pelayanan', 'sekelas', 'telkomsel']</t>
  </si>
  <si>
    <t>['paket', 'murah', 'udh', 'isi', 'promo', 'aplikasinya', 'disuruh', 'update', 'trs', 'kayak', 'malunya', '']</t>
  </si>
  <si>
    <t>['cek', 'kuota', 'ribet', 'apps', 'update', 'download', 'apps', 'digunain', 'laman', 'web', 'login', 'musti', 'magic', 'link', 'linknya', 'gabisa', 'dibuka', 'sia', 'sehat', '']</t>
  </si>
  <si>
    <t>['aplikasi', 'berat', 'kebukak', 'update', 'paket', 'unlimited', 'terbatas', 'fup', 'paket', 'sosmed', 'paket', 'utama', 'habis', 'jaringan', 'bagus', 'kali', 'kayak', 'kartu', '']</t>
  </si>
  <si>
    <t>['gimana', 'aplikasi', 'telkomsel', 'buka', 'layar', 'cuman', 'warna', 'putih', '']</t>
  </si>
  <si>
    <t>['harganya', 'bagus', 'jaringan', 'lelet', 'tolong', 'perhatikan', 'layanan', 'jaringan']</t>
  </si>
  <si>
    <t>['jujur', 'kecewa', 'fitur', 'mengatur', 'prioritas', 'paket', 'kuota', 'balajar', 'gb', 'aktifnya', 'tinggal', 'pengen', 'habiskan', 'terpakai', 'kuota', 'bantuan', 'kemdikbud', 'aktifnya', 'gb', 'kuota', 'belajar', 'sisa', 'seakan']</t>
  </si>
  <si>
    <t>['tolong', 'pembagian', 'kuota', 'chat', 'berkurang', 'ngebug', 'tolong', 'dibenarkan']</t>
  </si>
  <si>
    <t>['berharap', 'sinyal', 'jaringan', 'telkomsel', 'pakai', 'berlangganan', 'cepat', 'efektif']</t>
  </si>
  <si>
    <t>['aplikasi', 'bagus', 'memudahkan', 'mengecek', 'paket', 'telpon', 'internet', 'membelinya', 'rekomended']</t>
  </si>
  <si>
    <t>['mytelkomsel', 'penuh', 'harapan', 'palsu', 'udah', 'mentang', 'bumn', '']</t>
  </si>
  <si>
    <t>['membantu', 'perkuota', 'ribet', 'konter', 'membeli', 'pulsa', 'isi', 'kuota', 'sukses', 'trus', 'telkomsel', '']</t>
  </si>
  <si>
    <t>['tukar', 'poin', 'kuota', 'kendalanya', 'maaf', 'sistem', 'sibuk', 'sibuk', 'trus', 'tukar', 'poin', 'tunggu', 'berlakunya', 'habis', 'gtu', 'mending', 'php', 'orang', '']</t>
  </si>
  <si>
    <t>['buka', 'telkomsel', 'positioning', 'terhenti', 'playstrore', 'terhenti', 'aplikasi', 'terhenti', '']</t>
  </si>
  <si>
    <t>['hadih', 'menarik', 'hayo', 'ganti', 'kartu', 'kartu', 'telkomsel', '']</t>
  </si>
  <si>
    <t>['min', 'gua', 'paket', 'gamesmax', 'dipake', 'gua', 'buka', 'game', 'kagak', '']</t>
  </si>
  <si>
    <t>['woi', 'pulsa', 'terpotong', 'pulsa', 'apk', '']</t>
  </si>
  <si>
    <t>['puas', 'kuotanya', 'terbagi', 'interainmen', 'jarang', 'sms', '']</t>
  </si>
  <si>
    <t>['', 'ganti', 'kasih', 'bintang', 'danaku', 'udah', 'bugnya', 'udah', 'perbaiki', 'ceritanya', 'gini', 'beli', 'paket', 'kouta', 'mytelkomsel', 'bayar', 'shopeepay', 'transaksinya', 'berhasil', 'shopeepay', 'saldonya', 'udah', 'kepotong', 'koutanya', 'nggak', 'masuk', 'mytelkomsel', 'nggak', 'perubahan', 'terimakasih', 'semoga']</t>
  </si>
  <si>
    <t>['kesini', 'parah', 'tampilan', 'perbaiki', 'naikkin', 'harga', 'paket', 'bulannya', 'miris', 'harga', 'sesuai', 'kualitas', 'selamat', 'memperbanyak', 'keluhan', 'pengguna', 'setiamu', 'harinya', '']</t>
  </si>
  <si>
    <t>['sinyal', 'terkalahkan', 'penghitung', 'pulsa', 'cepat', 'banget', 'berharap', 'promo', 'menarik', 'berlaku', 'pasca', 'bayar', 'promo', 'pra', 'bayar', 'menarik']</t>
  </si>
  <si>
    <t>['harga', 'pembelian', 'paket', 'data', 'terlampau', 'dibanding', 'kualitas', 'menurun', 'segi', 'sinyal', 'aplikasi', 'kali', 'pulsa', 'terpotong', 'aplikasi', 'berlangganan', 'cari', 'untung', 'benahi', 'kualitasnya', 'kecewa', 'telkomsel', 'pengguna', 'th', 'semoga', 'didengar', 'diperbaiki', 'kualitas', 'sinyal', 'aplikasinya', 'nyaman']</t>
  </si>
  <si>
    <t>['tipa', 'buka', 'apk', 'update', 'udhh', 'paket', 'kadang', 'murah', 'kadang', 'mahal', '']</t>
  </si>
  <si>
    <t>['tolong', 'daerah', 'parung', 'cibunar', 'bogor', 'jawa', 'barat', 'sinyalnya', 'diperkuat', '']</t>
  </si>
  <si>
    <t>['cek', 'pulsa', 'data', 'aplikasi', 'ngga', 'udah', 'refresh', 'ngga', 'sampe', 'kali', 'matiinn', 'tetep', 'kenapaaaa', 'dahh', '']</t>
  </si>
  <si>
    <t>['rumah', 'tower', 'telkomsel', 'jaringannya', 'lemah', 'angkat', 'apl', 'tokopedia', 'jualan', 'terhambat', 'cuba', 'provider', 'sebelah', '']</t>
  </si>
  <si>
    <t>['membantu', 'banget', 'pengalaman', 'pembayaran', 'shopeepay', 'cashback', 'isi', 'ulang', 'ribu', 'paket', 'paketnya', 'pilihan', 'sesuai', 'kebutuhan', '']</t>
  </si>
  <si>
    <t>['apk', 'milik', 'bumn', 'beres', 'sekaliiii', 'buka', 'apk', 'kebuka', 'coba', 'coba', 'coba', 'coba', 'coba', '']</t>
  </si>
  <si>
    <t>['bagus', 'signal', 'relatif', 'merata', 'dibanding', 'provider', 'kecapatan', 'data', 'turun', 'signifikan', '']</t>
  </si>
  <si>
    <t>['paket', 'promo', 'gb', 'hr', 'kadang', 'tersedia', 'aplikasi', 'kadang', 'pas', 'jengkel', 'log', '']</t>
  </si>
  <si>
    <t>['memakai', 'kuota', 'darurat', 'gb', 'ribu', 'isi', 'pulsa', 'terbayar', 'isi', 'pulsa', 'berkurang', 'memakai', 'paket', 'darurat', 'pemberitahuannya', 'selalau', 'membayar', 'tagihan', 'paket', '']</t>
  </si>
  <si>
    <t>['pulsa', 'hilang', 'pas', 'cek', 'riwayat', 'internet', 'kuota', 'internet', 'parah', 'hubungi', 'bener', 'ngasih', 'jaringan', 'lemot', 'lagh', 'pas', 'maen', 'gane', 'patah', 'patah', 'mulu']</t>
  </si>
  <si>
    <t>['simpati', 'kartu', 'sesuai', 'kantong', 'kuli', 'bangunan', 'sinyal', 'kuat', 'pencinta', 'simpati', 'keluarga', 'pakai', 'simpati', 'semoga', 'simpati', 'oelayanan', 'terbaik']</t>
  </si>
  <si>
    <t>['transaksi', 'membeli', 'paket', 'data', 'metode', 'pembayaran', 'ovo', 'transaksi', 'kali', 'masuk', 'koutanya', 'ovo', 'konfirmasi', 'berasil', 'saldo', 'berkurang', 'telkomsel', 'kouta', 'masuk', 'tolong', 'benahi', 'aplikasi', 'maaf', 'sayabkurangin', 'bintang', 'paket', 'beli', 'masuk', 'konfirmasi', 'telkomsel', 'terimakasih', 'telkomsel', '']</t>
  </si>
  <si>
    <t>['bagus', 'dkrang', 'sring', 'eror', 'diare', 'cek', 'data', 'pakai', 'jga', 'paket', 'darurat', 'potong', 'lipat', 'tolong', 'ralat', '']</t>
  </si>
  <si>
    <t>['telkomsel', 'tarif', 'paketnya', 'murah', 'bnyk', 'promo', 'paket', 'bulannya', 'good', 'job', '']</t>
  </si>
  <si>
    <t>['pulsa', 'ilang', 'plsa', 'paket', 'internet', 'plsa', 'ilang', 'pas', 'cek', 'kemakan', 'biya', 'internet', 'paket', 'intrnet', 'tolong', 'perbaiki']</t>
  </si>
  <si>
    <t>['poin', 'ngga', 'hangus', 'undianpun', 'tipu', 'tipu', 'kasih', 'bonus', 'berbelit', 'belit', '']</t>
  </si>
  <si>
    <t>['beli', 'paket', 'gb', 'youtube', 'tik', 'tok', 'facebook', 'whatsapp', 'rugi', '']</t>
  </si>
  <si>
    <t>['solusi', 'kartu', 'telkomsel', 'serba', 'murah', 'biarin', 'kartunya', 'habis', 'tenggang', 'kasih', 'paham', 'telkomsel', 'operator', 'murah', 'telkomsel', 'hangus', 'semoga', 'operator', 'menetap', 'prioritas']</t>
  </si>
  <si>
    <t>['membantu', 'tpi', 'sayang', 'pengguna', 'setia', 'harga', 'paketan', 'mahal', 'pengguna', '']</t>
  </si>
  <si>
    <t>['bintang', 'paket', 'telkomsel', 'kelewat', 'mahal', 'jaringannya', 'stabil', 'maaf', '']</t>
  </si>
  <si>
    <t>['habis', 'kuota', 'lokal', 'kuota', 'multimedia', 'kuota', 'lokal', 'habis', 'internetan', 'pakai', 'kuota', 'multimedia', 'tanda', 'kuota', 'jeles', 'ngecek', 'mytelkomsel', 'kuota', 'multimedia', 'sya', 'tolong', 'penjelasan']</t>
  </si>
  <si>
    <t>['puas', 'aplikasi', 'memudahkan', 'membeli', 'kuota', 'rumah', 'promonya', 'stiap', 'harii', 'harganya', 'murah', 'meriahh', 'pengen', 'gitu', 'pulsa', 'kuota', 'tolong', 'telkomsel', 'paket', 'darurat', 'pelanggan', 'setiamu', 'bermanfaat', 'kamii', 'sekian', 'terimakasih', '']</t>
  </si>
  <si>
    <t>['rekomendasi', 'bln', 'abis', 'rb', 'kali', 'akitivasi', 'ceria', 'gb', 'rb', 'makasih', 'telkomsel']</t>
  </si>
  <si>
    <t>['udah', 'sinyal', 'lemot', 'udah', 'dibeli', 'kgak', 'dipake', 'gila', 'telkomsel', '']</t>
  </si>
  <si>
    <t>['berharap', 'depen', 'paket', 'murah', 'karana', 'pandemi', 'karna', 'membantu', 'berharap', 'membeli', 'paket', 'murah', 'minimum', 'harga', '']</t>
  </si>
  <si>
    <t>['pelayanan', 'buruk', 'lambat', 'membantu', 'chat', 'duty', 'malamnya', 'menguasai', 'product', 'knowledge', 'jam', 'kemudia', 'balas', 'balasannya', 'tolong', 'check', 'agentnya', 'layak', 'mohon', 'training', 'ulang', 'penguasaan', 'knowledge', '']</t>
  </si>
  <si>
    <t>['halo', 'maaf', 'sya', 'kasi', 'bintang', 'skrg', 'jaringan', 'telkomsel', 'parah', 'sya', 'alasan', 'direspon', 'lelet', 'telkomsel', 'bulanan', 'harga', 'mahal', 'lelet', 'mgkn', 'telkomsel', 'memperbaiki', 'ckup', 'telkomsel', 'kali', 'kecewa', 'pekerjaan', 'melibatkan', 'sinyal', 'kuat', 'lelet', 'mengalami', 'kerugian', 'thankyou', 'mohon', 'dicari', 'solusi']</t>
  </si>
  <si>
    <t>['telkomsel', 'rekomendasi', 'banget', 'deh', 'aplikasi', 'mudah', 'bertransaksi']</t>
  </si>
  <si>
    <t>['maaf', 'tolong', 'jaringan', 'perbaiki', 'terganggu', 'jaringan', 'akurat', 'khusus', 'pemain', 'game', 'percaya', 'telkomsel', 'tolong', 'kecewa', 'udah', 'bayar', 'mahal', 'pelayanan', 'nyaman']</t>
  </si>
  <si>
    <t>['telkomsel', 'paketn', 'hargany', 'selangit', 'cari', 'keuntungan', 'pandemi', 'benahi', 'masalag', 'jaringan', 'konsisten', 'kuliah', 'online', 'pas', 'meet', 'absen', 'suara', 'putus', 'putus', 'tolonglah', 'harga', 'doang', 'mahal', 'kualitas', 'mata', 'melongo', 'liat', 'keuntungan', 'pandemi', 'liat', 'kualitas', 'jaringan', 'yaaaaaaaaaaaaaaaaaaaaa']</t>
  </si>
  <si>
    <t>['pelayanan', 'kecepatan', 'jangkauan', 'luas', 'dibanding', 'provader']</t>
  </si>
  <si>
    <t>['sinyal', 'telkomsel', 'parah', 'bagusnya', 'kayak', 'tetesan', 'air', 'pedalaman', 'ganti', 'provider', 'menikmati', 'jaringan', 'oke', 'ayolah', 'telkomsel', 'provider', 'terbesar', 'knp', 'jaringannya', 'isi', 'dompet', 'tanggal', 'tua', '']</t>
  </si>
  <si>
    <t>['sedkit', 'update', 'sdkit', 'update', 'laload', 'verifikasi', 'sms', 'masuk', 'aplikasi', 'ribet']</t>
  </si>
  <si>
    <t>['dirumah', 'ciseeng', 'kab', 'bogor', 'sinyal', 'koneksi', 'stabil', 'kecepatan', 'turun', 'gampang', 'sedot', 'pulsa', 'paket', 'sgt', 'merugikan', '']</t>
  </si>
  <si>
    <t>['telkomsel', 'lemot', 'pdahal', 'kuota', 'internet', 'msih', 'tolong', 'diperbaiki', 'problemnnya', 'soalnnya', 'sudh', 'langganan', 'telkomsel', 'kali', 'kecewa', 'krna', 'kuota', 'miliki', 'lemot', 'pekerjaan', 'haruh', 'mengutamakan', 'internet', 'bgini', 'trus', 'beralih', 'kartu', '']</t>
  </si>
  <si>
    <t>['jelek', 'apliaksix', 'telkomsel', 'habis', 'update', 'kmaren', 'cek', 'msa', 'berlaku', 'tgal', 'besok', 'cek', 'telkomsel', 'tertulis', 'habisx', 'beres', 'skrang', 'pdhal', 'pemakai', 'telkomsel', 'tpi', 'sekarng', 'buruk', 'sperti', 'sayang', 'pulsa', 'tersedot', 'gara', 'kaya', 'gini', 'telkomsel', 'hbis', 'paketanx', 'cek', 'bsok', 'tanggal', 'bingung', 'perbaiki', 'pelayanan', 'pelanggan', 'puas', 'kaya', 'gini', 'bnyak', 'pelanggan', 'memilih', 'pindah']</t>
  </si>
  <si>
    <t>['tolong', 'telkomsel', 'meningkatkan', 'kualitas', 'jaringan', 'harga', 'paket', 'selangit', 'kualitas', 'jaringan', 'abal', 'jaringan', 'telkomsel', 'udh', 'pindah', 'seluler']</t>
  </si>
  <si>
    <t>['tolong', 'diperbaiki', 'jaringan', 'kesel', 'bangett', 'main', 'game', 'online', 'jaringan', 'stabil', 'gini', '']</t>
  </si>
  <si>
    <t>['sinyal', 'parahhhh', 'telkomsel', 'mengecewakan', 'pengguna', 'youtube', 'oke', 'game', 'lemahh', '']</t>
  </si>
  <si>
    <t>['telkomsel', 'badan', 'usaha', 'milik', 'negara', 'paketannya', 'mahal', 'provider', 'jaringannya', 'lemott', 'banget', 'dikota', 'dipedalaman', 'maklumi', 'telkomsel', 'paketannya', 'mahal', 'udah', 'gitu', 'lemot', 'maaf', 'bicara', 'alami']</t>
  </si>
  <si>
    <t>['mantap', 'sinyal', 'mahal', 'sinyal', 'nggak', 'kayak', 'sebelah', 'smf', 'harganya', 'telkom', 'sinyal', 'lemot', 'mending', 'milih', 'telkom', 'owh', 'telkom', 'tolong', 'buatin', 'paket', 'data', 'kisaran', 'harga', 'dapet', 'gb', 'gimana']</t>
  </si>
  <si>
    <t>['terkait', 'aplikasi', 'aplikasi', 'udah', 'oke', 'kometarin', 'kuota', 'unlimited', 'kuota', 'utama', 'multimedia', 'habis', 'pas', 'buka', 'youtube', 'leletnya', 'main', 'nonton', 'mending', 'hapus', 'promo', 'unlimited', 'boong', 'banget', 'unlimetednya', 'tetep', 'kasih', 'bintang']</t>
  </si>
  <si>
    <t>['jaringan', 'internetnya', 'buruk', 'wilayah', 'ulak', 'jermun', 'kec', 'sirah', 'pulau', 'padang', 'kab', 'ogan', 'komering', 'ilir', 'sumatera', 'selatan', 'tolong', 'bantu', 'jaringannya', 'entar', 'kalah', 'ama', 'provider']</t>
  </si>
  <si>
    <t>['wow', 'apelikasih', 'bagus', 'tolong', 'perbaikan', 'bug', '']</t>
  </si>
  <si>
    <t>['kuota', 'multimedia', 'gimana', 'beli', 'paket', 'kuota', 'multimedia', 'tersedot', 'disitu', 'tertulis', 'penggunaan', 'chat', 'music', 'sosmed', 'youtube', 'buka', 'sosmed', 'nonton', 'video', 'youtube', 'kuota', 'utama', 'kesedot', 'kuota', 'multimedia', 'kesedot', 'kb', 'tolong', 'pencerahannya', 'karna', 'rugi', 'karna', 'kuota', 'multimedia', 'pajangan', '']</t>
  </si>
  <si>
    <t>['ribet', 'aplikasi', 'kadang', 'buka', 'kadang', 'buka', 'uninstal', 'download', 'habisin', 'kuota', 'malhan']</t>
  </si>
  <si>
    <t>['minus', 'bintang', 'matikan', 'kartu', 'pakai', 'kartu', 'halo', 'dipake', 'ttp', 'angsuran', 'bulanan', 'aneh', 'tolong', 'telkomsel', 'review', 'ulang', 'tntg', 'kartu', 'halo', 'membebani', 'lgsng', 'menyusahkan', 'kartu', 'dimatikan', 'gmw', 'sistem', 'prabayar', 'menyusahkan', 'menawarkan', 'manis', 'merubah', 'kartu', 'kartu', 'halo', 'dipake', 'bengkak', 'pdhl', 'pakai', 'rutin', 'pemakaian', 'kena', 'jaringan', 'buruk', 'dlm', '']</t>
  </si>
  <si>
    <t>['jaringan', 'mendukung', 'tolong', 'donk', 'harga', 'paketan', 'hrgnya', 'say', 'pingin', 'langganan', 'gitu', 'tolong', 'dipertimbangkan', 'admin', 'makasih', '']</t>
  </si>
  <si>
    <t>['tolong', 'jaringan', 'perbaiki', 'duitnya', 'udah', 'paket', 'mahal', 'mahal', 'jaringan', 'lelet', 'perbaiki', 'tolong', 'ampas', 'telkomsel', '']</t>
  </si>
  <si>
    <t>['jaringan', 'buruk', 'nyaman', 'memainkan', 'game', 'online', 'kuota', 'unlimitid', 'kuota', 'utama', 'mohon', 'perbaiki', 'jaringan', 'mengecewakan']</t>
  </si>
  <si>
    <t>['sinyl', 'telkomsel', 'beli', 'paket', 'mahal', 'kualitas', 'sinyl', 'buruk', 'perbaiki', 'gini', 'trus', 'bnyk', 'kecewa', 'sma', 'provider', 'gajeee', 'annjjj']</t>
  </si>
  <si>
    <t>['merekomendasikan', 'kartu', 'telkomsel', 'orang', 'pribadi', 'mengalami', 'problem', 'network', 'alasan', 'merekomendasikan', 'kartu', 'telkomsel', 'orang', 'network', 'mengalami', 'problem', 'terimakasih']</t>
  </si>
  <si>
    <t>['beli', 'paket', 'nggak', 'kirim', 'kirim', 'tapipulsa', 'udah', 'sedot', 'kayak', 'gitu', 'beliin', 'rokok', 'duit', '']</t>
  </si>
  <si>
    <t>['harga', 'kuota', 'internet', 'mahal', 'kuota', 'habis', 'lupa', 'mematikan', 'internet', 'pulsa', 'tersedot', 'internet', 'paket', 'telpon', 'mahal', 'menyesal', 'pakai', 'telkomsel', 'terpaksa', 'terlanjur', 'teman', 'simpan', 'nomor']</t>
  </si>
  <si>
    <t>['bobrok', 'penipuan', 'kuota', 'unlimited', 'dicek', 'kuotanya', 'jual', 'unlimited', 'mending', 'provider', 'kuota', 'busuk', '']</t>
  </si>
  <si>
    <t>['assalamualaikum', 'mudah', 'mudahan', 'bermanfaat', 'amin', 'semoga', 'menang', 'undian', 'tukar', 'poin', 'barokalallah', 'wslm']</t>
  </si>
  <si>
    <t>['waahhh', 'aplikasi', 'bagus', 'bangett', 'pokoknya', 'download', 'yaa', '']</t>
  </si>
  <si>
    <t>['pengundian', 'hadiah', 'poin', 'undi', 'real', 'ditayangkan', 'live', 'tukar', 'poin', 'satupun', 'nyangkut', 'hmmmm']</t>
  </si>
  <si>
    <t>['paket', 'sosmednnya', 'paket', 'game', 'aneh', 'telkomsel', '']</t>
  </si>
  <si>
    <t>['ngak', 'niat', 'gimana', 'jaringan', 'lelet', 'login', 'expired', 'udah', 'ber', 'pengguna', 'setia', 'telkomsel', 'kecewa', 'banget', 'asli', 'lelet', 'ngak', 'haurs', 'beli', 'perasaan', 'kualitasnya', 'lihat', 'seminggu', 'kedepannya', 'gimana', 'lelet', 'pindah', 'sebelah', 'murah', 'jaringan', 'stabil', 'kakean', 'bacot', 'blok', 'silahkan', '']</t>
  </si>
  <si>
    <t>['telkomsel', 'kali', 'kecewa', 'ibukota', 'negara', 'republik', 'indonesia', 'jaringan', 'telkomsel', 'jelek', 'buka', 'nunggu', 'menit', 'loadingnya', 'terbuka', 'membosankan', '']</t>
  </si>
  <si>
    <t>['jelek', 'banget', 'suka', 'nge', 'sedot', 'pulsa', 'nggak', 'berlangganan', 'kuota', 'sedot', '']</t>
  </si>
  <si>
    <t>['aplikasi', 'jelek', 'bangetttttttt', 'check', 'kuota', 'kartu', 'hallo', 'tgl', 'minus', 'september', 'tgl', 'tgl', 'dipotong', 'satuhari', 'komsumen', 'dunia', 'komsel', 'untung', 'culas', 'curang', 'giliran', 'telpon', 'kontak', 'centerjawabannya', 'aplikasinya', 'kadang', 'eror', 'coba', 'dihapus', 'instal', 'ulang', 'culas', 'bin', 'curang', 'suruh', 'delete', 'app', 'suruh', 'donlot', 'tolol', 'komsel']</t>
  </si>
  <si>
    <t>['gimana', 'ceritanya', 'sia', 'sia', 'beli', 'paket', 'nelpon', 'pas', 'nelpon', 'pulsa', 'dimakan', 'gaje']</t>
  </si>
  <si>
    <t>['kartu', 'telkomsel', 'beda', 'harga', 'paketan', 'kartu', 'telkomsel', 'simpati', 'dll', 'sampe', 'nyoba', 'beli', 'kali', 'kartu', 'emang', 'beda', 'dibikin', 'beda', 'sekarangpun', 'paket', 'combo', 'sakti', 'unlimited', 'udah', 'mahal', 'gabisa', 'youtube', 'kemaren', 'mengecewakan', '']</t>
  </si>
  <si>
    <t>['cepat', 'stabil', 'cepat', 'lagnya', 'stabil', 'ms', 'mending', 'tutup', '']</t>
  </si>
  <si>
    <t>['membingungkan', 'ngisi', 'susah', 'dibuka', 'aplikasinya', 'nyaman', 'menyulitkan']</t>
  </si>
  <si>
    <t>['sinyalnya', 'kura', 'cptan', 'kura', 'pdhal', 'ibukota', 'payah', '']</t>
  </si>
  <si>
    <t>['paket', 'mahallll', 'sinyal', 'bagus', 'jarang', 'bonus', 'beli', 'ribu', 'miskin', 'telkomsel']</t>
  </si>
  <si>
    <t>['oke', 'banget', 'asyik', 'promo', 'wow', 'thanks', 'for', 'telkomsel']</t>
  </si>
  <si>
    <t>['tolong', 'admin', 'diperbaiki', 'pulsa', 'cek', 'pulsanya', 'udah', 'habis', 'dipake', '']</t>
  </si>
  <si>
    <t>['sayangkan', 'paketan', 'mahal', 'sinyalnya', 'ilang', 'keluarga', 'telkomsel']</t>
  </si>
  <si>
    <t>['telkomsel', 'murah', 'abis', 'tolong', 'perhatikan', 'jaringan', 'desa', 'memakai', 'kartu', 'telkomsel', 'didesa']</t>
  </si>
  <si>
    <t>['jaringan', 'telkomsel', 'koneksi', 'ter', 'buruk', 'jaringan', 'mutar', 'mutar', 'berjam', 'jam', 'menyedihkan', 'telkomsel', 'gudang', 'sampah', 'promosi', 'iklan', 'telkomsel', 'potong', 'pulsa', 'menyesal', 'terlkomsel', 'terpsksa']</t>
  </si>
  <si>
    <t>['operator', 'sialan', 'isi', 'pulsa', 'udah', 'angus', 'nyari', 'duit', 'bener', 'setan', '']</t>
  </si>
  <si>
    <t>['telkomsel', 'kek', 'djancok', 'sinyalnya', 'pdhal', 'hape', 'setia', 'telkomsel', 'mahal', 'tpi', 'koneksi', 'djancok', '']</t>
  </si>
  <si>
    <t>['pakai', 'telkomsel', 'harga', 'kwalitas', 'tpi', 'harga', 'mahal', 'kualitas', 'bgni', 'lemotnya', 'beralih', '']</t>
  </si>
  <si>
    <t>['aplikasinya', 'rusak', 'loading', 'beli', 'paket', 'solusinya', 'ganri', 'ksrtu', 'bye', 'bye', 'sampah']</t>
  </si>
  <si>
    <t>['aplikasi', 'mudah', 'dipakai', 'event', 'berhadiah', 'absen', 'harian', 'terima', 'kasih', 'telkomsel', 'ditambah', 'hadiah', 'event', 'kuotanya', 'semoga', 'jaya', 'barokah', 'sungkan', 'mendownload', 'apk', 'kawan', 'kawan', 'bermanfaat', 'sayangnya', 'jaringan', 'telkomsel', 'stabil', '']</t>
  </si>
  <si>
    <t>['mengeluh', 'paket', 'data', 'telkomsel', 'beli', 'krtu', 'telkomsel']</t>
  </si>
  <si>
    <t>['mengecewakan', 'beli', 'pulsa', 'ribu', 'niat', 'beli', 'telpon', 'gratis', 'berlaku', '']</t>
  </si>
  <si>
    <t>['aplikasi', 'membantu', 'pengguna', 'telkomsel', 'download', 'aplikasinya', 'dptkan', 'kemudahannya', '']</t>
  </si>
  <si>
    <t>['fitur', 'skrensut', 'mesti', 'upload', 'aplikasi', 'loading', 'gagal', 'menuh', 'menuhin', 'fungsinya', 'noll', 'sesuai', 'harga']</t>
  </si>
  <si>
    <t>['bintang', 'pas', 'main', 'game', 'jaringan', 'telkomsel', 'jalan', 'macet', 'apalah', 'gitu', 'data', 'mb', 'nyalakan', 'mode', 'pesawat', 'matikan', 'login', 'game', 'jalan', 'rusak', 'jaringan', 'mohon', 'respon', 'sekian', 'terimakasih', '']</t>
  </si>
  <si>
    <t>['tampilan', 'jujur', 'nyaman', 'enakan', 'upgrade', 'paketan', 'enak', 'kartu', 'mah', 'mahal', 'beli', 'kartu', 'simpati']</t>
  </si>
  <si>
    <t>['bonus', 'kuota', 'murah', 'karna', 'pulsa', 'isi', 'sesuai', 'harga', 'tertera', 'pas', 'udah', 'isi', 'pas', 'panggil', 'sytem', 'sibukk', 'meresahkan', 'sia', 'gua', 'isi', 'pulsa']</t>
  </si>
  <si>
    <t>['habis', 'bayar', 'tunggakan', 'katu', 'paska', 'bayar', 'kartu', 'terimakasih', 'telkomsel']</t>
  </si>
  <si>
    <t>['paket', 'gua', 'beli', 'hilang', 'extra', 'unlimited', 'sampe', 'internet', 'sakti', 'hilang', 'paket', 'whort', 'dibeli', 'menurutku', 'tolong', 'gua', 'cuman', 'pengen', 'internet', 'sakti', 'kartu']</t>
  </si>
  <si>
    <t>['woooy', 'telkomsel', 'perbaikilah', 'sinyal', 'pura', 'pura', '']</t>
  </si>
  <si>
    <t>['tolong', 'jaringannya', 'perkencang', 'daerah', 'lemot', 'mulu']</t>
  </si>
  <si>
    <t>['kenyamanan', 'kemudahan', 'membeli', 'menstrasfer', 'suka', 'hadiah', 'disitu', 'ditukar', 'paket', 'internet', 'terjamin']</t>
  </si>
  <si>
    <t>['paket', 'tersesia', 'beli', 'trus', 'internet', 'pulsa', 'abis', 'pas', 'periksa', 'paket', 'terbeli', 'terbeli', 'aneh']</t>
  </si>
  <si>
    <t>['paketan', 'blm', 'masuk', 'pembayaran', 'gopay', 'paketan', 'blm', 'masuk']</t>
  </si>
  <si>
    <t>['baiklah', 'nga', 'bicara', 'harapkan', 'jngn', 'menipu', 'permainkan', 'orang', 'jngn', 'mahal', 'paketnya', '']</t>
  </si>
  <si>
    <t>['nyaman', 'hallo', 'kualitas', 'buruk', 'bintang', 'turun', 'kelevel', 'klw', 'dikasih', 'bintang']</t>
  </si>
  <si>
    <t>['sesuai', 'produk', 'paket', 'kartu', 'telkomsel', 'membeli', 'paket', 'combo', 'sakti', 'jam', 'layanan', 'terima', 'telkomsel', 'mengecewakan']</t>
  </si>
  <si>
    <t>['susah', 'banget', 'loginya', 'sdah', 'pke', 'email', 'sms', 'google', 'masuk', 'apaansih', 'padahl', 'dftrnx', 'puas', 'tpi', 'giliran', 'masuk', 'tolong', 'perbaiki', 'min', '']</t>
  </si>
  <si>
    <t>['logika', 'mytelkomsel', 'mudah', 'mencari', 'informasi', '']</t>
  </si>
  <si>
    <t>['parah', 'non', 'aktifkan', 'paket', 'ekstra', 'kuota', 'paket', 'utama', 'ikutan', 'non', 'aktifkan', 'ngerti', 'sistemnya', 'mending', 'kartu', 'disebelah', 'pelayanannya', 'bayar', 'mahal', 'pelayanan', 'kaya', 'buruk', 'mengecewakan', 'fikir', 'pakai', 'layanan', 'rekomendasikan', '']</t>
  </si>
  <si>
    <t>['update', 'masuk', 'account', 'pelanggan', 'kecewa', 'terima', 'kasih', '']</t>
  </si>
  <si>
    <t>['memuaskan', 'appnya', 'update', 'memperkuatkan', 'keamanan', 'sistemnya', 'telkomsel', 'mohon', 'lihat', 'versi', 'kebawah', 'kebanyak', 'mendukung', 'app', '']</t>
  </si>
  <si>
    <t>['membantu', 'belajar', 'daring', 'paket', 'murah', 'dibeli', 'mytelkomsel', '']</t>
  </si>
  <si>
    <t>['update', 'udah', 'byk', 'bug', 'perbaiki', 'app', 'nye', 'cek', 'paket', 'susah', '']</t>
  </si>
  <si>
    <t>['telkomsel', 'aneh', 'isi', 'pulsa', 'notifikasi', 'pulsa', 'masuk', 'dicek', 'aplikasi', 'pulsa', 'terpotong', 'blum', 'pakai']</t>
  </si>
  <si>
    <t>['aplikasi', 'pelangan', 'telkomsel', 'susah', 'buka', 'aplikasi', 'hapus', 'data', 'tersimpan', 'aplikasi', 'buka', 'aplikasi', 'kosong', 'aplikasi', 'download', '']</t>
  </si>
  <si>
    <t>['terkadang', 'pas', 'buka', 'apknya', 'pulsanya', 'terkadang', 'berkurang', 'gitu', 'kah', '']</t>
  </si>
  <si>
    <t>['mohon', 'maaf', 'kasih', 'bintang', 'alasan', 'kemarin', 'isi', 'pulsa', 'barusan', 'logout', 'aplikasi', 'telkomsel', 'login', 'pulsa', 'hangus', 'aplikasi', 'telkomsel', 'berbayar', 'login', 'kejadian', 'dicurangi', 'pulsa', 'perusahaan', 'pulsa', 'mohon', 'penjelasannya', '']</t>
  </si>
  <si>
    <t>['make', 'telkomsel', 'kali', 'sinyal', 'internet', 'lelet', 'kecewa', 'telkomsel', 'tolong', 'diperbaiki', 'cari', 'keuntungan', 'fasilitas', 'minim', '']</t>
  </si>
  <si>
    <t>['kouta', 'udah', 'mahal', 'knp', 'jaringan', 'suka', 'error', 'mohon', 'perhatian', 'setau', 'telkomsel', 'jaringan', 'bagus', 'akir', 'parah', 'kali', 'knp', '']</t>
  </si>
  <si>
    <t>['telkomsel', 'sinyal', 'gangguan', 'kekuatan', 'sinyal', 'internet', 'setabil', 'emosi', 'kadang']</t>
  </si>
  <si>
    <t>['suka', 'aneh', 'telkomsel', 'pesan', 'selamat', 'pulsa', 'rb', 'cek', 'apk', 'bener', 'rb', 'riwayat', 'pas', 'belikan', 'paket', 'php', 'namanya', 'udah', 'ngarep', 'sadboy']</t>
  </si>
  <si>
    <t>['kuota', 'mahal', 'jaringan', 'hilang', 'harga', 'sampe', 'ngotak']</t>
  </si>
  <si>
    <t>['barusan', 'beli', 'combo', 'sakti', 'unlimited', 'mytelkomsel', 'jam', 'masuk', 'duit', 'terpotong', 'rb', 'gimana', 'telkomsell', '']</t>
  </si>
  <si>
    <t>['sllu', 'suka', 'telkomsel', 'terbaik', 'sukses', 'telkomsel']</t>
  </si>
  <si>
    <t>['fasilitas', 'daily', 'check', 'ngaco', 'berkali', 'kali', 'klaim', 'hadiah', 'gagal', 'hadiah', 'terklaim', 'masuk', '']</t>
  </si>
  <si>
    <t>['kuota', 'gamemax', 'gue', 'pakek', 'nyedot', 'kuota', 'flash', 'buang', 'buang', 'duit', 'dasar', 'kntl']</t>
  </si>
  <si>
    <t>['tolong', 'telkomsel', 'rumah', 'gaada', 'sinyal', 'broadband', 'terluas', 'rumah', 'komplek', 'perumahan', 'gunung', 'perbaiki', '']</t>
  </si>
  <si>
    <t>['app', 'bagus', 'kadang', 'sinyal', 'jelek', 'pakai', 'telkomsel', 'pelayanan', 'pemakaian', 'terbaik', 'provider', 'seluler']</t>
  </si>
  <si>
    <t>['unsur', 'penipuan', 'relkomsel', 'harga', 'palet', 'pulsa', 'habis', 'kualitas', 'jaringan', 'menurun', '']</t>
  </si>
  <si>
    <t>['beli', 'paket', 'aktifnya', 'pilih', 'provider', 'mahal', 'lancar', 'jaya', 'pelayanannya', 'jelek', 'rugi', 'biaya', 'materiil', 'laen', 'dahlah', 'capek', 'bener', 'pelayanan', 'telkomsel', '']</t>
  </si>
  <si>
    <t>['maaf', 'edit', 'bintangnya', 'kecewa', 'jaringan', 'internet', 'lelet', 'banget', 'tolong', 'diperbaiki', 'ratingnya', 'bintang', '']</t>
  </si>
  <si>
    <t>['telkomsell', 'jaringannya', 'beres', 'hbis', 'belii', 'paketan', 'ojolll', 'jaringannya', 'lemot', 'minya', 'ampun', 'beli', 'paketan', 'lainn', 'hadehhh', 'perbaiki', 'donkkk', 'jngan', 'untung', 'doang', 'pikirin']</t>
  </si>
  <si>
    <t>['telkomsel', 'mengecewakan', 'kuota', 'utama', 'main', 'game', 'nggak', 'liat', 'youtube', 'lancarnya', 'giliran', 'main', 'game', 'loading', 'mulu', 'kuota', 'mahal', 'kecepatan', 'kalah', '']</t>
  </si>
  <si>
    <t>['telkomsel', 'nyedot', 'pulasa', 'isi', 'pls', 'rb', 'pagi', 'cek', 'siang', 'tinggal', 'rp', 'internetan', 'bel', 'sms', 'malas', 'tlkomsel', '']</t>
  </si>
  <si>
    <t>['aplikasi', 'penipu', 'poin', 'tukar', 'paket', 'internet', 'pulsa', 'bohong', 'anjink', 'promo', 'murah', 'harga', 'mahal', 'anyink', 'aplikasi', 'haram', 'loe', 'makan', 'data', 'gue', 'admin', 'anjinkkkkk']</t>
  </si>
  <si>
    <t>['', 'saran', 'sisa', 'kuota', 'periode', 'hangus', 'akumulasi', 'pengisian', 'kuota', 'perusahaan', 'telkomsel', 'berkah', 'kuota', 'apps', 'memotong', 'kuota', 'utama', 'potong', 'langsung', 'kuota', 'apps', 'adil', 'pelanggan', 'pelanggan', 'keistimewaan', 'telkomsel', 'kecewaa', '']</t>
  </si>
  <si>
    <t>['kecewa', 'penggunaan', 'data', 'kuota', 'cepat', 'habisnya', 'menggunaannya', 'standar', 'sinyal', 'ngeleg', 'stabil', 'kadang', 'putus', 'nyambung', 'putus', 'semoga', 'membantu', 'meningkatkan', 'pelayanan']</t>
  </si>
  <si>
    <t>['gratis', 'disney', 'hotstar', 'login', 'memiliki', 'kode', 'masuknya', 'mohon', 'bantuannya', 'terimakasih']</t>
  </si>
  <si>
    <t>['gangguan', 'sinyal', 'jelek', 'puas']</t>
  </si>
  <si>
    <t>['telkomsel', 'buatannya', 'harganya', 'doang', 'mahal', 'sepadan', 'kualitas', 'jaringannya', '']</t>
  </si>
  <si>
    <t>['telkomsel', 'kualitasnya', 'menurun', 'yaa', 'udah', 'kali', 'isi', 'paket', 'data', 'masuk', 'jaringan', 'lemot', 'paketnya', 'harga', 'mahal', 'kualitas', 'jelek', 'semoga', 'telkomsel', 'berkembang', 'bagus', 'kedepannya', 'costumer', 'setia', 'telkomsel', 'pindah', 'provider', 'thx']</t>
  </si>
  <si>
    <t>['ditempat', 'kampung', 'halaman', 'jaringan', 'tsel', 'jelek', 'sinyal', 'provider', 'coba', 'petinggi', 'lapangan', 'tsel', 'tenggok', 'pegatan', 'katingan', 'kuala', 'kalteng', 'cobalah', 'perbaikin', '']</t>
  </si>
  <si>
    <t>['tolong', 'bantu', 'paket', 'combo', 'unlimited', 'ribu', 'gb', 'ekstra', 'unlimited', 'diakan', 'membantu', 'tolong', 'hapus', 'paket', 'min', '']</t>
  </si>
  <si>
    <t>['kuotanya', 'cepat', 'habis', 'ngga', 'masuk', 'akal', 'profider', 'telkomsel', 'speed', 'kuotanya', 'cepat', 'hisap', 'giga', 'cma', 'ludes', 'dlu', 'giga', 'sebulan', 'unyuk', 'habisin', 'giga', 'dimanakah', 'nurani', 'telkomsel', 'pandemi', '']</t>
  </si>
  <si>
    <t>['paket', 'internet', 'mahal', 'mahal', 'pengguna', 'murah', 'murah', 'gua', 'pindah', '']</t>
  </si>
  <si>
    <t>['paketan', 'mahal', 'kualitas', 'koq', 'abal', 'dikit', 'loading', 'dikit', 'loading', 'teramat', 'mengecewakan', 'lintah', 'darat', 'suka', 'nyedot', 'pulsa', 'pemberitahuan', 'bangke', 'kali', 'kau', 'telkomsel', '']</t>
  </si>
  <si>
    <t>['informasi', 'pulsa', 'paket', 'data', 'promo', 'menarik', 'membantu']</t>
  </si>
  <si>
    <t>['pling', 'setia', 'telkomsel', 'kanapa', 'sinyalnya', 'bosok', 'pdhal', 'kuota', '']</t>
  </si>
  <si>
    <t>['harganya', 'berubah', 'beli', 'paket', 'sebuan', 'harganya', 'harga', 'anehnya', 'paket', 'sehat', 'harganya', 'gila', 'boss', '']</t>
  </si>
  <si>
    <t>['aduh', 'gmna', 'telkom', 'ane', 'isi', 'paketan', 'gojek', 'isi', 'rb', 'sisa', 'rb', 'knapa', 'abis', 'dikuras', 'smuanya', 'emng', 'salah', 'ane', 'ampe', 'digerus', 'duit', 'sisa', 'oke', 'laah', 'ane', 'ambil', 'paketan', 'utang', 'potong', 'sisa', 'kmna', 'lari', 'ane', 'ampe', 'bingung', 'ama', 'telkom', 'utang', 'kaga', 'duit', 'lenyap', 'mohon', 'baca', 'terima', 'kasih', 'telkom', '']</t>
  </si>
  <si>
    <t>['beli', 'kuota', 'ketengan', 'pakai', 'sisa', 'pulsa', 'kesedot', 'beli', 'kuota', 'gamemax', 'pakai', 'rugi', '']</t>
  </si>
  <si>
    <t>['jaringannya', 'diperbaiki', 'kadangkala', 'suaranya', 'hilang', 'menyambung', 'ulang', 'terimakasih', '']</t>
  </si>
  <si>
    <t>['telkomsel', 'cek', 'pulsa', 'paket', 'transaksi', 'terahir', 'ngk', 'kaya', 'muter', 'ceknya', 'telkomsel', 'hpku', 'kusus', 'tlpn', 'jadul', 'dulukan', 'cek', 'transaksi', 'cek', 'pulsa', 'cek', 'bonus', 'cepet', 'langsung', 'ngk', 'muter', 'kaya', 'mala', 'suru', 'nunggu', 'sms', 'masukanku', 'balikin', 'kaya', 'gampang', 'orang', 'tua', 'jadul', 'sumpah', 'telkomsel', 'oke', 'cek', 'pulsa']</t>
  </si>
  <si>
    <t>['gimana', 'kak', 'beli', 'kouta', 'internet', 'masuk', 'kouta', 'tolong', 'perbaiki', 'kek', 'gini', 'habis', 'pulsa', 'rugi', 'cuman', 'karna', 'kouta', 'rugi']</t>
  </si>
  <si>
    <t>['ilang', 'ilangan', 'sinyalnya', 'berasa', 'beli', 'paket', 'mahal', 'mahal', '']</t>
  </si>
  <si>
    <t>['permisi', 'nanya', 'kuota', 'game', 'kusus', 'free', 'fire', 'kaga', 'gunain', 'login', 'free', 'fire', 'kaga', 'kasih', 'bintang', 'dlu', 'terima', 'kasih', '']</t>
  </si>
  <si>
    <t>['kenal', 'telkomsel', 'sinyal', 'ngebut', 'skrng', 'udh', 'berbeda', 'sinyal', 'lelet', 'lemot', 'game', 'patah', 'giliran', 'harga', 'paket', 'mahal', 'trusss', 'giliran', 'kualitas', 'sinyal', '']</t>
  </si>
  <si>
    <t>['telkomsel', 'kesini', 'harganya', 'meroket', 'kecepatan', 'berkurang', '']</t>
  </si>
  <si>
    <t>['aplikasi', 'beli', 'paket', 'aplikasi', 'error', 'mulu', 'beli', 'update', 'aplikasinya', 'bodoh', 'aplikasi', 'cacat']</t>
  </si>
  <si>
    <t>['kemarin', 'beli', 'paket', 'trus', 'paket', 'habis', 'pas', 'beli', 'lalod', 'jaringannya', 'buset', 'udah', 'mahal', 'lalod', 'ampun', 'bet']</t>
  </si>
  <si>
    <t>['kasih', 'saran', 'aza', 'mhon', 'maaf', 'blumnya', 'komplin', 'nich', 'telkomsel', 'medsos', 'beli', 'paket', 'data', 'harga', 'mhal', 'trs', 'sinyal', 'klau', 'hujan', 'stabil', 'hilang', 'muncul', 'operator', 'telkomsel', 'kya', 'operator', 'toko', 'online', 'bnyak', 'iklan', 'mhon', 'koreksi', 'pelagan', '']</t>
  </si>
  <si>
    <t>['beli', 'pulsa', 'nggk', 'masuk', 'nomor', 'udah', 'counter', 'udah', 'sukses', 'masuk', 'jugaaaa', 'untung', 'cmn', 'rb', 'doang', 'ayo', 'telkomsel', 'semangat', 'hueeee', 'rb', 'kuuuu', 'cmn', 'rb', 'uang', 'permen', '']</t>
  </si>
  <si>
    <t>['jaringan', 'telkomsel', 'terbaik', 'indonesia', 'kenyataan', 'hadapi', 'buruk', 'apknya', 'kura', 'sigap', 'tanggapan', 'tolong', 'profesional']</t>
  </si>
  <si>
    <t>['semoga', 'berkembang', 'sinyal', 'perbaiki', 'terimakasih']</t>
  </si>
  <si>
    <t>['ngecek', 'hisa', 'suruh', 'perbaharui', 'diperbaharui', 'muter', 'trs', 'ngecek', 'lwt', 'trs', 'bingung', 'ngecek', 'pulsa', 'mesti', 'kmn', '']</t>
  </si>
  <si>
    <t>['suka', 'layanan', 'telkomsel', 'semoga', 'kedepannya', 'jaringan']</t>
  </si>
  <si>
    <t>['', 'kemarin', 'bli', 'paket', 'internet', 'koq', 'bsa', 'gangguan', 'sistem', 'perbaiki', '']</t>
  </si>
  <si>
    <t>['maaf', 'ngak', 'ngasih', 'bintang', 'terpaksa', 'mahal', 'kali', 'harga', 'kuaota', 'kayaknya', 'kalah', 'jauuuuh', 'deh', 'ama', 'im', '']</t>
  </si>
  <si>
    <t>['aplikasi', 'payah', 'udah', 'masukin', 'nomor', 'telepon', 'trus', 'link', 'verifikasi', 'dikirimkan', 'sms', 'sms', 'masuk', 'masuk', 'udah', 'coba', 'berkali', 'kali', 'terkirim', 'sms', 'coba', 'masuk', 'email', 'payah', 'emang', 'aplikasi', 'log', 'dipersulit', 'payah', 'payah', 'kasih', 'rating', 'bintang', '']</t>
  </si>
  <si>
    <t>['paket', 'bulanan', 'kartu', 'mahal', 'zaman', 'susah', 'gais', 'suasana', 'covid', 'pekerjaan', '']</t>
  </si>
  <si>
    <t>['beli', 'kuota', 'nggak', 'emng', 'parah', 'update', 'parah']</t>
  </si>
  <si>
    <t>['praktis', 'mudah', 'beli', 'paket', 'tersedia', '']</t>
  </si>
  <si>
    <t>['kacau', 'niiiih', 'telkomsel', 'kuota', 'data', 'bnyak', 'motong', 'pulsa', 'tarif', 'rampok', '']</t>
  </si>
  <si>
    <t>['telkomsel', 'mengalami', 'kehilangan', 'jaringan', 'nyaman', 'karen', 'bermain', 'game', 'sinyal', 'hilang', 'hilang', 'tolong', 'perbaiki', 'secepatnya', 'jaringan', 'telkomsel', '']</t>
  </si>
  <si>
    <t>['kasih', 'bintang', 'tpi', 'lemotnya', 'ketolongan', 'muter', 'gembar', 'gemborin', 'jaringan', 'lemotnya']</t>
  </si>
  <si>
    <t>['mahal', 'beda', 'nomer', 'beda', 'promo', 'ngga', 'disamain', 'samasama', 'pengguna', 'telkomsel']</t>
  </si>
  <si>
    <t>['sinyal', 'internet', 'kampung', 'tonggoh', 'citeureup', 'bogor', 'lemot', 'tetangga', 'pindah', 'operator', 'karna', 'lelet']</t>
  </si>
  <si>
    <t>['paket', 'internetnya', 'opsinya', 'bulanan', 'mencoba', '']</t>
  </si>
  <si>
    <t>['mengecewakan', 'paket', 'habis', 'membeli', 'paket', 'cek', 'paket', 'sisah', 'pulsa', 'tersedot', 'paket', 'jaringan', 'jaringan', 'mengecewakan', 'buka', '']</t>
  </si>
  <si>
    <t>['merekomendasikan', 'masyarakat', 'indonesia', 'menginstal', 'apk', 'apk', 'telkomsel', 'membantu']</t>
  </si>
  <si>
    <t>['', 'telkomsel', 'suka', 'moga', 'beruntung', 'hadiah', 'undian', 'telkomsel', 'pelanggan', 'setia', 'telkomsel', 'tks']</t>
  </si>
  <si>
    <t>['beli', 'kouta', 'beli', 'gagal', 'sinyal', 'gpp', 'kenceng', 'pas', 'masuk', 'aplikasi', 'eror', 'aplikasi', 'udh', 'upgred', 'versi', 'terbaru', 'tetep', 'pulsa', 'jga']</t>
  </si>
  <si>
    <t>['klu', 'orang', 'udah', 'terdaftar', 'nda', 'susahkan', 'orang', 'masuk', 'login', 'astagaa', 'dihp', 'suami', 'naudzubillah', 'nda', 'masuk', 'dialihkan', 'operamini', 'http', 'innalillah', 'pengalaman', 'dilain', 'klu', 'awalan', 'disusahkan', 'ambruk', 'iihhhh', 'malaasss', 'donwload', '']</t>
  </si>
  <si>
    <t>['bagus', 'menambah', 'fitur', 'memudahkan', 'gamers', 'membeli', 'uang', 'game', 'mendapati', 'fitur', 'pembelian', 'game', 'call', 'duty', 'mobile', 'sekian', 'salam', 'hangat', 'papua', 'terima', 'kasih', '']</t>
  </si>
  <si>
    <t>['mohon', 'sinyal', 'perkuat', 'daerah', 'sinyal', 'telkomsel', 'stabil', 'berubah', 'mematikan', 'data', '']</t>
  </si>
  <si>
    <t>['layanan', 'magic', 'call', 'tolongla', 'paket', 'nelpon', 'permenit', 'doang', 'perak', 'paket', 'jam', 'rupiah', 'gitu', 'pelanggan', 'telkomsel', 'nyaman']</t>
  </si>
  <si>
    <t>['tolong', 'promo', 'alfamart', 'indomaret', 'karna', 'hamppir', 'dsetiap', 'daerah', '']</t>
  </si>
  <si>
    <t>['sinyal', 'telkomsel', 'memburuk', 'sinyal', 'korban', 'beli', 'kuota', 'stabil', 'dipakai', '']</t>
  </si>
  <si>
    <t>['cuman', 'pandemi', 'berakhirr', 'kasihan', 'org', 'diluar', 'susah', 'cari', 'sesuap', 'nasi', 'kebutuhan', 'keluarganyaa', 'ujian', 'tuhan', 'kayak', 'pemerintahan', 'atur', 'yahh', 'hmm', 'kasihan', 'negara', 'jajah', 'pemerintahan']</t>
  </si>
  <si>
    <t>['sms', 'tsel', 'promo', 'suruh', 'download', 'telkomsel', 'log', 'nomerku', 'dapet', 'pulsa', 'gratis', 'telf', 'sms', 'giliran', 'udah', 'didownload', 'log', 'sms', 'paket', 'pulsa', 'rp', 'aktif', 'berlaku', 'tgl', 'pkl', 'wib', 'cek', 'status', 'berhenti', 'berlangganan', 'telkomsel', 'apps', 'hub', 'info', 'giliran', 'dicoba', 'telf', 'ngga', 'sms', 'ngga', 'cek', 'ngga', 'dicek', 'pulsa', 'tetep', 'tolong', 'maksutnya', 'gimana', '']</t>
  </si>
  <si>
    <t>['daerah', 'ketapang', 'blm', 'terjangkau', 'telkomsel', 'pergi', 'keliling', 'ktp', 'kadang', 'harua', 'hilang', 'sinyal', '']</t>
  </si>
  <si>
    <t>['pelanggan', 'telkomsel', 'kecewa', 'jaringan', 'buruk', 'bedara', 'kota', 'paketan', 'beli', 'rb', 'mohon', 'diperbaiki', 'dinaikin', 'harganya', 'mulu', '']</t>
  </si>
  <si>
    <t>['memiliki', 'kuota', 'internet', 'gb', 'kuota', 'nonton', 'knp', 'pas', 'buka', 'internet', 'dipakai', 'pulsa', 'kesedot', 'aktifnya', 'tolong', 'knp', 'mengecewakan']</t>
  </si>
  <si>
    <t>['gimana', 'beli', 'paket', 'dibayar', 'paketnya', 'sampe', 'udah', 'jam', 'tolong', 'diperbaiki', 'systemnya', 'merugikan', '']</t>
  </si>
  <si>
    <t>['fitur', 'akumulasi', 'kuota', 'telkomsel', 'fitur', 'harha', 'paket', 'mahal', 'fitur']</t>
  </si>
  <si>
    <t>['gua', 'barusan', 'beli', 'paket', 'unlimited', 'utama', 'metode', 'pembayaran', 'gopay', 'udh', 'berhasil', 'pembayaran', 'gopaynya', 'paket', 'unlimited', 'gajelas', 'tolonglah', 'perbakin', '']</t>
  </si>
  <si>
    <t>['pulsa', 'hilang', 'kecewa', 'telkomsel', 'sinyal', 'buruk', 'pulsa', 'suka', 'hilang', 'berlangganan', 'internet', 'apapun', 'pelajar', 'membeli', 'kuota', 'beli', 'kuota', 'daya', 'daring', 'pakai', 'pakai', 'centong', 'tolonglah', 'hilang', 'pulsa', 'beli', 'kuota', 'gb', 'daring', 'tolong', 'fitur', 'pengaman', 'pulsa', '']</t>
  </si>
  <si>
    <t>['telkomsel', 'mahal', 'tolong', 'harga', 'kuota', 'murahin', 'promo', 'perbanyak', 'sinyal', 'sinyal', 'jelek', 'full', 'youtube', 'lemot', 'tolong', 'operator', 'segara', 'perbaiki', 'terima', 'kasih', '']</t>
  </si>
  <si>
    <t>['mhon', 'diperhatikan', 'telkomsell', 'pulsa', 'sya', 'hilang', 'sya', 'beli', 'paket', 'pulsa', 'kepotong', 'paketnya', 'masuk', 'jam', 'malam', 'otaklah', 'boss', 'nguras', 'duit', 'kunsumen', 'kerjaannya', '']</t>
  </si>
  <si>
    <t>['tanggal', 'september', 'koneksi', 'internet', 'telkomsel', 'bermasalah', 'buka', 'aplikasi', 'game', 'tolong', 'cepat', 'perbaiki']</t>
  </si>
  <si>
    <t>['membeli', 'paket', 'internet', 'bayar', 'paketnya', 'masuk', 'masuk', 'maaf', 'kasih', 'bintang', 'udah', 'masuk', 'kasih', 'bintang', '']</t>
  </si>
  <si>
    <t>['paket', 'datanya', 'mahal', 'pelyanan', 'bagus', 'ngehenk', 'harga', 'sesuai', 'kualitas', 'sinyal', 'bnyk', 'eror', '']</t>
  </si>
  <si>
    <t>['eror', 'pas', 'paketnya', 'mahal', 'kartu', 'hidupin', 'data', 'sedetikpun', 'pulsa', 'habis', 'banget', 'kecewa', 'pelayanan', 'telkomsel']</t>
  </si>
  <si>
    <t>['maaf', 'kasih', 'bintang', 'sinyal', 'rumah', 'bagus', 'fitur', 'bagus', 'bayar', 'pakai', 'pulsa', 'pas', 'beli', 'paket', 'malam', 'rb', 'metode', 'pembayaran', 'coba', 'tolong', 'diperbaiki', 'bug']</t>
  </si>
  <si>
    <t>['kecewa', 'telkomsel', 'ganti', 'simpati', 'halo', 'validasinya', 'tgl', 'sampe', 'agts', 'aktif', 'kartu', 'ktnya', 'langsung', 'dipake', 'pdhl', 'kuota', 'sisa', 'simpati', 'msh', 'gb', 'nelp', 'sms', 'ato', 'telp', 'sms', 'masuk', 'nomer', 'aktif', 'tolong', 'telkomsel', 'aktifin', 'kartu', 'sayanya', 'lieur', 'sugan', 'tagihan', 'udah', 'muncul', '']</t>
  </si>
  <si>
    <t>['tgl', 'beli', 'paket', 'combo', 'sakti', 'mytelkomsel', 'otomatis', 'bertambah', 'kuota', 'smpe', 'skrng', 'blm', 'bertambah', 'kuota', 'hub', 'info', 'tunggu', 'jam', 'max', 'beli', 'kuota', 'iya', 'nunggu', 'mohon', 'diperbaiki', 'mksh', 'byk']</t>
  </si>
  <si>
    <t>['', 'pakai', 'aplikasi', 'bagus', 'mudah', 'memuaskan', 'history', 'pengisian', 'pulsa', 'aplikasi', 'lihatnya', 'menu', 'info', 'menu', 'inbox', 'tpi', 'inbox', 'informasi', 'butuhkan', 'disuruh', 'update', 'aplikasinya', 'terbaru', 'disuruh', 'forceclose', 'remove', 'cache', 'hasilnya', 'lihat', 'history', 'pengisian', 'pulsanya', 'mhn', 'bantu', 'tks', '']</t>
  </si>
  <si>
    <t>['telkolmsel', 'eror', 'kah', 'beli', 'paket', 'hadeh', '']</t>
  </si>
  <si>
    <t>['susah', 'gini', 'persusah', 'beli', 'kouta', 'kuotanya', 'kirim', 'bodo', 'ogah', 'email', '']</t>
  </si>
  <si>
    <t>['niat', 'beli', 'paket', 'via', 'mytelkomsel', 'pulsa', 'beli', 'paket', 'kepotong', 'gara', 'akses', 'mytelkomsel', 'anying', 'nyari', 'duit', 'susah', 'semudah', 'menipu', 'orang', 'beres', 'kerjanya', 'mending', 'ngundurin', 'nambah', 'dosa', '']</t>
  </si>
  <si>
    <t>['gimana', 'udah', 'beli', 'paket', 'bayar', 'dana', 'paket', 'kuota', 'masuk', '']</t>
  </si>
  <si>
    <t>['pulsa', 'kartu', 'telkomsel', 'sedot', 'truss', 'langganan', 'pulsa', 'habis', 'truss', 'ngalamin', 'pengguna', 'kartu', 'telkomsel', 'habis', 'sedot', 'pulsa', 'alasan', 'langganan', 'langganan', 'meresah', 'kartu', 'telkomsel']</t>
  </si>
  <si>
    <t>['telkomnyet', 'ambil', 'paket', 'susah', 'sumpah', 'telkomnyet', 'udah', 'susah', 'jaringan', 'ngambil', 'paket', 'eror', 'gini', 'gua', 'saranin', 'ganti', 'kartu']</t>
  </si>
  <si>
    <t>['sinyal', 'suka', 'hilang', 'koneksi', 'stabil', 'provider', 'tingkat', 'bangkrut', 'kali', 'ngasih', 'pelayanan', 'parah', 'payahhhh', 'payaahhhhh']</t>
  </si>
  <si>
    <t>['jaringan', 'buruk', 'pas', 'mati', 'listrik', 'giliran', 'listrik', 'nyala', 'sudh', 'sudh', 'adukan', 'perbaikan', 'make', 'telkom']</t>
  </si>
  <si>
    <t>['tampilan', 'udah', 'oke', 'lemot', 'sempurna', 'makan', 'ram', 'kreasi', 'developer', 'komen', 'tombol', 'daftarnya', 'disuruh', 'daftar', 'login', 'akun', 'nomor', 'tersedia', '']</t>
  </si>
  <si>
    <t>['jujur', 'minggu', 'kecewa', 'telkomsel', 'sinyal', 'internetnya', 'bener', 'parah', 'nga', 'masuk', 'aplikasi', 'telkomsel', 'tolong', 'donk', 'bantu', 'nyaman', 'setia', 'terkomsel', 'terimakasih']</t>
  </si>
  <si>
    <t>['terpaksa', 'karto', 'halo', 'prioritas', 'sinyal', 'susah', 'banget', 'tinggal', 'serpong', 'kota', 'rumah', 'dpt', 'sinyal', 'internet', 'rumah', 'tingkatkan', 'jaringanmu', '']</t>
  </si>
  <si>
    <t>['harga', 'paket', 'internetnya', 'mahaaaal', 'beda', 'kartu', 'beda', 'beda', 'harga', 'paket', 'data', 'pelanggan', 'setia', 'telkomsel']</t>
  </si>
  <si>
    <t>['very', 'bad', 'beli', 'paket', 'pulsa', 'langsung', 'kepotong', 'ribu', 'kecewa', 'simpati', '']</t>
  </si>
  <si>
    <t>['puas', 'layanan', 'telkomsel', 'terkadang', 'akses', 'jaringan', 'terkadang', 'gangguan', 'program', 'kartu', 'telkomsl', 'telkomsel', 'puas', 'dngan', 'program', '']</t>
  </si>
  <si>
    <t>['membantu', 'membeli', 'kuota', 'murah', 'good', 'job']</t>
  </si>
  <si>
    <t>['kyk', 'telkomsel', 'beli', 'paketan', 'ndak', 'bsa', 'dri', 'kmren', 'jaringan', 'sruh', 'coba', 'ndak', 'bsa', 'sya', 'hapus', 'aplikasinya', 'udh', 'sya', 'hapus', 'sya', 'instal', 'ttp', 'kyk', '']</t>
  </si>
  <si>
    <t>['min', 'pembayaran', 'wallet', 'hilang', 'merugi', 'konsumen', 'tolong', 'diperbaiki', 'secepat', 'bintang', 'kerena', 'pembayaran', 'wallet', 'hilangkan', 'sangant', 'kecewa', '']</t>
  </si>
  <si>
    <t>['', 'aplikasi', 'perangkat', 'berhenti', 'google', 'berhenti', 'playstore', 'berhenti', 'positioning', 'berhenti', 'dll', 'sistem', 'bergantian', 'berhenti', 'buka', 'aplikasi', 'black', 'screen', 'jaringan', 'hilang', 'berubah', 'mode', 'pesawat', 'tukar', 'poin', 'undian', 'betulan', 'transaksi', 'muncul', 'kali', 'sms', 'mailbox', 'aplikasi', 'sejenis', 'nota', 'hrs', 'dipegang', 'bukti', 'sbagai', 'tanda', 'jasa', 'msh', 'berfungsi', 'beli', 'paketan', '']</t>
  </si>
  <si>
    <t>['min', 'metode', 'pembayarannya', 'pilihan', 'shoppe', 'pay', '']</t>
  </si>
  <si>
    <t>['turunin', 'bintang', 'pilihan', 'metode', 'pembayaran', 'isi', 'pulsa', 'hilang', 'beli', 'paket', 'pilihan', 'pembayaran', 'sekelas', 'bumn', 'paket', 'mahal', 'main', 'bukanya', 'dibikin', 'bagus', 'kayak', 'sampah']</t>
  </si>
  <si>
    <t>['kog', 'bayar', 'pakek', 'pulsa', 'kredivo', 'doang', 'gimana', 'udah', 'bangkrut', '']</t>
  </si>
  <si>
    <t>['kerjasama', 'pembayaran', 'kredivo', 'aplikasinya', 'bodoh', '']</t>
  </si>
  <si>
    <t>['telkomsel', 'sinyalnya', 'the', 'best', 'memburuk', 'akses', 'game', 'mohon', 'perbaiki', 'terimakasih']</t>
  </si>
  <si>
    <t>['hello', 'telkomsel', 'paket', 'malam', 'harga', 'langganan', 'paket', 'malam', 'skrng', 'nggak', 'lgi', 'mending', 'kartu', 'murah', 'nggk', 'embel', 'orang', 'ilang', 'telkomsel', 'good', 'byee']</t>
  </si>
  <si>
    <t>['knpa', 'tida', 'metode', 'pembayaran', 'shopee', 'pay', 'skarang', 'cuman', 'virtual', 'acount', 'pulsa', 'kredivo']</t>
  </si>
  <si>
    <t>['telkomslank', 'jaringan', 'daerah', 'bandung', 'selatan', 'propaider', 'nasional', 'gila', 'ajah', 'gada', 'perubahan', '']</t>
  </si>
  <si>
    <t>['puas', 'layanan', 'aplikasi', 'menukarkan', 'poin', 'meredem', 'paket', 'gb', 'sukses', 'masuk', 'pesan', 'maaf', 'sistem', 'sibuk', 'tukar', 'koin', 'mohon', 'perbaiki', '']</t>
  </si>
  <si>
    <t>['parah', 'sinyal', 'simpati', 'sanggup', 'jaring', 'kuat', 'towernya', 'jual', 'beralih', 'dahh']</t>
  </si>
  <si>
    <t>['sinyal', 'telkomsel', 'buruk', 'beda', 'emosi', 'asik', 'liat', 'disconect', 'coba', 'cek']</t>
  </si>
  <si>
    <t>['bagus', 'banget', 'update', 'mulu']</t>
  </si>
  <si>
    <t>['pulsa', 'kepotong', 'paket', 'datanya', 'kejadian', 'kali', 'data', 'mati', 'potong', 'kemana', 'perginya', '']</t>
  </si>
  <si>
    <t>['aplikasinya', 'login', 'muncul', 'layar', 'hitam', 'hellowww', 'telkomsel', 'kalah', 'aplikasi', 'swasta', '']</t>
  </si>
  <si>
    <t>['perbaikan', 'kualitas', 'jaringan', 'tarif', 'mahalpun', 'dibeli', 'penggunanya', 'memalukan', 'pelayanannya', '']</t>
  </si>
  <si>
    <t>['kecewa', 'telkomsel', 'paket', 'kesini', 'mahal', 'pas', 'beli', 'dipersulit', 'beli', 'pulsa', 'telkomsel', 'pay', 'pilihan', 'metode', 'pembayaran', 'pay', 'metode', 'pembayaran', 'pay', 'kasih', 'bintang', '']</t>
  </si>
  <si>
    <t>['', 'promo', 'tawarkan', 'sosmed', 'unlimited', 'uninstall', '']</t>
  </si>
  <si>
    <t>['poin', 'ngak', 'berguna', 'ngak', 'kasih', 'poin', 'ngak', 'lbih', 'san', 'poin', 'ngak', 'apain', 'coba', 'tukar', 'pls', 'bagus']</t>
  </si>
  <si>
    <t>['memuaskan', 'bermanfaat', 'smua', 'bonus', 'kouta', 'paket', 'paket', 'murah', 'aplikasi']</t>
  </si>
  <si>
    <t>['sumpah', 'kali', 'giga', 'kuota', 'internet', 'nyampe', 'jam', 'habis', 'kuota', 'telkomsel', 'kartunya', 'telpon']</t>
  </si>
  <si>
    <t>['beli', 'pulsa', 'pakek', 'shope', 'pay', 'aplikasinya', 'kemaren', 'kemaren', '']</t>
  </si>
  <si>
    <t>['jaringan', 'telkom', 'main', 'game', 'lag', 'aneh', 'semenjak', 'promo', 'berubah', 'lag', 'stabil', 'beli', 'mhal', 'kouta', 'kayak', 'gini', 'skuy', 'pindah', 'kesebelah']</t>
  </si>
  <si>
    <t>['tolong', 'kasih', 'promo', 'harga', 'kuota', 'min', 'karna', 'paket', 'telkomsel', 'mahal', 'udah', 'dapet', 'promo', 'kasih', 'bintang', 'min', '']</t>
  </si>
  <si>
    <t>['bintang', 'dlu', 'hilang', 'jaringan', 'internet', 'beli', 'kuota', 'mahal', 'jaringan', 'kacau', 'kecewa']</t>
  </si>
  <si>
    <t>['aplikasi', 'beli', 'pulsa', 'kartu', 'kredit', 'skarang', 'muncul', 'notif', 'kartu', 'bank', 'penerbit', 'kartu', 'kredit', 'lahh', 'sampe', 'kartu', 'kredit', 'aktif', 'kah', 'aplikasi', 'bumn', 'mempersuli', 'efektif', 'ngak', 'relevan', 'telkomsel', 'mohon', 'baca', 'ulasan', '']</t>
  </si>
  <si>
    <t>['metode', 'pembayaran', 'app', 'dana', 'metode', 'pulsa', 'pay', 'later', 'kredivo', 'gimana', 'dana', 'ovo', 'gopay', 'ilang', 'aneh', '']</t>
  </si>
  <si>
    <t>['paket', 'enterprise', 'jek', 'muncul', 'aplikasi', 'mytelkomsel', 'narik', 'bosque', 'sengaja', 'beli', 'paket', 'mahal', 'awokwkwkwk', 'bintang', 'meluncur', 'edit', 'bintang', 'paket', 'enterprise', 'mytelkomsel']</t>
  </si>
  <si>
    <t>['kali', 'paketan', 'mahal', 'jaringan', 'lelet', 'perhatikan', 'min', 'ulasan', 'kritikan', 'tolong', 'diperhatikan', '']</t>
  </si>
  <si>
    <t>['tolong', 'telkomsel', 'update', 'perbaiki', 'sistem', 'pengguna', 'setia', 'telkomsel', 'terganggu', 'bug', 'aplikasi', 'trima', 'kasih']</t>
  </si>
  <si>
    <t>['harga', 'sesuai', 'kecepatan', 'internetnya', 'lelet', 'lemot', 'aduhhh', 'parah', 'mending', 'pakai', 'indosat', 'super', 'cepat']</t>
  </si>
  <si>
    <t>['signal', 'lemah', 'kelurahan', 'sukatani', 'kecamatan', 'rajeg', 'kab', 'tangerang', 'harap', 'diperhatikan', 'kritikan', 'terima', 'kasih']</t>
  </si>
  <si>
    <t>['gabisa', 'maen', 'game', 'jaringan', 'kuota', 'jam', 'malem', 'jaringan', 'jelek', 'satabil', 'soaalnya', 'telkomsel', 'beli', 'kuota', 'duit', 'daun', 'tolol', 'perbaiki', '']</t>
  </si>
  <si>
    <t>['admin', 'telkom', 'tolong', 'jaringan', 'desa', 'buruk', 'tolong', 'cpt', 'atsi', 'berwenang', 'semoga', 'depannya', 'sukses', 'slalu', '']</t>
  </si>
  <si>
    <t>['sinyal', 'lemot', 'banget', 'coy', 'paket', 'mahal', 'sinyal', 'kayak', 'keong', 'diperbaikin', 'lemot', 'org', 'butuh', 'kerja', 'dll', '']</t>
  </si>
  <si>
    <t>['play', 'store', 'beli', 'pulsa', 'paket', 'beli', 'pulsa', 'dapet', 'apk', 'ngajak', 'tumbuk']</t>
  </si>
  <si>
    <t>['bintang', 'jaringan', 'telkomsel', 'jelek', 'tolong', 'perbaiki', 'jaringan', 'daerah', 'jngan', 'nyambung', 'nyambung', 'perubahan', 'ganti', 'kartu', 'internet', 'paham', 'yaaa']</t>
  </si>
  <si>
    <t>['paket', 'kuotanya', 'orang', 'pandemi', 'paket', 'naikin', 'mikir', 'nyari', 'uang', 'susah', 'beli', 'kuota', 'dinaikin', 'kecewa']</t>
  </si>
  <si>
    <t>['mending', 'pindah', 'operator', 'jaringan', 'setabil', 'mengecewakan']</t>
  </si>
  <si>
    <t>['knp', 'telkomsel', 'ahir', 'jelek', 'jaringan', 'game', 'online', 'internet', 'dll', 'nge', 'lag', 'tolong', 'perbaiki', 'min', 'msalah', 'jaringan', '']</t>
  </si>
  <si>
    <t>['syetan', 'dihapus', 'komentar', 'tanggung', 'yng', 'pulsa', 'hilang', 'detik']</t>
  </si>
  <si>
    <t>['bagus', 'banget', 'sinyalnya', 'main', 'game', 'sampe', 'warna', 'sinyalnya', 'merah', 'sampe', 'migran', 'kambuh', '']</t>
  </si>
  <si>
    <t>['promo', 'paket', 'data', 'ribu', 'pas', 'diisi', 'pulsa', 'promonya', 'nggak', 'berhasil', 'beli', 'pulsa', 'kesedot', 'trus', 'mohon', 'bantu', 'mind', '']</t>
  </si>
  <si>
    <t>['kuota', 'unlimited', 'kuota', 'utama', 'kuota', 'multimedia', 'kuota', 'utama', 'sisa', 'gb', 'lemod', 'beli', 'kuota', 'multimedia', 'maaih', 'kepakai', '']</t>
  </si>
  <si>
    <t>['sumpah', 'telkomsel', 'ngeselin', 'jaringan', 'lemot', 'pdhl', 'kuota', 'byk', 'udah', 'paketan', 'mahal', 'pulsa', 'mahal', 'gapapa', 'pulsa', 'paketan', 'mahal', 'sesuai', 'jaringan', 'bagus', 'lemot', 'ilaang', 'teroosss', 'sinyal', 'pdhl', 'tinggal', 'dikota', 'tinggal', 'pedalaman', 'kali', 'mohon', 'perbaiki', 'jaringan', 'donk', 'pelanggan', 'kapok', 'kabur', '']</t>
  </si>
  <si>
    <t>['teman', 'sblum', 'beli', 'paket', 'ketengan', 'coba', 'cek', 'plsanya', 'telkomsel', 'curang', 'beli', 'paket', 'ketengan', 'harian', 'rp', 'pemotongan', 'pulsa', 'harga', 'ampe', 'san', 'pulsa', 'rp', 'stlah', 'beli', 'sisa', 'pulsa', 'rp', 'coba', 'tes', '']</t>
  </si>
  <si>
    <t>['gimna', 'beli', 'paket', 'udah', 'ngisih', 'rb', 'pulsa', 'disedot', 'masuk', 'apk', 'coba', 'gratis', 'kalaok', 'kek', 'gini', 'males', 'beli', 'paket', 'pulsa', 'telkomsel', 'udah', 'ganti', 'ribet', '']</t>
  </si>
  <si>
    <t>['kasih', 'bintang', 'karna', 'suka', 'apk', 'apk', 'bagus', 'suka']</t>
  </si>
  <si>
    <t>['fitur', 'gift', 'share', 'bermanfaat', 'membelikan', 'kuota', 'fitur', 'klik', 'halaman', 'pengelola', 'aplikasi', 'memiliki', 'manajemen', 'buruk', '']</t>
  </si>
  <si>
    <t>['telkomsel', 'kesini', 'payah', 'jaringanya', 'mada', 'kuota', 'jaringan', 'sibuk', 'mulu', 'kartu', 'ngeleg', 'mulu', 'payah']</t>
  </si>
  <si>
    <t>['jelek', 'harga', 'kouta', 'mahal', 'beli', 'paket', 'data', 'lambat', 'banget', 'masuk', '']</t>
  </si>
  <si>
    <t>['banyuasin', 'sumsel', 'telkomsel', 'sinyal', 'ancur', 'abis', 'ilang', 'pdhal', 'cuaca', 'bagus', 'maen', 'gemes', 'ancur', '']</t>
  </si>
  <si>
    <t>['telkomsel', 'jaringannya', 'bagus', 'pas', 'nonton', 'bokep', 'donload', 'upload', 'game', 'online', 'jaringannya', 'busuk', 'pakai', 'kartu']</t>
  </si>
  <si>
    <t>['napo', 'beli', 'pulsa', 'trus', 'beli', 'paket', 'data', 'trus', 'cek', 'koq', 'hasilnyo', 'kosong', 'knapa', '']</t>
  </si>
  <si>
    <t>['jelek', 'banget', 'aplikasinya', 'isi', 'pulsa', 'rb', 'langsung', 'ribu', 'notifikasi', 'apapun', 'pembayarannya', 'pemotongan', 'saldo', 'udah', 'gitu', 'beli', 'paket', 'tanggal', 'contoh', 'sampe', 'tamggal', 'kesini', 'membantu']</t>
  </si>
  <si>
    <t>['ksni', 'jelek', 'sinyal', 'telkomsel', 'kuota', 'mahal', 'jaringan', 'indonesia', 'sperti', 'pengguna', 'telkomsel', 'kecewa', 'tolong', 'perbaiki', 'min', 'sistem', '']</t>
  </si>
  <si>
    <t>['kali', 'membeli', 'paket', 'bicara', 'masuk', 'pembayaran', 'mengunakan', 'shopee', 'pay', 'berhasil', 'solusi', 'aplikasi', 'lambat', 'veronica', 'robot', 'solusi', 'membuang', 'solusi', '']</t>
  </si>
  <si>
    <t>['knpa', 'jaringan', 'telkomsel', 'lelet', 'lola', 'intinya', 'nyaman', 'memakai', 'telkomsel', 'karna', 'jaringan', 'parah', 'kmi', 'sumatra', 'utara', 'tanjung', 'leidong']</t>
  </si>
  <si>
    <t>['telkomsel', 'kayak', 'lemotnya', 'ampun', 'tolong', 'perbaikannya']</t>
  </si>
  <si>
    <t>['sinyal', 'telkomsel', 'jelek', 'main', 'coba', 'benahi', 'bagus', 'jelek', 'bagus', 'kasih', 'bintang', '']</t>
  </si>
  <si>
    <t>['pas', 'dibuka', 'eeh', 'ditunggu', 'logo', 'kaya', 'brubah', 'logo', 'cepat', 'kebuka']</t>
  </si>
  <si>
    <t>['telkomsel', 'jahat', 'gua', 'ngk', 'ngisi', 'kuota', 'voucher', 'ajg', 'tolong', 'respon', '']</t>
  </si>
  <si>
    <t>['jaringan', 'lemot', 'beli', 'kuota', 'mahal', 'mahal', 'jaringan', 'stabil', 'bangett']</t>
  </si>
  <si>
    <t>['aplikasi', 'plz', 'kesdot', 'gunanya', 'kwan', 'kwan', 'pertamanya', 'enk', 'plz', 'kesedot', 'jngn', 'deh', 'make', 'aplikasi', 'asli', 'jngn', 'sayang', 'gunanya', 'plz', 'kesdot']</t>
  </si>
  <si>
    <t>['apl', 'jelek', 'beli', 'paket', 'siang', 'udah', 'puluhan', 'kali', 'coba', 'cek', 'koneksi', 'cek', 'koneksi', 'dibilangnya', 'buka', 'fine', 'beli', 'paket', 'butuh', 'anjlok', 'banget', 'pelayanannya', 'gini', 'gini', 'nyedot', 'pulsa', 'merugikan', 'menguntungkan', 'konsumen', 'mending', 'imbang', 'tolong', 'diperbaiki', 'make', 'telkomsel', 'mundur', 'serentak', 'sangag', 'kecewaaa', '']</t>
  </si>
  <si>
    <t>['nyesel', 'pindah', 'kartu', 'halo', 'jaringan', 'prioritas', 'lemot', 'nggak', 'browsing', 'kartu', 'prabayar', 'telkomsel', '']</t>
  </si>
  <si>
    <t>['apk', 'membantu', 'promo', 'promo', 'menarik', 'top', 'bintang']</t>
  </si>
  <si>
    <t>['update', 'dipaksa', 'dipaksa', 'nggak', 'update', 'memaksa', '']</t>
  </si>
  <si>
    <t>['gangguan', 'pas', 'update', 'versi', 'aplikasi', 'beli', 'paket', 'data', 'gimana', 'min', 'sistem', 'error', 'silahkan', 'ulangi', 'menit', 'pas', 'coba', 'tetep']</t>
  </si>
  <si>
    <t>['tolong', 'tolong', 'tingkatkan', 'jaringan', 'tingkatkan', 'harga', 'mahal', 'jaringan', 'miskin']</t>
  </si>
  <si>
    <t>['tolong', 'telkomsel', 'knp', 'jaringan', 'jelek', 'paket', 'mahal', 'jaringan', 'sepadan', 'harga', 'paket', '']</t>
  </si>
  <si>
    <t>['namanya', 'telkomsel', 'perusahaan', 'bumn', 'jaringannya', 'hilang', 'buriiiiiiik']</t>
  </si>
  <si>
    <t>['jaringan', 'internet', 'signal', 'surabaya', 'utara', 'jelek', 'mohon', 'diperhatikan', 'trima', 'kasih']</t>
  </si>
  <si>
    <t>['harga', 'paket', 'rentenir', 'mahal', 'kelewatan', 'jaringan', 'ngadat', 'trs', 'hadeeeh', 'enak', 'ngadat', 'dikit', 'cuman', 'paket', 'murah', 'meriah', 'auto', 'hapus', 'apk', 'ganti', '']</t>
  </si>
  <si>
    <t>['telkomsel', 'linta', 'paket', 'mahal', 'trus', 'sinyalnya', 'lola', '']</t>
  </si>
  <si>
    <t>['aplikasinya', 'keren', 'banget', 'memudahkan', 'pengguna', 'setia', 'telkomsel', 'membeli', 'paket', 'pulsa', 'data', 'promo', 'cashback', 'tukar', 'poin', 'mudah']</t>
  </si>
  <si>
    <t>['promosiin', 'kartu', 'halo', 'nomer', 'dimasa', 'tenggang', 'diperbaiki', 'disuruh', 'kekartu', 'halo', 'pulsanya', 'orang', 'bayar', 'tagihan', 'org', 'nelpon', 'bentar', 'keluarganya', 'udh', 'seneng', 'disuruh', 'bayar', 'makan', 'bayar', 'tagihan', 'hidup', 'mudah', 'susah', '']</t>
  </si>
  <si>
    <t>['mohon', 'mengerti', 'bos', 'biaya', 'transaksi', 'pulsa', 'iya', 'pulsa', 'biaya', 'nyekek', '']</t>
  </si>
  <si>
    <t>['lucu', 'banget', 'telkomsel', 'pengguna', 'harga', 'pembelian', 'data', 'apk', 'murah', 'pengguna', 'liat', 'harga', 'shop', 'apk', 'kakak', 'beda', 'banget', 'aneh', '']</t>
  </si>
  <si>
    <t>['aplikasinya', 'bagus', 'banget', 'membantu', 'menaikkan', 'emosi', 'gue', 'loading', 'doang', 'ngga', 'nampilin', 'ditunggu', 'seharian', 'kesalahan', 'sistem', 'berlarut', 'ngga', 'diatasi', '']</t>
  </si>
  <si>
    <t>['pulsa', 'kesedot', 'pas', 'nyalahin', 'data', 'kuota', 'telkomsel', 'pulsanya', 'kesedot', 'kecewa', 'tolong', 'diperbaiki', '']</t>
  </si>
  <si>
    <t>['diupdate', 'something', 'went', 'wrong', 'update', 'aplikasi', 'signal', 'streaming', 'download', 'main', 'game', 'sosial', 'media', 'lancar', 'membuka', 'aplikasi', 'mytelkomsel', 'kecepatan', 'jaringan', 'langsung', 'meningkat', 'kb', 'kualitas', 'maharaja', '']</t>
  </si>
  <si>
    <t>['semoga', 'kedepan', 'kualitas', 'harga', 'signalnya', '']</t>
  </si>
  <si>
    <t>['aplikasi', 'mytelkomsel', 'pembelian', 'data', 'internet', 'gampang', 'promo', 'hidup', 'indonesia', 'hidup', 'telkomsel', '']</t>
  </si>
  <si>
    <t>['maaf', 'kasih', 'bintang', 'paket', 'internet', 'beli', 'bermain', 'game', 'online', 'beli', 'paket', 'internet']</t>
  </si>
  <si>
    <t>['sinyal', 'suka', 'hilang', 'udah', 'beli', 'paket', 'mahal', 'kecewa', 'milih', 'telkomsel', 'karna', 'sinyal', 'bagus', 'banding', 'provider']</t>
  </si>
  <si>
    <t>['telkomsel', 'jaringan', 'memburuk', 'beli', 'kuota', 'jaringannya', 'buruk', 'semoga', 'esok', 'membaik', 'emosi', 'truss', 'sma', 'jaringan']</t>
  </si>
  <si>
    <t>['gara', 'gara', 'sinyal', 'jelek', 'gue', 'kena', 'bacot', 'teman', 'karna', 'main', 'game', 'mobile', 'legend', 'jelek', 'tolong', 'benerin', 'sinyal', '']</t>
  </si>
  <si>
    <t>['beli', 'paket', 'tulisannya', 'gagal', 'diaktifkan', 'sistem', 'sibuk', 'pulsa', 'kesedot', 'paket', 'masuk', 'gmna', 'kali', 'lho']</t>
  </si>
  <si>
    <t>['halo', 'mytelkomsel', 'knp', 'pas', 'buka', 'apk', 'masukan', 'nomor', 'memuat', 'halaman', 'maaf', 'sistem', 'tolong', 'iya', 'pas', 'cek', 'telepon', 'ngetik', 'cek', 'pulsa', 'pas', 'cek', 'nomor', 'beli', 'paket', 'mohon']</t>
  </si>
  <si>
    <t>['kecewa', 'sekalih', 'telkomsel', 'harap', 'instal', 'aplikasi', 'paket', 'murah', 'murah', 'tamba', 'mahal', '']</t>
  </si>
  <si>
    <t>['beli', 'udah', 'bayar', 'saldo', 'udah', 'berkurang', 'paketan', 'ngga', 'masuk', 'hadehhhhh', 'gimana', 'uang', 'gapapa', 'bli', 'hadehhhhh']</t>
  </si>
  <si>
    <t>['kesel', 'banget', 'kecewa', 'super', 'kecewa', 'beli', 'paket', 'kuota', 'dibayar', 'pakai', 'link', 'udah', 'sukses', 'sampe', 'kuota', 'masuk', 'masuk', 'gimana', 'sihhhh', 'chat', 'langsung', 'customer', 'service', 'ahh', 'mengecewakan', '']</t>
  </si>
  <si>
    <t>['menyesal', 'beli', 'telkomsel', 'gb', 'tiktok', 'games', 'sosmed', 'fup', 'gb', 'doang', 'lancar', 'sisanya', 'asli', 'jalan', 'kab', 'unlimited', 'beli', 'smartfren', 'lelet', 'gpp', 'jalan', 'nyesel', 'sumpah', 'beli', 'telkomsel', 'unlimited', '']</t>
  </si>
  <si>
    <t>['isi', 'saldo', 'pakai', 'telkomsel', 'bayarnya', 'pakai', 'saldo', 'shoope', 'paket', 'datanya', 'aktif', 'saldo', 'udah', 'terpotong', 'coba', 'nanyain', 'customer', 'servicenya', 'pelayanannya', 'mengecewakan', 'jujur', 'pengguna', 'kecewa', 'banget', 'customer', 'service', 'slow', 'respon', 'matiin', 'chat', '']</t>
  </si>
  <si>
    <t>['info', 'singkat', 'bilamana', 'kuota', 'harga', 'murah', '']</t>
  </si>
  <si>
    <t>['habis', 'pembelian', 'kuota', 'internet', 'metode', 'pembayaran', 'pay', 'kuotanya', 'masuk', 'saldo', 'berkurang', 'gimana', 'terima', '']</t>
  </si>
  <si>
    <t>['mati', 'lampu', 'sinyal', 'ilang', 'tolong', 'perbaiki', 'min', 'mati', 'lampu', 'down', 'nyaman', 'tks']</t>
  </si>
  <si>
    <t>['harga', 'paket', 'kualitas', 'jaringan', 'sangan', 'berbeda', 'panet', 'harganya', 'mahal', 'kualitas', 'jaringannya', 'burukk']</t>
  </si>
  <si>
    <t>['tampilan', 'sisa', 'kuota', 'tlp', 'dll', 'praktis', 'halaman', '']</t>
  </si>
  <si>
    <t>['halo', 'pengguna', 'telkomsel', 'bingung', 'dpt', 'bonus', 'pulsa', 'membeli', 'paket', 'combo', 'sakti', 'bonus', 'pulsa', 'habis']</t>
  </si>
  <si>
    <t>['terhormat', 'tim', 'telkomsel', 'jaringan', 'internet', 'telkomsel', 'skarang', 'lag', 'lag', 'menonton', 'youtube', 'main', 'game', 'online', 'sja', 'lag', 'knapa', 'perpanjangan', 'kouta', 'kasian', 'membeli', 'kouta', 'masi', 'koutanya', 'berlaku', 'habis', 'duluan', 'klau', 'berlaku', 'abis', 'tinggal', 'isi', 'kouta', 'udh', 'perpanjang', 'klau', 'sya', 'memilih', 'sya', 'suka', 'sistem', 'maaf']</t>
  </si>
  <si>
    <t>['dimohonkan', 'kondisikan', 'kekuatan', 'kestabilan', 'jaringan', 'internetnya', 'hharga', 'paket', 'kuota', 'naikkan', 'pelanggan', 'setia', 'telkomsel', 'mengeluh', 'beralih']</t>
  </si>
  <si>
    <t>['makasih', 'telkomsel', 'pokok', 'the', 'best', 'kasih', 'promo', 'murah', 'harga', '']</t>
  </si>
  <si>
    <t>['udah', 'bayar', 'rb', 'hallo', 'unlimited', 'point', 'sbg', 'bonus', 'gmn', 'menggunakn', 'bonus', 'tsb', 'poin', 'oni', 'udh', 'brulang', 'gmn', 'pingin', 'ngerti', 'bonus', 'direalisasikan', '']</t>
  </si>
  <si>
    <t>['telkomsel', 'maling', 'tgl', 'isi', 'paket', 'sseharga', 'jam', 'paket', 'habis', 'butuh', 'paket', 'cari', 'order', 'ojol', 'laporkan', 'respon', 'terkait', 'laporan', 'cek', 'pemakaian', 'data', 'terpakai', 'sisanya', 'kemana', 'maling', 'namanya', 'maling', 'rakyat', 'maling', 'pulsa', 'koruptor', 'bukti', 'data']</t>
  </si>
  <si>
    <t>['maksud', 'lokasi', 'telkomsel', 'smart', 'office', 'min', 'undian', 'mingguan', '']</t>
  </si>
  <si>
    <t>['mohon', 'internet', 'internet', 'lokal', 'deh', 'nama', 'internet', 'internet', 'lokal', 'mohon', 'perbaiki', '']</t>
  </si>
  <si>
    <t>['aplikasi', 'lemot', 'nge', 'lag', 'suka', 'mahal', 'doang', 'kualitas', 'jaringan', 'lemot']</t>
  </si>
  <si>
    <t>['bangga', 'aplikasih', 'telkomsel', 'karna', 'paket', 'murah', 'pembayaran', 'cepat', 'terjamin']</t>
  </si>
  <si>
    <t>['lemot', 'pagi', 'siang', 'malam', 'doang', 'bagus', 'jaringannya', 'tolong', 'perbaiki', 'paket', 'doang', 'mahal', 'jaringan', 'lemot', 'susah', 'tugas', 'jaringan', 'lemot', 'google', 'diakses', 'mending', 'bagusin', 'jaringan', 'mahal', 'harga', 'paket', 'mahal', 'doang', 'jaringan', 'lemot']</t>
  </si>
  <si>
    <t>['gangguan', 'signal', 'mencapai', 'aplikasi', 'telkomsel', 'terbuka']</t>
  </si>
  <si>
    <t>['haduh', 'udah', 'mahal', 'jaringan', 'jelek', 'kartu', 'hallo', 'kuota', 'kepake', 'jaringan', 'jelek', 'tetep', 'tagihan', '']</t>
  </si>
  <si>
    <t>['jual', 'paket', 'telpon', 'beli', 'nipu', 'custumer']</t>
  </si>
  <si>
    <t>['apk', 'penuh', 'jebakan', 'paket', 'data', 'data', 'pulsa', 'habis', 'dicuri', 'provider', 'hati', 'konsumen', 'telkomsel', 'isi', 'pulsa', 'kartu', 'telkomsel', 'kayaknya', 'emang', 'provider', 'bea', 'cukai', 'rokok', 'beli', 'rokok', 'bayar', 'pajaknya', 'download', 'update', 'apk', 'provider', 'data', 'aslinya', 'penipu', 'ulung', '']</t>
  </si>
  <si>
    <t>['udah', 'kali', 'komentar', 'gue', 'dihapus', 'saran', 'gue', 'telkomsel', 'nggak', 'deh', 'nyesel', 'pulsa', 'nggak', 'diapa', 'apain', 'berkurang', 'axis', 'tri', 'pokoknya', 'telkomsel', '']</t>
  </si>
  <si>
    <t>['dasar', 'telkomsel', 'ajar', 'beli', 'paket', 'giga', 'habis', 'beli', 'giga', 'har', 'habis', 'modem', 'email', 'doang', '']</t>
  </si>
  <si>
    <t>['telkomsel', 'buruk', 'sinyalnya', 'malahall', 'lelet', 'telkomsel', 'kecewa', 'kenceng', 'telkomsel']</t>
  </si>
  <si>
    <t>['kekuatan', 'sinyal', 'buruk', 'setabil', 'tawaran', 'paket', 'internet', 'mahal', 'terbagi', 'efektif', 'mubajir']</t>
  </si>
  <si>
    <t>['aplikasi', 'mudah', 'mudahan', 'kelebihannya', '']</t>
  </si>
  <si>
    <t>['parrahh', 'malessss', 'aplikasi', 'kntl', 'kayak', 'pas', 'beli', 'pulsa', 'paketkat', 'beli', 'voucher', 'ceria', 'harga', 'pulsa', 'lahh', 'beli', 'pulsanya', 'habiss', 'pas', 'beli', 'wifi', 'ahhh', 'malessss', 'aplikasi', 'ginian', 'kntl', '']</t>
  </si>
  <si>
    <t>['pinjam', 'pulsa', 'darurat', 'sms', 'nagih', 'hutang', 'maaf', 'gtu', '']</t>
  </si>
  <si>
    <t>['mahal', 'toleransinya', 'pandemi', 'kasihan', 'daring', 'data', 'paket', 'mahal', 'mohon', 'telkomsel', 'review', 'harganya', 'pelanggan', 'orng', 'berduit', 'tebal', 'terimakasih']</t>
  </si>
  <si>
    <t>['pembelian', 'paket', 'internet', 'telkomsel', 'sukses', 'pembayaran', 'linkaja', 'berhasil', 'mytelkomsel', 'paket', 'bertambah', '']</t>
  </si>
  <si>
    <t>['aplikasi', 'masuk', 'susah', 'banget', 'nyesel', 'telkomsel', 'kaya', 'gini', 'udalah', 'paketnya', 'mahal', 'lalod', 'mending']</t>
  </si>
  <si>
    <t>['telkomsel', 'pulsa', 'bekurang', 'paket', 'nelpon', 'telkomsel', 'menelpon', 'telkomsel', 'pulsa', 'berkurang', 'cek', 'riwayat', 'pulsa', 'potong', 'penggunaan', 'internet', 'memakai', 'menelpon', 'memilki', 'paket', 'internet', 'tolong', 'penjelasannya', 'telkomsel', '']</t>
  </si>
  <si>
    <t>['sediakan', 'paket', 'internet', 'minimal', 'aktif', 'relatif', '']</t>
  </si>
  <si>
    <t>['keamanan', 'mytelkomsel', 'beli', 'paket', 'dikasih', 'pin', 'konfirmasi', 'orang', 'sengaja', 'iseng', 'menekan', 'tombol', 'beli', 'langsung', 'potong', 'pulsanya', 'haduh', 'pulsa', 'uang', 'coba', 'kasih', 'developer', 'dikembangkan', '']</t>
  </si>
  <si>
    <t>['hallo', 'min', 'tolong', 'perbaiki', 'jaringannya', 'jaringan', 'jelek', 'tolong', 'perbaiki', 'min', 'klw', 'perbaiki', 'kasih', 'bintang', 'min']</t>
  </si>
  <si>
    <t>['udah', 'nanya', 'status', 'registrasi', 'muncul', 'tulisan', 'terimakasih', 'permintaan', 'proses', 'kek', 'gtu', 'trs', 'ampe', 'nyerah', 'telkomsel', 'babi']</t>
  </si>
  <si>
    <t>['habis', 'kouta', 'pulsa', 'kesedot', 'jga', 'fitur', 'lock', 'axis', 'axis', 'bsa', 'kunci', 'pulsa', 'kesedot', 'pulsa', 'habis', 'parah', 'bintang', 'kasih', 'anjgg']</t>
  </si>
  <si>
    <t>['suka', 'telkomsel', 'karna', 'udah', 'harga', 'kouta', 'mahal', 'jaringannya', 'buruk', 'kouta', 'unlimitedmaxnya', 'bagus', 'bngt', 'kouta', 'utama', 'habis', 'ngapa', 'in', 'kecuali', 'unlimited', 'kouta', 'unlimited', 'dimana', 'kouta', 'utama', 'habis', 'unlimited', 'nonton', 'sepuasnya', 'ayo', 'cepat', 'ganti', 'telkomsel', 'dijamin', 'nyesel', '']</t>
  </si>
  <si>
    <t>['tolong', 'diperhatikan', 'daerah', 'daerah', 'terpencil', 'nusa', 'tenggara', 'timur', 'tower', 'pemancar', 'sinyal', 'telkomsel', 'ngaceng', 'doang', 'keatas', 'sinyal', 'dipake', 'nelpon', 'akses', 'internet', 'susah', 'berdiri', 'tegap', 'lurus', 'bisanya', 'gaya', 'doang', '']</t>
  </si>
  <si>
    <t>['beli', 'paket', 'internet', 'metode', 'pembayaran', 'shopee', 'pay', 'paket', 'internet', 'masuk', 'masuk', 'lapor', 'aplikasi', 'nunggu']</t>
  </si>
  <si>
    <t>['oke', 'paketan', 'murah', 'laris', 'manis', 'oke', 'potong', 'gb', 'gb', 'potong', 'sosmetlah', 'youtub', 'dll', 'gb', 'kusus', 'internet']</t>
  </si>
  <si>
    <t>['buruk', 'beli', 'kuota', 'tulisan', 'proses', 'gitu', '']</t>
  </si>
  <si>
    <t>['aplikasi', 'bangke', 'operator', 'gila', 'usaha', 'bmun', 'merakyat', 'mending', 'mahal', 'kualitas', 'terjamin', 'kualitas', 'bangke', 'beli', 'paket', 'gangguan', 'system', 'harga', 'mahal']</t>
  </si>
  <si>
    <t>['terbaik', 'pokoknya', 'tambahan', 'tukar', 'poin', 'paket', 'data', 'tolong', 'tambahan', 'biaya', 'tambahan', 'biaya', 'karna', 'orang', 'tukar', 'poin', 'pulsa', 'biaya', 'terimakasih', '']</t>
  </si>
  <si>
    <t>['jaringan', 'macem', 'main', 'game', 'nnton', 'vidio', 'udah', 'berlangganan', 'bagus', 'sinyal', 'ganti', 'kartu', 'klok', 'kualitas', 'sinyal', '']</t>
  </si>
  <si>
    <t>['paket', 'dibagi', 'kaya', 'omg', 'paket', 'internet', 'jaringan', 'jam', 'udah']</t>
  </si>
  <si>
    <t>['transaksi', 'kuota', 'masuk', 'fitur', 'tetep', 'berfungsi', 'perasaan', 'langsung', 'diupdate', 'playstore', 'tekomsel', 'kayaknya', 'males', 'pengembang', 'app', '']</t>
  </si>
  <si>
    <t>['beli', 'paket', 'link', 'sukse', 'terisi', 'paketnya', 'telkomsel', 'bangkrut', 'kepercayaan', 'customer', 'dipermainkan']</t>
  </si>
  <si>
    <t>['terimakasih', 'telkomsel', 'paket', 'nelpon', 'hemat', 'all', 'oplator', 'tampa', 'batas', 'minggu', 'telkomsel', 'berjaya', '']</t>
  </si>
  <si>
    <t>['kecewa', 'kuotanya', 'terbagi', 'full', 'habisin', 'gb', 'pakai', 'sisanya']</t>
  </si>
  <si>
    <t>['memperpanjang', 'berlaku', 'sisa', 'kuota', 'habis', 'nggak', 'sayang', 'sisa', 'kuota', 'bayar', 'nggak', 'wajar', '']</t>
  </si>
  <si>
    <t>['pakai', 'kadang', 'jaringan', 'stabil', 'slalu', 'mengecewakan', 'sinyal', 'telkomsel', 'stabil', 'hilang', 'jaringan', 'daerah', '']</t>
  </si>
  <si>
    <t>['heran', 'kuota', 'unlimited', 'bsa', 'belik', 'kuota', 'telkomsel', 'mahal', 'lagii', 'jaringan', 'kadang', 'mendukung', '']</t>
  </si>
  <si>
    <t>['aplikasinya', 'bagus', 'memudahkan', 'pembelian', 'kuota', 'hadiah', 'undiannya', 'terima', 'kasih', 'telkomsel', 'semoga', 'kedepannya', '']</t>
  </si>
  <si>
    <t>['terimakasih', 'telkomsel', 'pelayanan', 'terbaik', 'tunggu', 'promo', 'the', 'best', 'telkomsel']</t>
  </si>
  <si>
    <t>['bintang', 'klik', 'nggak', 'buka', 'coba', 'terooooss', 'greget', 'beli', 'paket', 'daring']</t>
  </si>
  <si>
    <t>['tolong', 'yaa', 'banyakin', 'paket', 'data', 'promo', 'murah', 'harga', 'terjangkau', 'walapun', 'tingkat', 'kuota', 'harga', 'trjangkau', 'varian', 'tingkatan', '']</t>
  </si>
  <si>
    <t>['jaringan', 'beli', 'pulsa', 'beli', 'mahal', 'sinyal', 'jelek', 'gratis', 'beli', 'perbaikilah', 'kesalahan', 'telkomsel', 'klian', 'merugikan', 'pembeli', 'makan', 'haram']</t>
  </si>
  <si>
    <t>['', 'blokir', 'nomor', 'halo', 'mbayar', 'tagihan', 'trakhir', 'skg', 'ganti', 'nomor', 'tsel', 'tagihan', 'nomor', 'halo', 'email', 'please', 'spam', '']</t>
  </si>
  <si>
    <t>['aplikasi', 'update', 'jelek', 'lambat', 'aplikasi', 'logout', 'pulsa', 'berkurang', 'sinyal', 'jelek', 'jaringan', 'lambat', '']</t>
  </si>
  <si>
    <t>['pengembangan', 'aplikasi', 'telkomsel', 'check', 'tukar', 'bonus']</t>
  </si>
  <si>
    <t>['heh', 'telkomsel', 'plis', 'jaringannya', 'diperbaiki', 'sinyal', 'lemot', 'pas', 'main', 'game', 'hah', 'beli', 'pket', 'mahal', 'mikir', '']</t>
  </si>
  <si>
    <t>['sgini', 'jaringan', 'parah', 'ngambil', 'kuota', 'cek', 'pulsa', 'ditarik', 'rp', 'jam', 'pulsa', 'kesedot', 'aplikasi', 'dodol']</t>
  </si>
  <si>
    <t>['kecewa', 'krna', 'jaringan', 'susah', 'semangat', 'deh', 'telkomsel', 'putus', 'asa', 'keep', 'fighting']</t>
  </si>
  <si>
    <t>['parah', 'telkomsel', 'beli', 'paket', 'tgl', 'abisnya', 'tanggal', 'bgtu', 'telkomsel', 'papua', 'sesukanya', 'provider', 'angel']</t>
  </si>
  <si>
    <t>['telkomsel', 'asuuu', 'dirugikan', 'koneksi', 'hubungi', 'perbaiki', 'jaringannya', 'keuntungan', 'cari', '']</t>
  </si>
  <si>
    <t>['signal', 'buruk', 'harga', 'kuota', 'mahal', 'banding', 'operator', 'seluler']</t>
  </si>
  <si>
    <t>['bagus', 'tingkatkan', 'sinyal', 'sehigga', 'kehilangan', 'sinyal', 'ruangan']</t>
  </si>
  <si>
    <t>['beli', 'paket', 'kuota', 'lemot', 'patah', 'hilang', 'timbul', 'hilang', 'timbul', 'kemampuan', 'kuenceng', 'gimana', 'beli', 'isi', 'paket', 'kuota', 'gede', 'ayo', 'kasih', 'penjelasan', '']</t>
  </si>
  <si>
    <t>['bener', 'bener', 'kecewa', 'ama', 'telkomsel', 'sinyal', 'keliatannya', 'doang', 'bagus', 'pakai', 'kuota', 'luan', 'habis', 'ama', 'semoga', 'telkomsel', 'bangkrut', 'aamiin', '']</t>
  </si>
  <si>
    <t>['tolong', 'perbaiki', 'kualitas', 'jaringan', 'min', 'paket', 'omg', 'persulit', '']</t>
  </si>
  <si>
    <t>['ngklaim', 'telkomsel', 'poin', 'hadoohh', 'permainan', 'permainannn', 'upgrade', '']</t>
  </si>
  <si>
    <t>['telkomsel', 'beli', 'paket', 'combo', 'sakti', 'perbulan', 'paket', 'nalpon', 'sms', 'masuk', 'paket', 'internet', 'masuk', 'masuk', 'tolong']</t>
  </si>
  <si>
    <t>['login', 'voucher', 'tokopedia', '']</t>
  </si>
  <si>
    <t>['kali', 'mengecewakan', 'berlangganan', 'disney', 'hotstar', 'dipakai', 'menonton', 'film', 'manajemen', 'disney', 'hotstar', 'indonesia', 'menuntaskan', 'hadapi', '']</t>
  </si>
  <si>
    <t>['poin', 'trus', 'fitur', 'daily', 'check', 'udah', 'check', 'klaim', 'update', 'gini', 'gmna', 'sistem', 'eror', 'gini', 'mengecewakan', 'update']</t>
  </si>
  <si>
    <t>['mytelkomsel', 'kayak', 'anjeng', 'udah', 'paket', 'mahal', 'jaringan', 'eror', 'ngebug', 'mending', 'tutup', 'aplikasinya']</t>
  </si>
  <si>
    <t>['pulsa', 'kouta', 'telkomsel', 'tawaran', 'murah', 'beli', 'paket', 'pas', 'isi', 'pulsa', 'maketin', 'tawaran', 'kouta', 'murah', 'hilang', 'munculnya', 'paket', 'mahal', 'gimana', 'jls', 'telkomsel', '']</t>
  </si>
  <si>
    <t>['penipu', 'diskon', 'pembelian', 'paket', 'internet', 'eehh', 'kasih', 'pulsa', 'menotary', 'bangsad']</t>
  </si>
  <si>
    <t>['paket', 'internet', 'harga', 'mulu', 'sinyal', 'ngak', 'konsisten', 'harga', 'paket', 'beda', 'jam', 'beda', 'harga', 'menu', 'poin', 'tuker', 'paket', 'internet', 'coba', 'ngak', 'tukar']</t>
  </si>
  <si>
    <t>['jargon', 'bonus', 'terbukti', 'daily', 'checking', 'diblokir', 'pulsa', 'tercuri', 'melulu', 'tersedot', 'melulu', 'tarip', 'normal', 'harganya', 'selangit']</t>
  </si>
  <si>
    <t>['telkomsel', 'sinyalnya', 'buruk', 'gila', 'vpn', 'itupun', 'lemot', '']</t>
  </si>
  <si>
    <t>['udah', 'kartu', 'telkomsel', 'paket', 'murah', 'temen', 'paket', 'murah']</t>
  </si>
  <si>
    <t>['terimakasih', 'telkomsel', 'poin', 'hadiahnya', 'samsung', 'senang', 'hadiah']</t>
  </si>
  <si>
    <t>['terlau', 'acara', 'perporma', 'sinyal', 'stabil', 'telkomsel', 'bagus', 'bukanya', 'bagus', 'parah', 'sinyal', 'stabil', 'mulu', 'pakai', 'main', 'game', 'haduhh', '']</t>
  </si>
  <si>
    <t>['pulsa', 'kesedot', 'data', 'mati', 'udah', 'kali', 'mohon', 'kebijakaannya']</t>
  </si>
  <si>
    <t>['uda', 'apk', 'program', 'chak', 'hadiah', 'voucher', 'pembelian', 'paket', 'internet', 'taunya', 'pas', 'udah', 'klaim', 'sms', 'kek', 'gini', 'pulsa', 'paket', 'aktif', 'berlaku', 'tgl', 'pkl', 'wib', 'pembayaran', 'isi', 'ulang', 'pulsa', 'pulak']</t>
  </si>
  <si>
    <t>['aplikasi', 'lambat', 'buka', 'aplikasinya', 'nunggu', 'haru', 'berulang', 'ulang', 'bukanya', 'promo', 'menarik', 'harga', 'paketnya', 'mahal', 'paket', 'habis', 'lenyap', 'ntah', 'kemana', '']</t>
  </si>
  <si>
    <t>['telkomsel', 'trnyata', 'kualitas', 'telkomsel', 'buruk', 'hmm']</t>
  </si>
  <si>
    <t>['gimana', 'sinyal', 'bagus', 'banget', 'daerah', 'gini', 'jam', 'malam', 'download', 'nyampe', 'perdetik', 'kamvret', 'mending', 'smartfren', 'unli', 'njir']</t>
  </si>
  <si>
    <t>['tolong', 'promo', 'bagus', 'point', 'sampe', 'promo', 'orang', 'pointnya', 'promonya', 'mantap', '']</t>
  </si>
  <si>
    <t>['hati', 'kuota', 'sinyal', 'down', 'nyedot', 'pulsa', 'parah', 'operator', 'kebanyakan', 'siasat', 'nyuri', 'pulsa', 'fair', 'pikirkan', 'cari', 'profit', '']</t>
  </si>
  <si>
    <t>['aplikasi', 'buruk', 'install', 'beli', 'paket', 'bulanan', 'unlimited', 'kecewa']</t>
  </si>
  <si>
    <t>['gue', 'suka', 'harga', 'poin', 'tukar', 'harga', 'pulsa', 'perbulan', 'diturunkan', 'mahal', 'kadang', 'beli', 'perbulan', 'error', 'pulsa', 'gue', 'kek', 'makan', 'sistem', 'error', 'mempermasalahkan', 'harga', 'turunin', 'bagus', 'beli', 'telkomsel', 'beli', 'mahal']</t>
  </si>
  <si>
    <t>['sya', 'paket', 'kuota', 'internet', 'kuota', 'sosmed', 'youtube', 'knpa', 'ditarik', 'kuota', 'internet', 'mulu', 'herannya', 'konsultasi', 'ama', 'vero', 'komputer', '']</t>
  </si>
  <si>
    <t>['tolong', 'harga', 'mahal', 'trs', 'donk', 'sinyal', 'telkomsel', 'susah', 'jelek', 'jelkkkkkkkk']</t>
  </si>
  <si>
    <t>['kasi', 'promo', 'data', 'murah', 'php', 'doang', 'pas', 'pulsa', 'diisi', 'sesuai', 'harga', 'promo', 'hrga', 'berubah', 'normal', 'blm', 'nyampe', 'menit', 'php', 'nipu', 'najis', '']</t>
  </si>
  <si>
    <t>['jaringan', 'lemot', 'beli', 'mahal', 'mahal', 'telkomsel', 'orbit', 'jaringan', 'kaya', '']</t>
  </si>
  <si>
    <t>['beli', 'pulsa', 'bayar', 'akun', 'virtual', 'bank', 'bni', 'bank', 'mandiri', 'semoga', 'perbarui']</t>
  </si>
  <si>
    <t>['pulsa', 'kesedot', 'berkurang', 'telkomsel', 'korupsi', 'hak', 'jarang', 'sms', 'telfon', 'hnya', 'menerima', 'telfon', 'data', 'internet', 'itupun', 'paketannya']</t>
  </si>
  <si>
    <t>['kasih', 'star', 'makai', 'aplikasi', 'bnyk', 'promo', 'menarik', 'bintang', 'penuh', '']</t>
  </si>
  <si>
    <t>['ngakunya', 'provider', 'listrik', 'padam', 'sinyal', 'hilang', 'lapor', 'via', 'tanggepannya', 'datar', 'kyk', 'ywdh', 'terima', 'nasip', 'kirimim', 'email', 'pengaduan', 'respon', 'hadeh']</t>
  </si>
  <si>
    <t>['pulsa', 'ngurang', 'kompensasi', 'apapun', 'telkomsel', 'telkomsel', 'rugi', 'gua', 'woy']</t>
  </si>
  <si>
    <t>['telkomsel', 'parah', 'paket', 'internet', 'kartu', 'simpati', 'nggak', 'murah', 'combo', 'sakti', 'berubah', 'combo', 'sakit']</t>
  </si>
  <si>
    <t>['uninstall', 'aplikasi', 'telkomsel', 'kuota', 'mahal', 'kuota', 'ketengan', 'kuota', 'gitu', '']</t>
  </si>
  <si>
    <t>['telkomsel', 'ijazah', 'bayar', 'otak', 'udah', 'paketan', 'mahal', 'jaringan', 'lemot', 'bertahun', 'telkomsel', 'buruk', 'jaringannya', 'taiii', '']</t>
  </si>
  <si>
    <t>['pascabayar', 'tagihanya', 'mahal', 'sinyalnya', 'jelek', 'kalah', 'operator', 'rugi', 'pakek', 'simpati', 'pulsa', 'data', 'mahal', 'sinyalnya', 'sesuai', 'yag', 'jelek', 'jelak']</t>
  </si>
  <si>
    <t>['jaringan', 'jelek', 'malam', 'beli', 'paketan', 'berlangganan', 'disney', 'hotstar']</t>
  </si>
  <si>
    <t>['provider', 'pengguna', 'kart', 'hrg', 'paket', 'internet', 'beda', '']</t>
  </si>
  <si>
    <t>['cikampek', 'karawang', 'down', 'berlaku', 'habis', 'mah', 'toleransi', 'harga', 'toleransi', 'masyarakat', 'toleransi', '']</t>
  </si>
  <si>
    <t>['asem', 'nyesel', 'banget', 'beli', 'paket', 'unlimited', 'pakai', 'main', 'state', 'survivel', 'buka', 'item', 'loading', 'ajimmmmm', 'banget', '']</t>
  </si>
  <si>
    <t>['semoga', 'biaya', 'tarif', 'layanan', 'terbaik', 'pelanggan', 'kalangan', 'pelosok', 'indonesia']</t>
  </si>
  <si>
    <t>['aplikasi', 'curang', 'temen', 'beli', 'kuota', 'telkomsel', 'murah', 'giliran', 'gua', 'gapernah', 'dapet', 'promo', 'mengecewakan', 'jaringan', 'telkomsel', 'kek', 'ampas', 'jelek', 'banget', 'game', 'mahal', 'doang', 'gajelas']</t>
  </si>
  <si>
    <t>['aplikasi', 'bagus', 'memuaskan', 'data', 'msh', 'masuk', 'aplikasi', 'terima', 'kasih', 'telkomsel']</t>
  </si>
  <si>
    <t>['', 'ganti', 'kartu', 'bonus', 'quota', 'gb', 'terpakai', 'gb', 'pulsa', 'berkurang', '']</t>
  </si>
  <si>
    <t>['telkomsel', 'suka', 'curi', 'pulsa', 'berlangganan', 'tolong', 'diperbaiki', 'mentang', 'mentang', 'sinyal', 'disemua', 'negara', 'kota', 'desa']</t>
  </si>
  <si>
    <t>['sya', 'puas', 'sinyal', 'kecewa', 'karna', 'keamanan', 'sya', 'sbgai', 'pelanggan', 'djaga', 'tolong', 'diperbaiki', '']</t>
  </si>
  <si>
    <t>['aplikasinya', 'kemudahan', 'disetiap', 'pengguna', 'aplikasi', 'telkomsel', 'terpercaya', 'akses']</t>
  </si>
  <si>
    <t>['sampe', 'pengguna', 'telkomsel', 'kali', 'pingin', 'buang', 'kartu', 'sinyal', 'darah', 'jaringan', 'kadang', 'hilang', 'hilang', 'udah', 'gitu', 'browsing', 'lola', 'mohon', 'perbaiki']</t>
  </si>
  <si>
    <t>['bug', 'aplikasi', 'beli', 'paket', 'promo', 'udh', 'berulang', 'kali', 'tetep', 'notif', 'aktivasinya', 'muncul', 'trus', 'pulsa', 'abis', 'gini', 'mah', 'puas', 'rugi']</t>
  </si>
  <si>
    <t>['sinyal', 'busuk', 'udah', 'mahal', 'mahal', 'belinya', 'nga', 'kasih', 'ujian', 'udah', 'daring', 'telkom', 'ngedown', 'tolil']</t>
  </si>
  <si>
    <t>['bagus', 'aplikasi', 'mempermudah', 'menggakses', 'kuotaa', 'mudah', '']</t>
  </si>
  <si>
    <t>['jaringan', 'bagus', 'paket', 'internet', 'aneh', 'kuota', 'omg', 'dipakai', 'skrg', 'kuota', 'utama', 'omg', 'cpt', 'nyedot', 'pdhal', 'signal', 'jelek', 'trs', 'kuota', 'tambahan', 'unlimited', 'kuota', 'utama', 'habis', 'jelek', 'ampun', 'chat', 'skrg', 'telkomsel', 'berubah', 'sedih', 'udh', 'pke', 'tsel', 'dbkn', 'kecewa', '']</t>
  </si>
  <si>
    <t>['buka', 'aplikasi', 'speed', 'internetnya', 'dlm', 'mode', 'standby', 'alias', 'buka', 'menu', 'quota', 'fup', 'cepat', 'terkuras', '']</t>
  </si>
  <si>
    <t>['udah', 'kali', 'ngisi', 'paket', 'gb', 'seharga', 'bebas', 'langganan', 'sosmed', 'gb', 'youtube', 'facebook', 'wasshap', 'dll', 'berkurang', 'paket', 'terbuang', 'sia', 'sia', 'gimana', 'telkomsel', '']</t>
  </si>
  <si>
    <t>['kecewa', 'gini', 'telkomsel', 'nyaman', 'penggunanya', 'tolong', 'mahal', 'tarif', 'pembelian', 'paketnya', 'beda', 'harga', 'beda', 'kualitas', 'mosok', 'harga', 'paketan', 'hasilnya', 'ttp', 'kecewa', 'telkomsel', '']</t>
  </si>
  <si>
    <t>['aplikasi', 'busuk', 'buka', 'uninstal', 'sesuai', 'promosinya', 'buang', '']</t>
  </si>
  <si>
    <t>['aneh', 'telkomsel', 'registrasi', 'kartu', 'susah', 'kali', 'gagal', 'suruh', 'registrasi', 'besok', 'super', 'ribet', 'aneh']</t>
  </si>
  <si>
    <t>['tlng', 'perbaiki', 'gan', 'karna', 'aplikasinya', 'buka', '']</t>
  </si>
  <si>
    <t>['jaringan', 'jelek', 'lambat', 'sms', 'promo', 'berulang', 'mengganggu', 'menguras', 'pulsa', 'masuk', 'apk', 'bertele', 'login', 'susah', 'ditunggu', 'perbaikannya', 'admin', 'perbaiki', 'jaringan', 'pemakai', 'sim', 'puas', 'trims']</t>
  </si>
  <si>
    <t>['tolonglah', 'terkait', 'dalamnya', 'jaringan', 'nyaman', 'mahal', 'pembeliannya', 'tergantung', 'menentukan', 'buatlah', 'jaringan', 'stabil', 'optimal', 'pengguna', 'nyaman', '']</t>
  </si>
  <si>
    <t>['beli', 'kuota', 'internet', 'promo', 'telkomsel', 'jaringannya', 'buruuukkkkkkkk', 'tergiur', 'promo', '']</t>
  </si>
  <si>
    <t>['sinyal', 'engga', 'bagus', 'hilang', 'daerah', 'pamulang', 'pondok', 'benda', 'indah', 'jelek', 'sinyal', 'simpati', '']</t>
  </si>
  <si>
    <t>['', 'kota', 'belajar', 'telkomsel', 'akses', 'kota', 'belajar', 'grtis', 'pemarintah', 'akses', 'mcm', 'mna', 'telkomsel', 'beli', 'kota', 'belajar', 'gb', 'mcm', 'mna', 'telkomsel', 'beli', '']</t>
  </si>
  <si>
    <t>['kasih', 'bintang', 'karna', 'kecewa', 'sinyalny', 'susah', 'udah', 'update', 'masuk', 'akun', 'masuk', 'loading', 'beranda', 'menu', 'udh', 'nunggu', 'tetep', 'masuk', 'beranda', 'kecewa', 'bnr', 'update', '']</t>
  </si>
  <si>
    <t>['bagus', 'semoga', 'beruntung', 'allah', 'semoga', 'telkomsel', 'maju', 'sukses']</t>
  </si>
  <si>
    <t>['pengguna', 'telkomsel', 'jaman', 'applikasi', 'jaringan', 'udah', 'banget', 'males', 'laporan', 'telkomsel', 'down', 'sinyalnya', 'setia', 'karna', 'jaringannya', 'the', 'best', '']</t>
  </si>
  <si>
    <t>['gila', 'pulsa', 'mengensap', 'paketan', 'bisanya', 'kesedot', 'salah', 'emang', 'komen', 'aplikasi', 'telkomsel', 'super', 'bad', 'udah', 'susah', 'log', 'beli', 'paketan', 'buffering', 'sesuai', 'espektasi', 'pelayanan', 'onlinenya', 'sistem', 'sedot', 'pulsa', 'bad']</t>
  </si>
  <si>
    <t>['akses', 'mudah', 'cek', 'ricek', 'pembelian', 'paket', 'data', 'pulsa', 'dimanapun', '']</t>
  </si>
  <si>
    <t>['download', 'applikasi', 'baca', 'smua', 'stetmen', 'pengguna', 'ngga', 'bagus', 'ngga', 'dech', 'ngedownload', 'applikasinya', 'beli', 'paketan', 'kartu', 'perdana', 'dibuang', 'trus', 'ganti', 'kartu', '']</t>
  </si>
  <si>
    <t>['lambat', 'proses', 'paket', 'paket', 'promo', 'aplikasi', 'seharian', 'dibeli', 'pulsa', 'terkuras', 'udah', 'mahal', 'paketnya', 'habisin', 'pulsa', '']</t>
  </si>
  <si>
    <t>['mohon', 'adakan', 'promo', 'puas', 'pakai', 'paket']</t>
  </si>
  <si>
    <t>['telkomsel', 'poin', 'telkomsel', 'orang', 'memenangkan', 'hadiahnya', 'kecewa', 'berat', 'radem', 'ngak', 'tercatat', 'pemenang', 'pedahal', 'minggu', 'randem', 'minimal', 'kupun', 'item', '']</t>
  </si>
  <si>
    <t>['aduh', 'simpati', 'sinyalnya', 'jelek', 'menang', 'mahal', 'doang', 'buka', 'internet', 'leletnya', 'parah', '']</t>
  </si>
  <si>
    <t>['kali', 'isi', 'pulsa', 'langsung', 'potong', 'aktifkan', 'paket', 'data', 'langsung', 'rupiah', 'hadeh', 'kecewa']</t>
  </si>
  <si>
    <t>['', 'the', 'best', 'pokok', 'mah', 'mah', 'atuh', 'teh', 'isi', 'pulsa', 'bnyk', 'tolong', 'atuh', 'kasih', 'bonus', 'mksh', '']</t>
  </si>
  <si>
    <t>['login', 'update', 'login', 'ulang', 'expired', 'habis', 'kuota', '']</t>
  </si>
  <si>
    <t>['halo', 'telkomsel', 'knp', 'kuota', 'multimedia', 'dipakai', 'meet', 'zoom', 'kesalahan', 'emg', 'darisana', 'tolong', 'diperbaiki', 'yaa', 'zoom', 'meet', 'dll', 'susah', '']</t>
  </si>
  <si>
    <t>['aplikasi', 'nga', 'masuk', 'beranda', 'susahnya', 'ampun', '']</t>
  </si>
  <si>
    <t>['harga', 'paket', 'telkomsel', 'mahal', 'jaringan', 'burukkk', 'harga', 'mahal', 'kualitas', 'sanhat', 'buruk', 'kecewa', 'sekaliii', 'jelek', 'sinyal']</t>
  </si>
  <si>
    <t>['bagus', 'murah', 'cepat', 'jaringannya', 'telkomsel', 'emang', 'the', 'best', 'download', 'aplikasi', 'mytelkomsel', '']</t>
  </si>
  <si>
    <t>['kasih', 'kartu', 'kasih', 'paket', 'murah', 'gua', 'kaga', 'bts', 'sinyalnya', 'parah', 'garis', '']</t>
  </si>
  <si>
    <t>['kurangin', 'bintangnya', 'harga', 'paket', 'mahal', 'sinyalnya', 'setabil', 'lemot', 'rumah', 'rumah', 'tolong', 'benahin', 'langsung', '']</t>
  </si>
  <si>
    <t>['mengecewakan', 'pelanggan', 'penipuan', 'kelas', 'alami', 'tersedia', 'combo', 'thrifty', 'telkomsel', 'sebulan', 'combo', 'muncul', 'hilang', 'pertimbangkan', 'kepuasaan', 'pelanggan', 'memikirkan', 'keuntungan', 'perusahaan', 'terima', 'kasih', '']</t>
  </si>
  <si>
    <t>['beli', 'paket', 'aplikasi', 'eror', 'update', 'telkomsel', 'ganti', 'nama', 'telkomnyet']</t>
  </si>
  <si>
    <t>['jaringan', 'lelet', 'banget', 'nelp', 'call', 'canter', 'pengaruh', 'lelet', 'main', 'game', 'online', 'lag', 'parah']</t>
  </si>
  <si>
    <t>['pulsa', 'habis', 'terpakai', '']</t>
  </si>
  <si>
    <t>['kecewa', 'karna', 'telkomsel', 'menyebabkan', 'kehilangan', 'pulsa', 'drastis', 'telkomsel', 'memunculkan', 'notifikasi', 'panggilan', 'mengambil', 'pulsa', 'panggilan', 'apapun', 'anehnya', 'notifikasi', 'muncul', 'abis', 'isi', 'ulang', 'pulsa', 'tambahan', 'pulsa', 'panggilan', 'internasional', 'panggilan', 'wajib', 'hati', '']</t>
  </si>
  <si>
    <t>['tolong', 'jaringan', 'dibagusin', 'harga', 'ditingkatkan', 'menerus', 'kualitasnya', 'menurun', 'kecewa', 'beli', 'kouta', 'mahal', 'hasilnya', 'sesuai', 'eskpetasi', '']</t>
  </si>
  <si>
    <t>['nyoba', 'aplikasi', 'ribet', 'diperbarui', 'teruz', 'hapus', 'phone', '']</t>
  </si>
  <si>
    <t>['kemana', 'lari', 'pulsa', 'menguap', 'tolong', 'tambahkan', 'histori', 'pulsa', 'aplikasi', 'pulsa', 'terpakai', 'apapun', 'awasi', 'langsung', 'pemilik', '']</t>
  </si>
  <si>
    <t>['serius', 'nanya', 'knp', 'disuruh', 'update', 'sihh', 'update', 'disuruh', 'update', 'aneh', 'bgtttttt']</t>
  </si>
  <si>
    <t>['jaringan', 'kulon', 'progo', 'wates', 'yogyakarta', 'jelek', 'bertahun', 'benerin', 'paketan', 'mahal', 'jaringan', 'susah', 'menang', 'nama', 'telkom', 'bos', 'payah', '']</t>
  </si>
  <si>
    <t>['udah', 'mahal', 'signal', 'kaya', 'keong', 'pergi', 'haji', 'kali', 'karyawannya', '']</t>
  </si>
  <si>
    <t>['tlng', 'tsel', 'bijak', 'pinjam', 'ditsel', 'karna', 'kepepet', 'dlm', 'wkt', 'isi', 'pls', 'tujuanya', 'kembalikan', 'tsel', 'bbrp', 'uang', 'tsel', 'dipotong', 'skrg', 'isi', 'pls', 'diptong', 'dipotong', 'catatan', 'mengembalikan', 'pinjaman', 'seblmya', 'kembalikan', 'dipotong', 'pinjam', 'kembalikan', 'mmg', 'bunga', 'main', 'ptng']</t>
  </si>
  <si>
    <t>['tambahin', 'lemot', 'sekelas', 'telkomsel', 'aplikasinya', 'buruuuuk', 'sebelah', 'murah', 'aplikasi', 'lancar']</t>
  </si>
  <si>
    <t>['udah', 'masuk', 'aplikasi', 'pembelian', 'metode', 'pembayaran', 'memakai', 'pulsa', 'berhasil', 'pas', 'dipakai', 'pemberitahuan', 'sisa', 'pulsane', 'kepake', 'akses', 'internet', 'gimana', 'tow', 'telkomselll', 'kecewa', 'kayak', 'gini']</t>
  </si>
  <si>
    <t>['kenap', 'telkomsel', 'bagus', 'kaya', 'dlu', 'udah', 'paketannya', 'mahal', 'kouta', 'internet', 'kepotong', 'bbrp', 'hitungan', 'jam', 'kaya', 'gini', 'males', 'kualitas', 'telkomsel', 'jelek']</t>
  </si>
  <si>
    <t>['telkomsel', 'sinyal', 'indonesia', 'gunung', 'pegunungan', 'daerah', 'kab', 'pangandaran', 'sinyal', 'top', 'markotoph', 'deh', '']</t>
  </si>
  <si>
    <t>['parah', 'mengecewakan', 'signal', 'hilang', 'lemot', 'stabil', 'cepat', 'provider', 'pakai', 'alasan', 'hadehh', '']</t>
  </si>
  <si>
    <t>['mohon', 'perbaikannya', 'kartu', 'hallo', 'lambat', 'internetnya', 'gmn', '']</t>
  </si>
  <si>
    <t>['super', 'duper', 'lelet', 'beli', 'kuota', 'mahal', 'dipake', 'jaringannya', 'muter', 'mulu']</t>
  </si>
  <si>
    <t>['kartu', 'telkom', 'udah', 'kaya', 'wifi', 'jam', 'mati', 'lampu', 'sinyal', 'langsung', 'ilang', 'khusus', 'wilayah', 'cianjur', 'wilayah', 'canggih', 'buruk', 'klw', 'pengen', 'maju', 'perbaikin', 'pelayan', '']</t>
  </si>
  <si>
    <t>['telkomsel', 'jaringan', 'terluas', 'bebas', 'berkomunikasi', 'kerabat', 'karna', 'telkomsel', 'full', 'signal', 'alhamdulillah']</t>
  </si>
  <si>
    <t>['maaf', 'kasih', 'bintang', 'beli', 'pulsa', 'konter', 'masuk', 'pas', 'cek', 'pulsa', 'data', 'matikan', 'tolong', 'tindak', 'bukti', 'konter', 'ajh']</t>
  </si>
  <si>
    <t>['masuk', 'dihapus', 'masuk', 'mytelkomsel', 'kamarin', 'masuk']</t>
  </si>
  <si>
    <t>['lemot', 'macet', 'kebanyakan', 'iklan', 'undian', 'poin', 'abal', 'abal', 'hadiah']</t>
  </si>
  <si>
    <t>['kasih', 'bintang', 'full', 'apknya', 'eror', 'paketan', 'habis', 'disedot', 'pulsanya', 'pengetahuan', 'operator', 'tolong', 'ditingkatkan', 'mending', 'pindah', 'provider', 'byu', 'guwe', 'makai', 'pulsa', 'aman', 'aman', '']</t>
  </si>
  <si>
    <t>['android', 'membuka', 'aplikasi', 'kendalanya', '']</t>
  </si>
  <si>
    <t>['jaringan', 'telkomsel', 'diwilayah', 'buruk', 'mohon', 'perbaikan', 'karna', 'diwilayah', 'cuman', 'telkomsel', 'towernya', '']</t>
  </si>
  <si>
    <t>['bayar', 'langsung', 'gopay', 'wajib', 'isi', 'pulsa', 'beli', 'aplikasi', 'bohong']</t>
  </si>
  <si>
    <t>['pokok', 'best', 'the', 'best', 'maju', 'truss', 'three', 'axis', 'moga', 'berjaya', 'sinyalnya', 'aceh', 'lancar', 'wus', 'wus', 'pengguna', 'puas', 'sinyal', 'paket', 'internet', 'murah', 'hadiah', 'hadiahnya', 'recommeded', '']</t>
  </si>
  <si>
    <t>['jualan', 'koneksimu', 'perbaiki', 'bayar', 'mahal', 'jaringan', 'lelet', 'kuota', 'full', 'terima', 'pelanggan']</t>
  </si>
  <si>
    <t>['ditempat', 'sinyalnya', 'ancur', 'error', 'diservice', 'liat', 'ulasan', 'pengguna', 'telkomsel', 'keluhan', 'harga', 'paket', 'internetnya', 'sesuai', 'kualitas', 'sinyalnya', 'udah', 'mahal', 'sesuai', 'kualitas', 'sinyalnya', 'setia', 'telkomsel', 'berilah', 'kepuasan', 'konsumen', '']</t>
  </si>
  <si>
    <t>['woi', 'telkom', 'udh', 'beli', 'pulsa', 'beli', 'pulsa', 'pakai']</t>
  </si>
  <si>
    <t>['konfirmasi', 'telkomsel', 'farah', 'mengejutkan', 'nama', 'terdaftar', 'telkomsel', 'berubah', 'nama', 'orang', 'farah', 'data', 'diambil', 'diskupcapil', 'kebocoran', 'data', 'diskupcapil', 'gampangnya', 'tersebar', 'data', 'diskupcapil', 'disalahgunakan', 'dibayangkan', 'puluh', 'juta', 'data', 'perbankan', 'bocor', '']</t>
  </si>
  <si>
    <t>['kali', 'merasakan', 'paketan', 'internet', 'pulsa', 'kesedot', 'coba', 'telkomsel', 'kayak', 'gini', 'sekarng', 'tolong', 'donk', 'telkomsel', '']</t>
  </si>
  <si>
    <t>['knpa', 'trlalu', 'verivikasi', 'login', 'logout', 'sya', 'bnyak', 'modem', 'untk', 'kontrol', 'pulsa', 'datanya', 'krna', 'modem', 'bsa', 'mlakukan', 'ussd', 'saran', 'kali', 'verifikasi']</t>
  </si>
  <si>
    <t>['jaringannya', 'buruk', 'telkomsel', 'salah', 'telkomsel', 'mengecewakan', '']</t>
  </si>
  <si>
    <t>['harga', 'kuotanya', 'diimbangi', 'pelayanannya', 'masak', 'harga', 'mahal', 'pelayanannya', 'maksimal', 'contohnya', 'jaringan', 'kecepatan', 'sinyal']</t>
  </si>
  <si>
    <t>['paket', 'mahal', 'sinyal', 'prioritas', 'booooooooong', 'sinya', 'kaya', 'buka', 'youtube', 'palingan', 'sinya', 'prioritas', 'paketnya', 'mahal', 'cari', 'untung', 'berkah']</t>
  </si>
  <si>
    <t>['masuk', 'mytelkomsel', 'terima', 'sms', 'tautan', 'terpaksa', 'uninstall', 'install', 'kagak', 'sms', 'tautan']</t>
  </si>
  <si>
    <t>['mending', 'beralih', 'indosat', 'jaringan', 'telkomsel', 'rendah', 'towernya', 'cuih']</t>
  </si>
  <si>
    <t>['kartu', 'halo', 'jaringan', 'internetnya', 'lelet', 'kayak', 'keong', 'racun', 'pelanggan', 'mimin', 'kartu', 'halo', 'buruk', 'jaringannya', 'kecewa']</t>
  </si>
  <si>
    <t>['mengisi', 'pulsa', 'telkomsel', 'memilih', 'metode', 'pembayaran', 'akun', 'virtual', 'muncul', 'unverify', 'session', 'mohon', 'bantuannya', 'admin', '']</t>
  </si>
  <si>
    <t>['tingkatkan', 'jaringan', 'telkomsel', 'pelosok', 'daerah', 'perkampungan', 'jaringan', 'telkomsel', 'perkampungan', 'bagus', '']</t>
  </si>
  <si>
    <t>['paketan', 'lumayan', 'murah', 'kualitas', 'kecepatan', 'ping', 'main', 'game', 'beda', 'paket', 'data', 'mahal', 'koneksi', 'ping', 'lancar', 'main', 'game', 'nyaman', 'maaf', 'bintang', 'perbaiki', 'terimakasih']</t>
  </si>
  <si>
    <t>['tinggal', 'kota', 'tangsel', 'sinyal', 'lemot', 'habis', 'hujan', 'mendekati', 'era', 'kayak', 'gini', 'jaringannya', 'hallo', 'telkomsel', 'bangkrut', 'gmn', 'ancurrr', 'koneksi', 'internet', '']</t>
  </si>
  <si>
    <t>['sinyal', 'ilang', 'berkali', 'kali', 'harganya', 'mahal', 'konsisten', 'harganya', 'idiot', 'ngegame', 'ping', 'ilang', '']</t>
  </si>
  <si>
    <t>['telkomsel', 'sialan', 'aplikasi', 'terburuk', 'pernahgua', 'bagusan', 'kuning', 'transparan', 'mengiming', 'imingi', 'menjebak', 'pelanggan', 'poin', 'ditukar', 'mobil', 'beli', 'pulsa', 'kau']</t>
  </si>
  <si>
    <t>['promo', 'poinya', 'nipu', 'poin', 'rendem', 'paket', 'data', 'berulang', 'coba', 'gagal', 'inbox', 'masuk', 'katagori', 'gold', 'bumn', 'gini', 'malu', 'negara', 'bangsa', 'indonesia', '']</t>
  </si>
  <si>
    <t>['diperbarui', 'parah', 'lemot', 'lambat', 'banget', 'untung', 'kasih', 'bintang', 'coy']</t>
  </si>
  <si>
    <t>['always', 'semangat', 'memenuhi', 'kebutuhan', 'konsumen', 'jaringan', 'internet', 'kian', 'kian', 'dibutuhkan', 'mendukung', 'penuh', 'telkomsel', 'konsistensinya', 'pelayanan', 'terbaiknya', 'terima', 'kasih', 'telkomsel', '']</t>
  </si>
  <si>
    <t>['beli', 'paket', 'unlimeted', 'quota', 'utama', 'habis', 'quota', 'unlimeted', 'lemotnya', 'ampun', 'dipakai', 'quota', 'unlimetednya', 'beda', 'provider', 'quota', 'unlimeted', 'tetep', 'kenceng', 'dipakainya', 'pakai', 'akun', 'bisnis', 'pilih', 'ganti', '']</t>
  </si>
  <si>
    <t>['permisi', 'komplen', 'bapa', 'kartu', 'halo', 'jarang', 'dipake', 'dirumah', 'pasang', 'wifi', 'pas', 'tagih', 'disuruh', 'bayar', 'bayarnya', 'gangotak', 'lho', 'penipuan', 'banget', 'kartu', 'halo', 'bener', 'bener', 'kecewa']</t>
  </si>
  <si>
    <t>['maling', 'pulsa', 'ribu', 'jam', 'abis', 'ngak', 'diapa', 'apain', 'suruh', 'kirim', 'keluhan', 'mulu', 'perbaiki', 'sadar', 'tunggu', 'rugi', 'enak', 'untung', 'udah', 'hidup', 'susah', 'bodohi', 'rakyat', 'udh', 'nyari', 'kepercayaan', 'konsumen', 'mati', 'udah', 'jaya', 'rampok', 'konsumen', 'ngk', 'pindah', 'operator', 'ajalah', 'mending', 'maling', 'telkom', '']</t>
  </si>
  <si>
    <t>['telkomsel', 'poin', 'minggu', 'nyangkut', 'wkwkwkwkk', 'zonk', 'gimana', 'min', 'dapet', 'hahaa']</t>
  </si>
  <si>
    <t>['kasih', 'bintang', 'gara', 'unlimited', 'youtube', 'hilangin', 'udah', 'gitu']</t>
  </si>
  <si>
    <t>['telkomsel', 'ngirim', 'gift', 'paket', 'combo', 'sakti', 'teman', 'keluarga', '']</t>
  </si>
  <si>
    <t>['jaringan', 'kualitas', 'signal', 'semoga', 'dipertahankan', '']</t>
  </si>
  <si>
    <t>['', 'kali', 'prank', 'telkomsel', 'udah', 'beli', 'pulsa', 'nggk', 'beli', 'paketnya', 'manapulsanya', 'kesedot', 'bad', 'service', 'plat', 'merah']</t>
  </si>
  <si>
    <t>['peningkatan', 'kualitas', 'hebat', 'telkomsel', 'berani', 'hadiah']</t>
  </si>
  <si>
    <t>['aplikasi', 'pulsa', 'beli', 'kuota', 'sisa', 'beli', 'goblokkk']</t>
  </si>
  <si>
    <t>['assalamu', 'alaikum', 'mohon', 'maaf', 'kak', 'saran', 'tolong', 'daily', 'chek', 'redem', 'pulsa', 'poin', 'telkomsel']</t>
  </si>
  <si>
    <t>['mohon', 'pulsa', 'internet', 'permurah', 'masyarakat', 'menikmatinya']</t>
  </si>
  <si>
    <t>['aplikasi', 'akurat', 'cepat', 'perbanyak', 'promosi', 'lancar', 'sinyalnya']</t>
  </si>
  <si>
    <t>['telkomsel', 'pulsa', 'gua', 'ilang', 'gunain', 'mendingn', 'kartu', 'exis', 'indosat', 'tri', 'pulsa', 'aman', 'ilang']</t>
  </si>
  <si>
    <t>['jaringan', 'keseringan', 'buruk', 'menyedot', 'pulsa', 'kayak', 'telkomsel', 'nyaman', 'telkom', 'segi', 'jaringan', 'pelayanan', 'virtual']</t>
  </si>
  <si>
    <t>['harga', 'paket', 'kuota', 'kartu', 'kartu']</t>
  </si>
  <si>
    <t>['update', 'versi', 'mesti', 'errror', 'harga', 'paket', 'mahal', 'kali', 'inovasi', 'ganti', 'logo', 'doang', 'emang', 'the', 'best', '']</t>
  </si>
  <si>
    <t>['mantap', 'harga', 'diturunkan', 'paket', 'combo', 'ditambah', 'unlimited', 'multimedia']</t>
  </si>
  <si>
    <t>['bintang', 'kecewa', 'kali', 'pembelian', 'paket', 'belajar', 'deskripsi', 'tertulis', 'peruntukkan', 'paket', 'zoom', 'gmeet', 'dll', 'pas', 'gmeet', 'menjangkau', 'sll', 'out', 'menit', 'masuk', 'room', 'meeting', 'zoom', 'pdhl', 'sinyal', 'rumah', 'aman', 'terkendali', 'mohon', 'ditindaklanjuti', 'pelanggan', 'terbohongi', '']</t>
  </si>
  <si>
    <t>['ngeluh', 'tanggapi', 'serius', 'pengguna', 'telkomsel', 'jengkel', 'jaringan', 'memburuk']</t>
  </si>
  <si>
    <t>['telkomsel', 'besok', 'liat', 'berkurang', 'tolong', 'bantu', 'kasih', 'bintang']</t>
  </si>
  <si>
    <t>['paket', 'murah', 'masak', 'paketnya', 'mahal', 'berminat', 'beli', 'aplikasinya', 'tingkatkan', 'jngan', 'lupa', 'dbuat', 'lbih', 'murah', 'paket', 'internetnya']</t>
  </si>
  <si>
    <t>['min', 'beli', 'voucher', 'telkomsel', 'pemasangan', 'zona', 'teraktifkan', 'zona', 'berbeda', 'kali', 'terulang', 'otomatis', 'paket', 'lokal', 'merugikan', 'kecewa', 'admin', 'terimakasih']</t>
  </si>
  <si>
    <t>['telkomsel', 'bermanfaat', 'memudahkan', 'transaksi']</t>
  </si>
  <si>
    <t>['', 'knp', 'jaringan', 'mentiko', 'kali', 'disaat', 'belajar', 'lelet', 'kali', 'pliss', 'kasih', 'jaringan', 'bagus', 'lancar', 'kasih', 'bintang', '']</t>
  </si>
  <si>
    <t>['beli', 'kuita', 'gamesmax', 'mytelkomsel', 'dipake', 'keluhan', 'ditanggapi', 'menghubungi', 'berbayar', 'melaluu', 'veronika', 'merugikan', '']</t>
  </si>
  <si>
    <t>['kuota', 'maxstream', 'ngga', 'dipakai', 'ngerugiin', 'customer']</t>
  </si>
  <si>
    <t>['pulsa', 'potong', 'meng', 'akses', 'internet', 'tolong', 'penjelasan', '']</t>
  </si>
  <si>
    <t>['disuruh', 'cek', 'aplikasi', 'mytelkomsel', 'beli', 'paket', 'dibeli', 'dibeli', 'dikasih', 'penawaran', 'dihapus', 'aplikasinya', 'tolong', 'aplikasinya', 'diperbaiki', '']</t>
  </si>
  <si>
    <t>['pungsi', 'kuota', 'game', 'maen', 'game', 'ngelag', 'ngeleg', 'paket', 'internet', 'ngeleg', 'nyesel', 'beli', 'paket', 'game', '']</t>
  </si>
  <si>
    <t>['', 'telkomsel', 'puas', 'pengguna', 'telkomsel', 'trakhir', 'dikecewakan', 'aplikasi', 'bermutu', 'susah', 'loading', 'truss', 'pket', 'mahal', 'murahan', 'shopee', 'penuh', 'bintang', 'haduhh', 'haduh', '']</t>
  </si>
  <si>
    <t>['bagus', 'kurangnya', 'undian', 'menang', 'pelanyannya', 'puas', 'nggak', 'diskon', 'data', 'paketnya', 'terima', 'kasih']</t>
  </si>
  <si>
    <t>['tolong', 'telkomsel', 'jaringannya', 'perbaiki', 'jaringannya', 'stabil', 'banget', 'udah', 'harga', 'paketannya', 'mahal', 'kualitas', 'jaringannya', 'enggaj', 'seimbah', 'harganya', 'bergantung', 'kartu', 'telkomsel', 'ngelunjak', 'telkomselnya', 'promo', 'udah', 'dapatnya', 'jaringannya', 'nggak', 'karuan']</t>
  </si>
  <si>
    <t>['paket', 'promo', 'beli', 'proses', 'trus', 'balas', 'aktif', '']</t>
  </si>
  <si>
    <t>['apk', 'eror', 'apk', 'berjalan', 'dibelakang', 'layar', 'nutup', 'lemot', 'panas', 'trus', 'hank', '']</t>
  </si>
  <si>
    <t>['kasih', 'bintang', 'ntar', 'nomor', 'layanany', 'paket', 'murah', 'pembayaran', 'tunai', 'aplikasi', 'pakai', 'kedepanya', 'terimakasih']</t>
  </si>
  <si>
    <t>['telkomsel', 'knpa', 'jdi', 'gini', 'pdhal', 'dlu', 'dibilang', 'sel', 'terbaik', 'skrg', 'aplikasi', 'telkomsel', 'crash', 'mna', 'letak', 'kesalahanya', 'download', 'telkomsel', 'jdi', 'restart', 'semoga', 'lekas', 'sembuh', 'telkomselkuh', '']</t>
  </si>
  <si>
    <t>['aduh', 'telkomsel', 'lemot', 'gini', 'jaman', 'remaja', 'anak', 'kali', 'telkomsel', 'lemot', 'tolong', 'harga', 'kualitas', 'seimbang', 'kecewa', 'pengguna', 'usaha', 'pengguna', 'setia', '']</t>
  </si>
  <si>
    <t>['waduhhhh', 'isi', 'mengisi', 'pulsa', 'pulsax', 'langsung', 'isi', 'hny', 'telpon', 'teman', 'menit', 'pulsa', 'isi', 'pulsax', 'rp', 'akhirx', 'kapok', 'beli', 'pulsa', 'jdx', 'beli', 'rb', 'resitrasi', 'kartuku', 'mati']</t>
  </si>
  <si>
    <t>['aplikasi', 'buruk', 'disaat', 'kouta', 'internet', 'promo', 'harga', 'kouta', 'murah', 'disaat', 'kouta', 'habis', 'lsg', 'harganya', 'permainan', 'sengaja', 'telkomsel', 'kualitas', 'rendah', 'krna', 'pejabat', 'komisaris', 'ber', 'kompeten', '']</t>
  </si>
  <si>
    <t>['revisi', 'bintangnya', 'peket', 'telp', 'coba', 'gonta', 'ganti', 'sim', 'tetep', 'pagi', 'dicoba', 'aktivasi', 'paket', 'telp', 'simpati', 'loop', 'mohon', 'kedepan', 'sampe', 'trouble', 'aktivitas', 'terganggu', 'pelayanan', 'via', 'twiter', 'fast', 'respon', 'tingkatkan', 'customer', 'satisfactionya', '']</t>
  </si>
  <si>
    <t>['sekrang', 'aplikasi', 'bagus', 'lancar', 'upgrade', 'beaslah', 'developer', 'tolong', 'selsaikan', 'maslah', 'membuka', 'aplikasi', 'gagal', '']</t>
  </si>
  <si>
    <t>['signalnya', 'burukkk', 'paket', 'youtube', 'unlimited', 'dipakai', 'sekaliiiii', 'malam', 'kadang', 'suka', 'hilang', 'signal', '']</t>
  </si>
  <si>
    <t>['palak', 'telkomsel', 'kayak', 'geratisan', 'sayabmau', 'beli', 'pusa', 'telkomsel', 'otak', 'sokreman']</t>
  </si>
  <si>
    <t>['pengin', 'hadiah', 'mengirim', 'poin', 'bintang', 'poin', '']</t>
  </si>
  <si>
    <t>['kasih', 'bintang', 'kecewa', 'promo', 'telkomsel', 'mahal', 'udah', 'kartuku', 'perubahan', 'teman', 'dapatnya', 'murah', 'merka', 'beli', 'kartu', 'suruh', 'apk', 'telkomsel', 'ajakan', 'data', '']</t>
  </si>
  <si>
    <t>['koq', 'pulsa', 'ilang', 'padahl', 'kuotanya', 'payah', 'safe', 'pulsa', 'kaya', 'provider', 'sebelah', 'pas', 'kuota', 'abis', 'makan', 'pulsa', 'sampe', 'abis', '']</t>
  </si>
  <si>
    <t>['oke', 'kasih', 'star', 'forever', 'telkomsel', 'paket', 'dibawah', 'rb', 'sebulan', 'promo', '']</t>
  </si>
  <si>
    <t>['aplikasi', 'bukak', 'isi', 'tulisan', 'memuat', 'halaman', 'maaf', 'kesalahan', 'sistem', 'ngejelekin', 'tpi', 'fakta', 'kak', '']</t>
  </si>
  <si>
    <t>['tolong', 'mengembalikan', 'paket', 'ceria', 'karna', 'paket', 'ceria', 'ganti', 'provider', 'karna', 'paket', 'ceria', 'bertahan', 'telkomsel', 'trimsss', '']</t>
  </si>
  <si>
    <t>['jaringan', 'buruk', 'harga', 'paket', 'mahal', 'ditengah', 'kota', 'kadang', 'kadang', 'sinyal', 'gimana', 'hutan', 'telkomsel', 'kecewa', 'berat']</t>
  </si>
  <si>
    <t>['tolong', 'sinyalnya', 'benerin', 'rumah', 'sinyal', 'kota', 'tangerang', 'tanah', 'kualitas', 'sinyalnya', 'jelek', 'kalah', 'operator', 'trie', '']</t>
  </si>
  <si>
    <t>['kasi', 'bintang', 'alasan', 'kasi', 'bintang', 'karana', 'kouta', 'unlimited', 'terbatas', 'kek', 'batasi', 'masyarakat', 'manjadi', 'suka', 'batasi', 'kouta', 'unlimited', 'ibuk', 'pekerja', 'mytelkomsel', 'tolonglah', 'kouta', 'unlimited', 'jng', 'batas', 'tolong', 'kek', 'kouta', 'unlimited', 'dibatas', 'suka', 'terbatas', 'sulit', 'terbatas', 'itumah', 'bagus', 'terbatas', 'tambahin', 'bint']</t>
  </si>
  <si>
    <t>['yaa', 'vocer', 'telkomsel', 'gabisa', 'maaf', 'sistem', 'sibuk', 'udh', 'gabisa', 'masukin', 'vocer', 'yaa', 'min', 'tolong', 'bantuan', '']</t>
  </si>
  <si>
    <t>['kesedotnya', 'banget', 'lupa', 'ngepaketin', 'data', 'aktif', 'rb', 'hangus', 'menit', '']</t>
  </si>
  <si>
    <t>['ngak', 'gangguan', 'serius', 'setia', 'telkomsel', '']</t>
  </si>
  <si>
    <t>['puas', 'apl', 'telkomsel', 'promo', 'terbaru', 'telkomsel']</t>
  </si>
  <si>
    <t>['system', 'telkomsel', 'kali', 'meng', 'ambil', 'pulsa', 'utama', 'menggunakannya', 'telpon', 'internet', 'males', 'isi', 'pulsa', 'klu', 'isi', 'hilang', 'menggunakannya']</t>
  </si>
  <si>
    <t>['semenjak', 'mutasi', 'kartu', 'halo', 'susah', 'sinyal', 'kadang', 'ilang', 'kuota', 'multimedia', '']</t>
  </si>
  <si>
    <t>['pembelian', 'paket', 'mudah', 'pergi', 'konter', 'pulsa', 'terisi', 'otomatis', 'pembayaran', 'lakukan', 'rumah', 'pakai', 'mobile', 'banking', 'menghemat', 'terimakasih', 'telkomsel']</t>
  </si>
  <si>
    <t>['telkomsel', 'udh', 'jaringan', 'jelek', 'harga', 'paket', 'mahal', 'tolonglah', 'perbaikin', 'buka', 'sosmed', 'susah', 'skrg', 'ngegame', '']</t>
  </si>
  <si>
    <t>['sya', 'bingung', 'sya', 'cba', 'transfer', 'pulsa', 'koh', 'transaksi', 'proses', 'padah', 'saldo', 'msih', 'rbu']</t>
  </si>
  <si>
    <t>['mantavv', 'telkomsel', 'beragam', 'jenis', 'paketnya', 'saran', 'pengguna', 'paket', 'superdeal', 'mohon', 'jadikan', 'kuota', 'permanen', 'membantu', 'paket', 'internetan', '']</t>
  </si>
  <si>
    <t>['kuota', 'mahal', 'jaringan', 'abis', 'update', 'bagus', 'sinyal', 'jelek', 'sinyal', 'bagus', 'ngeleg', 'haduh', 'kecewa', 'telkomsel', 'ganti', 'operator']</t>
  </si>
  <si>
    <t>['woy', 'paket', 'internet', 'mahal', 'harganya', 'skrng', 'smoga', 'telkomsel', 'bangkrut', 'kartu', 'udah', 'kasih', 'bonus', 'mahal', 'emng', 'edan', 'telkomsel', 'ngehargai', 'udah', 'setia', 'pakai', 'nomor', 'smoga', 'bngkrut', '']</t>
  </si>
  <si>
    <t>['intinya', 'promo', 'penukaran', 'point', 'jaringan', 'tingkatkan', 'bintangnya']</t>
  </si>
  <si>
    <t>['isi', 'quota', 'rb', 'pembayaran', 'shoopepay', 'quota', 'masuk', 'uang', 'terpotong', 'tlp', 'mytelkom', 'nanganin', 'nunggu', 'seharian', 'quota', 'blm', 'masuk', 'jga', 'dlu', 'telkomsl', 'jaringan', 'baguss', 'sekaraaang', 'mahal', 'lemot', '']</t>
  </si>
  <si>
    <t>['mohon', 'peningkatan', 'sinyal', 'lancar', 'terhambat', 'disegala', 'kebutuhan', 'masarakat', 'daerah', 'sinyal', 'telkomsel', 'jelek']</t>
  </si>
  <si>
    <t>['kasih', 'bintang', 'jaringan', 'daerah', 'buruk', '']</t>
  </si>
  <si>
    <t>['bintang', 'karna', 'jaringan', 'susah', 'cilacap', 'barat', 'bagiyan', 'selatan']</t>
  </si>
  <si>
    <t>['kadang', 'kadang', 'suka', 'gasuka', 'telkomsel', 'gaada', 'kuota', 'pulsanya', 'pulsa', 'berkurang', 'why', '']</t>
  </si>
  <si>
    <t>['kecewa', 'ama', 'telkomsel', 'pulsa', 'ribu', 'beli', 'paket', 'malam', 'ribu', 'sisanya', 'ribu', 'aktif', 'jam', 'pas', 'internet', 'jam', 'pulsa', 'sisa', 'ribu', 'habis', 'terpotong', 'mantap', 'telkomsel', '']</t>
  </si>
  <si>
    <t>['serius', 'aneh', 'sistemny', 'sibuk', 'smua', 'beli', 'kuota', 'kagak', '']</t>
  </si>
  <si>
    <t>['kesini', 'telkomsel', 'jaringan', 'susah', 'harga', 'paket', 'kualitas', 'jaringan', 'wort', 'tlg', 'perbaiki', 'kedepanya']</t>
  </si>
  <si>
    <t>['beli', 'paket', 'mahal', 'mahal', 'jaringan', 'kayak', 'taik', 'sesuai', 'biaya', 'keluarkan', 'telkomsel', 'taik']</t>
  </si>
  <si>
    <t>['tolong', 'tambahkan', 'wilayah', 'blitar', 'mengaktivasi', 'paket', 'ekstra', 'unlimited', 'pengguna', 'anak', 'tirikan']</t>
  </si>
  <si>
    <t>['sumpah', 'kecewa', 'deskripsi', 'paket', 'tulis', 'pas', 'pasang', 'merugikan', 'tolong', 'kali', 'tulis', 'lengkap', 'berlaku', 'ketentuan', 'slh', 'paham', 'kek', 'gini', 'rugi', 'semoga', 'gaada', 'rugikan', 'mengecewakan', 'cari', 'uang', 'susah', 'skrg', 'ketipu', 'makasi']</t>
  </si>
  <si>
    <t>['jaringannya', 'beda', 'smartfren', 'unlimited', 'gratisan', 'bagus', 'smartfren', 'nyesel', 'beli', 'data', 'telkomsel', 'mendingan', 'im', 'deh', 'sumpah', 'stiap', 'bagus', 'sinyalnya', 'main', 'game', 'online', 'pengen', 'banting', 'hape', 'samsung', 'tinggal', 'daerah', 'kota', 'woii', 'gunung', 'tower', 'internet', '']</t>
  </si>
  <si>
    <t>['sengaja', 'kasih', 'bintang', 'baca', 'telkomsel', 'sinyalnya', 'jelek', 'harganya', 'nyekek', 'ngak', 'sepadan', 'bossku']</t>
  </si>
  <si>
    <t>['jaringan', 'telkomsel', 'buruk', 'petunjuk', 'sinya', 'sinya', 'penuh', 'koneksi', 'lambat', 'lemot', 'pelanggan', 'olah', 'tertipu', 'sinyal', 'blank', 'spot', 'telkomsel', 'mendominasi', 'pasar', 'kualitas', 'jaringan', 'sepelekan', 'tinggalkan', 'pelanggan', '']</t>
  </si>
  <si>
    <t>['tolong', 'banyakin', 'diskon', 'harga', 'merakyat', 'bagus', 'iklan', 'kenyataan', '']</t>
  </si>
  <si>
    <t>['bintang', 'kecewa', 'telkomsel', 'jaringan', 'iyah', 'kalah', 'kartu', 'paketannya', 'murah', '']</t>
  </si>
  <si>
    <t>['tolong', 'menu', 'kunci', 'pulsa', 'pulsa', 'aman', 'terpotong', 'sia', 'sia', 'lupa', 'mematikan', 'data', 'seluler', 'mengisi', 'pulsa', 'tolong', 'telkomsel', 'pengamanan', 'kunci', 'halnya', 'profeder', 'exis', '']</t>
  </si>
  <si>
    <t>['pokoknya', 'debest', 'banget', 'telkomsel', 'cpat', 'singkat', 'ringkas', '']</t>
  </si>
  <si>
    <t>['jaringan', 'lag', 'embel', 'lokal', 'cocok', 'kampung', 'main', 'game', 'online']</t>
  </si>
  <si>
    <t>['sinyal', 'buruk', 'mending', 'pindah', 'kartu', 'udah', 'sya', 'puluhan', 'kecewain', '']</t>
  </si>
  <si>
    <t>['belik', 'paket', 'mahal', 'jaringan', 'abal', 'abal', 'pengguna', 'telkomsel', 'kesal', 'kalah', 'jaringam', 'tekkomsel', 'kartu', 'tolong', 'kedepan', 'jaringan', 'perbaiki', 'sesuaikan', 'kondisi', 'harga', 'kualitas']</t>
  </si>
  <si>
    <t>['telkomsel', 'sengaja', 'paket', 'tinggal', 'mb', 'lelet', 'trus', 'buka', 'aplikasi', 'nunggu', 'keburu', 'dipotong', 'dlu', 'plsa', 'paket', 'abis', 'gadak', 'notify', 'trakhir', 'pulsa', 'disedot', 'giliran', 'promo', 'weee', 'kencang', 'ngalahin', 'valentino', 'rossy', 'promo', 'aneh', 'pulak', '']</t>
  </si>
  <si>
    <t>['pasang', 'iklan', 'promo', 'paket', 'ceria', 'nda', 'terbayar', 'saran', 'ngak', 'pasang', 'iklan', 'cuman', 'tipu', 'anjingggg']</t>
  </si>
  <si>
    <t>['bintang', 'bintang', 'sinyal', 'full', 'bar', 'internet', 'ilang', 'berpengaruh', 'pekerjaan', 'ojek', 'online', 'diperbaiki', 'pindah', 'provider', 'terima', 'kasih', '']</t>
  </si>
  <si>
    <t>['isi', 'besok', 'harinya', 'paketan', 'langsung', 'kuota', 'habis', 'pedahal', 'beli', 'dasar', 'maling', 'balikin', 'duit', 'gua', 'setan', 'doangan', '']</t>
  </si>
  <si>
    <t>['tingkatkan', 'kualitas', 'jaringan', 'internetnya', 'daerah', 'pelosok', 'negeri']</t>
  </si>
  <si>
    <t>['sinyal', 'telkomsel', 'apk', 'buruk', 'sampah', 'aplikasi', 'sngat', 'menjijikkan', 'niat', 'aplikasi', 'sampah', 'ush', 'nipu', 'orng', 'hbis', 'donlod', 'apk', 'berfungsi', 'buka', 'skali', 'cari', 'uang', 'ush', 'nipu', 'bro', '']</t>
  </si>
  <si>
    <t>['aneh', 'promo', 'ceria', 'beli', 'paket', 'masuk', 'pulsa', 'terpotong', 'tolong', 'perbaiki', 'bug', 'meresahkan']</t>
  </si>
  <si>
    <t>['tinggal', 'jakarta', 'sinyal', 'kaya', 'plosok', 'hutan', 'emng', 'niatan', 'perbaikan', 'jaringan', 'tower', 'kelurahan', '']</t>
  </si>
  <si>
    <t>['udah', 'quota', 'mahalll', 'borosss', 'jaringan', 'kya', 'eek', 'kambing', 'kasih', 'bintang', 'udah', 'telkomsel', 'burukk', 'burikkkkkkkkkk', 'tolong', 'perbaikiii', 'tolonggg', '']</t>
  </si>
  <si>
    <t>['kuota', 'data', 'telkomsel', 'penipu', 'app', 'kuota', 'aktif', 'tgl', 'tgl', 'non', 'aktifkan', 'kuota', 'hilang', 'gb', 'dasar', 'penipu', 'klean']</t>
  </si>
  <si>
    <t>['paket', 'gamemax', 'habis', 'skor', 'kredit', 'gara', 'masuk', 'reconek']</t>
  </si>
  <si>
    <t>['senang', 'kebijakan', 'pemerintah', 'masarakat', 'awam', 'berkomonikasi']</t>
  </si>
  <si>
    <t>['sinyal', 'lemot', 'isi', 'pulsa', 'cek', 'pulsa', 'pulsa', 'kepotong', 'ngak', 'banget', 'sms', 'darurat', 'hri', 'nongol', 'jam', 'pulsa', 'darurat', 'ngak', 'pulsa', 'potong', 'cek', 'pulsa', 'sakit', 'banget', 'tolong', 'perbaiki']</t>
  </si>
  <si>
    <t>['masuknya', 'ribet', 'puas', 'aplikasi', 'buruk', 'masuk', 'ribet', 'baget', 'solusi', 'masuk', '']</t>
  </si>
  <si>
    <t>['jaringannya', 'lelet', 'turunin', 'bintangnya', 'pengguna', 'tpi', 'jaringannya', 'lelet', 'kecewa', 'deh', 'ganti', 'kartu', 'dehh', 'bgni', '']</t>
  </si>
  <si>
    <t>['sinyal', 'buruk', 'buruk', 'buruh', 'mahal', 'paketnya', 'sinyal', 'kayak', 'bendera', 'kuning', 'merah', '']</t>
  </si>
  <si>
    <t>['kecewa', 'pakai', 'kartu', 'hallo', 'sinyale', 'lemottt', 'pdhal', 'suda', 'langganan', 'ngk', 'pulsa', 'cadangam', 'iya', 'costumernya', 'ngk', 'terealisasi', 'kena', 'biaya', 'tambahan', 'telpon', 'telpon', 'menit', 'gara', 'jatah', 'telpon', 'menit', 'habis', 'kecewa', 'sinyale', 'lemot', 'kayak', 'pakai', 'kartu', 'prabayar', 'murahan', 'telkomsel', 'wahit', 'kartu', 'sinyale', 'internetnya']</t>
  </si>
  <si>
    <t>['telkomsel', 'buruk', 'gitu', 'buktinya', 'rumah', 'bagus', 'skrg', 'amit', 'amit', 'buka', 'app', 'telkomsel', 'main', 'facebook', 'lelet']</t>
  </si>
  <si>
    <t>['jaringan', 'jelek', 'tolong', 'perbaiki', 'secepatnya', 'pengguna', 'kabur', '']</t>
  </si>
  <si>
    <t>['telkomsel', 'jaringan', 'terburuk', 'pakai', 'main', 'codm', 'pubg', 'lag', 'jaringan', 'disconnected', 'data', 'seluler', 'aktif', 'diperbaiki', 'min', 'pelanggan', 'kabur', 'gua', 'udah', 'costumer', 'servis', 'balas', 'bot', 'veronica', '']</t>
  </si>
  <si>
    <t>['udah', 'telkomsel', 'thun', 'ngerasain', 'sinyalnya', 'jelek', 'parah', 'yaa', 'tolong', 'perbaiki', 'sistemnya', 'kecewa', 'udah', 'langganan', 'ganti', 'kartu', '']</t>
  </si>
  <si>
    <t>['tolong', 'diadakan', 'kuota', 'gb', 'harga', 'murah', 'mahal', 'sekalinya', 'beli', 'beli', 'kuota', 'kuota', 'butuhkan', '']</t>
  </si>
  <si>
    <t>['knapa', 'sinyal', 'telkomsel', 'lelet', 'lemot', 'nian', 'telkomsel', 'terkenal', 'enaknya', 'ganti', 'kartu', 'bos', 'sinyal', 'lancar', 'jaya']</t>
  </si>
  <si>
    <t>['', 'sesuai', 'mahalnya', 'paket', 'tersedia', 'kualitas', 'signal', 'lh', 'buruk', 'bhkan', 'buruk', 'bandingkan', 'axis', 'trs', 'promo', 'sgnl', 'kuat', 'menjangkau', 'pelosok', 'buktinya', 'kota', 'termsuk', 'kualitas', 'sgnlnya', 'buruk', 'paket', 'mahal', 'kualitas', 'sgnl', 'bagusin', 'jngn', 'ngambil', 'untung', 'gede', 'doang', 'payah']</t>
  </si>
  <si>
    <t>['pelayanan', 'telkomsel', 'lambat', 'paket', 'udah', 'beli', 'berfungsi']</t>
  </si>
  <si>
    <t>['semenjak', 'tampilan', 'aplikasi', 'telkomsel', 'lemot', 'banget', 'fitur', 'iklan', 'customer', 'terlayani', 'aplikasi', '']</t>
  </si>
  <si>
    <t>['beli', 'kouta', 'ribu', 'bayar', 'ribu', 'isi', 'saldo', 'ribu', 'ehh', 'hilang', 'ribu', 'emang', 'dasar', 'pencuri', 'saldo', 'banget', 'telkomsel', 'kaya', 'gini', 'giliran', 'komplain', 'banget', 'tektek', 'bngek', '']</t>
  </si>
  <si>
    <t>['kurangin', 'bintangnya', 'semenjak', 'jaringan', 'suka', 'ilang', 'pindah', 'paket', 'mahal', 'doang', 'axis', 'mah', 'kalah', '']</t>
  </si>
  <si>
    <t>['jaringan', 'busuk', 'rusak', 'jelek', 'main', 'sosmed', 'game', 'tolong', 'diperbaiki', 'kehilangan', 'pelanggan']</t>
  </si>
  <si>
    <t>['gelud', 'yuk', 'minn', 'ngeselin', 'banget', 'telkomsel', '']</t>
  </si>
  <si>
    <t>['tolong', 'sinyalnya', 'perabaiki', 'kuotanya', 'mahal', 'sinyalnya', 'jelek', 'gb', 'rb', 'kuota', 'semartfren', 'gb', 'harganya', 'rb', 'plis', 'kuotanya', 'muarhin', '']</t>
  </si>
  <si>
    <t>['maaf', 'ganti', 'bintang', 'update', 'combo', 'sakti', 'hilang', 'mahal', 'paketannya', 'membantu']</t>
  </si>
  <si>
    <t>['ditipu', 'malam', 'beli', 'paket', 'khusus', 'corporate', 'gb', 'notifikasinya', 'tertera', 'paketnya', 'aktif', 'diaplikasi', 'telkomselnya', 'internet', 'paketnya', 'aktif', 'disitu', 'tolong', 'diperbaiki', 'konsumen', 'dirugikan']</t>
  </si>
  <si>
    <t>['jaringan', 'bagus', 'berkurang', 'kekuatan', 'sinyal', '']</t>
  </si>
  <si>
    <t>['heran', 'gan', 'udah', 'mampir', 'mama', 'salah', 'tugas', 'tanggung', 'dicari', 'peselancar', 'dunia', 'rumah', 'rumah', 'buk']</t>
  </si>
  <si>
    <t>['harga', 'mahal', 'sinyal', 'lelet', 'enak', 'lelet', 'menit', 'jam', 'harii', 'bye', 'bye', 'telkomsel', 'provider', 'kesini', 'buruk', 'pelayanan', 'jaringan']</t>
  </si>
  <si>
    <t>['promo', 'kuota', 'internet', 'tolong', 'donk', 'telkomsel', 'kasih', 'promo', 'internetnya', '']</t>
  </si>
  <si>
    <t>['jengkel', 'layaan', 'telkomsel', 'jelek', 'sdg', 'bencana', 'banjir', 'butuh', 'aksen', 'kmnikasi', 'sinyaal', 'kyak', 'bangke', '']</t>
  </si>
  <si>
    <t>['pengen', 'kendaran', 'pribadi', 'usaha', 'tambahan', 'bsa', 'mbiayai', 'pndidikan', 'anak', '']</t>
  </si>
  <si>
    <t>['tolong', 'ndak', 'kasih', 'promo', 'murah', 'kuota', 'berlimpah', 'gpp', 'paksakan', 'jaringan', 'mengecewakan', 'telkomsel', 'peduli', 'harga', 'paket', 'data', 'selangit', 'mementingkan', 'kualitas', 'jaringan', 'telkomsel', 'memperbanyak', 'promo', 'murah', 'kuota', 'buka', 'aplikasi', 'telkomsel', 'butuh', 'jaringan', 'mengecewakan', '']</t>
  </si>
  <si>
    <t>['telkom', 'beli', 'paket', 'unlimited', 'jam', 'habis', 'ngak', 'masuk', 'akal', 'pulsa', 'langsung', 'habis', 'tolong', 'perbaiki', 'sistem', 'eror', 'teris', 'tunggu', 'konfirmasi', 'telkom']</t>
  </si>
  <si>
    <t>['beli', 'pulsa', 'aplikasi', 'masuk', 'sedot', 'link', 'komplain', 'veronika', 'suruh', 'nunggu', 'serem', 'kulitas', 'telkomsel', 'ditagih', 'paket', 'darurat', 'aman', 'aplikasinya']</t>
  </si>
  <si>
    <t>['napa', 'beli', 'kuota', 'ketenngan', 'youtube', 'twitter', 'pulsa', 'reguler', 'kepotong', 'pulsa', 'non', 'paket', 'mainan', 'paketkan', 'tetep', 'pulsa', 'reguler', 'habis', '']</t>
  </si>
  <si>
    <t>['maunya', 'telkomsel', 'jaringan', 'kota', 'udah', 'kaya', 'jaringan', 'ditengah', 'hutan', '']</t>
  </si>
  <si>
    <t>['kemarin', 'blm', 'puas', 'udah', 'luas', 'terpaksa', 'kasi', '']</t>
  </si>
  <si>
    <t>['suka', 'aplikasi', 'telkomsel', 'pakainya', 'udah', 'paket', 'internet', 'terjangkau', 'pembayaran', 'mudah']</t>
  </si>
  <si>
    <t>['telkomsel', 'warga', 'dipake', 'kartu', 'lelet', 'seantero', 'jagat', 'raya', 'khusussnya', 'wilayah', 'palembang', 'parah', 'sinyal', 'kadang', 'sinyal', 'kalah', 'axis', 'smartfren', 'indosat']</t>
  </si>
  <si>
    <t>['maaf', 'turunkan', 'bintangnya', 'krna', 'seringkali', 'diupdate', 'mlh', 'lemot', 'please', 'perbaiki', 'kinerja', 'jaringan', 'telkomsel', 'agr', 'harga', 'mahal', 'im', 'kinerja', 'dibaikkan', 'bintang', '']</t>
  </si>
  <si>
    <t>['susah', 'login', 'aplikasi', 'parah', 'sinyal', 'hancur', '']</t>
  </si>
  <si>
    <t>['berharap', 'hadiah', 'mobil', 'karna', 'impian', 'terbesar', 'hidup']</t>
  </si>
  <si>
    <t>['kasih', 'paket', 'combo', 'sakti', 'ramah', 'kantong', 'kasih', 'bintang', '']</t>
  </si>
  <si>
    <t>['beli', 'paket', 'internet', 'kunjung', 'selesai', 'diproses', 'pulsa', 'udah', '']</t>
  </si>
  <si>
    <t>['nelpon', 'salah', 'nomor', 'kemarin', 'pulsa', 'mohon', 'penjelasannya', '']</t>
  </si>
  <si>
    <t>['beli', 'kuota', 'pulsa', 'udah', 'ceck', 'koneksi', 'duh']</t>
  </si>
  <si>
    <t>['sukses', 'tsel', 'pengguna', 'setia', 'tolong', 'tingkatkan', 'kualitas', 'signal', 'kaya', 'ngabret', '']</t>
  </si>
  <si>
    <t>['assalamualaikum', 'telkomsel', 'permasalahan', 'pas', 'beli', 'paket', 'ceria', 'notip', 'paket', 'aktip', 'masuk', 'masuk', 'pulsa', 'mohon', 'atasi']</t>
  </si>
  <si>
    <t>['lemot', 'telkomsel', 'daerah', 'bandung', 'selatan', 'pdahal', 'dataran', 'bagus', 'gunung', 'payah', 'lemotnya', 'coba', 'tingkatkan', 'kualitas', 'sinyal', '']</t>
  </si>
  <si>
    <t>['puas', 'pelayanan', 'seluler', 'jaringan', 'telkomsel', 'kedepan', 'ditingkatkan', 'kekuatan', 'jaringan', '']</t>
  </si>
  <si>
    <t>['sengaja', 'ngasih', 'bintang', 'nuker', 'point', 'paket', 'data', 'gb', 'nuker', 'poin', 'promo', 'payah', 'masi', 'tetep', 'engga', 'tuker', 'berlangganan', 'pindah', 'ganti', 'provider']</t>
  </si>
  <si>
    <t>['lemot', 'lemot', 'daerah', 'dlu', 'skrng', 'buka', 'youtube', 'loading', 'tolong', 'perbaiki', 'orang', 'tinggal', 'daerah']</t>
  </si>
  <si>
    <t>['gue', 'kasih', 'bintang', 'baca', 'komen', 'gue', 'pakek', 'kartu', 'telkomsel', 'daftar', 'paket', 'palak', 'gue', 'sakit', 'mulu', 'mikirin', 'harga', 'paket', 'mahal', 'bngt', '']</t>
  </si>
  <si>
    <t>['memuaskan', 'trimakasih', 'telkomsel', 'smg', 'jaya', 'tingkatkan', 'trus', 'layanannya', 'penjuru', 'kota', 'sampe', 'pelosok', 'desa', '']</t>
  </si>
  <si>
    <t>['sinyal', 'ngga', 'stabil', 'putus', 'perasaan', 'turun', 'kwalitasnya', '']</t>
  </si>
  <si>
    <t>['', 'kasih', 'jaringan', 'telkom', 'ngelleg', 'tpi', 'bapakkau', 'ngelleg', 'canda', 'telkom', 'udah', 'fiv', 'gampang', 'paham', 'baca', 'ngelleg', 'perbaiki', 'fiv', 'cepat', 'jaringannya', 'iya', 'cepat', 'cepat', 'crot', 'kek', 'buyung', 'canda', 'cepat', 'lancar', 'main', 'game', 'nonton', 'biru', 'lancar', 'canda', 'main', 'game', 'pri', 'alam', 'fayer', 'emel', 'pubg']</t>
  </si>
  <si>
    <t>['membantu', 'daerah', 'jangkau', 'sinyal', 'telkomsel']</t>
  </si>
  <si>
    <t>['telkomsel', 'denganmu', 'berubah', 'kualitas', 'menurun', 'signal', 'jelek', 'parah', 'lemot', '']</t>
  </si>
  <si>
    <t>['telkomsel', 'rating', 'bintang', 'kasih', 'bintang', 'kesini', 'karuan', 'sinyal', 'paket', 'harga', 'kualitas', 'dijaga', 'tolong', 'kepuasan', 'pelanggan', 'utamakan', 'kemarin', 'pelanggan', 'pakai', 'card', 'telkomsel', 'miris']</t>
  </si>
  <si>
    <t>['thn', 'telkomsel', 'tiada', 'tandingannya', 'memakai', 'telkomsel', 'tingkat', 'kwalitasnya', 'bagus', 'tpi', 'skrng', 'turun', 'drastis', 'kwalitasnya', 'bsa', 'kls', 'rendah', 'kwalitasnya', 'bsa', 'coba', 'solusinya', '']</t>
  </si>
  <si>
    <t>['knpa', 'aplikasi', 'ngk', 'cek', 'kuota', 'telkomsel', 'mohon', 'dijwb']</t>
  </si>
  <si>
    <t>['telkomsel', 'mudah', 'memilih', 'membeli', 'paket', 'internet', 'dll', 'terima', 'kasih', 'telkomsel']</t>
  </si>
  <si>
    <t>['', 'telkomsel', 'membantu', 'mengecek', 'kouta', 'udah', 'habis', 'beli', 'kouta', 'semoga', 'membantu', 'download', 'apk', 'thank', 'you', '']</t>
  </si>
  <si>
    <t>['kasi', 'bintang', 'sinyal', 'jelek', 'harga', 'paket', 'mahal', 'mhn', 'perhatian', 'pelanggan', 'lari', 'provider', 'murah', 'meriah', 'signal', 'bagus']</t>
  </si>
  <si>
    <t>['luarrr', 'telkomsel', 'jaringannya', 'menembus', 'batas', 'programnya', 'menarik', 'program', 'poin', 'hadiah', 'mengikuti', 'tuhh', 'menang', 'mudah', 'menang', 'smpai', 'skrng', 'ikutin', 'program', 'poin', 'sukses', 'sllu', 'telkomsel', '']</t>
  </si>
  <si>
    <t>['pelayanan', 'buruk', 'kali', 'bolak', 'grapari', 'ngurus', 'nomor', 'hilang', 'alasannya', 'nomor', 'dihubungi', 'karna', 'menghubungi', 'orang', 'pokoknga', 'niat', 'bantu', 'nomor', 'tsb', 'kecewa', 'telkomsel']</t>
  </si>
  <si>
    <t>['install', 'aplikasi', 'nggak', 'promo', 'telkomsel', 'udah', 'umur', '']</t>
  </si>
  <si>
    <t>['ngisi', 'rb', 'masuk', 'udah', 'komplain', 'instagram', 'tanggepin', 'kesel']</t>
  </si>
  <si>
    <t>['mengerti', 'telkomsel', 'jaringan', 'super', 'lemottttt', 'suka', 'gagal', 'memuat', 'daerah', 'terkenal', 'bagus', 'operator', 'telkomsel', 'kenceng', 'banget', 'aneh', 'telkomsel', 'lemot', 'ngalahin', 'operator', 'semenjak', 'pandemi', 'jdi', 'lemot', 'skarang', 'telkomsel', 'promo', 'unlimited', 'jaringannya', 'dibatasi', 'tolong', 'perbaiki']</t>
  </si>
  <si>
    <t>['saran', 'harga', 'paket', 'tolong', 'mahall', 'sinyal', 'kartu', 'susah', 'kartu', 'telkomsel', 'doang', 'tpi', 'mahal', 'harga', 'paket', 'hmmmm', '']</t>
  </si>
  <si>
    <t>['benerin', 'jaringannya', 'lemot', 'banget', 'main', 'game', 'bayar', 'mahal', 'kaya', 'gini', 'jaringannya', '']</t>
  </si>
  <si>
    <t>['turunin', 'bintang', 'tgl', 'sept', 'jam', 'bli', 'pulsa', 'paket', 'combo', 'sakti', 'seharga', 'gb', 'sms', 'masuk', 'paket', 'aktif', 'cek', 'aktif', 'bonus', 'telepon', 'sms', 'kuota', 'utama', 'bonus', 'media', 'duit', 'potong', 'hub', 'tsel', 'hrs', 'tunggu', 'jam', 'kompensasi', 'kesalahan', 'dirugikan', 'aktif', 'paket', 'oktober', 'kirim', 'email', 'telkomsel', 'blm', 'balas']</t>
  </si>
  <si>
    <t>['sinyalnya', 'jelek', 'tower', 'listrik', 'telkomsel', 'udah', 'gitu', 'harganya', 'mahal']</t>
  </si>
  <si>
    <t>['knp', 'kasi', 'bintang', 'yakarena', 'paket', 'mahal', 'udh', 'pegang', 'kartu', 'paket', 'rb', 'gb', 'gb', 'rb', 'turunin', 'harga', 'paket', 'sesuai', 'uang', 'min', 'paket', 'gb', 'rb', 'kekuatan', 'sinyal', 'jlek', 'kuota', 'nyekek', 'bngke']</t>
  </si>
  <si>
    <t>['jaringan', 'oke', 'trs', 'ngeselin', 'isi', 'pulsa', 'udah', 'seharian', 'masuk', 'masuk', 'pulsa', 'chat', 'veronica', 'balesannya', 'memuaskan', '']</t>
  </si>
  <si>
    <t>['internet', 'terbaik', 'susah', 'masuk', 'aplikasinya', 'error', 'mohon', 'diperbaiki']</t>
  </si>
  <si>
    <t>['', 'nggak', 'bagus', 'app', 'sampah', 'pulsa', 'gue', 'habis', 'lenyap', 'ribu', 'transaksi', 'gagal', 'taik', 'namanya', 'merugikan', 'pengguna', 'paket', 'nggak', 'masuk', 'habis', 'pulsa', 'gue', 'rugi', 'rugi']</t>
  </si>
  <si>
    <t>['update', 'kacau', 'kecewa', 'beli', 'paket', 'combo', 'pembayaran', 'berhasil', 'pulsa', 'raib', 'kuota', 'nihil', 'kecewa', '']</t>
  </si>
  <si>
    <t>['merugikan', 'jaringan', 'internet', 'provinsi', 'gorontalo', 'gangguan', 'udah', 'beli', 'paket', 'data', 'mahal', 'hasilnya', 'paraahhhhhh']</t>
  </si>
  <si>
    <t>['asssu', 'pulsa', 'kepotong', 'iming', 'in', 'pulsa', 'gb', 'perak', 'giliran', 'sinyal', 'jelek', 'kepotong', 'pulsa', 'sinyal', 'luh', 'sinyal', 'jelek', 'mao', 'ganti', 'nomer', 'ama', 'kartu', 'udh', 'paut', 'akun', 'ngehe', 'jebakan', 'juancuk']</t>
  </si>
  <si>
    <t>['telkomsel', 'nyaman', 'pakai', 'nomor', 'menerus', 'ganti', 'ganti', 'kadang', 'jaringannya', 'lelet', 'hilang', '']</t>
  </si>
  <si>
    <t>['signal', 'parah', 'disconnect', 'kalah', 'provider', '']</t>
  </si>
  <si>
    <t>['mudahan', 'hadiah', 'tipuan', 'menipu', 'orang', 'orang', 'kepercayaan', 'bukti', 'nyata', 'barang', 'rugi', 'diawal', 'untung', 'diakhir']</t>
  </si>
  <si>
    <t>['ngisi', 'pulsa', 'kouta', 'jaringan', 'pindah', 'emang', 'cari', 'uang', 'gampang', 'corona', 'cuman', 'kouta', 'rb', 'lenyap', 'pulsa', 'kali', 'orang', 'susah', 'orang', 'kaya', 'berdasi', 'cuman', 'duduk', 'uang', 'masuk', 'rekening', '']</t>
  </si>
  <si>
    <t>['tanggal', 'september', 'jam', 'beli', 'paket', 'data', 'via', 'gopay', 'saldo', 'gopay', 'terpotong', 'paket', 'data', 'aktifkan', 'chat', 'veronica', 'keterangan', 'sistem', 'perbaikan', 'kesini', 'telkomsel', 'pelayanan', 'mengecewakan', 'sinyal', 'hilang', 'stabil', 'kelanjutan', 'gopay', 'paket', 'data', 'gimana', '']</t>
  </si>
  <si>
    <t>['beli', 'paket', 'mytelkomsel', 'payment', 'shopeepay', 'transaksi', 'gagal', 'saldo', 'shopeepay', 'udah', 'kepotong', 'dicek', 'app', 'kuota', 'nambah', 'tolong', 'pertanggung', 'jawabannya', '']</t>
  </si>
  <si>
    <t>['udh', 'pakek', 'telkomsel', 'dri', 'jaman', 'smp', 'sampe', 'skrng', 'udh', 'tahunan', 'pakek', 'telkomsel', 'buruk', 'udah', 'skrng', 'harga', 'beli', 'paket', 'mahal', 'jaringan', 'pulak', 'skrng', 'lemot', 'mintak', 'ampun', 'law', 'kayak', 'gini', 'kabur', 'pelanggan', 'setia', 'telkomsel', 'jdi', 'males', 'orang', 'pakek', 'telkomsel', 'sampe', 'orang', 'setia', 'sma', 'telkomsel', 'jdi', 'kabur', 'pindah', 'kartu', 'law', 'jaringan', 'lemot', 'kayak', 'gini', 'harga', 'mahal', '']</t>
  </si>
  <si>
    <t>['jaringan', 'cuman', 'batang', 'kartu', 'mahal', 'murahan', '']</t>
  </si>
  <si>
    <t>['jaringan', 'telkomsel', 'lemoot', 'banget', 'full', 'speed', 'ampun', 'deh', '']</t>
  </si>
  <si>
    <t>['jaringan', 'internet', 'lemoooooot', 'minnta', 'ampun', 'tlong', 'jaga', '']</t>
  </si>
  <si>
    <t>['aplikasi', 'nguras', 'pulsa', 'beli', 'pulsa', 'beli', 'paket', 'pulsa', 'tersisa', 'dihisap', 'mitelkomsel', 'aplikasi', 'berguna', 'aplikasi', 'berguna', 'aplikasi', 'sampah', 'aplikasi', 'sampah', 'hoax', 'pengurus', 'paket', 'yahahahahahha', 'pandai', 'apk', 'bodoh', 'bodoh', 'dodoh', 'apk', 'blok']</t>
  </si>
  <si>
    <t>['puas', 'telkomsel', 'manfaatnya', 'ragu', 'mengunakan', 'jaringan', '']</t>
  </si>
  <si>
    <t>['sengaja', 'kasih', 'bintang', 'baca', 'telkomsel', 'tolong', 'diperbaiki', 'kualitas', 'jaringannya', 'jelek', 'jaringan', 'perbaikan', 'gimana', 'tolong', 'kasih', 'info', 'sms', 'pekerjaan', 'bnyak', 'beres', 'riau']</t>
  </si>
  <si>
    <t>['kaget', 'kuota', 'terpakai', 'gb', 'donlot', 'aplikasi', 'aplikasinya', 'tetep', 'nyedot', 'data', 'selesai', 'latar', 'ditutup', 'buruk', 'aplikasi', 'tujuannya', 'melacak', 'upload', 'aplikasi', 'ntah', 'kecewa']</t>
  </si>
  <si>
    <t>['tolong', 'jaringan', 'perbaiki', 'wilayah', 'desa', 'jati', 'kec', 'sok', 'kab', 'tuban', 'terimakasih', '']</t>
  </si>
  <si>
    <t>['beli', 'paket', 'telpon', 'rb', 'ehh', 'paket', 'langsung', 'ganti', 'telkomsel']</t>
  </si>
  <si>
    <t>['gua', 'ganti', 'bintang', 'jaringan', 'hancur', 'kuota', 'mahal', 'aplikasi', 'telkomsel', 'update', 'mulu', 'hancur', 'apk', 'ngk', 'gua', 'uninstal', 'ganti', 'provider']</t>
  </si>
  <si>
    <t>['mohon', 'jaringan', 'wilayah', 'surabaya', 'utara', 'perak', 'perbaiki', 'jaringan', 'jelek', 'jaringan', 'bagus', 'bintangnya']</t>
  </si>
  <si>
    <t>['bintang', 'sanggup', 'menyarankan', 'penggunaan', 'telkomsel', 'aplikasinya', 'bagus', 'lengkap', 'sayangnya', 'didukung', 'sinyal', 'bagus', 'internet', 'telkomsel', 'lambat', 'malam', 'kencang', 'suka', 'beli', 'paket', 'kuota', 'kuota', 'internet', 'kuota', 'kepake', 'akhirny', 'mubajir', '']</t>
  </si>
  <si>
    <t>['metode', 'pembayaran', 'pulsa', 'wallet', 'fitur', 'tertera', 'poin', 'terima', 'kasih']</t>
  </si>
  <si>
    <t>['maaf', 'kasih', 'bintang', 'masuk', 'suka', 'mesti', 'login', 'kaya', 'masukin', 'langsung', 'outomatis', 'masuk']</t>
  </si>
  <si>
    <t>['udah', 'paket', 'lengkap', 'telkomsel', 'mah', 'sinyal', 'jelek', 'harga', 'paket', 'data', 'mahal', 'aplikasi', 'mytelkomsel', 'susahnya', 'ampun', 'sekedar', 'masuk', 'aplikasi', 'jos', 'indonesia', '']</t>
  </si>
  <si>
    <t>['min', 'kasih', 'bintang', 'tpi', 'nanya', 'paket', 'data', 'daftar', 'gimana', 'paket', 'data', 'kemakan', 'kemakan', 'paket', 'data']</t>
  </si>
  <si>
    <t>['isi', 'pulsa', 'masuk', 'perasaan', 'nggak', 'beli', 'paketan', 'apapun', 'pembelian', 'pulsa', 'berkurang', 'lihat', 'nominal', 'saldo', 'app', 'nominalnya', 'nggak', 'tetep', 'merugikan', 'costumers', 'tks', '']</t>
  </si>
  <si>
    <t>['main', 'mobil', 'legend', 'turun', 'pas', 'musuh', 'sampe', 'sinyalnya', 'telkomsel', 'jelek', 'pengen', 'pindah', 'layanan', '']</t>
  </si>
  <si>
    <t>['', 'telkomsel', 'aplikasi', 'membantu', 'terimakasih', '']</t>
  </si>
  <si>
    <t>['kecewa', 'grapari', 'ganti', 'kartu', 'hilang', 'android', 'bawak', 'ktp', 'tulis', 'nomor', 'hubungi', 'oke', 'setelahnya', 'dipinta', 'menebak', 'angka', 'nomor', 'dihubungi', 'repot', 'disimpan', 'ponsel', 'bkn', 'akun', 'google', 'pindah', 'operator', 'dada', 'telkomsel']</t>
  </si>
  <si>
    <t>['paketnya', 'terbilang', 'mahal', 'sinyal', 'ilang', 'kayak', 'jailangkung', 'kalah', 'wifi', 'rb', 'dipake', 'orang', '']</t>
  </si>
  <si>
    <t>['aplikasi', 'fiturnya', 'cepat', 'responsif', 'variasi', 'harga', 'kompetitif', '']</t>
  </si>
  <si>
    <t>['kali', 'beli', 'kuota', 'gamesmax', 'kecewa', 'telkomsel']</t>
  </si>
  <si>
    <t>['min', 'pulsa', 'ilang', 'min', 'paket', 'data', 'jaringan', 'internet', 'makek', 'pulsa', 'isi', 'pulsa', 'habis', 'kecewa', 'tolong', 'diperbaiki', 'min', 'bertahun', 'makek', 'telkomsel', 'kecewa', 'korona', 'min', 'dirimu', '']</t>
  </si>
  <si>
    <t>['please', 'telkomsel', 'kuota', 'habis', 'langsung', 'ngambil', 'pulsa', 'sayang', 'banget', 'ditukar', 'kuota', 'bisanya', 'lancar', 'kuota', 'tri', 'telkomsel', 'harganya', 'murah', '']</t>
  </si>
  <si>
    <t>['harga', 'data', 'app', 'beda', 'sya', 'knpa', 'mahal', 'app', 'temen', 'sya', 'dpt', 'gb', 'cma', 'rbu', 'dsaya', 'rbu', 'adil', 'sihhh', '']</t>
  </si>
  <si>
    <t>['heran', 'dpt', 'surprise', 'deal', 'promo', 'tpi', 'mahal', 'dpt', 'nomer', '']</t>
  </si>
  <si>
    <t>['', 'aplikasi', 'paket', 'ceria', 'ribu', 'klik', 'beli']</t>
  </si>
  <si>
    <t>['telkomsel', 'jelek', 'aplikasi', 'sinyal', 'telkomsel', '']</t>
  </si>
  <si>
    <t>['kuota', 'internet', 'beli', 'kemarin', 'kecewa', 'kecewa', 'admin', 'telkomsel', 'udah', 'mahal', 'jaringannya', 'ngelag', 'kuotanya', 'diblokir', 'kuota', 'kecewa']</t>
  </si>
  <si>
    <t>['puas', 'aplikasi', 'udahan', 'dapatkan']</t>
  </si>
  <si>
    <t>['pas', 'aktif', 'kuota', 'jam', 'cek', 'sisa', 'kuota', 'tinggal', 'trus', 'non', 'aktifin', 'karna', 'charge', 'ehh', 'pas', 'jam', 'cek', 'kuota', 'telkomsel', 'keterangan', 'memuat', 'maaf', 'kesalahan', 'sistem', 'memuat', 'informasi', 'kuota', 'trus', 'cek', 'kuota', 'jam', 'pemberitahuan', 'memiliki', 'paket', 'apapun', 'ganti', 'mengecewakan']</t>
  </si>
  <si>
    <t>['tolong', 'perbaiki', 'applikasinya', 'nge', 'bug', 'iya', 'susah', 'banget', 'dibuka', 'dikit', 'nutup', 'paksa', 'gitu', 'susah', 'beli', 'kuota', 'app', 'astagfirullah', 'make', 'tsel', 'perbaikannya', 'bagus', 'tolong', 'perhatikan']</t>
  </si>
  <si>
    <t>['akun', 'terkadang', 'mempersulit', 'login', 'beli', 'paket', 'internet', 'aplikasinya', 'nggak', 'error', 'beli', 'paketnya', 'manual', 'menerima', 'sms', 'paketnya', 'aktif', 'pulsanya', 'disedot', 'haduuh', 'ayolah', 'telkomsel', '']</t>
  </si>
  <si>
    <t>['jaringan', 'telkomsel', 'stabil', 'membuka', 'aplikasi', 'membuka', 'aplikasi', 'telkomsel', 'jaringannya', 'nggak', 'hambatan', 'beli', 'paket', 'kuota', 'sekedar', 'membuka', 'aplikasi', 'telkomsel', 'aplikasi', 'stabil', 'biarkan', 'pelanggan', 'berpaling', '']</t>
  </si>
  <si>
    <t>['telkomsel', 'terjangkau', 'mobilitas', 'komunikasi', 'efesien', 'semoga', 'telkomsel', 'mitra', 'partner', '']</t>
  </si>
  <si>
    <t>['sinyal', 'ngelag', 'main', 'game', 'tolong', 'ditingkatkan', 'kualitas', 'jaringannya', 'customer', 'pindah', 'operator', '']</t>
  </si>
  <si>
    <t>['aplikasi', 'mytelkomsel', 'sulit', 'beli', 'paket', 'data', 'why', 'suka', 'banget', 'telkomsel']</t>
  </si>
  <si>
    <t>['berlangganan', 'paket', 'kartu', 'halo', 'rb', 'perincian', 'kuota', 'gb', 'terbagi', 'internet', 'utama', 'gb', 'multi', 'media', 'gb', 'penggunaan', 'pemakaian', 'kuota', 'internet', 'utama', 'terpakai', 'streaming', 'videocall', 'nonton', 'video', 'online', 'kuota', 'multimedia', 'berguna', 'tersedot', 'kuota', 'internet', 'utama', 'kuota', 'utama', 'habis', 'kuota', 'multimedia', 'paket', 'multimedia', 'abal', 'bohong', 'belaka']</t>
  </si>
  <si>
    <t>['aplikasi', 'super', 'lemot', 'jaringan', 'lemot', 'kau', 'banggakan', 'telkomsel', '']</t>
  </si>
  <si>
    <t>['nelpon', 'sms', 'telpon', 'orang', 'masuk', 'ngecek', 'pulsa', 'paket', 'gmana', 'gua', 'taun', 'simpati', 'pencerahan', 'kah', '']</t>
  </si>
  <si>
    <t>['min', 'membeli', 'paket', 'surprise', 'deal', 'fup', 'gb', 'berhasil', 'transaksi', 'cek', 'paket', 'surprise', 'deal', 'fup', 'gb', 'gaada', 'pulsa', 'terpotong', 'ribu', 'min', 'knapa', '']</t>
  </si>
  <si>
    <t>['woyy', 'kerja', 'gue', 'isi', 'kuota', 'rbu', 'embat', 'kemana', 'kuotanya', 'tgl', 'september', 'sktr', 'jam', 'wib', 'aktive', 'pas', 'tgl', 'september', 'kuotanya', 'hilang', 'maling', 'kerja', '']</t>
  </si>
  <si>
    <t>['pelayanan', 'telkomsel', 'buruk', 'beli', 'kuota', 'gb', 'membuka', 'browser', 'menit', 'langsung', 'habis', 'jaringannya', 'lemot', '']</t>
  </si>
  <si>
    <t>['telkomsel', 'sampah', 'perdana', 'telkomsel', 'jaringan', 'diperbaiki']</t>
  </si>
  <si>
    <t>['pulsa', 'aplikasi', 'game', 'masuk', 'isi', 'aplikasi', 'dana', 'masuk', 'balikin', 'duit', '']</t>
  </si>
  <si>
    <t>['daru', 'desa', 'dipelosok', 'berterimakasih', 'telkomsel', 'telkomsel', 'jaringan', 'diperlancar', 'leg', 'mohon', 'kuota', 'dipermurah', 'terimakasih']</t>
  </si>
  <si>
    <t>['pelanggan', 'setia', 'gold', 'telkomsel', 'kecewa', 'pulsa', 'tersedot', 'semalam', 'hilang', 'paket', 'aktif', 'paket', 'mahal', 'sinyal', 'menurun', 'pikir', 'memutuskan', 'ganti', 'indosat', 'harga', 'paketnya', 'normal', 'sinyal', 'telkomsel', 'sebarkan', 'grup', 'fans', 'telkomsel']</t>
  </si>
  <si>
    <t>['okelah', 'paketnya', 'jaringan', 'udah', 'bagus', 'well', 'done', '']</t>
  </si>
  <si>
    <t>['tolong', 'kembalikan', 'sistem', 'pembayaran', 'via', 'linkaja', 'aplikasi', 'mytelkomsel', 'langsung', 'input', 'pin', 'repot', 'kuota', 'habis', 'karna', 'aplikasi', 'linkaja', 'kuota']</t>
  </si>
  <si>
    <t>['bangs', 'banget', 'telkomsel', 'kuota', 'mahal', 'sinyal', 'kek', 'njing', 'cuman', 'telkomsel', 'hilang', 'indonesia', '']</t>
  </si>
  <si>
    <t>['kesel', 'liatnya', 'beli', 'kuota', 'balesannya', 'internet', 'gagal', 'diaktifkan', 'coba', 'ehh', 'tahunya', 'pulsa', 'kepotong', 'berulang', 'kali', 'tolong', 'diperbaiki', 'gitu', 'jaringannya', 'kesini', 'jelek', '']</t>
  </si>
  <si>
    <t>['', 'udah', 'wifi', 'pulsa', 'kesedot', 'tolong', 'situasi', 'licik', 'wifi', 'gua', 'indihome', 'diculasin', 'gua']</t>
  </si>
  <si>
    <t>['telkomsel', 'kartu', 'orsng', 'kaya', 'sinyal', 'super', 'parah', 'buruk', 'andai', 'desa', 'sinyal', 'laen', 'ganti', 'kartu', 'pket', 'super', 'murah']</t>
  </si>
  <si>
    <t>['promo', 'internet', 'murahnya', 'lumayan', 'sebulan', 'kemarin', 'pakai', 'gb', 'harga', 'rb', 'hemat']</t>
  </si>
  <si>
    <t>['', 'aplikasinya', 'berat', 'daerah', 'sinyalnya', 'ringan', '']</t>
  </si>
  <si>
    <t>['jaringan', 'signal', 'buruk', 'daerah', 'kapten', 'yusup', 'sawah', 'cimanglid', 'sukamantri', 'tamansari', 'bogor', '']</t>
  </si>
  <si>
    <t>['kawan', 'kawan', 'temen', 'setia', 'setia', 'ngga', 'kawan', 'buang', 'kawanya', 'langit', 'ambil', 'kawan', 'bawa', 'pacar', 'buang', 'wakakakakakak']</t>
  </si>
  <si>
    <t>['suka', 'beli', 'paket', 'data', 'diskon', 'membantu']</t>
  </si>
  <si>
    <t>['', 'telkomsel', 'bagus', 'layananya', 'sinyalnya', 'kuat', 'pakai', 'kartu', 'telkomsel', 'th', 'ngak', 'ganti', 'nomer', 'telkomsel', 'layanan', 'bagus', 'sinyalnya', 'kuat', 'puas', 'layanan', 'telkomsel']</t>
  </si>
  <si>
    <t>['paket', 'beli', 'gb', 'seminggu', 'knpa', 'skrng', 'udh', 'lgi', 'tolong', 'balikin', 'lgi', 'paketny']</t>
  </si>
  <si>
    <t>['paket', 'promo', 'udah', 'dibeli', 'kjngka', 'oktober']</t>
  </si>
  <si>
    <t>['telkomsel', 'baguuuuuus', 'banget', 'tapiiiiiiiiiiiiiiiiiiiii', 'booooooooooooooo', 'oooooooooooooong', 'jaringan', 'jelek', 'harga', 'paket', 'sampe', 'seluler', 'mahal', 'bangt', 'lambat', 'kaya', 'siput', 'makan', 'kuota', 'ngebut', 'cocok', 'bintang', 'pilihan', 'mnim', 'bintang', '']</t>
  </si>
  <si>
    <t>['log', 'hrus', 'pke', 'link', 'kenpa', 'pke', 'kode', 'kayak', 'ribet', 'log', 'pakai', 'mail', 'gimana', 'biking', 'kesel', 'sendri']</t>
  </si>
  <si>
    <t>['jaringan', 'internet', 'wilayah', 'abuki', 'padangguni', 'buruk', 'sengaja', 'kasi', 'bintang', 'terbaca', 'orang']</t>
  </si>
  <si>
    <t>['aplikasi', 'bagus', 'alangkah', 'baiknya', 'paket', 'data', 'internet', 'kartu', 'dikasih', 'bonus', 'discount', 'kartu', 'bertahan', 'terimakasih']</t>
  </si>
  <si>
    <t>['maaf', 'ngaktifin', 'kartu', 'udah', 'mati', 'kartu', 'nua', 'udah', 'hilang', '']</t>
  </si>
  <si>
    <t>['pengguna', 'telkomsel', 'kecewa', 'karna', 'jariangan', 'telkomsel', 'semangkin', 'semangkin', 'lemot', 'banget', 'wilayah', 'kabupaten', 'banyuasin', 'kecamatan', 'makarti', 'jaya']</t>
  </si>
  <si>
    <t>['assalamualaikum', 'warahmatullahi', 'wabarakaatuh', 'mohon', 'diperbaiki', 'jaringan', 'telpon', 'internet', 'lokasi', 'sepekan', 'kondisinya', 'buruk', 'tks']</t>
  </si>
  <si>
    <t>['parah', 'beli', 'paket', 'gabisa', 'alhasil', 'pulsa', 'kepotong', 'pulsa', 'beli', 'paket', 'sakti', 'unlimited', 'rb', 'sms', 'pulsa', 'sinyal', 'buruk', 'banget', 'sekelas', 'telkomsel', 'mahal', 'sinyal', 'kenyamanannya', 'buruk']</t>
  </si>
  <si>
    <t>['knp', 'kesalahan', 'sistem', 'pdhl', 'udah', 'muat', 'ulang', 'bbrp', 'kali', 'boot', 'ulang', 'update', 'apk', 'inii', 'kesalahan', 'sistem', 'mohon', 'bantuannya', 'min']</t>
  </si>
  <si>
    <t>['layanan', 'bagus', 'puas', 'poin', 'ditukarkan', 'paket', 'masuk', 'ditingkatkan', 'terima', 'kasih']</t>
  </si>
  <si>
    <t>['kecewa', 'telkomsel', 'jelek', 'sinyalnya', 'serung', 'gangguan', 'beli', 'paket', 'internet', 'terpotong', 'pulsanya', 'paket', 'aktif', 'hubungi', 'kasih', 'solusi', 'kecewa', 'semoga', 'diperbaiki', 'kedepannya', '']</t>
  </si>
  <si>
    <t>['aplikasinya', 'jelek', 'banget', 'maketin', 'data', 'menu', 'vendor', 'telkomsel', 'layanan', 'aplikasi', 'seburuk', 'mencari', 'karyawan', 'menyelesaikan', 'pengembangan', 'aplikasi', '']</t>
  </si>
  <si>
    <t>['listrik', 'mati', 'internet', 'mati', 'ngisi', 'kuota', 'kadang', 'operator', 'sibuk', 'minimal', 'sim', '']</t>
  </si>
  <si>
    <t>['tolong', 'telkomsel', 'bijaksana', 'beli', 'paket', 'combo', 'udah', 'terbayar', 'paketnya', 'hilang', 'tolong', 'pulsa', 'udah', 'kesesot']</t>
  </si>
  <si>
    <t>['daerah', 'jaringannya', 'daerah', 'pelosok', 'jaringannya', 'kenceng', 'harga', 'paket', 'internet', 'melonjak', 'mahal', 'mahal', 'banget', 'sesuai', 'iklan', 'woy', 'tolong', '']</t>
  </si>
  <si>
    <t>['klw', 'harga', 'paket', 'data', 'turunin', 'sdikit', 'jagan', 'trlalu', 'mahal', 'karna', 'negara', 'terkena', 'wabah', 'virus', 'corona', 'warganya', 'dilang', 'rumah', 'penghasilan', 'keuangan', 'warga', 'menipis', 'yng', 'memiliki', 'rela', 'mnjual', 'miliki', 'bertahan', 'hidup']</t>
  </si>
  <si>
    <t>['respon', 'lambat', 'sinyal', 'kesini', 'ancur', 'pas', 'telkomsel', 'lancar', 'lancar', 'kaya', 'aneh', 'gangguan', 'respon', 'costemer', 'servis', 'lambat', 'banget']</t>
  </si>
  <si>
    <t>['beli', 'paket', 'internet', 'masuk', 'paketnya', 'pulsa', 'potong']</t>
  </si>
  <si>
    <t>['makan', 'uang', 'haram', 'udah', 'beli', 'pulsa', 'ambil', 'paket', 'beli', 'langsung', 'ilang']</t>
  </si>
  <si>
    <t>['beli', 'paketan', 'berhasil', 'knapa', 'kuotanya', 'masuk', 'sms', 'transaksi', 'berhasil', 'pas', 'lihat', 'apk', 'knapa', 'trus', 'solusinya', 'gimana', 'beli', 'apk', 'eror', 'pas', 'beli', 'trus', 'knapa', 'masuk', 'kuotanya', 'rugi', '']</t>
  </si>
  <si>
    <t>['payah', 'aplikasi', 'dri', 'mentingin', 'perporma', 'crash', 'lemot', 'device', 'sebutkan', 'wajar']</t>
  </si>
  <si>
    <t>['udh', 'bertahun', 'pakai', 'telkomsel', 'kali', 'beli', 'paket', 'system', 'sibuk', 'pulsa', 'potong', 'anehh', 'telkomsel', 'beralih', '']</t>
  </si>
  <si>
    <t>['telkomsel', 'bagus', 'paket', 'internet', 'pulsa', 'terpotong', 'gimna', 'haduh']</t>
  </si>
  <si>
    <t>['kecewa', 'provider', 'pelayanan', 'memuaskan', 'karenakan', 'paket', 'beli', 'pulsa', 'hilang', 'notif', 'sms', 'selamat', 'mengaktifkan', 'paket', 'internet', 'malam', 'selang', 'menit', 'langaung', 'hilangkan', 'paket', 'beli', 'mohon', 'meresahkan', 'mohon', 'perbaiki', 'sistemnya', '']</t>
  </si>
  <si>
    <t>['perhatikan', 'pengguna', 'pindah', 'hati', 'promo', 'pengguna', 'nomer']</t>
  </si>
  <si>
    <t>['weh', 'telkosmel', 'cacat', 'suka', 'tbtb', 'nyedot', 'pulsa', 'pengembalian', 'minjem', 'sepeserpun', 'apk', 'suka', 'ngelek', 'sinyal', 'suka', 'ilang', 'kirain', 'doang', 'ayah', 'suka', 'isi', 'pulsa', 'korup', '']</t>
  </si>
  <si>
    <t>['hai', 'telkomsel', 'pelayananmu', 'buruk', 'pulsa', 'hilang', 'kejelasan', '']</t>
  </si>
  <si>
    <t>['kecewa', 'layanan', 'jaringan', 'panas', 'ngotak', 'bnyak', 'pengguna', '']</t>
  </si>
  <si>
    <t>['maaf', 'min', 'telkomsel', 'sinyalnya', 'jelek', 'yaa', 'paketnya', 'mahal', 'bagus', 'ganggu', 'banget', 'streaming', 'main', 'game', 'memuaskan', 'kayak', 'maaf', 'bintang', 'sampe', 'memuaskan', 'perbaikan', 'peningkatan', 'jaringannya', 'harga', 'kualitasnya', 'mohon', 'ditindak', 'lanjuti']</t>
  </si>
  <si>
    <t>['claim', 'check', 'kuota', 'knapa', 'ngak', 'masuk', 'udah', 'claim', 'pulsa', 'udah', 'potong', 'kuota', 'gimana', 'hayu', 'telkomsel']</t>
  </si>
  <si>
    <t>['min', 'tolong', 'tambahkan', 'fitur', 'kunci', 'pulsa', 'banget', 'pas', 'paket', 'data', 'habis', 'sengaja', 'buka', 'browser', 'otomatis', 'pulsanya', 'langsung', 'kepotong']</t>
  </si>
  <si>
    <t>['beli', 'paket', 'tsel', 'paket', 'aktif', 'money', 'kesedot', 'bukti', 'transaksi', 'berhasil', 'money', 'paket', 'kunjung', 'aktif', 'payah', 'banget', 'asli']</t>
  </si>
  <si>
    <t>['jam', 'daei', 'sore', 'signal', 'parah', 'buka', 'telkomsel', 'coba', '']</t>
  </si>
  <si>
    <t>['jaringan', 'udah', 'lemot', 'tingkah', 'gangguna', 'sistem', 'beli', 'paket', 'malam', 'kuotanya', 'nggak', 'pulsanya', 'terpotong', 'aneh', 'nyesal', 'telkomsel']</t>
  </si>
  <si>
    <t>['pertahankan', 'kecepatan', 'sinyal', 'bagus', 'harga', 'kuota', 'mahal', '']</t>
  </si>
  <si>
    <t>['ajg', 'ngelag', 'nyalain', 'data', 'seluler', 'mengecek', 'kuota', '']</t>
  </si>
  <si>
    <t>['mengecewakan', 'puas', 'pulsa', 'telkomsel', 'berkurang', 'loading', 'lemot', 'mengikuti', 'pembahruan', 'update', '']</t>
  </si>
  <si>
    <t>['tolong', 'paket', 'pisah', 'paket', 'kuota', 'utama', 'kuota', 'internet', 'malam', '']</t>
  </si>
  <si>
    <t>['kesini', 'telkomsel', 'aneh', 'tagihan', 'paket', 'darurat', 'muncul', 'pesan', 'gdk', 'skl', 'pakai', 'paket', 'darurat', 'udh', 'gtu', 'tdi', 'login', 'app', 'sll', 'bermasalah', 'beli', 'paket', 'app', 'susah', 'kali', 'lucu', '']</t>
  </si>
  <si>
    <t>['aplikasi', 'kadang', 'eror', 'sinyal', 'bagus', 'pas', 'masuk', 'liat', 'paket']</t>
  </si>
  <si>
    <t>['jelek', 'beli', 'kuota', 'pas', 'cek', 'memiliki', 'kuota', 'telkomsel', 'bagus', 'eror']</t>
  </si>
  <si>
    <t>['gimana', 'orang', 'sinyal', 'stabil', 'ilang', 'ilang', 'aplikasi', 'loadingnya', 'pas', 'udah', 'muncul', 'info', 'pulsa', 'kuotanya', 'muncul', 'cuman', 'tulisan', 'gangguan', 'sistem', 'gangguan', 'mulu', 'sinyal', 'gangguan', 'aplikasi', 'gangguan', 'gangguan', '']</t>
  </si>
  <si>
    <t>['telkomsel', 'menyedihkan', 'dimana', 'lemooot', 'kuota', 'mahal', 'banding', 'lemot', 'kaya', 'lancar', 'buka', 'aplikasi', 'telkomsel', 'update', 'mulu', 'giliran', 'signal', 'update', 'malem', 'kartu', 'lancar', 'telkomsel', 'lemot', 'parah', 'trus', 'online', 'siang', 'lemot', 'pagi', 'lemot', 'sore', 'lemot', 'mlm', 'anak', 'daring', 'kesel', 'duluan']</t>
  </si>
  <si>
    <t>['telkomsel', 'bagus', 'terkadang', 'suka', 'hilang', 'sinyal', 'suka', 'terjadibkesalahan', 'sistem', 'saran', 'perbaikan', 'jaringan', 'telkomsel', 'aplikasi', 'adakan', 'pemberitahuan', 'pengguna', 'telkomsel', 'pengguna', 'nyaman', 'karna', 'jaringan', 'hilang', 'jaringan', 'setabil', 'tolong', 'dibrespon', 'bintang', '']</t>
  </si>
  <si>
    <t>['kak', 'beli', 'paket', 'combo', 'sakti', 'gb', 'unlimited', 'tpi', 'pemberitahuannya', 'gagal', 'diaktifkan', 'saldo', 'kepotong', 'solusinya', '']</t>
  </si>
  <si>
    <t>['pemeliharaan', 'sistem', 'jaringan', 'mendadak', 'tolong', 'info', 'pengguna', 'mengerti', 'perbaikan', 'tsb', 'jaringan', 'dipakai', 'jaringan', 'tsb', 'mengakses', 'data', 'internet', '']</t>
  </si>
  <si>
    <t>['paketin', 'kuota', 'potong', 'pulsa', 'nga', 'utang', 'wifi', 'nga', 'kesedot', 'pulsa', 'ilang']</t>
  </si>
  <si>
    <t>['kuota', 'utuhya', 'isi', 'kemarin', 'tibatiba', 'habis', 'disedot', 'telkomsel', 'hah', 'gue', 'uda', 'beli', 'mahal', 'perbulan', 'main', 'sedot', '']</t>
  </si>
  <si>
    <t>['buka', 'aplikasinya', 'pingin', 'liat', 'paket', 'data', 'pulsa']</t>
  </si>
  <si>
    <t>['suka', 'produk', 'lokal', 'produk', 'lokal', 'kayak', 'telomsel', 'jaringan', 'stabil', 'harga', 'kuota', 'mahal', 'mikir', 'kali', 'menyukai', 'produk', 'lokal', 'kayak', 'gini', 'mentingi', 'yng', 'pelanggan', 'wkwkwkwkwk']</t>
  </si>
  <si>
    <t>['mytelkomsel', 'bagus', 'memudahkan', 'penggunaan', 'datanya', 'kuota', 'terpotong', 'sinyal', 'jelek', 'aplikasi', 'sulit', 'dibuka', 'gapapa', 'jaringan', 'jarang', 'bermasalah']</t>
  </si>
  <si>
    <t>['sinyal', 'burik', 'udah', 'beli', 'kuota', 'taunya', 'gagal', 'pulsa', 'sedot', 'bangsadd']</t>
  </si>
  <si>
    <t>['kartu', 'kesini', 'susah', 'jaringan', 'mental', 'kecewa', 'pokonya', 'jaringan', 'terluas', 'indonesia', 'jaringan', 'terbagus', 'indonesia', 'parah', 'jaringan', 'malam', 'hadeuuhhh']</t>
  </si>
  <si>
    <t>['males', 'telkomsel', 'terpaksa', 'ganti', 'hadiah', 'daily', 'check', 'udh', 'diklaim', 'hadiahnya', 'masuk', 'pas', 'klaim', 'gimana', 'tolong', 'diperbaiki', 'sistem', 'kesini', 'bagus', 'jelek']</t>
  </si>
  <si>
    <t>['aplikasi', 'bug', 'sinyal', 'tempik', 'jelek', 'kartu', 'mohon', 'perbaiki', 'pusing', 'gini']</t>
  </si>
  <si>
    <t>['udh', 'kali', 'daftarkan', 'paket', 'malam', 'gagal', 'kejar', 'promo', 'telkomsel', 'paket', 'habis', 'butuh', 'bobrok', 'sistem', 'aplikasi', 'bobrok']</t>
  </si>
  <si>
    <t>['loading', 'yak', 'kadang', 'eror', 'simpati', 'lho', 'kerjaan', 'maaf', 'kesalahan', 'sistem', 'mulu', 'afk', 'maen', 'malem', 'bangke', 'maintenance', 'kasih', 'info', 'donk', 'lwt', 'aplikasi', 'costumer', 'prepare', '']</t>
  </si>
  <si>
    <t>['', 'perasaan', 'pernh', 'minjem', 'sms', 'oulsa', 'mencukupi', 'bayar', 'paket', 'darurat', 'gaje']</t>
  </si>
  <si>
    <t>['tolol', 'beli', 'paket', 'data', 'aplikasi', 'saldo', 'udah', 'kepotong', 'transaksi', 'gagal', 'telkomsel', 'tinggal', 'ramai', 'ramai', 'custamer', 'sinyal', 'lelet', '']</t>
  </si>
  <si>
    <t>['kah', 'gerangan', 'sinyal', 'skrng', 'nambah', 'parah', 'paket', 'gb', 'lancar', 'lancar', 'knpa', 'berpaa', 'jelek', 'sinyal', 'haduuhhh', 'parah']</t>
  </si>
  <si>
    <t>['haduh', 'kecewa', 'banget', 'telkomsel', 'jaringan', 'full', 'browsing', 'lemot', 'banget', 'sumpah', 'udah', 'bertahun', 'pakek', 'telkomsel', 'jaringan', 'gitu', 'lemot', 'gua', 'rekomendasi', 'ganti', 'kartu', 'kasih', 'masukan', 'jaringan', 'bagus', 'jelek', 'sumpah', 'beli', 'paket', 'mahal', 'sesuai', 'jaringan', 'ganti', 'kartu', 'mending', 'ganti', 'kartu', 'komplain', 'denger', 'maaf', 'bertindak', 'emng', 'kartu']</t>
  </si>
  <si>
    <t>['min', 'cek', 'paketan', 'coba', 'coba', 'trus', 'jaringan', 'kenceng', 'banget', 'maaf', 'kasih', 'bintang']</t>
  </si>
  <si>
    <t>['jelek', 'telkomsel', 'sinyal', 'jelek', 'masuk', 'kecewa']</t>
  </si>
  <si>
    <t>['pilih', 'telkomsel', 'kesetabilan', 'parah', 'jaringan', 'menentu', 'bar', 'sinyal', 'penuh', 'iya', 'lemot', 'parah', 'cek', 'kuota', 'apk', 'sulit']</t>
  </si>
  <si>
    <t>['jaringan', 'telkomsel', 'jelek', 'banget', 'tolong', 'diperbaiki', 'jaringannya', 'pelanggan', 'merasakan', 'kenyamanan', 'trimakasih', '']</t>
  </si>
  <si>
    <t>['tolong', 'telkomsel', 'kembalikan', 'pulsa', 'potong', 'pulsa', 'hutang', 'udah', 'kualitas', 'buruk', 'untung', 'nomer', 'cantik']</t>
  </si>
  <si>
    <t>['jaringan', 'stabil', 'sebanding', 'harga', 'mahal', '']</t>
  </si>
  <si>
    <t>['rating', 'lihat', 'sadar', 'paketan', 'mahal', 'corona', 'merajalela', 'dancok', 'paketan', 'pie', 'lur']</t>
  </si>
  <si>
    <t>['parah', 'mahal', 'sinyal', 'lancar', 'paraaaaaahhhhh']</t>
  </si>
  <si>
    <t>['errorrrr', 'beli', 'paket', 'kebanyakan', 'gangguannnnn', '']</t>
  </si>
  <si>
    <t>['sinyal', 'kadang', 'hilang', 'jelaass', 'kecewa', 'berniat', 'pindah', 'kekartu', 'perubahan']</t>
  </si>
  <si>
    <t>['kash', 'beli', 'pulsa', 'paketan', 'hbs', 'blm', 'wktu', 'hbs', 'hbs', 'duluan', 'cewa', 'telkomsel']</t>
  </si>
  <si>
    <t>['kasi', 'bintang', 'kecewa', 'telkomsel', 'krena', 'kuota', 'unlimited', 'sisa', 'gb', 'habis', 'kemana', 'minggu', 'minggu', 'kuota', 'kembalikan', 'kuota', 'hilang', 'gitu', 'playanan', 'telkomsel', '']</t>
  </si>
  <si>
    <t>['pakai', 'pulsa', 'darurat', 'pulsa', 'sedot', 'hah', 'trus', 'sinyal', 'ilang', 'gimana', 'mending', 'cari', '']</t>
  </si>
  <si>
    <t>['gini', 'komisaris', 'titipan', 'beli', 'paket', 'sibuk', 'sibuk', 'konser']</t>
  </si>
  <si>
    <t>['knapa', 'cek', 'kuota', 'error', 'pdhal', 'jaringn', 'bagus', 'mna', 'pulsa', 'kesedot', 'trus', 'perasaan', 'berlangganan', 'mohon', 'perbaiki', 'lgi']</t>
  </si>
  <si>
    <t>['udah', 'bertahun', 'pakai', 'telkomsel', 'kali', 'kecewa', 'sinyal', 'susah', 'kali', 'tolong', 'diperbaiki', 'ngelunjak']</t>
  </si>
  <si>
    <t>['pulsa', 'terpotong', 'kuota', 'data', 'tolong', 'pelayanannya', 'ditingkatkan', 'kali', 'kejadian']</t>
  </si>
  <si>
    <t>['update', 'buka', 'detail', 'info', 'update', 'perbaikan', 'layanan', 'veronika', 'typo', 'keluhan', 'berulang', 'kali', 'solusi']</t>
  </si>
  <si>
    <t>['jaringan', 'lelet', 'membeli', 'kuota', 'susah', 'nian', 'disms', 'maaf', 'system', 'sibuk', 'silakan', 'mencoba', 'dibeli', 'kuota', 'beli', 'pas', 'dipersulit']</t>
  </si>
  <si>
    <t>['sinyal', 'buruk', 'terkadang', 'sinyal', 'lost', 'akibat', 'sinyal', 'lost', 'kehilangan', 'paket', 'internet', 'layanan', 'asisten', 'virtual', 'balasan', 'layanan', '']</t>
  </si>
  <si>
    <t>['parah', 'banget', 'pilih', 'kasih', 'ngasih', 'paket', 'udah', 'telkomsel', 'pindah', 'makasih', 'ketidak', 'adilan', 'promo', 'palet', 'internetnya']</t>
  </si>
  <si>
    <t>['kesini', 'pelayanan', 'jelek', 'memuaskan', 'sinyal', 'jelek', 'banget', 'doang', 'bagus', 'skrg', 'jdi', 'bala', 'lemot', 'harga', 'doang', 'mahal', 'kualitas', '']</t>
  </si>
  <si>
    <t>['telkomsel', 'pakai', 'jaringa', 'jaringan', 'lmot', 'lelet', 'udah', 'jaringan', 'trus', 'jaringan', 'jaringan', 'stabil', 'dasar', 'jaringan', 'koblok']</t>
  </si>
  <si>
    <t>['min', 'signal', 'lag', 'jarang', 'stabil', 'kaya', 'tolong', 'perbaiki', 'pengguna', 'telkomsel', 'berpengaruh', 'situasi', 'suport', 'kerja', '']</t>
  </si>
  <si>
    <t>['paket', 'mahal', 'beli', 'voucher', 'sistem', 'sibuk', 'butuh', 'stabilan', 'kecepatan']</t>
  </si>
  <si>
    <t>['kualitas', 'kecepatannya', 'menurun', 'pertumbuhan', 'fasilitas', 'jaringan', 'sebanding', 'pertumbuhan', 'pengguna', 'lelet', 'ampun', 'menara', 'telkomsel', 'lingkungan', 'beroperasi', '']</t>
  </si>
  <si>
    <t>['tolong', 'kebijakan', 'aktif', 'tenggangnya', 'jngn', 'cepat', 'kecewa', 'karna', 'gara', 'gara', 'tenggang', 'suruh', 'grapari', 'pelanggan', 'pascabayar']</t>
  </si>
  <si>
    <t>['tolong', 'cek', 'kuota', 'susah', 'banget', 'kesalahan', 'sistem', 'jaringan', 'game', 'lemot', 'kuota']</t>
  </si>
  <si>
    <t>['jelek', 'nee', 'pulsa', 'abis', 'mulu', 'perkara', 'kuota', 'darurat', 'make', 'nggak', 'pelanggan', 'pindah', 'sebelah', '']</t>
  </si>
  <si>
    <t>['perbaikan', 'sinyal', 'pagi', 'kisaran', 'jam', 'malem', 'udah', 'daring', 'tugas', 'sinyal', 'butek', 'sekira', 'udah', 'stabil', 'otak', 'atik', 'udah', 'pengguna', 'nyaman', '']</t>
  </si>
  <si>
    <t>['paketan', 'doang', 'mahalin', 'kualitas', 'jaringan', 'buruk', 'parah', 'min', 'kecewa', 'telkomsel', 'aman', 'nyaman', 'kondisi', 'musim', 'panas', 'susah', 'pas', 'musim', 'hujan', 'signalnya', 'langsung', 'gangguan']</t>
  </si>
  <si>
    <t>['maaf', 'kasi', 'bntang', 'jaringan', 'hancur', 'buka', 'aplikasi', 'susah', 'tolong', 'tingkatkan', 'layanan', 'konsumen', 'nyaman']</t>
  </si>
  <si>
    <t>['min', 'beli', 'paket', 'gb', 'harga', 'paketnya', 'masuk', 'saldo', 'ovo', 'udah', 'terpotong', 'gmn', '']</t>
  </si>
  <si>
    <t>['tlsel', 'hrga', 'maha', 'pakt', 'sms', 'nlpon', 'data', 'tpi', 'rasakan', 'pecuma', 'sosmed', 'pending', 'youtube', 'loding', 'trus', 'kouta', 'internet', 'hbis', 'nganggur', 'telkomsel', 'coba', 'lihat', 'kouta', 'sebelh', 'hrga', 'murah', 'ping', 'bagus', 'macet', 'tan', '']</t>
  </si>
  <si>
    <t>['jam', 'jam', 'gangguan', 'koneksi', 'internet', 'karawang']</t>
  </si>
  <si>
    <t>['buka', 'apk', 'susah', 'banget', 'susah', 'masuk', 'error', 'melulu', 'pdahal', 'cek', 'sisa', 'kuota', 'banget', 'lelet']</t>
  </si>
  <si>
    <t>['telkomsel', 'ancur', 'jaringan', 'mohon', 'perbaiki', 'mao', 'isi', 'paket', 'kaga', 'mao', 'cek', 'kouta', 'kaga', 'perbaiki', 'secepat', 'jngan', 'sampe', 'pelanggan', 'telkomsel', 'kecewa']</t>
  </si>
  <si>
    <t>['knapa', 'jaringan', 'telkomsel', 'smakin', 'buruk', 'karna', 'bumn', 'gangguan', 'jaringan', 'sinyal', '']</t>
  </si>
  <si>
    <t>['mahal', 'doank', 'paketnya', 'jaringanya', 'parah', 'banget', 'lemooot', 'abis', 'abis', 'datanya', 'ganti', 'aah', 'oprator', 'sebelah', 'bosss', 'jaringan', 'telkomsel', 'parah', 'amaat', 'abis', 'apdete', 'kacau', 'buka', 'telkomselnya', 'benerin', 'donk', 'jaringanya', 'makasih']</t>
  </si>
  <si>
    <t>['maaf', 'min', 'kartu', 'perdana', 'telkomsel', 'nyaman', 'sinyal', 'buruk', 'tolong', 'diperbaiki', 'min', 'sinyal', 'perkembangan', 'bintang', 'deh']</t>
  </si>
  <si>
    <t>['kecewa', 'telkomsel', 'ancur', 'tolong', 'mimin', 'operator', 'kerja', 'berhenti', 'kecewa', 'disaat', 'membutuhkan', 'internet', 'trouble', 'tunda', 'sudh', 'bayaran', 'mahal', 'tpi', 'memuaskan', 'alasan', 'apalah', 'kerja', 'mending', 'ganti', 'kerja', 'makasih', '']</t>
  </si>
  <si>
    <t>['', 'pekanbaru', 'riau', 'jaringan', 'telkomsel', 'jelek', 'maohon', 'perbaiki']</t>
  </si>
  <si>
    <t>['', 'beli', 'paket', 'pakai', 'data', 'pulsa', 'terkuras', 'korupsi', 'namanyaaa', '']</t>
  </si>
  <si>
    <t>['wilayah', 'bekasi', 'kesini', 'parah', 'intrnetan', 'ruangan', 'trus', 'ruangan', 'wilayah', 'kawasan', 'industri', 'kna', 'sinyal', 'wilayah', 'kampung']</t>
  </si>
  <si>
    <t>['kesel', 'telkomsel', 'org', 'ngutang', 'dibilang', 'ngutang', 'umat', 'muslim', 'bersangkutan', 'telkomsel', 'kelak', 'pertanggung', 'dihadapan', 'allah', 'krna', 'suka', 'menipu', 'pelanggan', '']</t>
  </si>
  <si>
    <t>['telkomsel', 'pelayanannya', 'buruk', 'buka', 'telkomsel', 'susahnya', 'ampun', 'paket', 'internet', 'promo', 'berhasil', 'buruk', 'telkomsel', 'pelayanannya', '']</t>
  </si>
  <si>
    <t>['harga', 'paket', 'mahal', 'mahal', 'kualitas', 'signal', 'jelek', 'nyesel', 'min', 'pindah', 'sebelah']</t>
  </si>
  <si>
    <t>['jaringan', 'jelek', 'parah', 'kesini', 'jelek', 'stabilin', 'jaringan', 'kaya', 'coba', 'pindah', 'gini', 'jaringan', '']</t>
  </si>
  <si>
    <t>['telkomsel', 'knapa', 'kecewa', 'banget', 'kali', 'udah', 'paketin', 'kuota', 'pulsa', 'uda', 'kepotong', 'dicek', 'kuota', 'memiliki', 'kuota', 'taukah', 'knapa', 'aplikasi', 'knapa', 'eror', 'mulu', 'kesel', 'gua', '']</t>
  </si>
  <si>
    <t>['lemot', 'banget', 'banget', 'sistem', 'error', 'tolong', 'perbaiki', '']</t>
  </si>
  <si>
    <t>['aplikasi', 'susah', 'buka', 'loading', 'sekedar', 'liat', 'kuota', 'nampil', 'sampe', 'klik', 'berkali', 'info', 'perbaikan', 'jatingan', 'jabaw', 'perbaikan', 'sampe', 'ganti', 'gada', 'perubahan']</t>
  </si>
  <si>
    <t>['hilang', 'respect', 'telkomsel', 'mengisi', 'pulsa', 'mendaftar', 'paket', 'internet', 'harganya', 'murah', 'mengisi', 'pulsa', 'nominal', 'harganya', 'maksudnya', '']</t>
  </si>
  <si>
    <t>['update', 'terbaru', 'beli', 'quota', 'gagal', 'mulu', 'giliran', 'kebeli', 'kecewa', 'banget', 'telkomsel', 'beli', 'paket', 'masuk', 'paket', 'semoga', 'pelanggan', 'bertahan', '']</t>
  </si>
  <si>
    <t>['', 'mendekati', 'kuota', 'habis', 'suka', 'cek', 'kuota', 'pulsa', 'utama', 'kesedot', 'disaat', 'streaming', 'medsos', 'tolong', 'diperbaiki', 'licik', '']</t>
  </si>
  <si>
    <t>['parah', 'instal', 'apk', 'karna', 'cek', 'kuota', 'gue', 'kaga', 'masuk', 'error', 'mulu', 'trus', 'habis', 'updt', 'pesan', 'masuk', 'paket', 'ribu', 'aktif', 'kaga', 'aktifin', 'paket', 'notifikasi', 'masuk', '']</t>
  </si>
  <si>
    <t>['telkomsel', 'buruk', 'jaringan', 'paket', 'data', 'mahal', 'jaringan', 'jelek', 'mengecewakan', 'online', 'jaringan', 'jelek', 'kasi', 'bintang', '']</t>
  </si>
  <si>
    <t>['sinyal', 'telkomsel', 'sinyal', 'dibilang', 'bagus', 'harga', 'paketan', 'aneh', 'cek', 'sisa', 'kuota', 'error', 'dihapus', 'app', 'sampe', 'download', 'error', '']</t>
  </si>
  <si>
    <t>['eror', 'mulu', 'ujan', 'angin', 'paket', 'mahal', 'aneh', '']</t>
  </si>
  <si>
    <t>['apaaan', 'telkomsel', 'jelek', 'banget', 'gua', 'cek', 'kuota', 'tlkms', 'signal', 'lumayan', 'bagus', 'buka', 'ngecek']</t>
  </si>
  <si>
    <t>['kecewa', 'karna', 'nggak', 'beli', 'kuota', 'gagal', 'check', 'kecewa']</t>
  </si>
  <si>
    <t>['kecewa', 'pulsa', 'kesedot', 'rupiah', 'membayar', 'pulsa', 'darurat', 'meminjam', 'muncul', 'otomatis', 'tolong', 'diperbaiki', 'pulsa', 'kesedot', 'ngisi', 'pulsa', 'rupiah', 'kesedot', 'keambil', 'otomatis', 'tolong', 'jngn', 'dicolong', 'otomatis', 'rubahlah', 'sistemnya', 'trims', '']</t>
  </si>
  <si>
    <t>['hadeh', 'aplikasi', 'milik', 'bumn', 'udah', 'lalod', 'paket', 'muaaaahaalll', 'mahal', 'upgrade', 'perubahan', 'upgrade', 'loading', 'mengecewakan', 'perbaiki', 'donk', 'kalah', 'aplikasi', 'abal', '']</t>
  </si>
  <si>
    <t>['aplikasi', 'tolol', 'upgrade', 'gue', 'upgrade', 'abis', 'upgrade', 'buka', 'gue', 'hapus', 'download', 'buka', 'download', 'ntar', 'nyesal', 'aplikasi', 'gagal']</t>
  </si>
  <si>
    <t>['kecewa', 'jaringan', 'aplikasi', 'telkomsel', 'kouta', 'pulsa', 'hidup', 'jaman', 'batu', 'kalah', 'operator']</t>
  </si>
  <si>
    <t>['ngatur', 'telkomsel', 'ketemu', 'cakar', 'mukanya', 'bankelah', 'giliran', 'paket', 'udah', 'tinggal', 'isi', 'paket', 'ngga', 'beli', 'paket', 'bankelah', 'tunggu', 'sedot', 'ribu', 'kayak', 'beli', 'paket', 'ngga', 'beli', 'paket', 'darurat', 'pulsa', 'potong', 'maaf', 'kasar', 'telkomsel', 'karna', 'emang', 'ngatur', 'telkomsel', 'korupsi', 'kayaknya', '']</t>
  </si>
  <si>
    <t>['', 'bayar', 'paket', 'darurat', 'kirim', 'sms', 'mulu', 'isi', 'pulsa', 'kaga', 'ambil', 'pulsa', 'abis', 'cek', 'kuota', 'ama', 'veronika', 'app', 'telkomsel', 'tolongg', 'lahh', 'jngan', 'ribet']</t>
  </si>
  <si>
    <t>['telkomsel', 'hilang', 'singnal', 'jaringan', 'jakarta', 'jaringan', 'stabil', 'telkomsel', 'kecewa']</t>
  </si>
  <si>
    <t>['berat', 'buka', 'dihp', 'kentang', 'lancar', 'jaya', '']</t>
  </si>
  <si>
    <t>['dlu', 'bintang', 'skarang', 'dlu', 'barusan', 'beli', 'kuota', 'lemot', 'bsa', 'buka', 'mytekkomsel', 'mohon', 'diperbaiki', 'secepatnya', 'tergantung', 'beroprasi', 'jaringan', 'cepat', 'aman', '']</t>
  </si>
  <si>
    <t>['jaringan', 'telkomsel', 'udah', 'kek', 'bi', 'jaringan', 'hilang', 'kota', 'telkomsel', 'tolong', 'perhatikan', 'pelanggan', 'kabur', 'terkhusus']</t>
  </si>
  <si>
    <t>['cape', 'ngubungin', 'solusi', 'suru', 'ngikutin', 'langkah', 'ribet', 'udah', 'ikutin', 'tetep', 'sinyalnya', 'tetep', 'lelet', 'cuman', 'maaf', 'sinyal', 'benerin', 'beli', 'kuota', 'bayar', 'uang', 'ngutang', 'benerin', 'produk', '']</t>
  </si>
  <si>
    <t>['nyaman', 'kartu', 'telkomsel', 'karna', 'wilayah', 'sinya', 'tersedia', 'dimana', 'terimakasih', 'pelayanan', 'telkomsel', 'kartu', 'telkomsel', 'dimanapun', '']</t>
  </si>
  <si>
    <t>['jujur', 'telkomsel', 'jaringannya', 'stabil', 'isi', 'pulsa', 'kepotong', 'alasan', 'tarif', 'nonpaket', 'ngapa', 'ngapain', 'kecewa', 'telkomsel', 'tolong', 'kasi', 'solusinya', 'makasih']</t>
  </si>
  <si>
    <t>['coba', 'diperbaiki', 'jaringan', 'udah', 'beli', 'mahal', 'kuota', 'sinyal', 'ilang', 'maen', 'game', 'buka', 'sosmed', 'laq', 'buffering', 'menganggu', 'kenyamanan']</t>
  </si>
  <si>
    <t>['isi', 'quota', 'pas', 'alah', 'tulisan', 'pulsa', 'tercukupi', 'tolong', 'diperbaiki', 'sistimnya', '']</t>
  </si>
  <si>
    <t>['telkom', 'aneh', 'bat', 'jaringan', 'lemot', 'jaringan', 'apk', 'mytelkomsel', 'eror', 'pulsa', 'kesedot', 'apk', 'telkom', 'ngga', 'akses', 'pas', 'cek', 'pulsa', 'udah', 'keren', 'ganti', 'kartu', 'deh']</t>
  </si>
  <si>
    <t>['aplikasi', 'efisien', 'harga', 'mahal', 'respon', 'mengatasi', 'terkesan', 'lamban', '']</t>
  </si>
  <si>
    <t>['beli', 'kuota', 'mahal', 'sinyal', 'jelek', 'bagus', 'jelek', 'mendingan', 'provider', 'kayanya', 'kuota', 'murah', 'sinyal', 'bagus', 'rekomen', 'banget', 'harga', 'kuota', 'sesuai', 'kualitas', 'sinyal', '']</t>
  </si>
  <si>
    <t>['jaringan', 'hancur', 'parahhhhh', 'mahal', 'bermanfaat', 'rugiii', 'udh', 'byr', 'mahal', 'pakai', 'kartu', 'halo', 'jaringan', 'murahan', '']</t>
  </si>
  <si>
    <t>['low', 'respon', 'app', 'jaringan', 'kadang', 'error', 'bileh', 'masukan', 'plis', 'adain', 'promo', 'paket', 'harga', 'puas', 'pelanggan', 'durasi', 'paket', 'udah', 'make', 'promo', 'kecewa', 'sekelas', 'telkomsel', 'gitu']</t>
  </si>
  <si>
    <t>['kecewa', 'pelayanan', 'telkomsel', 'rating', 'berat', 'iklan', 'sms', 'buka', 'simcard', 'diblokir', 'nomorny', 'muncul', 'iklan', 'nomor', 'berbeda', 'privacy', 'konsumen', 'dihargai', 'direspon', 'telpon', 'operator', 'telkompun', 'msh', 'muncul', 'iklan', 'menawarkan', 'pinjaman', 'pesugihan', 'dll', 'nggak', 'etis', 'maaf', 'simpati', 'telkomsel', 'sinyal', 'udik', 'bertahan', 'dipakai', '']</t>
  </si>
  <si>
    <t>['udah', 'jaaringanya', 'jelek', 'kuotanya', 'mahal', 'banget', 'aplikasimya', 'udah', 'jelek', 'lelet', 'error', 'gue', 'kasih', 'bintang', 'app', 'jelek', 'berfaedah', '']</t>
  </si>
  <si>
    <t>['parah', 'sinyal', 'telkomsel', 'cam', 'burik', 'harga', 'paket', 'mahal', 'layanan', 'sinyal', 'murahan', '']</t>
  </si>
  <si>
    <t>['jaringan', 'benerin', 'mahal', 'doang', 'paket', 'jaringan', 'sesuai', 'harga', 'paket', 'miris', 'pelayan', 'konsumen', 'lambat', 'malu', 'indonesia', 'dipulau', 'jawa', 'nge', 'lag', 'ngotak', '']</t>
  </si>
  <si>
    <t>['cek', 'pulsa', 'kuota', 'nyaman', 'mudah', 'telkomsel', 'giliran', 'tampil', 'wkwkwk']</t>
  </si>
  <si>
    <t>['aplikasi', 'buruk', 'beda', 'kayak', 'enak', 'liat', 'sisa', 'paket', 'beli', 'paket', 'data', 'pas', 'update', 'ngeliat', 'sisa', 'paket', 'error', 'udah', 'mahal', 'jaringan', 'ampas', '']</t>
  </si>
  <si>
    <t>['jaringan', 'kacau', 'kek', 'kon', 'beli', 'paket', 'rb', 'pemakaian', 'sampe', 'sebulan', 'habis', 'papa', 'jaringan', 'bagus', 'jaringan', 'kaya', 'main', 'game', 'ajh', 'signal', 'jumping', 'trus', 'nentu', 'bayar', 'mahal', 'jaringan', 'kek', 'gitu', 'kayanya', 'emang', 'mesti', 'pindah', 'kartu', 'sebelah', 'modal', 'rb', 'dapet', 'gb', 'telkoksel', 'rb', 'gb', 'iklan', 'ajh', 'kaya', 'iya', 'jaringan', 'burik', 'telkomsel', 'kaya', 'gini', 'trus', 'perubahan', 'jual', 'saham', '']</t>
  </si>
  <si>
    <t>['iih', 'kesel', 'bet', 'sumpah', 'ngelunjak', 'telkomsel', 'besok', 'mending', 'aksis', 'deh', '']</t>
  </si>
  <si>
    <t>['aplikasi', 'mytelkomsel', 'ngak', 'buka', 'tolong', 'perbaiki', 'aplikasi']</t>
  </si>
  <si>
    <t>['telkomsel', 'kacau', 'pdhl', 'tinggal', 'kota', 'jaringannya', 'udh', 'kaya', 'hutan', 'tolong', 'perbaiki', 'pelanggan', 'setia', 'telkomsel', 'pindah', 'provider', '']</t>
  </si>
  <si>
    <t>['woi', 'perbaharui', 'trus', 'jaringan', 'perbaharui', 'paket', 'mahal', 'jaringan', 'mendukung', 'pelanggan', 'pindah', 'tetangga', 'gue']</t>
  </si>
  <si>
    <t>['ampun', 'sma', 'sinyal', 'nie', 'niat', 'seh', 'buka', 'jaringan', 'internet', 'jaringan', 'sah', 'jual', 'paket', 'internet', 'deh', 'jual', 'paket', 'pulsa', 'ganti', 'kartu', 'sayang', 'msih', 'kyak', 'gini', 'biarin', 'kartu', 'pda', 'emosi', 'mnding', 'pindah', 'kartu']</t>
  </si>
  <si>
    <t>['gila', 'harga', 'mahal', 'koneksi', 'lemot', 'parah', 'kuota', 'kaya', 'lemot']</t>
  </si>
  <si>
    <t>['please', 'telkomsel', 'benerin', 'jaringannya', 'cek', 'telkomsel', 'kuota', 'gb', 'pas', 'buka', 'instagram', 'tetiba', 'muter', 'video', 'cek', 'telkomsel', 'telkomselnya', 'ikutan', 'dibuka', 'tuhan', 'kampung', 'kampung', 'cuman', 'jaringan', 'telkomsel', 'doang', 'karna', 'kampung', 'telkomsel', 'tolong', 'banget', 'mah', 'telkomsel']</t>
  </si>
  <si>
    <t>['iya', 'jakarta', 'sinyalnya', 'busuk', 'ngegame', 'anjinggg', 'paket', 'internet', 'mahal', 'doang', 'sinyal', 'internet', 'busuk', '']</t>
  </si>
  <si>
    <t>['telkomsel', 'taik', 'paket', 'mahal', 'ngak', 'sesuai', 'kualitas', 'anying', 'kalok', 'ngak', 'keluarga', 'udah', 'buang', 'got', 'kartu']</t>
  </si>
  <si>
    <t>['msh', 'bintang', 'telkomsel', 'jaringannya', 'parah', 'ghitu', 'beda', 'harga', 'paketannya', 'teman', 'beli', 'gb', 'hny', 'rb', 'mlh', 'gb', 'rb', 'kartu', 'salah', 'kartu', 'teman', '']</t>
  </si>
  <si>
    <t>['sumpah', 'kecewa', 'parah', 'telkomsel', 'jakarta', 'sinyal', 'internetnya', 'ilang', 'udah', 'mah', 'mahal', 'paketnya', 'kualitas', 'sinyalnya', 'jelek', 'payah', 'mengecewakan', '']</t>
  </si>
  <si>
    <t>['mahal', 'paket', 'doang', 'jaringan', 'busuk', 'maen', 'game', 'lag', 'mulu', 'jam', 'siang', 'sampe', 'jam', 'mlm', 'tolong', 'benerin', 'cuman', 'harga', 'doang', 'mahal', 'kualitas', 'benerin', 'pelanggan', 'puas']</t>
  </si>
  <si>
    <t>['gangguan', 'kah', 'sinyal', 'ilang', 'paket', 'unlimited', 'sosmed', 'bsa']</t>
  </si>
  <si>
    <t>['gangguan', 'teroooooooooooooooooooooosssssssssssssssssssssssss', 'udh', 'jago', 'dioprek', 'ngisi', 'kuota', 'susah', 'gangguan', '']</t>
  </si>
  <si>
    <t>['kecewa', 'pakai', 'telkomsel', 'pulsa', 'terpotong', 'internetnya', 'aktifin', 'pulsa', 'diisi', 'langsung', 'hilang', 'paket', 'internet', 'telkomsel', 'suka', 'nyolong', 'pulsa', 'alasan', 'jaringan', 'erorr', 'males', 'langganan', 'kaya', 'gini', 'jaringan', 'jelek', 'kualitasnya', 'harga', 'paketannya', 'udah', 'mahal', 'aplikasinya', 'lemot', 'pokoknya', 'beres', 'mengecewakan']</t>
  </si>
  <si>
    <t>['kesini', 'burik', 'sinyal', 'udah', 'gitu', 'pulsa', 'hilang', 'ribu', 'jangka', 'seminggu', 'tinggal', 'perak', 'tagihan', 'gua', 'ngutang']</t>
  </si>
  <si>
    <t>['nyesel', 'pakek', 'kartu', 'jaringan', 'ilang', 'trus', 'kemaren', 'beli', 'pulsa', 'mnt', 'ilang', 'kesedot', 'pesan', 'selamat', 'kuota', 'lokal', 'nonton', 'drama', 'aktif', 'habis', 'kuota', 'gabisa', 'pakek', 'gblg', 'sinyal', 'ilang', 'dlu', 'lancar', 'pindah', 'kartu', 'ilang', 'sinyal', '']</t>
  </si>
  <si>
    <t>['maaf', 'dikasih', 'bintang', 'disayangkan', 'sekelas', 'telkomsel', 'performanya', 'mengecewakan', 'terimakasih', '']</t>
  </si>
  <si>
    <t>['tolong', 'min', 'udah', 'setahun', 'pelanggan', 'telkomsel', 'jaringan', 'sesuai', 'harga', 'mahal', 'mahal', 'beli', 'kuota', 'sinyalnya', 'delay', 'kadang', 'gabisa', 'nyalain', 'data', 'main', 'game', 'sinyal', 'buruk', 'banget', 'haduhhh', 'gada', 'buktinya', '']</t>
  </si>
  <si>
    <t>['sinyal', 'sampah', 'kesini', 'parah', 'sakit', 'ati', 'make', 'telkomsel', 'sinyal', 'ampas', 'parah', 'ngakunya', 'sinyal', 'terbaik', 'ilang', 'mulu']</t>
  </si>
  <si>
    <t>['ikonnya', 'keren', 'harga', 'paketan', 'mahal', 'jaringan', 'memburuk', 'tolong', 'diperbaiki', 'bersaing', 'merk']</t>
  </si>
  <si>
    <t>['gua', 'make', 'enak', 'banget', 'cuman', 'harga', 'paket', 'kuota', 'mahal', 'mahal', 'bos', '']</t>
  </si>
  <si>
    <t>['mengecewakan', 'kebanyakan', 'lemotnya', 'kualitas', 'jaringan', 'sesuai', 'harga']</t>
  </si>
  <si>
    <t>['buruk', 'jaringan', 'suka', 'hilang', 'data', 'merugikan', 'kecewa']</t>
  </si>
  <si>
    <t>['gimana', 'pasang', 'tpi', 'cek', 'kuota', 'cri', 'google', 'nti', 'nongol', 'halaman', 'utama', 'tpi', 'halaman', 'utama', 'tulisa', 'coba', 'tolong', 'donk', 'bli', 'paketan', 'semalem', 'pke', 'pulsa', 'rb', 'tpi', 'pas', 'cek', 'telp', 'sms', 'paketan', 'tolong', 'dikembalikan', 'paketan']</t>
  </si>
  <si>
    <t>['beli', 'paket', 'tpi', 'habis', 'berlakunya', 'tolong', 'telkomsel', 'sulit', 'membebani', 'costumer', '']</t>
  </si>
  <si>
    <t>['mahalnya', 'doang', 'jaringan', 'kaga', 'stabil', 'kota', 'lamalama', 'ditinggalin', 'konsumen', 'gini', 'udah', 'tsel', 'teros']</t>
  </si>
  <si>
    <t>['tinggal', 'dikota', 'udah', 'pakai', 'jaringan', 'telkomsel', '']</t>
  </si>
  <si>
    <t>['mengecewakan', 'telkomsel', 'tpi', 'pas', 'main', 'moba', 'legend', 'sinya', 'temen', 'lancar', 'kga', 'lag', 'sdikitpun', 'udah', 'ganti', 'tpi', 'lemotnya', 'ampun', 'pengguna', 'telkomsel', 'bedakn', 'sinyal', 'kecewa', 'kecewa']</t>
  </si>
  <si>
    <t>['', 'perhatiin', 'pengambilan', 'kuota', 'internetnya', 'pemakaian', 'data', 'udah', 'pilah', '']</t>
  </si>
  <si>
    <t>['pembelian', 'harga', 'paket', 'sesuai', 'kualitas', 'sinyal', 'dihasilkan', 'kualitas', 'hasil', 'maksimal', 'nominal', 'puas', 'dominan', 'telpon', 'seluler', 'tuk', 'data', 'internetan', 'data', 'internet', 'bener', 'parah', 'asli', '']</t>
  </si>
  <si>
    <t>['sinyal', 'telkomsel', 'kaya', 'ngga', 'bagus', 'bangke', 'sinyalnya']</t>
  </si>
  <si>
    <t>['yok', 'berbondong', 'bondong', 'pindah', 'operator', 'sebelah', 'disana', 'murah', 'gan', 'kualitas', 'jaringan', 'bagus', 'gb', 'buruan', 'ngapain', 'bertahan', 'dsini']</t>
  </si>
  <si>
    <t>['kurangin', 'bintang', 'update', 'bego', 'gabisa', 'buka', 'coba', 'terusss', 'gada', 'mati']</t>
  </si>
  <si>
    <t>['gajelas', 'keslahan', 'sistem', 'mulu', 'udh', 'gitu', 'paketan', 'mahal', 'harga', 'sesuai', 'sinyal', 'ilang', 'mulu']</t>
  </si>
  <si>
    <t>['terhormat', 'provider', 'mahal', 'update', 'cari', 'keuntungan', 'jaringan', 'bermasalah', 'tolong', 'jaringan', 'kaya', 'sampah', 'jaringan', 'jual']</t>
  </si>
  <si>
    <t>['aneh', 'isi', 'paket', 'vocher', 'notifikasi', 'kesalahan', 'sibuk', 'coba', '']</t>
  </si>
  <si>
    <t>['knpa', 'sinyal', 'telkomsel', 'kesini', 'memburuk', 'kmrn', 'isi', 'pulsa', 'berkurang', 'kecewa', 'kecewa']</t>
  </si>
  <si>
    <t>['simpati', 'signal', 'parah', 'banget', 'udah', 'kaya', 'jaman', 'kali', 'buffring', 'mulu', 'signal', 'parah', 'gimana', 'nyaman', 'pelanggan', 'kaya', 'gini']</t>
  </si>
  <si>
    <t>['tolonglah', 'admin', 'perbaiki', 'kualitas', 'sinyalmu', '']</t>
  </si>
  <si>
    <t>['lemot', 'banget', 'skrg', 'kuota', 'msih', 'pulsa', 'sedot', 'aneh', '']</t>
  </si>
  <si>
    <t>['sinyal', 'ilang', 'harga', 'paket', 'harga', 'doang', 'sebanding', 'ama', 'sinyal', 'ngotak']</t>
  </si>
  <si>
    <t>['jaringannya', 'kenceng', 'banget', 'mahal', 'gua', 'jabanin', 'lemot', 'bos', 'lembek']</t>
  </si>
  <si>
    <t>['beli', 'pulsa', 'paketan', 'gampang', 'murah', 'jalan', 'pergi', 'conter', 'warung', 'pulsa', '']</t>
  </si>
  <si>
    <t>['lag', 'telkomsel', 'beli', 'paket', 'data', '']</t>
  </si>
  <si>
    <t>['', 'telkomsel', 'complent', 'respon', 'kah', 'bagus', 'jaringan', 'bagus', 'hilang', 'jaringan', 'paket', 'mahal']</t>
  </si>
  <si>
    <t>['woy', 'sinyal', 'telkomsel', 'lemot', 'paket', 'mahal', 'pas', 'main', 'game', 'sinyal', 'udah', 'berasa', 'main', 'jaman', 'batu']</t>
  </si>
  <si>
    <t>['menu', 'berubah', 'kali', 'update', 'paket', 'data', 'tarifnya', 'konsisten', '']</t>
  </si>
  <si>
    <t>['mahal', 'doang', 'jaringan', 'jelek', 'banget', 'paket', 'mahalin', 'jaringan', 'bener', '']</t>
  </si>
  <si>
    <t>['buruk', 'jaringan', 'prasaan', 'gua', 'beli', 'uang', 'daun', '']</t>
  </si>
  <si>
    <t>['maaf', 'pengguna', 'penukaran', 'poin', 'bnr', 'dpt', 'hadiah', 'kasih', 'bintang', '']</t>
  </si>
  <si>
    <t>['semoga', 'promonya', 'beneran', 'ndak', 'hoax', 'semoga', 'permainan', 'orang', 'bener', 'pyur', 'murni', 'promo', 'sesungguh', 'kartu', 'hallo', 'pelanggan', 'ndak', 'kecewa', 'pakai', 'kartu', 'haloo', 'telkom', 'sel', 'semoga', 'ridho', 'allah', 'swt', 'mobil', 'avanza', 'anak', 'bayi', 'lahir', 'seneng', 'aamiin', 'doakan', 'pegawai', 'kartu', 'halo', 'telkomsel', 'lindungan', 'allah', 'swt', 'aamiin', 'semoga', 'karyawan', 'kartu', 'hallo', 'sukse']</t>
  </si>
  <si>
    <t>['', 'allooohhh', 'telkomsel', 'paketan', 'mahal', 'banget', 'gangguang', 'jaringan', 'lemooott', 'tower', 'telkomsel', 'perlahan', 'mencekik', 'rakyat', '']</t>
  </si>
  <si>
    <t>['mudah', 'makai', 'tpi', 'klu', 'bahasa', 'indonesia', 'kalanga', 'mudah', '']</t>
  </si>
  <si>
    <t>['masuk', 'susah', 'kuota', 'telkomsel', 'nunggu', 'masuk', 'banget', 'mikir', 'ganti', 'provider', 'bagus', 'kota', 'bandung', '']</t>
  </si>
  <si>
    <t>['pulsa', 'diambil', 'kadang', 'rb', 'rb', 'rb', 'kuotaku', 'gapernah', 'sms', 'telpon', 'udah', 'gaada', 'pulsanya', '']</t>
  </si>
  <si>
    <t>['kesini', 'parah', 'signalnya', 'sampe', 'pegel', 'nelfonin', 'telkomsel', 'perkara', 'signal', 'beli', 'paket', 'internet', 'diatas', 'gb', 'tolong', 'diperhatiin', 'laporan', 'customer', 'ampe', 'lapor', 'berulang']</t>
  </si>
  <si>
    <t>['membantu', 'aplikasinya', 'bagus', 'sulit']</t>
  </si>
  <si>
    <t>['jaringan', 'telkomsel', 'bagus', 'pengen', 'ganti']</t>
  </si>
  <si>
    <t>['harga', 'paketan', 'kualitasnya', 'membaik', 'menurun', 'sinyal', 'sekelas', 'telkomsel', 'profaider', 'bener', 'kecewa', 'keberatan', 'harga', 'paketan', 'masuk', 'akal', 'beli', 'paket', 'harga', 'udah', 'dapet', 'bertahun', 'pakai', 'telkomsel', 'berfikir', 'ganti', 'profaider']</t>
  </si>
  <si>
    <t>['telkomsel', 'sinyal', 'youtube', 'loading', 'internet', 'susah', 'sekelas', 'telkomsel', 'bintang', 'kurangi', '']</t>
  </si>
  <si>
    <t>['terimakasih', 'telkomsel', 'alasan', 'kasih', 'bintang', 'grapari', 'csnya', 'memiliki', 'solusi', 'permasalahan', 'selesaikan', 'grapari', 'kartu', 'fisik', 'bekas', 'nomor', 'hangus', 'dikembalikan', 'diatasi', 'diatasi', 'mengembalikan', 'nomor', 'hangus', 'hubungi', 'call', 'center', 'counterstrike', 'point', 'blank', 'disuruh', 'grapari', 'repeat', 'nomer', 'terimakasih', 'telkomsel', 'menghancurkan', 'bisnisku']</t>
  </si>
  <si>
    <t>['parah', 'mengecewakan', 'masuk', 'telkomsel', 'pulsa', 'terpotong', 'jua', 'tanggung', 'tanggung', 'ribu', 'potong']</t>
  </si>
  <si>
    <t>['kecewa', 'telkomsel', 'uda', 'malam', 'jaringan', 'lelet', 'banget', 'game', 'gerak', 'khusus', 'daerah', 'perawang', 'kab', 'siak', 'riau', 'improvment', 'ngatasi', 'daerah', 'kecewa', 'puluhan', 'pakai', 'tlkomsel', '']</t>
  </si>
  <si>
    <t>['kesinj', 'jaringan', 'telkomsel', 'jelek', 'banget', 'kaya', 'smartfren', 'jaringan', 'jelek', 'murah', 'provider', 'mahal', 'jaringan', 'asssyyyuuuu', 'mahal', 'doank', 'jaringan', 'nyeselll', 'beli', 'kuota', 'jaringan', 'ajah', 'kaya', 'sinyal', 'smartfren', 'harganya', 'murahh', '']</t>
  </si>
  <si>
    <t>['jasa', 'pelayanan', 'telkomsel', 'pendaftaran', 'pemasangan', 'ganti', 'nomer', 'pengisian', 'pulsa', 'paket', 'data', 'dll', 'beli', 'pulsa', 'telkomsel', 'rating', 'aplikasi']</t>
  </si>
  <si>
    <t>['kesini', 'telkomsel', 'paketannya', 'mahal', 'banget', 'ditambah', 'sinyal', 'jelek', 'sesuai', 'diharapkan', 'tolonglah', 'perbaiki', 'sinyalnya']</t>
  </si>
  <si>
    <t>['sinyalnya', 'jelek', 'parah', 'kirim', 'pekerjaan', 'gagal', 'melulu', 'jakarta', 'harga', 'mahal', 'sinyal', 'kalah', 'provider', 'kasih', 'harga', 'murah', '']</t>
  </si>
  <si>
    <t>['teman', 'beli', 'paket', 'kuota', 'gerai', 'alfamart', 'dibayar', 'struknya', 'pulsanya', 'masuk', 'orbit', 'dikonfirm', 'masi', 'gmn', 'nyantol', 'dmn', 'gb', 'diurus', 'graha', 'pari', 'telkomsel', '']</t>
  </si>
  <si>
    <t>['jaringan', 'susah', 'wilayah', 'bali', 'mkin', 'lemot', 'putus', 'putus', 'daftar', 'cobo', 'udh', 'aftif', 'kog', 'bsa', 'connk', 'internet', 'sel', 'tsel', 'jaringanmu']</t>
  </si>
  <si>
    <t>['halo', 'kak', 'admin', 'nomer', 'pulsanya', 'bertambah', 'isi', 'rb', 'pulsa', 'masuk', 'takut', 'nomer', 'mati', 'nomer', 'banget', 'sekolah', 'tolong', 'buka', 'apk', 'tertulis', 'memuat', 'halaman', 'wifi', 'udah', 'berkali', 'kali', 'refresh', 'tolong', 'bantu', '']</t>
  </si>
  <si>
    <t>['telkomsel', 'amburadul', 'berlangganan', 'paket', 'telpon', 'konfirmasi', 'sms', 'pantesan', 'pulsa', 'cepat', 'habis', 'pdh', 'jarang', 'telpon', 'telkomsel', 'gimana', 'nich', 'tanggungjawabnya', 'nggak', 'mendingan', 'bubarin', 'rugikan', '']</t>
  </si>
  <si>
    <t>['erick', 'tohir', 'tolong', 'telkomsel', 'audit', 'masak', 'pulsa', 'mahal', 'aplikasi', 'lemot', 'gara', 'gara', 'lemot', 'pas', 'isi', 'paket', 'data', 'pulsaku', 'habis', 'kesedot', 'dibiarkan', '']</t>
  </si>
  <si>
    <t>['mempermudah', 'bertransaksi', 'tingkat', 'bonusnya', 'tingkat', 'kerahasiaan', 'private', 'data', 'app', 'link']</t>
  </si>
  <si>
    <t>['ditingkatkan', 'kinerja', 'pemakai', 'server', 'hrs', 'gedhe', '']</t>
  </si>
  <si>
    <t>['tolong', 'ksh', 'petinggi', 'kasih', 'paket', 'murah', 'sinyal', 'jelek', 'udah', 'masuk', 'jam', 'lokasi', 'perumahan', 'bumi', 'citra', 'lestari', 'cikarang', 'utara', 'kab', 'bekasi']</t>
  </si>
  <si>
    <t>['telkomsel', 'kartu', 'halo', 'mengecewakan', 'kuotanya', 'boros', 'cepat', 'banget', 'disedot', 'sebulan', 'menyesal', 'migrasi', 'kartu', 'halo', '']</t>
  </si>
  <si>
    <t>['mohan', 'mahaf', 'aplikasi', 'mengecewakan', 'uda', 'beli', 'paket', 'pakek', 'pulsa', 'kataya', 'jam', 'masuk', 'jam', 'tunggu', 'masuk']</t>
  </si>
  <si>
    <t>['kadang', 'lemot', 'bandwith', 'kadang', 'stabil', 'blank', 'spot', 'tukar', 'point', 'kuota', 'gb', 'redem', 'alasan', 'sistem', 'sibuk', 'telpon', 'menit', 'mati', 'telkomsel']</t>
  </si>
  <si>
    <t>['kasih', 'bintang', 'krna', 'jaringan', 'telkomsel', 'skarang', 'jdi', 'lelot', 'parah', 'tolong', 'telkomsel', 'perbaiki', 'aplikasinya', '']</t>
  </si>
  <si>
    <t>['bintang', 'alasan', 'telkomsel', 'sinyalnya', 'lemot', 'kataya', 'tingkatkan', 'kualitas', 'tingkatkan', 'harga', 'paket', 'internet', 'bukanya', 'jaringannya', 'bolh', 'kasih', 'bintang', 'tpi', 'percumah', 'penguna', 'kecewa', 'harga', 'paket', 'telpon', 'mahal', 'jaringang', 'murahan', 'perbaiki', 'jaringan', 'kecewa', 'penguna', 'telkomsel', 'nati', 'kasih', 'bintang', 'selkalian', '']</t>
  </si>
  <si>
    <t>['aneh', 'ngisi', 'pulsa', 'abis', 'sampe', 'ngisi', 'kali', 'tetlalu', 'pulsa', 'ambilin', 'telkomsel', 'kataku', '']</t>
  </si>
  <si>
    <t>['gua', 'beli', 'kuota', 'murah', 'jaringan', 'buruk', 'cepet', 'kelarin', 'udah', 'sebulan', 'daerah', 'bali', '']</t>
  </si>
  <si>
    <t>['pakai', 'telkomsel', 'jalan', 'jalan', 'kesana', 'kesini', 'nyari', 'jaringan']</t>
  </si>
  <si>
    <t>['jaringan', 'internet', 'telkomsel', 'lag', 'parah', 'apl', 'apl', 'game', 'online', 'merata', 'lag']</t>
  </si>
  <si>
    <t>['kecewa', 'telkomsel', 'sekrg', 'pulsa', 'darurat', 'sya', 'sms', 'bayr', 'pulsa', 'darurat', 'gimn', 'isi', 'pulsa', 'langsung', 'potong', 'gimn', 'telkomsel', '']</t>
  </si>
  <si>
    <t>['kecewa', 'telkomsel', 'beli', 'paket', 'data', 'paketan', 'data', 'multimedia', 'paket', 'internetnya', 'bterkuras', 'habis', '']</t>
  </si>
  <si>
    <t>['woi', 'tolong', 'perbaiki', 'sinyal', 'telkomsel', 'ngeleg', 'gue', 'bahagia', 'ngeleg', 'mulu', 'udh', 'mahal', 'ngeleg', 'axis', 'murah', 'kuat', 'lihat', 'tik', 'tok', 'mutar', 'mutar', 'salah', 'perbaiki', 'secepat', 'berat', 'tolong', 'perbaiki', 'beli', 'kuota', 'mahal', '']</t>
  </si>
  <si>
    <t>['maaf', 'bintangnya', 'kurangi', 'pembatasan', 'kuota', 'data', 'pulsa', 'kuota', 'data', 'habis', 'mengisap', 'pulsa', 'merugikan', 'pengguna', 'daftar', 'paket', 'kuota', 'pas', 'cek', 'pulsa', 'eee', 'pulsanya', 'habis', 'karna', 'nda', 'sengaja', 'datanya', 'jalan', '']</t>
  </si>
  <si>
    <t>['beli', 'paket', 'darurat', 'suruh', 'bayar', 'darurat', 'gimana', '']</t>
  </si>
  <si>
    <t>['kecewa', 'pelayanan', 'telkomsel', 'jaringan', 'bermasalah']</t>
  </si>
  <si>
    <t>['dancok', 'min', 'buka', 'sengaja', 'free', 'salah', 'pencet', 'meminjam', 'langsung', 'aktip', 'kuota', 'paket', 'data', 'ngapa', 'langsung', 'aktip', '']</t>
  </si>
  <si>
    <t>['terimakasih', 'telkomsel', 'layanan', 'terbaik', 'aplikasi', 'memudahkan', 'pengguna', 'provider', 'memperluas', 'jaringan', 'kuat', 'saran', 'mewakili', 'keluhan', 'pengguna', 'telkomsel', 'tolong', 'perbanyak', 'promo', 'diskon', 'menarik', 'paket', 'internet', 'nelpon', 'tolong', 'paket', 'murah', 'nelpon', 'kartu', 'tahunan', 'terimakasih', '']</t>
  </si>
  <si>
    <t>['maaf', 'kasih', 'bintang', 'bingung', 'aplikasi', 'telkomselnya', 'pas', 'buka', 'aplikasinya', 'munculnya', 'putih', 'nnti', 'hapus', 'aplikasi', 'buka', 'tutup', 'trus', 'buka', 'aplikasinya', 'putih', 'buka', 'aplikasinya', 'hapus', 'download', '']</t>
  </si>
  <si>
    <t>['', 'update', 'kli', 'gagal', 'kuota', 'kena', 'harga', 'paket', 'mahal', 'sinyal', 'kota', 'doang', 'kampung', 'jelek', 'telkomsel', 'beli', 'paket', 'minggu', 'unlimited', 'pas', 'muncul', 'berlakunya', 'kuota', 'kena', 'biaya', 'aneh', 'telkomsel', 'mending', 'beralih', 'kartu', 'kompeten', 'telkomsel']</t>
  </si>
  <si>
    <t>['kuota', 'internet', 'telkomsel', 'seharga', 'sultan', 'jaringan', 'ngeleg', 'paketan', 'mahal', 'susah', 'banget', 'promo', 'sesuai', 'harga']</t>
  </si>
  <si>
    <t>['perasaan', 'mnjem', 'pulsa', 'darurat', 'haruskan', 'bayar', 'pulsa', 'darurat', 'ribu', 'dlu', 'cumn', 'claim', 'pulsa', 'ribu', 'daily', 'check', 'pulsa', 'potong', 'poin', 'bayar', 'lgian', 'pulsa', 'goceng', 'kagak', 'nyet', 'ngeselin', 'salkomsel', 'udh', 'jaringan', 'kaya', 'babi', 'pikir', 'bagus']</t>
  </si>
  <si>
    <t>['jaringn', 'terkenal', 'plosok', 'propinsi', 'indonesia', 'tpi', 'namanya', 'ngk', 'jaga', 'jaringan', 'lelet', 'lelet', 'ujan', 'aduh', 'kacau', 'paket', 'kuota', 'internet', 'mahal', 'tpi', 'jringan', 'ngak', 'kondisikan', 'tolong', 'kondisikan', 'jaringan', 'utamakan', 'kepuasan', 'pengguna', 'telkomsel', 'salam']</t>
  </si>
  <si>
    <t>['good', 'tingkatkan', 'kualitas', 'jaringan', 'kota', 'pelosok', 'desa', 'tks', '']</t>
  </si>
  <si>
    <t>['telkomsel', 'gimna', 'udh', 'ngisi', 'ulang', 'pulsa', 'udaah', 'aneeh', 'aplikasi', 'udh', 'jlas', 'mending', 'aplikasi', 'hapus', 'deeh', 'ntar', 'nyesal', '']</t>
  </si>
  <si>
    <t>['tolong', 'jaringannya', 'tingkatkan', 'maksimal', 'terima', 'kasih']</t>
  </si>
  <si>
    <t>['tolong', 'perbaiki', 'terkait', 'pengisian', 'paket', 'app', 'telk', 'pulsa', 'rb', 'ngisi', 'paket', 'rb', 'pulsa', 'mencukupi', 'coba', 'pulsa', 'sisa', 'sekian', 'berhasil', 'sisa', 'pulsa', 'tolong', 'diperbaiki', 'terimakasih', '']</t>
  </si>
  <si>
    <t>['kualitas', 'sinyal', 'area', 'kab', 'kuningan', 'jawa', 'barat', 'jelek', 'sinyal', 'hilang', 'beli', 'kuota', 'paket', 'mahal', 'mohon', 'diperbaiki', 'memuaskan', 'pelanggan', '']</t>
  </si>
  <si>
    <t>['berfungsi', 'banget', 'sip', 'kendala', 'dijaringan', 'kadang', 'lola', '']</t>
  </si>
  <si>
    <t>['', 'bintang', 'dlu', 'fungsi', 'optimal', 'pembatasan', 'kuota', 'data', 'pulsa', 'terpotong', 'langsung', 'paket', 'melebihi', 'kuota', 'pemakaian', 'nilai', 'plus', 'pengguna', 'aplikasi', 'telkomsel', 'paket', 'data', 'murah', 'bersaing', 'gerai', 'kios', 'penjual', 'kuota', '']</t>
  </si>
  <si>
    <t>['mantap', 'sinyal', 'lewot', 'trimakasih', 'telkomsel', 'semoga', 'mengecewakan', 'pelanggan', 'telkomsel', 'sukses', 'slalu']</t>
  </si>
  <si>
    <t>['sinyal', 'bagus', 'minggu', 'seminggu', 'gangguan', 'pulsa', 'banding', 'provider', 'telkomsel', 'mahal']</t>
  </si>
  <si>
    <t>['tolong', 'jaringan', 'stabil', 'mati', 'lampu', 'hujan', 'hilang', 'gimana', 'kondisi', 'darurat', 'susah', 'terima', 'kasih', '']</t>
  </si>
  <si>
    <t>['astaga', 'telkomsel', 'adakan', 'fitur', 'kunci', 'pulsa', 'geram', 'kekonyolan', 'pulsa', 'hilang', 'dikasih', 'jaman', 'pakai', 'pulsa', 'akses', 'internet', 'harap', 'perhatikan', 'keluhan', 'pelanggan', 'bintang', 'saju', 'menetap', 'fitur', 'pengaman', 'pulsa', '']</t>
  </si>
  <si>
    <t>['sinyal', 'main', 'game', 'hijau', 'kode', 'ping', 'kuning', 'langsung', 'merah', 'paket', 'harga', 'pejabat', 'sinyal', 'ngeleg']</t>
  </si>
  <si>
    <t>['paket', 'gb', 'udah', 'beli', 'tpi', 'notifikasi', 'pulsa', 'potong', 'udah', 'beli', 'ampe', '']</t>
  </si>
  <si>
    <t>['parah', 'jaringan', 'telkomsel', 'hancur', 'males', 'make', 'kartu', 'telkomsel', 'dikota', 'jaringan', 'tetep', 'ilang', 'tolonglah', 'perbaiki']</t>
  </si>
  <si>
    <t>['mempermudah', 'penggunanya', 'membeli', 'paket', 'lumayan', 'murah', 'kartu', 'loop', 'segini', 'klok', 'mahal', 'sekian', 'trima', 'kasih', '']</t>
  </si>
  <si>
    <t>['bagus', 'jaringannya', 'pas', 'kesini', 'jelek', 'kasih', 'bintang', '']</t>
  </si>
  <si>
    <t>['sinyal', 'suka', 'ilang', 'merata', 'temen', 'mengelu', 'berganti', 'kartu', 'iya', 'giman', 'ngak', 'jebgkel', 'asik', 'main', 'sinyal', 'ilang', 'serasa', 'pegen', 'banting', 'hpnya', 'muka', 'kamuu']</t>
  </si>
  <si>
    <t>['sattt', 'kaget', 'asw', 'isi', 'pulsa', 'isi', 'paket', 'ehh', 'ilang', 'sattt', 'gpp', 'bentar', 'buang', 'kartu', 'asw', 'ganti', 'kawan', 'operator', 'dipercaya', 'dapet', 'sms', 'penipuan', 'jancoook', '']</t>
  </si>
  <si>
    <t>['woy', 'kembalikan', 'pulsa', 'dasar', 'penipu', 'kuota', 'pulsa', 'ngisi', 'ribu', 'habis', 'kesedot', 'sinyal', 'jelek', 'banget', 'kuota', 'mahal', 'lemot', 'merugikan', 'awas', 'ganti', 'rugi', 'hati', 'telkomsel', 'penipu']</t>
  </si>
  <si>
    <t>['telkomsel', 'parah', 'cok', 'harga', 'paket', 'selangit', 'jarinhan', 'kayak', 'wkwkwkw', 'telkomsel', 'cuman', 'enaknya', 'doang', 'pelanggan', 'kecewa', 'gini', 'trus', 'bos']</t>
  </si>
  <si>
    <t>['update', 'apk', 'error', 'transaksi', 'beli', 'paket', 'paket', 'promo', 'beli', 'telkomsel', 'bercanda', 'perbaiki', '']</t>
  </si>
  <si>
    <t>['telkomsel', 'lelet', 'biaya', 'beli', 'quota', 'data', 'harga', 'rb', 'dipilih', 'rb', 'rb', '']</t>
  </si>
  <si>
    <t>['assalamualaikum', 'kak', 'ngomong', 'pas', 'poin', 'telkomsel', 'habis', 'ngisi', 'pulsa', 'dapet', 'poin', 'ehh', 'udah', 'isi', 'update', 'dapet', 'poin', 'tolong', 'koin', 'isi', 'terimakasih', 'semoga', 'komentar', 'bermanfaat', 'orang', 'orang', 'download', 'telkomsel', '']</t>
  </si>
  <si>
    <t>['hutang', 'telkomsel', 'iya', 'pulsa', 'tinggal', 'rupiah', 'potong', 'saldo', 'rupiah', 'alasan', 'hutang', 'gimana', '']</t>
  </si>
  <si>
    <t>['kasi', 'bintang', 'sinyalnya', 'ngak', 'bagus', 'daerah', 'pare', 'khusus', 'daerah', 'pinggiran', 'tolong', 'dibenerin', 'gue', 'udah', 'pakai', 'telkomsel', 'terganggu', 'game', 'lemot', 'ksih']</t>
  </si>
  <si>
    <t>['parah', 'telkomsel', 'sinyal', 'berasa', 'sinyal', 'kadang', 'bagus', 'heran', 'bdg', 'barat', 'citapen', 'cihamplas', 'tolong', 'sinyal', 'perkuat', 'jaga', 'tower', 'telkomsel', 'kmn', 'kerjanya', 'cuman', 'send', 'foto', 'control', 'sedih', 'jaringan', 'bos']</t>
  </si>
  <si>
    <t>['membantu', 'terimakasih', 'telkomsel', 'semoga', 'maju', 'edit', 'september', 'ulasan', 'aplikasi', 'mytelkomsel', 'render', 'halaman', 'berat', 'buka', 'aplikasi', 'sampe', 'kecepatannya', 'mbps', 'loading', 'kadang', 'eror', 'mohon', 'dibenahi', 'cepat', 'loading', 'halaman', 'terimakasih']</t>
  </si>
  <si>
    <t>['mempermudah', 'masyarakat', 'pembelian', 'paket', 'internet', 'membantu', '']</t>
  </si>
  <si>
    <t>['buka', 'telkomsel', 'nyedot', 'pulsa', 'beli', 'paket', 'kasih', 'gratis', 'kek', 'buka', 'aplikasi', 'kek', 'apk', 'diseblah', 'roli', 'dibuka', 'nyedot', 'pulsa', 'aduhhh', '']</t>
  </si>
  <si>
    <t>['paketnya', 'mahal', 'mahal', 'jaringan', 'diperluas', 'pelosok', 'negeri', 'bobrok', 'paketnya', 'gila', 'terjangkau', 'mahal', '']</t>
  </si>
  <si>
    <t>['harga', 'paketan', 'sinyal', 'memuaskan', 'lapor', 'ngga', 'perubahan']</t>
  </si>
  <si>
    <t>['mahal', 'mahal', 'promo', '']</t>
  </si>
  <si>
    <t>['pembayaran', 'kartu', 'halo', 'bln', 'biasanyw', 'seblm', 'tgl', 'tgl', 'kecewa', 'kupakai', 'kartu', 'halonya', '']</t>
  </si>
  <si>
    <t>['min', 'kartu', 'simpati', 'bsa', 'bli', 'paket', 'internet', 'sakti', 'paketannya', 'pdahal', 'kartu', 'temenku', 'tlong', 'min', 'perbaiki', 'sistemnya']</t>
  </si>
  <si>
    <t>['tolong', 'aktifnya', 'udh', 'habis', 'sisa', 'kuota', 'dihangusin', 'plis', 'tersimpan', 'sisa', 'kuota', 'gunain', 'beli', 'pulsa', 'nambah', 'aktif', 'paketan', 'internet', 'aktifnya', 'mengikuti', 'aktif', 'kartunya', 'pokoknya', 'sisa', 'kuotanya', 'hangus', 'rugi', 'sisa', 'kuotanya', 'hangus', 'gitu', '']</t>
  </si>
  <si>
    <t>['bagus', 'share', 'aplikasi', 'kasih', 'paket', 'data', 'gratis']</t>
  </si>
  <si>
    <t>['aplikasi', 'bagus', 'beli', 'kuota', 'murah', 'promonya', '']</t>
  </si>
  <si>
    <t>['jaringan', 'telkomsel', 'parah', 'pakai', 'telkomsel', 'jaringan', 'lelet', 'jaringan', 'telkomsel', 'orang', 'ngeluh', 'jaringan', 'parah', 'sebarkan', 'jaringan', 'telkomsel', 'jaringan', 'lelet']</t>
  </si>
  <si>
    <t>['aplikasi', 'bagus', 'memudahkan', 'repot', 'manapun', '']</t>
  </si>
  <si>
    <t>['telkomsel', 'gimana', 'emosi', 'terpaksa', 'pakai', 'paket', 'darurat', 'trus', 'isi', 'rb', 'lngsung', 'hilang', 'eeehh', 'msh', 'dapet', 'sms', 'suruh', 'melunasi', 'trus', 'isi', 'rb', 'lngsung', 'hilang', 'dimakan', 'tikus', 'gimana', 'yaa', 'tolong', 'jelasin', 'sel', 'telkomsel', '']</t>
  </si>
  <si>
    <t>['kecewa', 'udah', 'ngisi', 'pulsa', 'paketnya', 'perasaan', 'kemaren', 'lho', 'ngisi', 'paket', 'ngisi', 'udah', 'berat', 'min', 'nebeng', 'temen', 'galau', 'paket', 'telkomsel', '']</t>
  </si>
  <si>
    <t>['metode', 'login', 'tpi', 'berfungsi', 'login', 'fungsi', 'udah', 'deploy', 'berfungsi', 'blum', 'berfungsi', 'hide', 'button', 'envi', 'prod', 'benerin', 'dlu', 'envi', 'dev', 'tester', 'aneh']</t>
  </si>
  <si>
    <t>['tolong', 'perbaiki', 'sinyal', 'tlkomsel', 'lancar', 'macet', 'sinyal', 'lancar', 'terkadang', 'berubah', 'payah', 'tlkomsel', 'kalah', 'kartu', 'sinyal', 'promo', 'kuota', 'internet']</t>
  </si>
  <si>
    <t>['kuota', 'doang', 'mahal', 'kualitas', 'jaringan', 'jelek', 'tlng', 'perbaiki', 'jaringan', 'internetnya', 'tmpat', 'sya', 'buruk', 'kualitas', 'internetnya', 'cma', 'ambil', 'duitnya', 'tlng', 'bnerin', 'sinyal', 'internetnya', 'kalah', 'sma', 'vendor', '']</t>
  </si>
  <si>
    <t>['jaringan', 'main', 'game', 'ngelag', 'paket', 'mahal', 'mahal', 'kegunaan', 'paket', 'multimedia', 'klau', 'kecepatan', 'dibatasi', 'ms', 'fungsi', 'untung', 'daerahku', 'jaringan', 'klaw', 'jaringan', 'udah', 'pindah', '']</t>
  </si>
  <si>
    <t>['hmmmmmm', 'kekurangan', 'pulsa', 'kesedot', 'transaksi', 'apapun', 'kesedot', 'pulsanya', 'adakah', 'layanan', 'pelanggan', 'melaporkan', '']</t>
  </si>
  <si>
    <t>['aplikasi', 'berat', 'diperbaiki', 'ringan', 'dibagian', 'loading', 'halaman', '']</t>
  </si>
  <si>
    <t>['telkomsel', 'skrg', 'lelet', 'kota', 'kartu', 'area', 'tanjung', 'karang', 'timur', 'kodya', 'lho', 'berlangganan', 'bersaing', 'mending', 'tutup', 'kantornya', 'beli', 'bermutu', 'solusi', 'suruh', 'migrasi', 'kartu', 'halo', 'anak', 'tirikan', 'kartu', '']</t>
  </si>
  <si>
    <t>['semoga', 'telkomsel', 'terbaik', 'semoga', 'promo', 'promo']</t>
  </si>
  <si>
    <t>['telkomsel', 'kalimantan', 'jelek', 'kah', 'puasa', 'bagus', 'bayar', 'mahal', 'sinyal', 'abal', 'stabil', 'bintang', 'kasih']</t>
  </si>
  <si>
    <t>['kecewa', 'pelayanan', 'beli', 'paket', 'data', 'gangguan', 'pulsa', 'potong', 'ket', 'dongkol', 'duit', 'pas', 'beli', 'pulsa', 'pas', 'tsel', 'kau', 'diam', 'merenggut', 'pulsa', 'org', 'males', 'notifmu', 'skipskipskip', '']</t>
  </si>
  <si>
    <t>['tsel', 'sgt', 'buruk', 'pegawai', 'tsel', 'brengsek', 'doyan', 'ambil', 'pulsa', 'pelanggan', 'kuota', 'tsel', 'tsel', 'buruk', 'beli', 'paket', 'nelpon', 'all', 'operator', 'nelpon', 'operator', 'nyedot', 'pulsa', 'ribu', 'sdgkan', 'paket', 'nelponnya', 'tarik', 'alias', 'utuh', 'pulsa', 'sedot', '']</t>
  </si>
  <si>
    <t>['aplikasi', 'update', 'barusan', 'update', 'masuk', 'playstore', 'update', 'terbaru', 'terinstall', 'date', 'dibuka', 'update', '']</t>
  </si>
  <si>
    <t>['promo', 'oke', 'harga', 'paket', 'mahal', 'mahal', 'telkomsel', 'paket', 'internet', 'mmg', 'harga', 'bersaing', 'lanjutkan', '']</t>
  </si>
  <si>
    <t>['kecewa', 'jadwal', 'tagihannya', 'majukan', 'jadwal', 'tanggal', 'berubah', 'ditanggal', 'harga', 'tagihannya', 'jugaa', 'beda', '']</t>
  </si>
  <si>
    <t>['stiap', 'isi', 'pulsa', 'potong', 'trs', 'utang', 'pls', 'pas', 'cek', 'pls', 'udah', 'potong', 'mna', 'jaringan', 'lembek', 'kek', 'taik', 'smalem', 'isi', 'pls', 'menit', 'pas', 'cek', 'udah', 'melayang', 'brapa', 'ribu', 'taik', 'laa']</t>
  </si>
  <si>
    <t>['beli', 'kuota', 'murah', 'kemarin', 'kuotanya', 'mahal', 'liat', 'apk', 'jelek', 'nyesel', 'donlot', 'uda', 'hapus', 'apk']</t>
  </si>
  <si>
    <t>['memilih', 'combo', 'sakti', 'pilihan', 'beli', 'combo', 'saktinya', 'cuman', 'combo', 'sakti', 'tolonglah', 'telkomsel', 'perbanyak', 'combo', 'saktinya', 'cumanb', '']</t>
  </si>
  <si>
    <t>['', 'kasih', 'bintang', 'aplikasi', 'login', 'aneh', 'email', 'blom', 'trdftr', 'email', 'login', 'aplikasi', 'mlah', 'aneh', 'login', 'mke', 'trjadi', 'keslahan', 'aplikasi', 'mna', 'login', 'mke', 'akun', 'adlh', 'cra', 'login', 'pling', 'gampang', '']</t>
  </si>
  <si>
    <t>['', 'kabupaten', 'garut', 'kecamatan', 'banyuresmi', 'koneksi', 'jelek', 'kabupaten', 'tasikmalaya', 'kecamatan', 'ciawi', 'koneksi', 'ancur', '']</t>
  </si>
  <si>
    <t>['kasih', 'bintang', 'jaringan', 'parah', 'beda', 'udah', 'bagus', 'kasih', 'bintang']</t>
  </si>
  <si>
    <t>['kecewa', 'layanan', 'telkomsel', 'isi', 'pulsa', 'beli', 'kouta', 'termakan', 'pulsa', 'nyalakan', 'data', 'seluler', '']</t>
  </si>
  <si>
    <t>['kenyamanan', 'berkomunikasi', 'telkomsel', 'mudah', 'galanya', 'tingkatkan', 'layanan', 'jadikan', 'telkomsel', 'alat', 'telekomunikasi', 'terbaik', 'indonesia']</t>
  </si>
  <si>
    <t>['bagus', 'banget', 'membantu', 'pakai', 'telkomsel', 'smpai', 'sekrang', 'pokoknya', 'telkomsel', 'hati', '']</t>
  </si>
  <si>
    <t>['halo', 'developer', 'pulsa', 'sisa', 'hilang', 'ngalaminnya', 'pulsanya', 'kmn', 'berharga', 'kalangan', 'bwh', 'pakai', 'kartu', 'mohon', 'dibuatin', 'lock', 'button', 'pulsa', 'hilang', 'aplikasinya', 'mohon', 'ditindaklanjuti', 'keluhan', 'konsumen', 'belalih', 'kartu', 'terima', 'kasih', '']</t>
  </si>
  <si>
    <t>['kasih', 'bintang', 'komplain', 'jaringannya', 'jelek', 'suka', 'bagus', 'tolong', 'perbaiki', '']</t>
  </si>
  <si>
    <t>['sistem', 'check', 'mytelkomsel', 'curang', 'banget', 'yaa', 'check', 'posisi', 'nomor', 'kali', 'nggak', 'dapet', 'gb', 'deh', 'wkwkwk', 'curang', 'banget', 'mainnya', 'developer', 'aplikator', '']</t>
  </si>
  <si>
    <t>['pertahankan', 'paket', 'internet', 'murahnya', 'rakyat', 'berpenghasilan', 'rendah']</t>
  </si>
  <si>
    <t>['sedot', 'pulsa', 'terooos', 'gini', 'ganti', 'kartu', 'gini', 'kuat', 'udah', 'mahal', 'main', 'sedot', 'pulsa', 'ganti', 'indosat', 'indonesia', '']</t>
  </si>
  <si>
    <t>['semoga', 'kedepannya', 'sinyal', 'stabil', 'berkarya', 'semangat']</t>
  </si>
  <si>
    <t>['semoga', 'murah', 'promo', 'baruuu', 'terjangkau', '']</t>
  </si>
  <si>
    <t>['aplikasi', 'muda', 'diacses', 'upload', 'cepat', 'hindari', 'iklan', 'proses', 'upload', 'terimakasih', '']</t>
  </si>
  <si>
    <t>['aplikasi', 'mempermudah', 'pelanggan', 'telkomsel', 'mksh', 'telkomsel', '']</t>
  </si>
  <si>
    <t>['migrasi', 'telkomsel', 'kartu', 'halo', 'menjamin', 'kehabisan', 'quota', 'pulsa', 'darurat']</t>
  </si>
  <si>
    <t>['aneh', 'check', 'ulang', 'mmg', 'hoax', 'programnya', 'sinyal', 'telkomsel', 'sebagus']</t>
  </si>
  <si>
    <t>['', 'aktifitas', 'dunia', 'maya', 'kecewa', 'banyaknya', 'kuota', 'pembagian', '']</t>
  </si>
  <si>
    <t>['beli', 'paket', 'unlimited', 'pas', 'unlimitednya', 'lemot', 'banget', 'streaming', 'lancar', 'langsung', 'loading', 'muter']</t>
  </si>
  <si>
    <t>['beli', 'pulsa', 'aktivasi', 'paket', 'data', 'dipromosikan', 'aplikasi', 'masuk', 'aplikasi', 'notifikasinya', 'kesalahan', 'system', 'coba', 'ditunggu', 'cek', 'pulsa', 'via', 'umb', 'terpakai', 'pulsa', 'membeli', 'paket', 'data', 'dipilih', 'masuk', 'aplikasi', 'gratis', 'kuota', 'data', 'pulsa', 'aplikasi', 'provider', 'cek', 'beli', 'transaksi', 'poin', 'fitur', 'aplikasi', 'pulsa', 'kuota', 'data', 'aktif', 'habis', '']</t>
  </si>
  <si>
    <t>['veronica', 'layanan', 'kayak', 'robot', 'bli', 'paket', 'masuk']</t>
  </si>
  <si>
    <t>['overall', 'good', 'app', 'tolong', 'harga', 'paket', 'internet', 'murah', 'thanks']</t>
  </si>
  <si>
    <t>['membantu', 'pulsa', 'habis', 'pinjaman', 'membayarnya', 'pulsa', 'mudah', 'mudahan', 'kedepannya', 'telkomsel', 'terbaik', 'masyarakat', 'indonesia', 'promo', 'terjangkau', 'rakyat', 'terima', 'kasih', 'telkomsel', 'telkomsel', 'memenuhi', 'kebutuhan', 'anak', 'negeri', 'sukses', 'telkomsel', '']</t>
  </si>
  <si>
    <t>['telkomsel', 'mengecewakan', 'pakai', 'wifi', 'pulsa', 'kepotong', 'trus', 'coba', 'pakek', 'paket', 'ketengan', 'notifikasi', 'pulsa', 'pls', 'aneh', 'cicil', 'pulsa', 'kepotong', 'trus', 'solusi', 'pelanggan', 'benci', 'pengguna', 'telkomsel', 'uda', '']</t>
  </si>
  <si>
    <t>['telkom', 'gaje', 'iya', 'isi', 'pulsa', 'diapa', 'in', 'ngurang', 'sampe', 'gila', 'susah', 'payah', 'beli', 'pulsa', 'data', 'dinyalain', 'event', 'nsp', 'gitu', 'tolong', 'diperbaikin', 'bukanya', 'terbantu', 'rugi', '']</t>
  </si>
  <si>
    <t>['berguna', 'banget', 'slow', 'respon', 'kali', 'beli', 'kuota', 'langsung', 'pesan', 'terima', 'kasih', 'apk', 'berguna']</t>
  </si>
  <si>
    <t>['sbg', 'pelanggan', 'kecewa', 'layanan', 'komfirmasi', 'pelanggan', 'jujur', 'buang', 'sim', 'card', 'telkomsel', 'tsb', 'hindari', 'efeknya', 'kontrak', 'telkomsel', 'pilih', 'sim', 'card', 'telkomsel', 'pelangganmu', 'puas', 'tingkatkan', 'pelayanan', 'bravo', 'telkomsel', '']</t>
  </si>
  <si>
    <t>['kuota', 'gb', 'sinyal', 'lemot', 'hilang', 'sinyal', 'hilang', 'aplikasi', '']</t>
  </si>
  <si>
    <t>['pulsa', 'terpotong', 'rb', 'aktifin', 'paket', 'darurat', 'skrg', 'pket', 'unlimited', 'kecepatan', 'batasi', 'kbps', 'sya', 'pke', 'platform', 'mahal', 'kesini', 'layanan', 'buruk', 'salah', 'kominsaris', 'dirut', 'dlm', 'mengambil', 'kebijakan', 'tolong', 'perbaiki', 'dlu', 'segi', 'pelayanan', 'perusahaan', 'bumn', 'bumn', 'milik', 'pemerintah', 'citra', 'jelek', 'mata', 'masyarakat', '']</t>
  </si>
  <si>
    <t>['sorry', 'kasih', 'bintang', 'pas', 'migrasi', 'kartu', 'senang', 'dpt', 'bonus', 'kuota', 'kuotanya', 'jrgan', 'otomatis', 'terganti', 'jaringan', 'otomatis', 'pulsa', 'sedot', 'hati', 'hati', 'kawan', 'jebakan', 'batman', '']</t>
  </si>
  <si>
    <t>['', 'telkomsel', 'membantu', 'peguna', 'telkomsel', 'telkomsel', 'paket', 'data', 'mahal']</t>
  </si>
  <si>
    <t>['aplikasi', 'bermanfaat', 'membantu', 'orang', 'download', 'aplikasi', 'buruan', 'download', 'aplikasi', 'nga', 'nyesel', 'like', 'mytelkomsel', 'trima', 'kasih']</t>
  </si>
  <si>
    <t>['kasih', 'rating', 'layanan', 'telkomsel', 'jelek', 'mahal', 'provider', 'bintang', 'kasih', 'paket', 'halokick', 'rb', 'bayar', 'tagihan', 'slalu', 'rb', 'jarang', 'bangettt', 'paket', 'nelp', 'sms', 'mahalnya', 'paket', 'internetnya', 'telkomsel', 'slalu', 'menghemat', 'pemakaian', 'stiap', 'bulannya', 'tagihan', 'bayar', 'slalu', 'migrasi', 'simpati', 'klamaan', 'halo', 'miskin']</t>
  </si>
  <si>
    <t>['paket', 'data', 'operator', 'pulsa', 'telkomsel', 'kepotong', 'menerus', 'anehhh']</t>
  </si>
  <si>
    <t>['gimana', 'ceritanya', 'redemp', 'poin', 'saldo', 'bonus', 'linkaja', 'notifikasi', 'selamat', 'berhasil', 'redemp', 'poin', 'silahkan', 'cek', 'saldo', 'bonus', 'apk', 'linkaja', 'cek', 'aneh', 'saldo', 'bonus', 'masuk', 'gimana', 'pertanggungjawaban', 'udah', 'poin', 'potong', 'saldo', 'bonus', 'tolong', 'penjelasannya', '']</t>
  </si>
  <si>
    <t>['tukar', 'point', 'tolong', 'perbaiki', 'kasian', 'konsumen', 'berharap', 'tukar', 'point']</t>
  </si>
  <si>
    <t>['kasih', 'bintang', 'telkom', 'aplikasinya', 'buruk', 'beli', 'pulsa', 'kepotong', 'padahl', 'hutang', 'mohon', 'diperbaiki', 'buka', 'aplikasi', 'update']</t>
  </si>
  <si>
    <t>['sinyal', 'kek', 'babi', 'buka', 'aplikasi', 'telkomsel', 'doang', 'kecepatannya', 'buka', 'aplikasi', 'ngentit']</t>
  </si>
  <si>
    <t>['kecewa', 'telkomsel', 'gangguan', 'berbulan', 'isi', 'pulsa', 'susah']</t>
  </si>
  <si>
    <t>['update', 'versi', 'bagus', 'dibuka', 'aplikasinya', '']</t>
  </si>
  <si>
    <t>['isi', 'pulsa', 'ludes', 'kebeli', 'paket', 'memesan', 'paket', 'berulang', 'kali', 'email', 'telkomsel', 'tanggapan', '']</t>
  </si>
  <si>
    <t>['kecewa', 'beli', 'paket', 'beli', 'telkomsel', 'mudah', '']</t>
  </si>
  <si>
    <t>['tampilan', 'aplikasi', 'beranda', 'aplikasi', 'detail', 'tolong', 'tampilkan', 'promo', 'promo', 'harga', 'kuota', 'data', 'murah', 'selebihnya', 'memuaskan']</t>
  </si>
  <si>
    <t>['tolong', 'diperbaiki', 'jaringan', 'telkomsel', 'muter', 'muter', 'kaya', 'orang', 'stresss', '']</t>
  </si>
  <si>
    <t>['terimakasih', 'mytelkomsel', 'fix', 'aplikasi', 'mempermudah', 'banget', 'beli', 'pulsa', 'paket', 'internet', 'memiliki', 'banget', 'tawaran', 'tawaran', 'menarik', 'rekomendasi', 'banget', 'download', 'bakalas', 'nyesel', '']</t>
  </si>
  <si>
    <t>['sinyal', 'telkomsel', 'parah', 'banget', 'nggak', 'kepikir', 'perbaikin', '']</t>
  </si>
  <si>
    <t>['kartu', 'bagus', 'kartu', 'cuman', 'telkomsel', 'mahal', 'lelet', 'jaringan', 'sllu', 'mulu', '']</t>
  </si>
  <si>
    <t>['tolong', 'berlangganan', 'pakai', 'telkomsel', 'dimurahin', 'kaya', 'temen', 'bernama', 'wahyu', 'pecir', 'mahal', 'mahal', 'bener', 'tolong', 'tolong']</t>
  </si>
  <si>
    <t>['parah', 'jaringan', 'dalem', 'rumah', 'hilang', 'rumah', 'ciman', 'bayar', 'mahal', 'kualitas', 'anjlok', 'bermutu']</t>
  </si>
  <si>
    <t>['membantu', 'membeli', 'paket', 'danelihat', 'promo', 'telkomsel', 'terbaru']</t>
  </si>
  <si>
    <t>['paket', 'mahal', 'provider', 'rb', 'gb', '']</t>
  </si>
  <si>
    <t>['maff', 'kasih', 'bintang', 'telkomsel', 'masah', 'beli', 'paket', 'tgl', 'agustus', 'tgl', 'september', 'sisa', 'kuota', 'mb', 'telkomsel', 'parah', 'kecewa', 'lebi', 'tree', 'murah', 'meria']</t>
  </si>
  <si>
    <t>['kecewa', 'top', 'pulsa', 'gagal', 'banget', 'kayak', 'gini', 'provider', 'elit', 'sistemnya', 'buruk', 'kasih', 'minus', 'bintang', 'klik', 'bintang', 'mah', '']</t>
  </si>
  <si>
    <t>['mohon', 'maaf', 'kecewa', 'banget', 'nyaman', 'banget', 'ceritanya', 'beli', 'pulsa', 'ngisi', 'pulsa', 'ganti', 'jaringan', 'data', 'sim', 'ntah', 'peringatan', 'kekuras', 'apanya', 'gada', 'info', 'truss', 'berkurangnya', 'gede', 'banget', 'rp', 'knp', 'kalinya', 'kuota', 'telkom', 'mahal', 'nguras', 'kantong', 'pelajar', 'ntahlah']</t>
  </si>
  <si>
    <t>['mempermudah', 'transaksi', 'tingkatkan', 'kualitas', 'jaringan', '']</t>
  </si>
  <si>
    <t>['asli', 'kecewa', 'telkomsel', 'skrng', 'jaringan', 'bagus', 'skrng', 'stabil', 'buka', 'game', 'mulu', 'kuota', 'telkomsel', 'menawarnkan', 'paket', 'kuota', 'sosmed', 'aplikasi', 'sepeti', 'facebook', 'instagram', 'dll', 'kuota', 'utama', 'kuota', 'utama', 'terpakai', 'maksud', 'membeli', 'paket', 'pemakaian', 'boros', 'kuota', 'utama', 'pakai', 'mohon', 'optimalkan', 'trmksh']</t>
  </si>
  <si>
    <t>['jeleknya', 'pang', 'telkomsel', 'habis', 'diupdate', 'promo', 'nggak', 'dibeli', 'jelek', 'paket', 'ceria', 'disediain', 'nggak', 'dibeli']</t>
  </si>
  <si>
    <t>['jaringan', 'main', 'game', 'patah', 'nonton', 'youtube', 'loading', 'kesini', 'buruk', '']</t>
  </si>
  <si>
    <t>['kali', 'isi', 'pulsa', 'beli', 'pulsa', 'pulsa', 'masuk', 'sesuai', 'isi', 'rbu', 'masuknya', 'ribu', 'akibatnya', 'isi', 'paket', 'saldonya', 'kompline', 'twitter', 'balasannya', 'menggantung', 'lawat', 'ngk', 'balas', 'kecewa', '']</t>
  </si>
  <si>
    <t>['layanan', 'telkomsel', 'lemot', 'suka', 'merespon', 'keluhan', 'pelangannya', 'telkomsel', 'paket', 'datanya', 'mahal', 'mahalin', 'paket', 'kecepatan', 'internetnya', 'bagus', 'paket', 'mahal', 'internet', 'lemotin', 'ngotak', '']</t>
  </si>
  <si>
    <t>['sinyal', 'kedepan', 'parah', 'buruknya', 'kalah', 'didaerah', 'dikota', 'lemot']</t>
  </si>
  <si>
    <t>['kasi', 'bintang', 'dikartu', 'paket', 'murah', 'paket', 'sultan']</t>
  </si>
  <si>
    <t>['aneh', 'udh', 'beli', 'pulsa', 'bayar', 'paket', 'darurat', 'anjg', 'gmna', 'bayarnya', '']</t>
  </si>
  <si>
    <t>['maaf', 'kasih', 'bintamg', 'jaringan', 'parah', 'mohon', 'perbaiki', 'kecewa', 'harap', 'stabil', 'jaringan', 'pindah', 'hati']</t>
  </si>
  <si>
    <t>['membantu', 'sssssssssssssseeeeeeeeekkkkkkkkkkkkkkkkaaaaaaaaaaaaallllllllllllllliiiiiiiiik']</t>
  </si>
  <si>
    <t>['sinyal', 'low', 'nonton', 'youtube', 'ngga', 'bsa', 'loading', 'lokasi', 'cikarang', 'bayar', 'mahal', 'kualitas', 'murahan']</t>
  </si>
  <si>
    <t>['telkomsel', 'lllllllllllllllll', 'mahal', 'doang', 'jaringan', 'kaya', 'lancar', 'anti', 'leg', 'skrng', 'jaringan', 'low', 'next', 'gakan', 'beli', 'paket', 'kuota', 'telkomsel', 'parahh', 'benerrrrrr', 'kuota', 'update', 'mahal', 'sinyal', '']</t>
  </si>
  <si>
    <t>['parah', 'jaringanya', 'telkomsel', 'deket', 'tower', 'telkomsel', 'ganguan', 'putus', 'putus', 'jaringanya', 'mahal', 'paket', 'datanya', 'harganya', 'jaringanya', 'normal', 'mohon', 'diperbaiki', 'pelangan', 'kecewa', 'terima', 'kasih']</t>
  </si>
  <si>
    <t>['sukses', 'telkomsel', 'terimah', 'kasih', 'paket', 'murah', 'kartu', '']</t>
  </si>
  <si>
    <t>['tlong', 'donk', 'telkomsel', 'perbaikin', 'jaringannya', 'lemot', 'internetnya', 'ditengah', 'kota', 'msh', 'suka', 'lemot', 'pas', 'blik', 'kampung', 'trs', 'biayanya', 'kyk', 'nlp', 'sms', 'dimurahin', 'dikit', 'donk', 'kyk', 'operator', 'sebelah', 'skrg', 'masyarakat', 'udh', 'pinter', 'milih', 'smpai', 'org', 'pindah', 'kelain', 'hati', '']</t>
  </si>
  <si>
    <t>['makasih', 'kemarin', 'bantu', 'tahunan', 'pakai', 'combo', 'sakti', 'nyaman', 'nyaman', 'signal', 'ilang', 'parah', 'lag', 'aplikasi', 'login', 'melulu', 'paket', 'multimedia', 'pas', 'kuliah', 'zoom', 'multimedianya', 'berkurang', 'mlh', 'internet', 'ngurang', 'harga', 'paket', 'udah', 'kali', 'rb', 'oke', 'duaribu', 'ribu', 'ribu', 'combo', 'sakti', 'gb', 'hilang', 'minimal', 'pilih', 'omg', 'gb', 'selisih', 'brp', 'puluh', 'ribu', 'stress', '']</t>
  </si>
  <si>
    <t>['kali', 'puas', 'kali', 'kecewa', 'pulsa', 'udah', 'isi', 'kepotong', 'apaapun', 'paketin', 'ntah', 'apk', 'promo', 'diaktifin', 'promo', 'diaktifin']</t>
  </si>
  <si>
    <t>['pelanggan', 'yth', 'paket', 'extra', 'pulsa', 'rp', 'tanggal', 'jam', 'wib', 'daftar', 'tulisan', 'sms', '']</t>
  </si>
  <si>
    <t>['ulasan', 'isinya', 'komplain', 'melulu', 'prihatin', 'semoga', 'perhatian', 'meningkatkan', 'kualitas']</t>
  </si>
  <si>
    <t>['keuangan', 'susah', 'kebijakan', 'pemerintah', 'paket', 'internet', 'mahal', '']</t>
  </si>
  <si>
    <t>['sinyal', 'jelek', 'durasi', 'paket', 'mepet', 'untungnya', 'kemana', 'terpercaya', '']</t>
  </si>
  <si>
    <t>['kecewa', 'telkomsel', 'sinyal', 'susah', 'rumah', 'lancar', 'beli', 'paket', 'mahal', 'jaringan', 'lemot', 'banget', 'nyesel', 'banget', 'beli', 'paket', 'datanya', 'harga', 'paket', 'data', 'ditingkatin', 'sinyal', 'ditingkatin', 'telkomsel', 'mengecewakan']</t>
  </si>
  <si>
    <t>['aplikasinya', 'mantap', 'mudah', 'mohon', 'menu', 'input', 'kode', 'voucher', 'internet', 'dial', 'memakai', 'kode', 'voucher', 'internet', '']</t>
  </si>
  <si>
    <t>['mohon', 'maaf', 'kak', 'kecewa', 'sistem', 'kartu', 'halo', 'kali', 'halo', 'paket', 'pemakaian', 'paket', 'multimediany', 'ubah', 'paket', 'utam', 'harga', 'pas', 'pakek', 'tujuh', 'bertambah', 'berkurang', 'kembalilan', 'sistem', 'prabayar', 'tolong', 'respon']</t>
  </si>
  <si>
    <t>['mending', 'pakai', 'telkomsel', 'simpati', 'kecewa', 'kuota', 'gb', 'gara', 'batas', 'aktif', 'paket', 'internet', 'tinggal', 'jaringan', 'udah', 'kayak', 'egde', 'mending', 'pakai', 'operator', 'komplain', 'balas', 'robot', 'telkomsel', 'malam', 'dakam', 'ruangan', 'sinyal', 'down', 'komplain', 'balas', 'robot', 'kau', 'harga', 'paket', 'internet', 'simpati', 'mahal', 'jaringan', 'payah', 'sumpah', 'detik', 'pakai', 'simpati', 'aktif', 'msih', 'payah', 'smakin', 'bobrok']</t>
  </si>
  <si>
    <t>['nge', 'rate', 'kasi', 'rate', 'buruk', 'aplikasi', 'aplikasi', 'jaringan', 'produk', 'dll', 'silahkan', 'lapor', 'operator', 'sekian', '']</t>
  </si>
  <si>
    <t>['pulsa', 'kepotong', 'diisi', 'dipake', 'sampah']</t>
  </si>
  <si>
    <t>['mohon', 'maaf', 'kasih', 'bintang', 'bsa', 'kasih', 'bintang', 'udah', 'jaringan', 'jelek', 'telkomsel', 'sms', 'risih', '']</t>
  </si>
  <si>
    <t>['telkomsel', 'bagus', 'harga', 'terbilang', 'mahal', 'kecepatan', 'sinyal', 'lancar', 'download', 'matlab', 'terima', 'kasih', 'telkomsel', 'tugas', 'terkumpul']</t>
  </si>
  <si>
    <t>['kuota', 'game', 'max', 'berfungsi', 'beli', 'kuota', 'game', 'max', 'berfungsi', 'coba', 'game', 'berfungsi']</t>
  </si>
  <si>
    <t>['cari', 'cari', 'mantap', 'ribet', 'buka', 'aplikasi', 'sisa', 'kuota', 'sisa', 'pulsa', 'mantaaaaap', 'makasi', 'pengembang', 'apk', 'moga', 'kedepannya', 'maju', '']</t>
  </si>
  <si>
    <t>['orang', 'memilih', 'berlangganan', 'wifi', 'merogoh', 'kocek', 'rb', 'puas', 'unlimited', 'jaringan', 'stabil', 'beli', 'kuota', 'unlimited', 'jaringan', 'stabil', 'turun', 'kadang', 'kadang', 'stabil', 'coba', 'solusinya', 'jaringan', 'memuaskan', 'kalikan', 'uang', '']</t>
  </si>
  <si>
    <t>['mohon', 'maaf', 'kartu', 'kartu', 'hallo', 'aneh', 'telpon', 'call', 'center', 'bank', 'isi', 'pulsa', 'kartu', 'kartu', 'hallo', 'sulit', 'beda', 'banding', 'berubah', 'kartu', 'hallo']</t>
  </si>
  <si>
    <t>['harap', 'telkomsel', 'fitur', 'mengunci', 'pulsa', 'terpakai', 'sengaja', 'kuota', 'internet', 'habis', 'habis', 'pulsa', 'rp', 'akses', 'internet', 'diblokir', 'pulsa', 'akses', 'internet', 'mohon', 'pertimbangkan', 'kepraktisan', 'penggunaan', '']</t>
  </si>
  <si>
    <t>['mohon', 'maaf', 'menambah', 'kuota', 'internet', 'harga', 'ditawarkan', 'meningkat', 'beli', 'paket', 'seharga', 'cek', 'beli', 'harganya', 'telkomsel', 'membeli', 'paket', 'oke', 'fine', 'telkomsel', 'kecewa', 'sistim', 'terima', 'kasih', 'esok', 'membeli', 'paket', 'mahal', 'kecewa']</t>
  </si>
  <si>
    <t>['ganti', 'logo', 'uang', 'mending', 'ningkatin', 'kualitas', 'sinyal', 'ama', 'providernya', 'ngga', 'korelasinya', 'sinyal', 'busuk', 'blokkkkk', '']</t>
  </si>
  <si>
    <t>['bintang', 'min', 'udah', 'undian', 'menang', '']</t>
  </si>
  <si>
    <t>['paket', 'gamesmax', 'nge', 'game', 'game', 'mainkan', 'game', 'dimainkan', 'paket', 'gamesmax', 'main', 'game', 'down', 'emang', 'kualitas', 'turun', 'harap', 'cepat', 'diperbaiki']</t>
  </si>
  <si>
    <t>['kokk', 'akuu', 'pakek', 'kuota', 'multimedia', 'ketengan', 'malahh', 'ambil', 'kuota', 'utama', 'minn', 'maksudnya', 'beli', 'kuota', 'multimedia', 'ketengan', 'pas', 'dibeli', 'pas', 'pakai', 'kuota', 'utama', 'keambil', '']</t>
  </si>
  <si>
    <t>['busyet', 'jaringan', 'internet', 'parah', 'ajah', 'pusat', 'kota', 'loch', 'jaringan', 'hilang', 'udah', 'paketan', 'mahal', 'jaringannya', 'tolong', 'perbaiki', 'internetnya', 'maaf', 'msh', 'bintang', '']</t>
  </si>
  <si>
    <t>['jaringan', 'jelek', 'beli', 'paket', 'mahal', 'ngerasain', 'jaringan', 'buruk']</t>
  </si>
  <si>
    <t>['bermanfaat', 'semoga', 'telkomsel', 'maju', 'operator', 'memuaskan', 'rakyat', 'indonesia', 'semoga', 'paket', 'internet', 'terjangkau', 'masyarakat']</t>
  </si>
  <si>
    <t>['coba', 'kenikmatan', 'layanan', 'nyaman', 'mita', 'uninstall']</t>
  </si>
  <si>
    <t>['mahal', 'kouta', 'diskon', 'enak', 'beli']</t>
  </si>
  <si>
    <t>['pke', 'magic', 'link', 'bos', 'ribet', 'kartu', 'taruh', 'mifi', 'dilepas', '']</t>
  </si>
  <si>
    <t>['kasih', 'bintang', 'emang', 'menang', 'bintang', 'terimakasih']</t>
  </si>
  <si>
    <t>['kasih', 'paketnya', 'beli', 'promonya', 'berlaku', 'pulsanya', 'terpotong', 'tdak']</t>
  </si>
  <si>
    <t>['', 'jaringan', 'lumyan', 'bagus', 'perbaiki', 'kasih', '']</t>
  </si>
  <si>
    <t>['jaringan', 'telkomsel', 'skrg', 'kayak', 'lemot', 'woi', 'telkomsel', 'tpi', 'udh', 'lho', 'terhitung', 'dri', 'kemaren', 'smpe', 'skrg', 'jringannya', 'perubahan', 'wlu', 'berkali', 'komplin', 'tggl', 'dikota', 'bkn', 'plsok', 'klu', 'plsok', 'mengerti', 'klu', 'mnjg', 'stabilitas', 'jaringan', 'mending', 'bangkrut', 'klu', 'klian', 'percaya', 'klian', 'cek', 'area', 'kasih', 'kodenya', '']</t>
  </si>
  <si>
    <t>['maaf', 'jaringan', 'skrang', 'parah', 'buka', 'muter', 'mulu', 'mendingan', 'ganti', 'yng', 'jaringan', 'sebelah', 'jaringan', 'bagus', '']</t>
  </si>
  <si>
    <t>['kecewa', 'berat', 'telkomsel', 'menyediakan', 'kuota', 'ketengan', 'kemarin', 'beli', 'paket', 'kuota', 'ketengan', 'youtube', 'gb', 'alhasil', 'alias', 'paket', 'hoax', 'tolong', 'telkomsel', 'paket', 'kuota', 'ketengan', 'dipakai', 'dihapus', 'dipajang', 'hadeuw', 'kacaw', 'telkomsel', 'kaya', 'nipu', '']</t>
  </si>
  <si>
    <t>['poin', 'tuke', 'kouta', 'pas', 'tuker', 'saran', 'adakan', 'poin', 'pakek']</t>
  </si>
  <si>
    <t>['jaringan', 'lemot', 'perkali', 'kalianya', 'datanya', 'paket', 'kuota', 'harga', 'rb', 'suruh', 'habisin', 'paket', 'internet', 'paket', 'multimedia', 'klau', 'pkt', 'internet', 'habis', 'apk', 'doang', 'putar', 'musik', 'pkt', 'multimedia', 'meliputi', 'games', 'chat', 'musik', 'sosmed', 'apk', 'doang', 'saran', 'klau', 'paket', 'tersedia', 'paket', 'internet', 'habisin', 'boss']</t>
  </si>
  <si>
    <t>['kecewa', 'beli', 'paket', 'internet', 'combo', 'sakti', 'aplikasi', 'mytelkomsell', 'kemarin', 'malam', 'masuk', 'lapor', 'suruh', 'nunggu', 'isi', 'bukti', 'screenshot', 'bukti', 'pembayaran', 'shoope', 'pay']</t>
  </si>
  <si>
    <t>['pelanggan', 'telkomsel', 'simpati', 'enak', 'banget', 'pakai', 'telkomsel', 'jaringannya', 'keceng', 'banget', 'sayang', 'kesini', 'jaringannya', 'gajelas', 'pakai', 'kartu', 'simpati', 'kecewa', 'kalah', 'jaringan', 'sebelah', '']</t>
  </si>
  <si>
    <t>['beli', 'paket', 'beli', 'paket', 'habis', 'paket', 'masaberlaku', 'mantap', '']</t>
  </si>
  <si>
    <t>['aneh', 'telkom', 'lintah', 'telkom', 'biayai', 'pajak', 'harga', 'paketnya', 'mahal', 'provider', 'harga', 'paket', 'datanya', 'murah', 'memakai', 'sim', 'card', 'simpati', 'tri', 'paket', 'data', 'tri', 'memuaskan', 'beli', 'paket', 'internet', 'tri', 'dibagi', 'harganya', 'cuman', 'rb', 'puas', 'berselancar', 'internet', 'puas', 'nonton', 'film', 'korea', 'paket', 'simpati', 'gb', 'nonton', 'disney', 'internet', 'mah', 'sakti', 'licik', 'simpati', 'prettt']</t>
  </si>
  <si>
    <t>['nggak', 'cek', 'quota', 'internet', 'dial', 'menunya', '']</t>
  </si>
  <si>
    <t>['pakai', 'app', 'sebulanan', 'mengalami', 'kendala', 'dikasih', 'bintang', 'berusaha', 'komplain', 'balasan', 'perbaikan', 'rekomendasikan', 'teman', 'pakai', 'app', 'masuk', 'mengecewakan', 'pelanggan', '']</t>
  </si>
  <si>
    <t>['kek', 'menit', 'loading', 'login', 'masuk', 'homepage', '']</t>
  </si>
  <si>
    <t>['perbaiki', 'jaringan', 'terkadang', 'daerah', 'msh', 'ngebleng', '']</t>
  </si>
  <si>
    <t>['tolong', 'perbaiki', 'udh', 'isi', 'pulsa', 'beli', 'kuota', 'kuota', 'masuk', 'pulsa', 'ilang', 'tolong', 'perbaiki', 'msh', 'gini', 'mending', 'pensi', 'telkomsel']</t>
  </si>
  <si>
    <t>['kaya', 'bug', 'pas', 'buka', 'aplikasi', 'langsung', 'mengganggu', 'aplikasi', 'contohnya', 'gojek', 'driver', 'gps', 'langsung', 'eror', 'stiap', 'buka', 'aplikasi']</t>
  </si>
  <si>
    <t>['mengecewakan', 'jaringan', 'internet', 'area', 'dharmasraya', 'buruk', 'dlm', 'minggu', 'tolong', 'perhatikan', 'beli', 'paket', 'internet', 'super', 'mahal', 'jaringan', 'internet', 'kayak', 'keong']</t>
  </si>
  <si>
    <t>['jarigan', 'leg', 'paket', 'mahal', 'masah', 'pandemi', 'kasih', 'mahal', 'pendapatan', 'makan', 'susah', 'belajar', 'tekomsel', 'kayak', 'beban', 'negara']</t>
  </si>
  <si>
    <t>['memuaskan', 'sayang', 'habis', 'poin', 'hadian', 'apapun', '']</t>
  </si>
  <si>
    <t>['butuh', 'aplikasi', 'beli', 'pulsa', 'data', 'app', 'telkomsel', 'ribet', 'gampang', 'login', 'teus', 'jaringan', 'sekelas', 'telkomsel', 'jaringan', 'kalah', 'kuat', 'jaringan', 'kelas', 'murah', 'bandung', 'brebes', 'jelek', 'banget', 'jaringan']</t>
  </si>
  <si>
    <t>['kecewa', 'susah', 'login', 'gampang', 'ribet', '']</t>
  </si>
  <si>
    <t>['beli', 'kuota', 'belajar', 'zoom', 'ambil', 'kuota', 'utama', 'sistem', 'rusak', 'ambil', 'untung']</t>
  </si>
  <si>
    <t>['sinyal', 'susah', 'mahal', 'gpp', 'lancar', 'sinyal', 'desa', 'rumah', 'dlu', 'sinyal', 'gerak', 'dikit', 'ilang', 'tolong', 'lkh', 'tangapi', 'lkh', 'keluhan', 'konsumen']</t>
  </si>
  <si>
    <t>['bintang', 'telkomsel', 'high', 'class', 'pertahankan', 'skrg', 'bintang', 'aplikasi', 'lemot', 'suka', 'nutup', 'jaringan', 'lemot', 'payah', 'telkomsel', 'pejabat', 'bermain', 'uang', 'selidiki', '']</t>
  </si>
  <si>
    <t>['kacau', 'mah', 'tukar', 'poin', 'saldo', 'linkaja', 'masuk', 'asli', 'pembohongan', 'publik', 'sinyal', 'jelek', 'mahal', 'bohongi', 'mending', 'telkomsel', 'bro', 'sayangi', 'uangmu', 'mahal', 'kualitas']</t>
  </si>
  <si>
    <t>['telkomsel', 'mahal', 'paket', 'telpon', 'operator', 'pelit', 'semoga', 'rejeki', 'sempit', 'amin']</t>
  </si>
  <si>
    <t>['bonus', 'unlimited', 'apknya', 'udah', 'bagus', 'bnaget', 'kasih', 'bintang', '']</t>
  </si>
  <si>
    <t>['paketannya', 'udah', 'mahal', 'maen', 'game', 'ngelag', 'ampun', 'busuk', 'jaringan', 'manjat', 'menara', 'bagus', 'sial', 'nyesel', 'telkomsel', '']</t>
  </si>
  <si>
    <t>['sengaja', 'beli', 'kartu', 'telkomsel', 'daftar', 'paket', 'mahal', 'daftar', 'paket', 'mahal', 'jaringannya', 'bagus', 'bermain', 'game', 'mobile', 'legends', 'menghubungkan', 'nyesek', 'kalah', 'mulu', 'gara', 'gara', 'jaringan', 'kartu', 'axis', 'indosat', 'udah', 'murah', 'lancar', 'kek', 'kaya', 'telkomsel', 'udah', 'mahal', 'jaringannya', 'ngprank']</t>
  </si>
  <si>
    <t>['paketan', 'mahal', 'mahal', 'disaat', 'jual', 'murah', 'sinyal', 'udah', 'endak', 'bagus']</t>
  </si>
  <si>
    <t>['kasi', 'bintang', 'ditingkatkan', 'aplikasinya', 'tingkatkan', 'aplikasi', 'kunci', 'pulsa', 'data', 'seluler', 'aktif', 'menyedot', 'pulsa', 'data', 'internet', 'kehabisan', 'contoh', 'aplikasi', 'axis', 'mengunci', 'pulsa', 'data', 'habis', '']</t>
  </si>
  <si>
    <t>['isi', 'pulsa', 'ngurang', 'giliran', 'beli', 'paket', 'ngerugiin', 'bayar', '']</t>
  </si>
  <si>
    <t>['terimakasih', 'telkomsel', 'halo', 'terbantu', 'lanjar', 'dimana', 'negeri', 'telkomsel', 'menjangkau', 'pelosok', 'negeri', 'terima', 'telkomsel', 'membangun', 'negeri']</t>
  </si>
  <si>
    <t>['tolong', 'adakan', 'promo', 'promo', 'cantumkan', 'hsrha', 'yabg', 'murah', '']</t>
  </si>
  <si>
    <t>['bagus', 'aplikasinya', 'membantu', 'pembelian', 'reward', 'program', 'dayli', 'chek', '']</t>
  </si>
  <si>
    <t>['', 'update', 'buruk', 'nyambung', 'aplikasi', 'linkaja', 'pembayaran']</t>
  </si>
  <si>
    <t>['signal', 'daerah', 'lombok', 'timur', 'lancar', 'hambatan', 'jaringan', 'komplain', 'grapari']</t>
  </si>
  <si>
    <t>['telkomsel', 'mengamalkan', 'sistem', 'lintah', 'paket', 'habis', 'berhenti', 'langsung', 'dihisapnya', 'pulsa', 'tersimpan', 'dijamin', 'lenyap', 'operator', 'udah', 'memakai', 'sistem', 'otomatis', 'paket', 'habis', 'berhenti', 'pulsa', 'tersimpan', 'paket', 'harap', 'kedepannya', 'telkomsel', 'berubah', 'meninggalkan', 'orde', 'merugikan', 'pengguna', '']</t>
  </si>
  <si>
    <t>['parah', 'dibuka', 'blank', 'beralih', 'lbh', 'cepat', 'murah', '']</t>
  </si>
  <si>
    <t>['beli', 'paket', 'telkomsel', 'jaringan', '']</t>
  </si>
  <si>
    <t>['mohon', 'maaf', 'terpaksa', 'uninstal', 'aplikasi', 'jujur', 'kecewa', 'fitur', 'check', 'daily', 'menjanjikan', 'voucher', 'kuota', 'ujung', 'isi', 'pulsa', 'dihisap', 'kuota', 'dijanjikan', 'ngak', 'terpakai', 'kali', 'mengalami', 'kecewa', '']</t>
  </si>
  <si>
    <t>['udah', 'pakai', 'simpati', 'lancar', 'internetnya', 'lokasi', 'sby', 'pusat']</t>
  </si>
  <si>
    <t>['pengguna', 'tsel', 'kartu', 'hallo', 'jaringannya', 'diprioritaskan', 'jaringan', 'tsel', 'jelek', 'daerah', 'bandung', 'kab', 'bandung']</t>
  </si>
  <si>
    <t>['suka', 'banget', 'menu', 'lengkap', 'tampilan', 'seserhana', 'program', 'promosi', 'diskon', 'langsung', 'menu', 'aplikasinya', 'makasih', 'telkomsel', '']</t>
  </si>
  <si>
    <t>['buruk', 'apl', 'mytelomselnya', 'simcard', 'dlm', 'pakai', 'simpati', 'jaringan', 'kali', 'trouble', 'hilang', 'kadang', 'signal', 'hilang', 'buruuuk', 'buruk', 'buruk', 'buruk', 'paket', 'internet', 'mahal', 'pesainya', 'memiliki', 'kualitas', 'signal', 'jaringan', 'buruk', '']</t>
  </si>
  <si>
    <t>['maaf', 'maaf', 'mahal', 'mentang', 'mentang', 'cepet', '']</t>
  </si>
  <si>
    <t>['aplikasi', 'membantu', 'transaksi', 'pulsa', 'kuota', 'promo', 'promo']</t>
  </si>
  <si>
    <t>['ngakak', 'beli', 'kuota', 'gb', 'harganya', 'gb', 'rb', 'itung', 'kwkwkw', 'coba', 'pakai', 'gitu', 'kwkwkw', 'udah', 'gitu', 'lita', 'youtube', 'kuota', 'omg', 'kesedot', 'kuota', 'utama', 'kwoakakaoa', 'notif', 'kuota', 'abis', 'telat', 'pulsa', 'utama', 'kesedot']</t>
  </si>
  <si>
    <t>['', 'tower', 'sukaraja', 'logas', 'tanah', 'darat', 'kuantan', 'singingi', 'ngaco', 'kadang', 'kualitas', 'sgnalnya', 'edge', 'tersedia', 'layanan', 'orbit', 'tower', 'sukaraja', '']</t>
  </si>
  <si>
    <t>['ganti', 'gagal', 'masuk', 'kah', 'membeli', 'mahal', 'bsa', 'login', 'make', 'samsung', 'plus', 'iya', 'gagal', 'login', 'pakai', 'wai', 'tipe', 'nova', 'bsa', 'bsa', 'aneh', 'app', 'kesini', 'parah']</t>
  </si>
  <si>
    <t>['stabilitas', 'jaringan', 'jelek', 'mendung', 'hujan', 'harga', 'paket', 'internet', 'sesuai', 'kualitas', 'layanan', 'internet']</t>
  </si>
  <si>
    <t>['harganya', 'mahal', 'gillllaaaaaa', 'ngapain', 'instal', 'mending', 'vocer', 'smartpren', 'muraahhh', '']</t>
  </si>
  <si>
    <t>['aplikasi', 'mytelkomsel', 'mkin', 'bagus', 'sayang', 'layanan', 'telkomsel', 'bagus', 'telkomsel', 'pakai', 'pilihan', 'telkomsel', 'disakiti', 'telkomsel', 'suka', 'ngrocos', 'tersinggung', 'bicara', 'oknum', '']</t>
  </si>
  <si>
    <t>['dirugikan', 'dirugikan', 'udh', 'beli', 'kuota', 'games', 'sampe', 'ratusan', 'ribu', 'kuota', 'data', 'udh', 'habis', 'tinggal', 'unlimited', 'game', 'sosmed', 'hebatnya', 'unlimited', 'game', 'login', 'game', 'mobile', 'legends', 'main', 'clasic', 'rank', 'kuota', 'sosmed', 'mantap', 'telkomsel', 'berhenti', 'memakai', 'provider', 'kesini', 'nyaman', 'terbayang', 'valid', 'kuotanya', 'udh', 'hrg', 'mahal', 'kuotanya', 'ska', 'eror']</t>
  </si>
  <si>
    <t>['jelek', 'sinyal', 'telkomsel', 'trus', 'paket', 'hr', 'hilang', 'udah', 'pelanggan', 'telkomsel', 'lumayan']</t>
  </si>
  <si>
    <t>['sore', 'sya', 'isi', 'pulsa', 'kli', 'masuk', 'saldo', 'tepotong', 'penjelasan', 'mohon', 'bantuan']</t>
  </si>
  <si>
    <t>['poin', 'tukar', 'paket', 'sistem', 'sibuk', 'klau', 'nggk', 'tukar', 'perintah', 'tukar', 'coba', 'tolong', 'perbaiki', '']</t>
  </si>
  <si>
    <t>['contohnya', 'hadiah', 'cek', 'harian', 'tambahin', 'hadiah', 'free', 'telepon', 'sms', 'makasihhh', '']</t>
  </si>
  <si>
    <t>['isi', 'pulsa', 'tanggal', 'september', 'langsung', 'terpotong', 'habis', 'berlangganan', 'desney', 'hotstar', 'konfirmasi', 'berlangganan', 'apapun', 'tolong', 'telkomsel', 'memperjelas', '']</t>
  </si>
  <si>
    <t>['paket', 'internet', 'mahal', 'jaringan', 'berasa', 'jaringan', 'pdhl', 'jaringan', 'full', 'stabilkan', 'jaringan', 'keluarkan', 'jaringan', '']</t>
  </si>
  <si>
    <t>['semoga', 'tuhan', 'melindungimu', 'kejahatan', 'khusnulkhotimah', '']</t>
  </si>
  <si>
    <t>['hallo', 'aplikasi', 'telkomsel', 'tida', 'paket', 'unlimitedmax', 'berlangganan', 'hilang', 'paket', 'unlimitedmaxnya', '']</t>
  </si>
  <si>
    <t>['telkomsel', 'mati', 'lampu', 'ikutan', 'mati', 'lampau', 'pimpinannya', 'cari', 'solusi', 'kemunduran', 'kecewa', 'banget']</t>
  </si>
  <si>
    <t>['niat', 'banget', 'rb', 'keatas', '']</t>
  </si>
  <si>
    <t>['lambat', 'jaringannya', 'berpikir', 'manusia', 'tinggal', 'plosok', 'butuh', 'jaringan', 'kuat', 'pandemi', 'gini', 'telkomsel', 'perna', 'gerak', 'memperluas', 'memperbanyak', 'jaringan', 'pengguna', 'udh', 'jaringan', 'telkom', 'bagus', 'masi', 'didiemin', 'emang', 'cari', 'cuan', 'doang', 'operator', '']</t>
  </si>
  <si>
    <t>['disayangkan', 'harga', 'sinyalnya', 'stabil', 'kadang', 'tolong', 'devolover', 'telkomsel', 'diperbaiki', 'jaringan', 'sinyal', '']</t>
  </si>
  <si>
    <t>['telkomsel', 'kagak', 'ngelag', 'jaringannya', 'nyesal', 'beli', 'telkomsel', 'gaya', 'paket', 'murah', 'dipakai', 'ngelag', 'total', 'sesuai', 'harapan', 'mari', 'tinggalkan', 'telkomsel', '']</t>
  </si>
  <si>
    <t>['ampass', 'paket', 'hoax', 'min', 'paket', 'game', 'max', 'mlbb', 'doang', 'paket', 'internetan', 'free', 'fire', 'pubg', 'bisaa', 'ampass', 'hoax', 'minn', 'paket', 'hoax', '']</t>
  </si>
  <si>
    <t>['mohon', 'tingkatkan', 'pelayanan', 'sinyal', 'telomsel', 'mementingan', 'indihome', 'siyal', 'pentingkan', 'paket', 'telomsel', 'murah']</t>
  </si>
  <si>
    <t>['promo', 'menarik', 'pembelian', 'paket', 'cuman', 'gimana', 'menukar', 'hadiah', 'point']</t>
  </si>
  <si>
    <t>['beli', 'paketan', 'gangguan', 'sistem', 'mytelkom', 'update', '']</t>
  </si>
  <si>
    <t>['telkomsel', 'parah', 'isi', 'pulsa', 'berkurang', 'data', 'seluler', 'off', 'kayak', 'gini', 'merugikan', 'pengguna', 'telkomsel', '']</t>
  </si>
  <si>
    <t>['knp', 'login', 'sms', 'mytelkomsel', 'maaf', '']</t>
  </si>
  <si>
    <t>['jdi', 'kesel', 'ama', 'telkomsel', 'ajukan', 'keluhan', 'tindak', 'lajuti', 'panggilan', 'sisa', 'bintang']</t>
  </si>
  <si>
    <t>['bisanya', 'beli', 'paket', 'combo', 'omg', 'gb', 'perangkat', 'berbeda', 'kuota', 'nasional', 'full', 'satunya', 'kuota', 'lokal', 'udah', 'kota', 'rugi', 'ribu', 'sungguh', 'mengecewakan', '']</t>
  </si>
  <si>
    <t>['msalah', 'dijaringan', 'jaringan', 'dihp', 'layanan', 'internet', 'terganggu', '']</t>
  </si>
  <si>
    <t>['alangkah', 'baiknya', 'telkomsel', 'menerapkan', 'tarif', 'internet', 'paket', 'paket', 'internet', 'memotong', 'pulsa', 'total', 'pulsa', 'terpotong', 'perbulan', 'kuota', 'kuota', 'paket', 'habis', 'langsung', 'memotong', 'pulsa', 'pulsa', 'terpotong', 'informasikan', '']</t>
  </si>
  <si>
    <t>['knp', 'deh', 'masak', 'iya', 'jaringan', 'susah', 'kek', 'tinggal', 'hutan', 'tolong', 'perbaiki', 'beli', 'pulsa', 'paket', 'mahal', 'berharap', 'dpt', 'jaringan', 'bagus', 'gini', '']</t>
  </si>
  <si>
    <t>['kesini', 'ngeri', 'ngeri', 'paketannya', 'mahal', 'dapatin', 'duit', 'susah', 'paketan', 'app', 'berubah', 'ubah', 'murah', 'mahal', 'selangit']</t>
  </si>
  <si>
    <t>['trima', 'kasih', 'telkomsel', 'puas', 'aplikasi', 'karna', 'membantu', 'mudah', 'beli', 'data', 'pulsa', '']</t>
  </si>
  <si>
    <t>['jaringan', 'hilang', 'didalam', 'rumah', 'keseringan', 'update', 'aplikasi', 'tampilan', 'bagusan', '']</t>
  </si>
  <si>
    <t>['seandainya', 'nol', 'negatif', 'kasi', 'bonus', 'sms', 'sms', 'makan', 'pulsa', '']</t>
  </si>
  <si>
    <t>['jaringannya', 'malas', 'kalah', 'operator', 'segi', 'harga', 'paket', 'jaringan']</t>
  </si>
  <si>
    <t>['kartu', 'sim', 'telkomsel', 'tolong', 'jaringan', 'sinyal', 'tolong', 'jaringan', 'lemot', 'tolong', 'cek', 'kuota', 'cari', 'beli', 'paket', 'hilang', 'internet', 'bulanan', 'omg', 'telkomsel', 'login', 'oops', 'terima', 'kasih', 'telkomsel']</t>
  </si>
  <si>
    <t>['paket', 'darurat', 'muncul', 'trus', 'ngisi', 'pulsa', 'kepotong', 'rupiah', 'tolong', 'hentikan', 'paket', 'darurat', 'karna', 'pakai', 'paket', 'darurat', 'kali', 'paket', 'memotong', 'pulsa', 'berlangganan', 'paket']</t>
  </si>
  <si>
    <t>['kecewa', 'sinyal', 'beli', 'mahal', 'kuota', 'sinyal', 'dpt', 'daerah', 'kota', 'tangerang', 'sinyal', 'dapet', 'beralih', 'provider', 'bgini', 'penggun', 'kesini', 'sinyal']</t>
  </si>
  <si>
    <t>['', 'allah', 'berilah', 'balasan', 'manusia', 'korupsi', 'manusia', 'mementingkan', 'duniawi', 'aamiin']</t>
  </si>
  <si>
    <t>['jelek', 'signal', 'telkomsel', 'kecewa', 'pakai', 'telkomsel', 'pakai', 'telkomsel', 'mohon', 'diperbaiki', 'kualitas', 'signalnya', '']</t>
  </si>
  <si>
    <t>['pelayanan', 'veronika', 'jelek', 'nggak', 'nyambung', 'taik', 'nggak', 'kostumer', 'servis', '']</t>
  </si>
  <si>
    <t>['aduhh', 'kecewa', 'telkomsel', 'uda', 'sinyal', 'lelet', 'kebangetan', 'tolong', 'tingkatkan', 'udah', 'mahal', 'beli', 'paket', 'kuota', 'cepet', 'diperbaikin', '']</t>
  </si>
  <si>
    <t>['recommended', 'login', 'perbarui', 'aplikasi', '']</t>
  </si>
  <si>
    <t>['semoga', 'nomorku', 'pemenangnya', 'amin', 'mengikuti', 'undian', 'mudahan', 'hoax', 'jaya', 'telkomsel', 'sukses', '']</t>
  </si>
  <si>
    <t>['aplikasinya', 'lumayan', 'keren', 'karna', 'tuk', 'pembelian', 'paket', 'internet', 'sayangnya', 'paketnya', 'komplit', 'semoga', 'kedepannya', 'komplit', 'sukses']</t>
  </si>
  <si>
    <t>['unduh', 'aplikasi', 'login', 'coba', 'login', 'coba', 'beberpa', 'kalipun', 'tetep', 'ngeblank', 'mksdnya', 'kesel', 'nyaman', 'tolong', 'kasih', 'alasnya', 'terimakasih', '']</t>
  </si>
  <si>
    <t>['telkomsel', 'lemot', 'jaringannya', 'tolong', 'perbaiki']</t>
  </si>
  <si>
    <t>['tolong', 'perkuat', 'perbagus', 'kekuatan', 'jaringan', 'sinyalnya', 'daerah', 'sukabumi', 'jaringan', 'sinyalnya', 'jelek', 'lemah', 'tolong', 'perbaiki', 'terimakasih', '']</t>
  </si>
  <si>
    <t>['isi', 'pulsa', 'daftarin', 'paket', 'gagal', 'pulsa', 'sisa', 'pulsa', 'harga', 'paketnya', 'pas', 'internetan', 'nyedot', 'pulsa', 'sampek', 'sisa', 'berkahnya', 'ngeprank', 'kayak', 'gini', '']</t>
  </si>
  <si>
    <t>['kuota', 'internertnya', 'mahall', 'cepat', 'habisnya', 'sprti', 'operator', 'mahal', 'contoh', 'kuota', 'video', 'huk', 'bnyak', 'kbanyakan', 'pelanggan', 'nonton', 'video', 'film', 'sprtinya', 'koment', 'apapun', 'pelanggan', 'tiada', 'telkomsel', 'untungg', 'mkin', 'bnyk', 'pelangan', 'pindah', 'operator']</t>
  </si>
  <si>
    <t>['habis', 'beli', 'paket', 'sinyal', 'drop', 'aneh', 'giliran', 'udah', 'habis', 'fullspeed', 'gila', 'kali', 'kali', '']</t>
  </si>
  <si>
    <t>['kasih', 'bintang', 'aplikasi', 'bagus', 'entar', 'kasih', 'bintang', 'deh', '']</t>
  </si>
  <si>
    <t>['aplikasi', 'mudah', 'semoga', 'promo', 'harga', 'pulsa', 'paketan', 'internetnya']</t>
  </si>
  <si>
    <t>['kecewa', 'banget', 'beli', 'paket', 'platinum', 'nonton', 'liga', 'sehari', 'suruh', 'beli', 'paket', 'platinum']</t>
  </si>
  <si>
    <t>['mohon', 'maaf', 'cuman', 'meng', 'infokan', 'jaringan', 'telkomsel', 'daerah', 'jakarta', 'timur', 'drop', 'banged', 'daerah', 'cakung', 'mohon', 'bantu', '']</t>
  </si>
  <si>
    <t>['jaringan', 'membaik', 'stabil', 'ruangan', 'jaringan', 'kadang', 'susah']</t>
  </si>
  <si>
    <t>['bug', 'pulsa', 'kepotong', 'pdahal', 'gn', 'paket', 'internet', 'jaringan', 'memburuk', '']</t>
  </si>
  <si>
    <t>['telkomsel', 'nomor', 'indonesia', 'sinyalnya', 'nomor', 'turun', 'menjalankan', 'harga', 'paket', 'datanya', 'mahal', 'dijalankan', 'datanya', 'cepat', 'habisnya', 'buka', 'ringan', 'buka', 'berat', 'untungnya', 'sinyalnya', 'diperbaiki']</t>
  </si>
  <si>
    <t>['beli', 'voucer', 'paket', 'omg', 'sia', 'nggak', 'dimasukkan', 'sistem', 'sibuk', 'dicoba', 'solusi', '']</t>
  </si>
  <si>
    <t>['bermanfaat', 'bngt', 'pengguna', 'telkomsel', 'saran', 'aplikasi', 'udah', 'bagus', 'update', 'udah', 'bagus', 'sukses', 'telkomsel', 'jaga', 'kepercayaan', 'pelanggan', 'mksih']</t>
  </si>
  <si>
    <t>['assalamualaikum', 'mytelkomsel', 'puluhan', 'langganan', 'telkomsel', 'jaringan', 'bagus', 'sampe', 'pelosok', 'promo', 'pengguna', 'blm', 'hadiah', 'tukar', 'poin', 'suka', 'kecewa', 'dech', '']</t>
  </si>
  <si>
    <t>['kemarin', 'beli', 'paket', 'pendidikan', 'nggak', 'kepake', 'paket', 'utama', 'beli', 'paket', 'pendidikan', 'ngehemat', 'paket', 'utama', 'nggak', 'trs', 'buku', 'aplikasi', 'belajar', 'paket', 'pendidikan', 'habis', 'pulsanya', 'tekuras', 'gimana', 'sumpah', '']</t>
  </si>
  <si>
    <t>['sabtu', 'buka', 'aplikasi', 'mytelkomsel', 'tersedia', 'pilihan', 'update', 'tekan', 'update', 'masuk', 'playstore', 'pilih', 'update', 'proses', 'update', 'selesai', 'buka', 'aplikasi', 'tampilan', 'muka', 'muncul', 'opsi', 'update', 'pilihan', 'tekan', 'perbarui', 'masuk', 'playstore', 'pilihan', 'playstore', 'uninstall', 'buka', 'pilih', 'buka', 'suruh', 'perbarui', 'kayaknya', 'stress', 'trus', 'situ', 'strees', 'mesti', 'gimana', '']</t>
  </si>
  <si>
    <t>['aneh', 'beli', 'paket', 'pilihannya', 'cuman', 'gb', 'ribu', 'beli', 'paket', 'ribu', 'aneh', 'beralih', 'kartu', '']</t>
  </si>
  <si>
    <t>['', 'bnyak', 'paket', 'unlimited', 'all', 'apps', 'kayak', 'suprise', 'deal', 'unlimited']</t>
  </si>
  <si>
    <t>['telkomsel', 'mahal', 'boros', 'pulsanya', 'kecewa', 'udah', 'gitu', 'kemarin', 'masuk', 'tenggang', 'udah', 'isi', 'pulsa', 'sms', 'nelpon', 'beli', 'kuota', 'telkomsel', 'pelajar', 'mahal', 'kecewa', 'nomer', 'udah', 'pakai', 'keseringan', 'beli', 'paket', 'combo', 'harga', 'paketnya', 'kesel', '']</t>
  </si>
  <si>
    <t>['informasi', 'kartu', 'sim', 'pembelian', 'kuota', 'mudah', 'aplikasi', 'terimakasih', 'telkomsel', 'semoga', 'promo', 'promo', 'menarik', '']</t>
  </si>
  <si>
    <t>['', 'pakai', 'telkomsel', 'sinyalnya', 'lelet', 'biaya', 'mahal', 'operator', 'berhubung', 'operator', 'mohon', 'telkomsel', 'meningkatkan', 'sinyalnya', 'paketnya', 'murah', 'pelanggan', 'lari', 'operator']</t>
  </si>
  <si>
    <t>['kecewa', 'sinyalnya', 'bagus', 'buka', 'beli', 'paket', 'keseringan', 'beli', 'paket', 'hilang', 'suruh', 'beli', 'paket']</t>
  </si>
  <si>
    <t>['yth', 'admin', 'beli', 'kuota', 'apk', 'telkomsel', 'lemot', 'tarif', 'harga', 'mikir', 'bolak', 'hrs', 'ngasih', 'bintang', 'terimakasih', 'unlimited', 'pembatasan', 'minim', 'bngt', 'jaringan', 'lemot', 'hadeuh', 'udah', 'harga', 'mahal', 'nyesek', '']</t>
  </si>
  <si>
    <t>['udah', 'update', 'ntah', 'gmn', 'apl', 'masak', 'udah', 'isi', 'pulsa', 'pulsa', 'sampe', 'isi', 'nlvn', 'paket', 'nlvn']</t>
  </si>
  <si>
    <t>['sinyalnya', 'kadang', 'kadang', 'suka', 'ganti', 'tolong', 'diperbaiki', 'karna', 'super', 'duper', 'mengganggu', 'bermain', 'game', 'palagi', 'pas', 'push', 'rank', 'mobile', 'legend', '']</t>
  </si>
  <si>
    <t>['membantu', 'memudahkan', 'informasi', 'informasi', 'aplikasi']</t>
  </si>
  <si>
    <t>['paket', 'kouta', 'mahal', 'jaringan', 'ngk', 'bagus', 'silahkan', 'diperbaiki', 'khusus', 'daerah', 'pasaman', 'timur', '']</t>
  </si>
  <si>
    <t>['udah', 'bertahun', 'jaringan', 'lemot', 'ajh', 'udh', 'thn', 'pke', 'telkomsel', 'buruk', 'ajh', 'coba', 'perbaiki', 'jangkauan', 'sinyal', 'internet', 'lampung', 'bakauheni', '']</t>
  </si>
  <si>
    <t>['minggu', 'update', 'aplikasi', 'buka', 'sehari', 'besoknya', 'langsung', 'error', 'paket', 'nonton', 'youtube', 'lancar', 'buffering', 'giliran', 'buka', 'telkomsel', 'ampas']</t>
  </si>
  <si>
    <t>['makasi', 'telkomsel', 'manapun', 'jaringannya', 'lancar', 'jaya', 'sukses']</t>
  </si>
  <si>
    <t>['aplikasi', 'lelet', 'hang', 'paket', 'berubah', 'seenak', 'udel', 'parah', 'jebakan', 'betmen', 'hadeeuuhhh', 'beli', 'paket', 'internet', 'gb', 'ribu', 'dipakai', 'multimedia', 'harga', 'segitu', 'multimedia', 'paket', 'unlimited', 'sisa', 'gb', 'multimedia', 'dipakai', 'paket', 'gb', 'ribu', 'aktifkan', 'gampang', 'banget', 'berubah', 'paket', 'ditawarkan', 'kena', 'jebakan', 'betmen', '']</t>
  </si>
  <si>
    <t>['membuka', 'aplikasi', 'telkomsel', 'login', 'kuota', 'tambahan', 'apak', 'dibilang', 'judul', 'kuota', 'tambahan', 'ihhhhhhhhh', 'sebel', '']</t>
  </si>
  <si>
    <t>['mohon', 'bintang', 'kuota', 'mahal', 'mahal', 'orang', 'sederhana', 'mohon', 'turunin', 'kuota', 'murah', 'mohon', '']</t>
  </si>
  <si>
    <t>['jaringan', 'buruk', 'kecewa', 'stabil', 'tolong', 'perbaiki', '']</t>
  </si>
  <si>
    <t>['respon', 'sinyal', 'super', 'super', 'jelek', 'mendung', 'hujan', 'wifinya', 'indihome', 'super', 'super', 'jelek', 'tenpat', 'rawa', 'denok', 'cabut', 'matikan', 'decorder', 'sinyal', 'super', 'super', 'parah', 'telkomsel']</t>
  </si>
  <si>
    <t>['membeli', 'paket', 'mingguan', 'belanja', 'internet', 'tolong', 'min']</t>
  </si>
  <si>
    <t>['ceo', 'telkomsel', 'terhormat', 'kuota', 'internet', 'habis', 'potong', 'saldo', 'pulsa', 'kuota', 'internet', 'saldo', 'pulsa', 'terpotong', 'ribu', 'ribu', 'telkomsel', 'kekurangan', 'uang', 'tolong', 'potong', 'saldo', 'pulsa', 'kecewa', 'kartu', 'perdana', 'kuota', 'internetnya', 'habis', 'habis', 'saldo', 'pulsanya', 'terpotong', 'mohon', 'mengikuti', 'jejak', 'kartu', 'perdana', 'mohon', 'dibalas', 'pesan', '']</t>
  </si>
  <si>
    <t>['', 'bln', 'telkomsel', 'butuh', 'kuota', 'drpd', 'provider', 'pke', 'sinyal', 'kuat', 'menjangkau', 'pelosok', 'lola', 'loading', 'pdhl', 'rumah', 'saia', 'pelosok', 'desa', 'suara', 'putus', 'gambar', 'gajelas', 'dipake', 'hotspot', 'jalan', 'blass', 'deh', 'pke', 'telkomsel', 'rugi', 'beli', 'harga', 'mahal', 'pulak', '']</t>
  </si>
  <si>
    <t>['telkomsel', 'udah', 'beres', 'massa', 'jaringan', 'lelet', 'apk', 'game', 'lelet', 'tolong', 'kasih', 'penjelasan']</t>
  </si>
  <si>
    <t>['jaringan', 'jelek', 'udah', 'beli', 'paket', 'mahal', 'mahal', 'jaringan', 'ampas', 'jam', 'jaringan', 'dipakek', 'kirim', 'pesan', 'pending', 'mohon', 'jaringan', 'dibagusin', 'kasih', 'bintang', 'udah', 'lelet', 'jaringannya', '']</t>
  </si>
  <si>
    <t>['oke', 'telkomsel', 'semoga', 'jaya', 'trimakasih', 'telkomsel', '']</t>
  </si>
  <si>
    <t>['suka', 'telkomsel', 'jaringan', 'bagus', 'kartu', 'beli', 'paket', 'games', 'teman', '']</t>
  </si>
  <si>
    <t>['telkomsel', 'beda', 'the', 'best', 'semoga', 'maju', 'telkomsel', 'mantapp']</t>
  </si>
  <si>
    <t>['membantu', 'promo', 'menarik', 'telkomsel', 'the', 'best', 'signal', 'matinya']</t>
  </si>
  <si>
    <t>['tolong', 'kartu', 'telkomsel', 'paket', 'kuota', 'samain', 'kartu', 'telkomsel', 'plis']</t>
  </si>
  <si>
    <t>['maantap', 'jaringan', 'sinyalnya', 'buruk', 'muncul', 'hilang', 'muncul', 'hilang', 'gitu', '']</t>
  </si>
  <si>
    <t>['', 'isi', 'pulsa', 'pas', 'isi', 'pulsa', 'dialfa', 'distruknya', 'sukses', 'masuk', 'pulsanya', 'penipu', 'telkomsel', 'payah']</t>
  </si>
  <si>
    <t>['coba', 'tambahin', 'menukar', 'poin', 'diamond', 'game', 'contoh', 'game', 'min', 'pengguna', 'telkomsel']</t>
  </si>
  <si>
    <t>['', 'cibubur', 'kota', 'sinyal', 'stabil', 'main', 'game', 'kadang', 'stag', 'menyedihkan', 'kualitas', 'internet', 'telkomsel']</t>
  </si>
  <si>
    <t>['pulsa', 'beli', 'paket', 'unlimitedmax', 'gb', 'knp', 'dpt', 'sms', 'pulsa', 'mencukupi', 'maksudnya', 'gimana', 'paket', 'masuk', 'pulsa', 'terpotong', 'tinggal', 'tolong', 'kejelasannya', 'min', '']</t>
  </si>
  <si>
    <t>['sinyal', 'jelek', 'bos', 'daerah', 'pengalengan', 'kertasari', 'talun', 'santosa', 'mohon', 'perbaiki', 'terimakasih']</t>
  </si>
  <si>
    <t>['kartu', 'tnpa', 'pemeberitahuan', 'udh', 'gtu', 'sekrng', 'erroorr', 'kartu', 'pascabayar', 'tgl', 'udh', 'blokir', 'mksdnya', 'bgaimna', 'terima', 'kasih']</t>
  </si>
  <si>
    <t>['app', 'belagu', 'login', 'magic', 'link', 'suport', 'wifi', 'slalu', 'gagal', 'kode', 'otp', 'woy', '']</t>
  </si>
  <si>
    <t>['mohon', 'maaf', 'komplain', 'beli', 'paket', 'nyisa', 'nggak', 'gimana', 'tolong', 'telkomsel', 'kaya', 'gini', 'kaya', 'nggak', 'propesional', 'gitu', 'kebanyakan', 'ngeleg', 'kaya', 'gini', 'tolong', 'kebijakan', '']</t>
  </si>
  <si>
    <t>['gangguan', 'kmarin', 'beli', 'paket', 'sakti', 'rb', 'jaringan', 'cek', 'memiliki', 'paket', 'data', 'gangguan', 'info', 'donk', 'pengguna', 'telkomsel']</t>
  </si>
  <si>
    <t>['pulsa', 'suka', 'ilang', 'serakah', 'gitu', 'gitu', 'ngapa']</t>
  </si>
  <si>
    <t>['maaf', 'kasih', 'bintang', 'beli', 'pulsa', 'blm', 'kepake', 'udah', 'kesedot']</t>
  </si>
  <si>
    <t>['jaringan', 'lumayan', 'kuat', 'enternetan', 'paket', 'mahal', 'maaf', 'terpaksa', 'enternet', 'memakai', 'ktu', 'hemat', 'sdikit', 'mytelkomsel', 'harga', 'penjualan', 'paket', 'tetaga', 'sebelah', 'tlkomsel', 'pilih', 'lihat', 'daerah', 'enternatan', 'mmakai', 'tlkomsel', 'bayak', 'memakai', 'tlkomsel', 'nlp', 'sms', 'maap', 'masukan', 'mytelkomsel']</t>
  </si>
  <si>
    <t>['aplikasi', 'mengecewakan', 'paketin', 'operator', 'seakan', 'acuh', 'respon', 'nunggu', 'aktifin', 'paket', 'pulsa', 'terpotong', 'harinya', 'tolong', 'perbaiki', 'pelayananya', 'terima', 'kasih']</t>
  </si>
  <si>
    <t>['pilihan', 'paket', 'langganan', 'gb', 'seharga', 'pilihan', 'pilihannya', 'minimal', 'harga', 'direkomendasikan', 'pelajar', '']</t>
  </si>
  <si>
    <t>['mudah', 'mengaksesnya', 'difahami', 'saran', 'semoga', 'telkomsel', 'berdiri', 'digarda', 'terdepan', 'layanan', 'telekomunikasi', 'indonesia', 'diakses', 'diseluruh', 'wilayah', 'nkri', 'terkecuali', 'telkomsel', 'dicakup', 'dipedalaman', 'indonesia', 'memudahkan', 'berbagi', 'informasi', 'indonesia', 'dunia', 'pandemi', 'wabah', 'covid', 'berharap', 'semoga', 'telkomsel', 'memajukan', 'dunia', 'informasi', 'digital', 'digalakkan', 'pemerintah', 'indonesia']</t>
  </si>
  <si>
    <t>['assalamualaikumsaya', 'kasih', 'bintang', 'coba', 'kuota', 'murah', 'beli', 'murahin', 'beli', 'download', 'segitu', 'wassalamu', 'alaikum']</t>
  </si>
  <si>
    <t>['sinyal', 'telkomsel', 'bagus', 'harap', 'bagus', 'daerah', 'desa', 'tanjung', 'anom', 'kacematan', 'pancur', 'batu']</t>
  </si>
  <si>
    <t>['sya', 'layanan', 'telkomsel', 'ganti', 'kartu', 'telkomsel', 'membantu', 'layanan', '']</t>
  </si>
  <si>
    <t>['aing', 'beli', 'kuota', 'gb', 'seharga', 'rb', 'pulsa', 'maen', 'game', 'sinyal', 'lemot', 'banget', 'anyiiiiiing', 'sinyal', 'ala', 'kura', 'kura', 'lemot', 'parah', 'lag', 'setan', 'telkom', 'mohon', 'maaf', 'kaka', 'bagusin', 'sinyal', 'jan', 'maaf', 'mulu', '']</t>
  </si>
  <si>
    <t>['parah', 'sumpah', 'hubungi', 'tagihan', 'mbengkak', 'rincian', 'sukses', 'smga', 'make']</t>
  </si>
  <si>
    <t>['kecewa', 'telkom', 'sel', 'masuk', 'udah', 'instal', 'ber', 'ulang', 'mohon', 'penjelasannya']</t>
  </si>
  <si>
    <t>['telkomsel', 'kartu', 'jelek', 'pakai', 'jaringan', 'uhuy', 'bentar', 'ilang', 'turun', 'kek', 'ingus', 'kecewa']</t>
  </si>
  <si>
    <t>['jaringannnnn', 'lemoottt', 'uda', 'loading', 'cpt', 'habis', 'batrai', 'mahal', 'bermutu', 'tolong', 'diperbaiki', 'komplain', 'respon', 'perubahan', 'uang', 'mengalami', 'perubahan', '']</t>
  </si>
  <si>
    <t>['halo', 'min', 'tolong', 'dibuatkan', 'paket', 'khusus', 'streaming', 'anim', 'lovers', 'aplikasi', 'streaming', 'anime', 'semoga', 'balas']</t>
  </si>
  <si>
    <t>['kasih', 'bintang', 'dlu', 'mahal', 'banget', 'daftar', 'harga', 'paket', 'koutanya', 'terkena', 'dampak', 'corona', 'kasih', 'murah', 'dikitlah', '']</t>
  </si>
  <si>
    <t>['beli', 'paket', 'data', 'gb', 'besok', 'beli', 'jam', 'malam', 'jam', 'malm', 'habis', 'bangke', 'namanya', 'jam', 'bsok', 'hedew', 'amsyong', 'duit', 'ikhlas', 'sumpah']</t>
  </si>
  <si>
    <t>['jaringan', 'ditempatku', 'full', 'kluar', 'tanda', 'gag', 'dipakai', 'semu', 'telkomsel', 'poinnya', 'gag', 'kejelasan', 'tolong', 'diperbaiki', 'terima', 'kasih']</t>
  </si>
  <si>
    <t>['woy', 'jaringan', 'bermasalah', 'trus', 'semalam', 'pengguna', 'telkomsel', 'udah', 'ganti', 'nomer', 'coba', 'cek', 'area', 'sindanggalih', 'karangtengah', 'garut', 'bwt', 'kerja', 'ganti', 'provider', '']</t>
  </si>
  <si>
    <t>['mahal', 'telkomsel', 'orang', 'kaya', 'kartu', 'udah', 'gitu', 'jaringan', 'lelet', 'luas', 'indonesia']</t>
  </si>
  <si>
    <t>['mahal', 'dibanding', 'operator', 'kuota', 'internet', 'lokal', 'internet', 'nasionalnya', 'jaringan', 'lemot', 'emang', 'kecamatan', 'tetep', 'lemot', 'udeh', 'mahal', 'lemot', '']</t>
  </si>
  <si>
    <t>['bnyak', 'link', 'menu', 'berat', 'aplikasi', 'kaya', 'pgn', 'liat', 'sisa', 'kuota', 'cepat', '']</t>
  </si>
  <si>
    <t>['kasih', 'poin', 'telkomsel', 'fungsi', 'point', 'tuker', 'pulsa', 'jugak', '']</t>
  </si>
  <si>
    <t>['', 'komplin', 'aplikasi', 'ofline', 'online', 'pas', 'kuota', 'beli', 'telkomsel', '']</t>
  </si>
  <si>
    <t>['beli', 'paket', 'youtube', 'buang', 'buang', 'pulsa', 'mending', 'axis', 'lancar', 'paketnya', '']</t>
  </si>
  <si>
    <t>['telkomsel', 'hancur', 'kualitasnya', 'bos', 'aplikasinya', 'sinyal', 'telkomsel', 'skrg', 'uda', 'and', 'buruk', 'jga', 'kepercayaan', 'konsumen', 'bos', 'egomu', 'digedein']</t>
  </si>
  <si>
    <t>['semenjak', 'update', 'login', 'masuk', 'aplikasi', 'tolong', 'perbaiki', 'bintangnya']</t>
  </si>
  <si>
    <t>['hello', 'telkomsel', 'beli', 'paket', 'internet', 'cepat', 'masuk', 'prosesnya', 'jaringan', 'combo', 'surabaya', 'lemot', 'tlng', 'diperbaiki', 'terima', 'kasih']</t>
  </si>
  <si>
    <t>['telkomsel', 'terbaik', 'terbaik']</t>
  </si>
  <si>
    <t>['ayo', 'maju', 'rakyat', 'indonesia', 'telkomsel', 'berjaya', 'kebanggaan', 'masyarakat', 'indonesia', '']</t>
  </si>
  <si>
    <t>['pulsa', 'kepotong', 'parah', 'lgi', 'beli', 'pulsa', 'abis', 'sekejap', 'down', 'banget', 'gua', 'sumpah', 'ngapain']</t>
  </si>
  <si>
    <t>['kecewa', 'kouta', 'games', 'kouta', 'reguler', 'telkomsel', 'adain', 'kouta', 'games', 'kaga', 'kouta', 'games', 'aaada', 'kota', 'reguler', 'lol']</t>
  </si>
  <si>
    <t>['didaerah', 'sektor', 'bintaro', 'perumahan', 'discovery', 'eola', 'sinyal', 'telkomsel', 'sulit', 'diluar', 'rumah', 'mhn', 'diperhatikan', 'trimakadih']</t>
  </si>
  <si>
    <t>['maaf', 'kasi', 'bintang', 'pulsa', 'disedot', 'hbis', 'rincian', 'pemakaian', 'data', 'be', 'rapa', 'menggunakn', 'paket', 'data', 'aktif', 'trjadi', 'pengisian', 'pulsa', 'bukn', 'atw', 'mohon', 'telkom', 'kecurangan', 'mmbuat', 'nyaman', 'telkomsel', '']</t>
  </si>
  <si>
    <t>['jaringan', 'telkomsel', 'kartu', 'lelet', 'paket', 'murah', 'ribu', 'leletnya', 'rumah', 'samping', 'tower', 'telkom', '']</t>
  </si>
  <si>
    <t>['jaringan', 'knpa', 'jelek', 'banget', 'trus', 'suka', 'gangguan', 'suka', 'ilang', 'sinyal', 'males', 'make', 'bawaan', 'kepengen', 'ganti', 'kartu', 'kayak', 'gini', '']</t>
  </si>
  <si>
    <t>['telkomsel', 'sekrang', 'jaringanyakurang', 'bagus', 'jringanya', 'penuh', 'telponan', 'internetan', 'klok', 'boro', 'jringanya', 'penuh', 'sma', 'seklai', 'masuk', 'aplikasi', 'diulang', 'ulang', 'smapai', 'masuk', 'klok', 'gitu', 'masuk', 'tolongla', 'telkomse', 'diperbaiki', 'jaringanya', 'gini', 'mulu', 'harga', 'kartunya', 'mahal', 'jaringanya', 'gimana', '']</t>
  </si>
  <si>
    <t>['program', 'undian', 'telkomsel', 'ksih', 'jawa', 'sskali', 'kasi', 'saman', 'orang', 'timur', 'kbanayakn', 'orang', 'timur', 'telkomsel', '']</t>
  </si>
  <si>
    <t>['nyesel', 'migrasi', 'kartu', 'halo', 'make', 'telkomsel', 'krna', 'udah', 'kontak', 'nyantol', 'bener', 'bener', 'ribet']</t>
  </si>
  <si>
    <t>['mahal', 'mahal', 'paket', 'sebulan', 'kasih', 'diskonnya', '']</t>
  </si>
  <si>
    <t>['telkomsel', 'siaga', 'melayani', 'konsumen', 'lanjutkan', '']</t>
  </si>
  <si>
    <t>['telkomsel', 'mohon', 'fitur', 'kunci', 'pulsa', 'karna', 'isi', 'pulsa', 'habis', 'karna', 'sengaja', 'mengaktifkan', 'data', 'seluler', '']</t>
  </si>
  <si>
    <t>['nyaman', 'mudah', 'bertransaksi', 'didepan', 'tsel', '']</t>
  </si>
  <si>
    <t>['mudah', 'informatif', 'sinyal', 'tingkatkan', 'lupa', 'harga', 'ekonomis', 'zaman', 'pandemi']</t>
  </si>
  <si>
    <t>['telkomsel', 'smakin', 'signal', 'udah', 'lemot', 'kayak', 'keong', 'kena', 'hujan', 'dikit', 'lemot', 'dasar', 'nyesel', 'pkek', 'telkomsel', 'namanya', 'kualitas', '']</t>
  </si>
  <si>
    <t>['sinyal', 'bagus', 'paketannya', 'mahal', 'kalangan', 'kelas', 'menengah', 'kebawah']</t>
  </si>
  <si>
    <t>['gumamnya', 'membeli', 'paket', 'data', 'internet', 'internet', 'pulsa', 'tersedot', 'heyy', 'telkomsel', 'merugikan', 'kali', 'berulang', 'kali', '']</t>
  </si>
  <si>
    <t>['maaf', 'suka', 'lemot', 'pengguna', 'telkomsel', 'tlg', 'tingkatkan', 'depannya', '']</t>
  </si>
  <si>
    <t>['', 'bulanan', 'bersabar', 'kualitas', 'jaringan', 'telkomsel', 'menurun', 'alhamdulillah', 'bermasalah', 'jaringan', 'telkomsel', 'sya', 'pindah', 'provider', 'sebelah', '']</t>
  </si>
  <si>
    <t>['semoga', 'bintang', 'kedepannya', 'penawaran', 'beli', 'paket', 'data', 'harga', 'murah', '']</t>
  </si>
  <si>
    <t>['jaringannya', 'buruk', 'mulu', 'paket', 'mahal', 'qualitas', 'buruk', 'tolong', 'perbaiki', 'bintangnya']</t>
  </si>
  <si>
    <t>['kecewa', 'banget', 'telkomsel', 'pdahal', 'telkomsel', 'sblm', 'update', 'jaringan', 'sinyal', 'bagus', 'semenjak', 'hbs', 'update', 'sinyal', 'karuan', 'kali', 'ilang', 'pdahal', 'towernya', 'telkomsel', 'tlng', 'perbaiki', 'kecewa', 'customer', 'asli', 'kecewa', 'banget', '']</t>
  </si>
  <si>
    <t>['telkomsel', 'jaringan', 'rusakk', 'kali', 'pdhl', 'telkom', 'bagus', 'jaringannya', 'skrngg', 'jaringan', 'stabil', 'kecewa', 'bngt', 'telkom', 'skrngg', 'ngisi', 'pulsa', 'kesedot', 'trus', 'tagihan', 'tolong', 'diperbaiki', 'tuuu', 'jaringann', 'nyaaaa', '']</t>
  </si>
  <si>
    <t>['kualitas', 'kuantitas', 'jaringan', 'jelek', 'cuiiih', 'ganti', 'provider', 'beli', 'kuota', 'mahal', 'kualitas', 'udah', 'yok', 'ganti', 'provider', '']</t>
  </si>
  <si>
    <t>['apl', 'bagus', 'bangett', 'keren', 'pokoknya', 'promo', 'menarik', 'yesel', 'download', '']</t>
  </si>
  <si>
    <t>['internet', 'max', 'paket', 'gue', 'beli', 'beli', 'kartu', 'paket', '']</t>
  </si>
  <si>
    <t>['paket', 'doang', 'mahal', 'sinyal', 'urus', 'emang', 'kartu', 'pengen', 'untung', '']</t>
  </si>
  <si>
    <t>['jaringan', 'bagus', 'bangetttttttttttttttttttttttttttttttttttttttttttttttttttttttttttttttttttttttttttttt']</t>
  </si>
  <si>
    <t>['maaf', 'pelanggan', 'meninggalkan', 'telkomsel', 'jaringan', 'sedia', 'sesuai', 'harga', 'bandrol', 'memilih', 'telkomsel', 'jaringan', 'stabil', 'kemunduran', 'terimakasih', 'pelayanan', 'memilih', 'provider', 'minggu', 'kecewa', 'pelayanan', 'telkomsel', 'keluhan', 'abaikan', 'solusi', 'terimakasih', 'mengalami', 'kerugian', 'akibat']</t>
  </si>
  <si>
    <t>['bgus', 'karna', 'slalu', 'kesulitan', 'membuka', 'aplikasi', 'uninstall', 'download', 'membuka', 'rugi', 'menguras', 'kuota']</t>
  </si>
  <si>
    <t>['jaringan', 'jelek', 'kalah', 'provider', 'murah', 'telkomsel', 'menang', 'mahal', 'doang', 'sinyalnya', 'kecewa']</t>
  </si>
  <si>
    <t>['mohon', 'maap', 'rating', 'jelek', 'beli', 'paket', 'mahal', 'sinyal', 'lemot', 'mah', '']</t>
  </si>
  <si>
    <t>['jaringan', 'papua', 'lelet', 'jaringan', 'suka', 'hilang', 'pelanggan', 'setia', 'telkomsel', 'kecewa', '']</t>
  </si>
  <si>
    <t>['ass', 'daerah', 'tepatnya', 'kec', 'tandun', 'kab', 'rokanhulu', 'jelek', 'jaringan', 'telkomsel', 'kartu', 'panel', 'jaringan', 'lte', 'garis', 'warga', 'setia', 'telkomsel', 'memutuskan', 'beralih', 'idosat', 'haarappan', 'pengguna', 'setia', 'tlkomsel', 'menaikkan', 'eksistensinya', 'meningkatkan', 'kualitas', 'jaringan', 'merasakan', 'glte', 'lemot', 'dinikmati', 'pengguna', 'sekian', 'terimakasih', '']</t>
  </si>
  <si>
    <t>['app', 'mempermudah', 'transaksi', 'pembelian', 'kouta', 'dll', 'recommended', 'suka', 'cari', 'harga', 'paket', 'internet', 'bdll', '']</t>
  </si>
  <si>
    <t>['bagus', 'bagus', 'buka', 'pas', 'kuota', 'pulsa', 'isi', 'kuota', 'mytelkomsel', 'kehabisan', 'kuota']</t>
  </si>
  <si>
    <t>['tolonglah', 'berlakukan', 'pulsa', 'safe', 'penggunaan', 'kuota', 'data', 'internet', 'ulasan', 'upgrade', 'halo', 'terima', 'kasih', 'update', 'pelayanan', 'kartu', 'halo', 'mengecewakan', 'aplikasi', 'jaringan', 'diperbaiki', 'upgrade', 'halo', 'jaringan', 'lancar', 'jaya', 'udah', 'pasca', 'bayar', 'jaringan', 'prioritas', '']</t>
  </si>
  <si>
    <t>['bagus', 'jaringan', 'ter', 'the', 'best', 'udah', 'jaringan', 'lemot', 'konect', 'kadang', 'kadang', 'udah', 'bagus', 'harganya', 'mahal', 'tingkatkan', 'mahal', 'ribu', 'ats', 'kali', 'lipat', 'pakai', 'salam', 'kecewa', 'telkomsel']</t>
  </si>
  <si>
    <t>['paket', 'internet', 'telkomsel', 'mahalll', 'oeeeee', 'promo', 'kuota', 'internet', 'habis', 'nyedot', 'pulsa', 'cok', 'paket', 'malam', 'ehh', 'jam', 'allohh', 'coba', 'jam', '']</t>
  </si>
  <si>
    <t>['jaringan', 'telkomsel', 'udh', 'paket', 'mahal', 'sinyal', 'jelek', 'tolong', 'perbaiki']</t>
  </si>
  <si>
    <t>['mudah', 'gampang', 'login', 'status', 'sisa', 'data', 'promonya', 'asyik', 'mudah', 'kaga', 'pembaruan', 'sprti', 'aplikasi', '']</t>
  </si>
  <si>
    <t>['hbis', 'update', 'beli', 'pls', 'pktan', 'lwat', 'gopay', 'gimana', 'sinyal', 'didaerahku', 'jelek', 'udah', 'mahal', 'sinyal', 'kek', 'eek', '']</t>
  </si>
  <si>
    <t>['mahal', 'mengedepankan', 'paket', 'video', 'operator', 'sebelah', 'berani', 'banting', 'harga', 'ngandelin', 'paket', 'video', 'ogah', 'makenya', '']</t>
  </si>
  <si>
    <t>['jaringan', 'jelek', 'bangettt', 'tolong', 'telkomsel', 'perbaiki', 'kesini', 'jelek', 'jaringan', '']</t>
  </si>
  <si>
    <t>['', 'sinyal', 'telkomsel', 'kesini', 'eror', 'telkomsel', 'bagus', 'sinyalnya']</t>
  </si>
  <si>
    <t>['', 'jelekkkk', 'pooollll', 'paraahhhh', 'jaringan', 'telkomsel', 'paketan', 'internet', 'mahal', 'didukung', 'sinyal', 'memuaskan', '']</t>
  </si>
  <si>
    <t>['telkomsel', 'udah', 'berubah', 'keong', 'msok', 'jaringan', 'lemotnya', 'melibihi', 'keong', 'awok', 'awok', 'isi', 'paket', 'gb', 'sma', 'buka', 'lemot', 'bner', 'lgi', 'maen', 'game', 'tpuan', 'sinyalnya', 'kayak', 'pdhal', 'dlu', 'telkomsel', 'telkenal', 'jaringanya', 'skrng', 'terkenal', 'lemotnya', 'kota', 'lemot', 'desa', 'mkin', 'ksni', 'bagus', 'mlah', 'rubah', 'siput', 'hdehhhhh', 'ampas']</t>
  </si>
  <si>
    <t>['alhamdulillah', 'menyenangkan', 'banget', 'informasi', 'lengkap', 'kuota', 'berita', 'banyaknya', 'hadiah', 'bravo']</t>
  </si>
  <si>
    <t>['jaringan', 'telkomsel', 'parah', 'nge', 'lag', 'perbaikan', 'harga', 'kuota', 'naikin', 'tpi', 'jaringan', 'menurun']</t>
  </si>
  <si>
    <t>['brpa', 'kali', 'kena', 'tipu', 'min', 'tolong', 'beli', 'kuota', 'kuota', 'belajar', 'apapain', 'tolong', 'min']</t>
  </si>
  <si>
    <t>['parah', 'apk', 'respon', 'login', 'susah', 'beli', 'paket', 'jaringan', '']</t>
  </si>
  <si>
    <t>['wow', 'app', 'berubah', 'app', 'perampokan', 'buka', 'app', 'beli', 'paket', 'menit', 'ehh', 'pulsanya', 'habis', 'bukanya', 'manit', 'hilang', 'pulsa', '']</t>
  </si>
  <si>
    <t>['bagus', 'buruk', 'jaringannya', 'dibanding', 'kacau', 'telkomsel', 'tertarik', 'besok', 'deh', 'beli', 'paket', 'ditelkomsel', 'mahal', 'doang', 'jaringannya', 'lemot', '']</t>
  </si>
  <si>
    <t>['bagus', 'bgd', 'telkomsel', 'skrng', 'ampun', 'parah', 'banget', 'sinyalnya', 'tolong', 'perbaiki', 'min', '']</t>
  </si>
  <si>
    <t>['kasi', 'kecewa', 'app', 'update', 'versi', 'terbaru', 'susah', 'terbuka', 'kali', 'buka', 'app', 'kebuka', 'itupun', 'terbuka', 'kasian', 'app', 'bagus', 'versi', 'koq', 'diperparah', 'versi', 'terbaru', 'tolong', 'diperhatikan', 'ditindaklanjuti', 'terimakasih', 'kasi', 'bintang', 'terima', 'kasih', 'masukannya', 'berhasil', '']</t>
  </si>
  <si>
    <t>['bikiapa', 'pulsa', 'takurang', 'tra', 'kse', 'mnyala', 'data', 'seluler', 'tra', 'prnah', 'utang', 'pulsa', 'telkomsel', 'aneh', 'sja', 'bkin', 'smpe', 'tolong', 'jng', 'tra', 'rugi', 'isi', 'pulsa', 'ulang', 'makasih', 'mohon', 'lbih', 'lgi']</t>
  </si>
  <si>
    <t>['belanja', 'pulsa', 'mudah', 'aplikasi', 'mohon', 'kwalitas', 'sinyal', 'jaga', 'makasih', 'telkomsel', '']</t>
  </si>
  <si>
    <t>['mytelkomsel', 'membantu', 'tolonglah', 'bolak', 'balek', 'mintak', 'pembaharuan', 'kecuali', 'habis', 'pembaharuan', 'beli', 'paket', 'internet', 'membantu', '']</t>
  </si>
  <si>
    <t>['semoga', 'telkomsel', 'konsisten', 'melayani', 'harga', 'paket', 'internet', 'trus', 'kontribusi', 'paket', 'tlp', 'murah', 'pandemi', '']</t>
  </si>
  <si>
    <t>['ampas', 'nomor', 'paket', 'mahal', 'beli', 'via', 'aplikasi', 'nggal', 'beli', 'via', '']</t>
  </si>
  <si>
    <t>['paket', 'mahal', 'jaringan', 'lemot', 'malam', 'jaringan', 'lemot', 'kencang', 'pas', 'beli', 'kouta', 'dibagi', 'reguler', 'multimedia', 'chat', 'sosmed', 'game', 'pas', 'main', 'game', 'lemot', 'bener', 'sampah']</t>
  </si>
  <si>
    <t>['bagus', 'tolong', 'menu', 'tukar', 'poin', 'pilihan', 'tukar', 'redeem', 'poin', 'undian', 'poin', 'klik', 'ratusan', 'kali', 'hang', '']</t>
  </si>
  <si>
    <t>['pakai', 'android', 'aplikasi', 'buka', 'hapus', 'restart', 'download', 'ulang', 'buka', 'via', 'browser', 'chrome', '']</t>
  </si>
  <si>
    <t>['mohon', 'paket', 'batas', 'nyusahin', 'pas', 'abis', 'kuota', 'beli', 'udah', 'udah', 'cocok', 'paket']</t>
  </si>
  <si>
    <t>['kualitas', 'jaringan', 'buruk', 'bentar', 'bentar', 'sesuai', 'harga', 'paketan', 'berkurang', 'pengguna', 'telkomsel', 'kualitas', 'jaringan', 'bangun', 'bumn', '']</t>
  </si>
  <si>
    <t>['membantu', 'lbih', 'mudah', 'mmbeli', 'paket']</t>
  </si>
  <si>
    <t>['pakai', 'telkomsel', 'mahal', 'kalangan', 'pakai', 'sekedar', 'usul', 'makasih', '']</t>
  </si>
  <si>
    <t>['tolong', 'setia', 'pengguna', 'telkomsel', 'kualitas', 'jaringan', 'maximal', 'khusus', 'kec', 'simpang', 'kanan', 'kep', 'bagan', 'nibung', 'kab', 'rokan', 'hilir', 'riau', 'mohon', 'bantuannya', 'perbaikan', 'kualitas', 'jaringan', '']</t>
  </si>
  <si>
    <t>['app', 'telkomsel', 'buruk', 'jelek', 'login', 'susah', 'banget', 'perbarui', 'susah', 'login', 'jeleeeeekkkk', 'bangeett', '']</t>
  </si>
  <si>
    <t>['transaksi', 'ceria', 'telkomsel', 'dipilihan', 'pulsa', 'balassssss', '']</t>
  </si>
  <si>
    <t>['mohon', 'jaringan', 'perbaikilah', 'udah', 'paket', 'kuota', 'mahal', 'jaringan', 'parah', 'banget', 'jelek', 'banget', 'kecewa']</t>
  </si>
  <si>
    <t>['pengguna', 'kartu', 'halo', 'sinyal', 'kntr', 'buruk', 'kadang', 'daerah', 'langganan', 'kartu', 'halo', 'berhentikan', 'langganan', 'tlp', 'kartu', 'pakai', 'sytem', 'msh', 'perbaiki', 'tolong', 'donk', 'perbaiki', 'layanan', 'perbanyak', 'iklan', 'terima', 'kasih']</t>
  </si>
  <si>
    <t>['pelanggan', 'jaringan', 'data', 'telkomsel', 'menurun', 'drastis', 'kemajuan', 'mundur', 'profit', 'harga', 'segitu', 'mahal', 'dlm', 'game', 'jaringannya', 'stack', 'telkomsel', 'provider', 'nomer', 'indo', 'kualitas', 'jaringan', 'data', 'membantu', 'memburuk', 'kualitas', 'telkomsel', 'diragukan', 'jaringan', 'data', 'stabil', 'coba', 'paket', '']</t>
  </si>
  <si>
    <t>['mytelkomsel', 'error', 'ngebug', 'trs', 'karna', 'aplikasi', 'optimal', 'spek', 'support', 'nyaman', 'buka', 'aplikasi', 'nge', 'blank', 'gara', 'aplikasi', 'mohon', 'penverahannya', 'admin', '']</t>
  </si>
  <si>
    <t>['telkomsel', 'jaringan', 'signalnya', 'bagus', 'kota', 'jakarta', 'daerah', 'tolong', 'perhatikan', 'mengecewakan', 'konsumen', '']</t>
  </si>
  <si>
    <t>['kasih', 'nilai', 'puas', 'survey', 'bantuan', 'bagus', 'bangett', 'mimin', 'ramahh']</t>
  </si>
  <si>
    <t>['bagus', 'banget', 'jaringannya', 'mendukung', 'harga', 'kuotanya', 'mohon', 'diperbaiki']</t>
  </si>
  <si>
    <t>['pilihan', 'bintang', 'suka', 'kasih', 'bintang', 'aplikasi', 'gara', 'aplikasi', 'beli', 'paket', 'cek', 'kuota', 'modern', 'sulit', 'masuk', 'website', 'resmi', 'diarahkan', 'aplikasi', 'aneh', 'sengaja', 'menyulitkan', 'pelanggan', 'kah', 'keluhan', 'kesekian', 'kalinya', '']</t>
  </si>
  <si>
    <t>['mantaaaappppp', 'terima', 'kasih', 'kemudahan', 'pengguna', 'telkomsel', '']</t>
  </si>
  <si>
    <t>['kecewa', 'pelayanan', 'telkomsel', 'setia', 'pke', 'telkomsel', 'paket', 'mahal', 'tolong', 'layanan', 'sinyal', 'kerap', 'kali', 'sinyal', 'jelek', 'mncerminkan', 'harga', 'mahal', 'kualitas', 'jelek', '']</t>
  </si>
  <si>
    <t>['jaringan', 'telkomsel', 'lelet', 'muter', 'mulu', 'stiap', 'kali', 'buka', 'youtube', 'aplikasi']</t>
  </si>
  <si>
    <t>['niat', 'beli', 'paket', 'internet', 'telkomsel', 'karna', 'promo', 'murah', 'ngidupin', 'data', 'kuota', 'gamesmax', 'pas', 'beli', 'paket', 'combo', 'kesedot', 'pulsa', 'tekor', 'pengen', 'beli', 'paket', 'gamesmax', 'karna', 'suka', 'nge', 'game', 'takut', 'boros', 'kuota', 'utama', 'beli', 'kuota', 'gamesmax', 'seharga', 'pas', 'kuota', 'utama', 'udah', 'habis', 'tinggal', 'kuota', 'gamesmax', 'main', 'game', 'free', 'fire', 'pubg', 'shelfire', 'aov', 'dll', 'login', 'gabisa', 'nyari', 'duit', 'susah', '']</t>
  </si>
  <si>
    <t>['update', 'buka', 'jaringan', 'telkomsel', 'lelet', 'sperti', 'khusus', 'kota', 'jambi', 'jaringan', 'sperti', 'edge', 'jaringan', 'udah', 'keluaran', 'terbaru']</t>
  </si>
  <si>
    <t>['poin', 'tukar', 'pulsa', 'kayak', 'paket', 'mahal', 'poin', 'tukar', 'sehat']</t>
  </si>
  <si>
    <t>['pulsa', 'suka', 'hilang', 'paket', 'data', 'combo', 'pas', 'cek', 'transaksi', 'pulsa', 'terpotong', 'pemakaian', 'data', 'aneh', 'saran', 'nyetok', 'pulsa', 'telkomsel']</t>
  </si>
  <si>
    <t>['', 'isi', 'pulsa', 'counter', 'masuk', 'saldo', 'rb', 'jmlhnya', 'namanya', 'pencurian', 'pulsa', 'diambil', 'izin', 'pdhl', 'beli', 'paket', 'swadaya', 'gojek', 'rb', 'beli', 'paket', 'tsb', 'merugikan', 'pelangganlah', 'berharga', 'org', 'susah']</t>
  </si>
  <si>
    <t>['jaringannya', 'anjim', 'banget', 'telkomsel', 'lemot', 'lelet', 'telmi', 'komplit', 'provider', '']</t>
  </si>
  <si>
    <t>['tolong', 'admin', 'telkomsel', 'hormati', 'gini', 'promo', 'paket', 'ceria', 'think']</t>
  </si>
  <si>
    <t>['jelek', 'masuk', 'email', 'sosmed', 'verifikasi', 'sms', 'masuk', 'masuk', 'kakek', 'kartu', 'paket', 'internet', 'udah', 'gitu', 'jngan', 'macem', 'pengen', 'langganan', 'dikartu', 'murahin', 'harga', 'paketnya', 'mahal', 'beli', 'kartu', '']</t>
  </si>
  <si>
    <t>['aplikasinya', 'good', 'knp', 'nomer', 'koq', 'paketnya', 'mahal', 'langganan', 'simpati', 'simpati', 'sewindu', 'penghargaanya', 'setia', 'provider', '']</t>
  </si>
  <si>
    <t>['aplikasinya', 'update', 'terkesan', 'profesional', 'dlm', 'melayani', 'konsumen', '']</t>
  </si>
  <si>
    <t>['jaringan', 'kartu', 'lop', 'lelet', 'jaringan', 'kartu', 'lancar', 'gimana', 'jaringan', 'kartu', 'lop', 'normal', 'mohon', 'bantuannya', 'telekomsel']</t>
  </si>
  <si>
    <t>['aplikasih', 'berat', 'menu', 'vitur', 'tidk', 'pelanggan', 'batu', 'awam', '']</t>
  </si>
  <si>
    <t>['tolong', 'sediakan', 'fitur', 'lock', 'pulsa', 'perkara', 'paket', 'data', 'sinyal', 'berubah', 'bawahnya', 'pulsa', 'kesedot', 'tnpa', 'pemberitahuan', 'pdhl', 'standby', 'pnh', 'komplain', 'pulsa', 'hbis', 'pemakaian', 'jaringan', 'non', 'usul', 'fitur', 'ngelock', 'pulsa', 'kayak', 'jaringan', 'brubah', 'prlu', 'nyedot', 'pulsa', 'utama', 'akal', 'ngadain', 'paket', 'data', 'khusus', 'doang', '']</t>
  </si>
  <si>
    <t>['lemot', 'loading', 'aplikasinya', 'geram', '']</t>
  </si>
  <si>
    <t>['layanan', 'canggih', 'paket', 'murah', 'murah', 'gratisannya', 'yuk', 'download', 'telkomsel', 'kartu', 'telkomsel']</t>
  </si>
  <si>
    <t>['data', 'entertaintmen', 'pas', 'nonton', 'tetep', 'kepake', 'paket', 'utama', 'ngapain', 'nonton', 'tetep', 'kuota', 'utama', '']</t>
  </si>
  <si>
    <t>['paket', 'kartu', 'halo', 'telkomsel', 'enak', 'semenjak', 'berubah', 'halo', 'pribadi', 'maless', 'telkomsel', 'tagihan', 'terusss', 'perbulan', 'tagihan', 'drastiss', 'bayangkan', 'coba', 'bayar', 'segitu', 'mending', 'wifi', 'sperti', 'paksa', 'bayar', 'memutuskan', 'pindah', 'enak', 'jaringan', 'luas', 'kmana', 'terjagkau', 'salam', 'kecewa', 'telkomsel', 'paket', 'halo', '']</t>
  </si>
  <si>
    <t>['bintang', 'min', 'complainnya', 'myorbitnya', 'direspon', 'langsung', 'rate', 'induknya', 'tolong', 'orbit', 'pelayanan', 'ditingkatkan', 'beli', 'kuota', 'gb', 'masuk', 'dicomplain', 'email', 'respon', 'solusi', 'parahnya', 'pengumuman', 'resmi', 'normal', 'myorbit', 'lancar', 'dikembalikan', 'ratingnya', '']</t>
  </si>
  <si>
    <t>['nlp', 'signal', 'kualitas', 'net', 'stabil', 'ehh', 'min', 'ikutan', 'undian', 'poin', 'menang', 'xxx', 'udah', 'stabil', 'kecepatan', 'net', 'kasih', 'bintang']</t>
  </si>
  <si>
    <t>['', 'umur', 'memakai', 'simpati', 'telkomsel', 'ganti', 'nyaman', 'pergi', 'haji', 'kalimantan', 'umroh', 'singapura', 'malaysia', 'lampung', 'dll', 'kemana', 'nggk', 'kecewa', 'gambar', 'bagus', 'jernih', 'puas', 'tekomsel', '']</t>
  </si>
  <si>
    <t>['dibeli', 'paket', 'ceria', 'masak', 'pulsa', 'dibeli', 'malik', 'udah', 'bintang', 'ceper', 'benerin', 'min']</t>
  </si>
  <si>
    <t>['maling', 'pulsa', 'sisa', 'pulsa', 'gwa', 'mendadak', 'tinggal', 'gila', 'gwa', 'apapun', 'seharian', 'paket', 'data', 'beli', 'pindah', 'operator', 'friends', 'duitmu', 'dicuri', '']</t>
  </si>
  <si>
    <t>['promo', 'merata', 'tetangga', 'dapet', 'promo', 'engga', 'langganan', 'combo', 'sakti', 'gimana', 'telkomsel', '']</t>
  </si>
  <si>
    <t>['poin', 'permudah', 'donk', 'menukar', 'hadiah', 'poin', 'coba', 'isi', 'pulsa', 'poin', 'poinkan', '']</t>
  </si>
  <si>
    <t>['gangguan', 'cek', 'via', 'ditolak', 'info', 'diproses', 'hubungi', 'jam', 'pembelian', 'paket', 'nelpon', 'via', 'telkomsel', 'user', 'friendly', 'muncul', 'paket', 'nelpon', 'negeri', 'pembelian', 'paket', 'nelpon', 'via', 'diaktivasi', 'alasannya', 'membeli', 'produk', 'aktivasi', 'jaringan', 'internet', 'parah', 'lokasi', 'kota', 'pelosok', 'fix', 'telkomsel']</t>
  </si>
  <si>
    <t>['jaringan', 'halo', 'jelek', 'balikin', 'simpati', 'telat', 'bayar', 'blokir', 'kualitas', 'tingkatkan', 'merugikan', '']</t>
  </si>
  <si>
    <t>['beli', 'paket', 'extra', 'unlimited', 'games', 'chats', 'musicmax', 'akses', 'pls', 'utama', 'kuota', 'utama', 'ambil', 'menggukan', 'kartu', 'telkomsel', 'kali', 'hati', 'nyesek']</t>
  </si>
  <si>
    <t>['signal', 'buruk', 'dunia', 'kekuatan', 'signal', 'stabil', 'perusahaan', 'harganya', 'relatif', 'mahal', 'harga', 'kualitas', 'berbeda', 'mengabil', 'untung', 'perbaiki', 'tinggakkan', 'kualitas', 'kerja', 'pribadi', 'kecewa', 'telkomsel']</t>
  </si>
  <si>
    <t>['terbaru', 'eror', 'close', 'sendir', 'paket', 'mahal', 'banget', 'combo', 'sakti', 'unlimited', 'udah', 'batasi', 'terpaksa', 'stop', 'pindah', 'terimaksih', '']</t>
  </si>
  <si>
    <t>['untk', 'kases', 'aplikasi', 'dipotong', 'pulsa', 'cuman', 'menit', 'ludes', 'pulsa', 'tolong', 'permudah', 'pelanggan', 'nyaman', 'setia', 'telkomsel', 'terimakasih']</t>
  </si>
  <si>
    <t>['teruntuk', 'telkomsel', 'terhormat', 'kemarin', 'isi', 'kuota', 'gb', 'via', 'aplikasi', 'isi', 'pulsa', 'pulsa', 'kesedot', 'kuota', 'abis']</t>
  </si>
  <si>
    <t>['bagus', 'bagus', 'bagus', 'bagus', 'terbaik', 'sayangnya', 'aplikasi', 'mahal', 'menghabiskan', 'paket', 'kuota', 'pulsa', 'diskon', 'pengguna', 'setia', 'memakai', 'produk', 'telkomsel', 'tmt', '']</t>
  </si>
  <si>
    <t>['kesini', 'sinyal', 'paraaahh', 'bar', 'penuh', 'internetan', 'buka', 'telkomsel', 'hadeeuuhh', 'tolong', 'perbaiki', 'telkomsel', 'udah', 'kecewa']</t>
  </si>
  <si>
    <t>['maen', 'game', 'mobile', 'legend', 'signal', 'hilang', 'kwalitas', 'buruk', 'pelayanan', 'jelek', 'paket', 'boros', 'mahal', 'paket', 'data', 'habis', 'pulsa', 'langsung', 'kepotong', 'bye', 'bye']</t>
  </si>
  <si>
    <t>['jaringan', 'buruk', 'kemarin', 'lancar', 'customer', 'service', 'penanganan', 'lambat', 'membantu', 'tolong', 'diperbaiki', '']</t>
  </si>
  <si>
    <t>['mantap', 'mudah', 'beli', 'paket', 'pulsanya', 'cek', 'point', 'bayar', 'tagihan', 'dll', '']</t>
  </si>
  <si>
    <t>['bintang', 'sinyalnya', 'terbaik', 'daerah', 'terluar', 'perbatasan', 'indonesia', 'telkomsel', 'kebanyakan', 'promosi', 'menghargai', 'privasi', 'pelanggan', 'selesai', 'nelpon', 'muncul', 'pop', 'menganggu', 'perusahaan', 'mengedepankan', 'kepuasan', 'pelanggan', 'memperhatikan', 'memperlakukan', 'pelanggan', '']</t>
  </si>
  <si>
    <t>['saldo', 'giliran', 'beli', 'paketan', 'dibilang', 'saldo', 'mencukupi', 'serahlah', 'atur', 'gimana']</t>
  </si>
  <si>
    <t>['aplikasi', 'super', 'berat', 'berbeda', 'aplikasi', 'ringan', 'nilai', 'minus', 'bintang', 'kasih', 'minus', 'bintang', '']</t>
  </si>
  <si>
    <t>['bedanya', 'beli', 'online', 'banking', 'fix', 'delete', 'instal', 'percayalah', 'tiada', 'berguna', 'aplikasi', '']</t>
  </si>
  <si>
    <t>['operator', 'payah', 'paket', 'data', 'cepat', 'habis', 'pemakaian', 'normal', 'data', 'jaih', 'boros', '']</t>
  </si>
  <si>
    <t>['telkomsel', 'curang', 'pencurian', 'beli', 'kuota', 'giga', 'notifikasinya', 'pulsa', 'terpotong', 'semalem', 'pagi', 'kuota', 'hilang', 'tinggal', 'jaringan', 'jelek', 'cari', 'untung', 'merugikan', 'pelanggan', 'kembalikan', 'kuota', 'giga', '']</t>
  </si>
  <si>
    <t>['milih', 'paket', 'data', 'pulsa', 'udah', 'abis', 'duluan', 'kesedot', 'kecewa', 'berat', '']</t>
  </si>
  <si>
    <t>['berkali', 'kali', 'point', 'berhadiah', 'berharap', 'semoga', 'kali', 'berhasil', 'menang', 'insya', 'allah', 'amin', '']</t>
  </si>
  <si>
    <t>['telkomsel', 'parah', 'sinyalnya', 'buruk', 'loading', 'main', 'game', 'patah', 'patah', 'harga', 'menjamin', 'kualitas', 'pelayanan', 'tanggapan']</t>
  </si>
  <si>
    <t>['lumayan', 'bagus', 'notif', 'sms', 'beli', 'paket', 'mytelkomsel', 'gb', 'buka', 'mytelkomselnya', '']</t>
  </si>
  <si>
    <t>['program', 'daily', 'check', 'khusus', 'paket', 'data', 'mohon', 'berlaku', 'kuota', 'kuota', 'gb', 'kutoa', 'gb', 'terima', 'kasih']</t>
  </si>
  <si>
    <t>['jelek', 'apk', 'ganti', 'kartu', 'males', 'masak', 'paket', 'pilihan', '']</t>
  </si>
  <si>
    <t>['', 'wilayah', 'surabaya', 'tanjung', 'perak', 'signal', 'maksimal', 'mohon', 'peningkatan', 'kualitas', 'jaringan', 'terimakasih', '']</t>
  </si>
  <si>
    <t>['sinyal', 'telkomsel', 'jelek', 'banget', 'asa', 'zoom', 'susah', 'pindah', 'kartu']</t>
  </si>
  <si>
    <t>['pengguna', 'produk', 'telkomsel', 'alhamdulillah', 'detik', 'layanan', 'terimakasih']</t>
  </si>
  <si>
    <t>['pulsa', 'ambil', 'telkomsel', 'ngisi', 'ambil', 'ngisi', 'ambil', 'telkomsel', 'mengecewakan', 'udah', 'bantuan', 'oprator', 'ttp', 'pulsa', 'ambil', 'hadeh']</t>
  </si>
  <si>
    <t>['layanan', 'telkom', 'sel', 'mantap', 'berpindah', 'layanan', 'lai', 'telkomsel', 'mantap', '']</t>
  </si>
  <si>
    <t>['min', 'tolong', 'beli', 'kouta', 'gagal', 'mulu', 'slalu', 'dibilang', 'bayer', 'paket', 'darurat', 'beli', 'paket', 'darurat', 'pas', 'isi', 'puosa', 'dipotong']</t>
  </si>
  <si>
    <t>['update', 'nda', 'terbuka', 'kena', 'bug', 'kah', 'berulang', 'kali', 'coba', 'buka', 'masuk', 'menu', 'update', 'update', 'dibuka', 'masuk', 'menu', 'update', 'buka', 'update', 'update', 'buka', 'gitu', 'tolong']</t>
  </si>
  <si>
    <t>['udah', 'mahal', 'signal', 'kaya', 'parah', 'banget', 'jaringan', 'area', 'subang', 'jawabarat', 'kuota', 'akses', '']</t>
  </si>
  <si>
    <t>['gila', 'operator', 'main', 'sedot', 'pulsa', 'pdhal', 'kuota', 'multimedia', 'msh', 'transparant', 'mending', 'pakai', 'operator', 'sebelah']</t>
  </si>
  <si>
    <t>['maaf', 'turun', 'bintangnya', 'perbaiki', 'performanya', 'kasih', 'bintang', '']</t>
  </si>
  <si>
    <t>['jaringan', 'telkomsel', 'perbaiki', 'jaringan', 'buruk', 'pakai', 'kenyamanan', 'kualitas', 'telkomsel', 'buruk', 'niatan', 'kenyamanan', 'konsumen', '']</t>
  </si>
  <si>
    <t>['apk', 'bagus', 'complain', 'jaringan', 'telkomsel', 'gangguan', 'emosi', 'membuka', 'foto', 'menunggu', 'menit', 'kayak', 'gini', 'pandangan', 'positif', 'provider', 'telkomsel', 'menurun', 'tolong', 'perbaiki', 'merasakan', 'jaringan', 'telkomsel', 'gangguan', 'menerus', 'harinya', 'terimakasih']</t>
  </si>
  <si>
    <t>['promo', 'menarik', 'pengguna', 'kartu', 'simpati', 'promo', 'murah', '']</t>
  </si>
  <si>
    <t>['aplikasi', 'terbantu', 'moga', 'moga', 'hadiah', 'tukar', 'poin', '']</t>
  </si>
  <si>
    <t>['aplikasi', 'memuaskan', 'sayang', 'jaringan', 'lelet', 'kuota', 'mahal', 'mahal']</t>
  </si>
  <si>
    <t>['aplikasinya', 'oke', 'semoga', 'ditingkatkan', 'service', 'excellent', 'pengguna', 'setia', 'telkomsel', '']</t>
  </si>
  <si>
    <t>['jaringan', 'buruk', 'beli', 'paket', 'data', 'dipersulit', 'pdhl', 'update', 'aplikasinya', 'pelanggan', 'lari', 'perbaiki', 'aplikasinya', 'hapus', 'enak', 'ribet', '']</t>
  </si>
  <si>
    <t>['lumayan', 'membantu', 'membantu', 'bonus', '']</t>
  </si>
  <si>
    <t>['lumayan', 'bagus', 'stabil', 'turun', 'sinyalnya']</t>
  </si>
  <si>
    <t>['buruk', 'segi', 'fungsi', 'kuota', 'dimana', 'kuota', 'utama', 'lbh', 'bnyk', 'duluan', 'ketimbang', 'kuota', 'sosmed', 'youtube', 'dll', 'kuota', 'utama', 'habis', 'segi', 'fungsi', 'dpt', 'membuka', 'aplikasi', 'kuota', 'tambahan', 'susah', 'membuka', 'applikasi', 'sosmed', 'seperi', 'youtube', 'dll', 'pdhl', 'kuota', 'tambahan', 'emang', 'dikhususnya', 'untk', 'sosmed', 'utuh', 'berfungsi', 'semestinya', 'shrsny', 'telkomsel', 'mengatur', 'pembagian', 'proporsi', 'sbb', 'berpengaruh', 'layanan', 'salah', 'skrg']</t>
  </si>
  <si>
    <t>['pulsa', 'habis', 'terpakai', 'internet', 'kuota', 'unlimited', 'aktif']</t>
  </si>
  <si>
    <t>['', 'umur', 'hidup', 'kali', 'mencoba', 'aplikasi', 'telkomsel', 'untk', 'kali', 'semoga', 'dibikin', 'kecewa', 'telkomsel', '']</t>
  </si>
  <si>
    <t>['pelangga', 'semangat', 'hayah', 'janji', 'janji', 'doang', 'bukti']</t>
  </si>
  <si>
    <t>['tolong', 'admin', 'perbaiki', 'kualitas', 'jaringan', 'mahal', 'doang', 'paketannya', 'kenyamanan', 'pelanggannya', 'kecewa', 'gua', 'kasih', 'bintang', 'buruk', 'banget', 'jaringannya', 'kalah', 'kartu', 'perdana', '']</t>
  </si>
  <si>
    <t>['hmm', 'mahal', 'kuotanya', 'gue', 'paket', 'kuota', 'sehari', 'paket', 'kuota', 'dikit', 'sampek', 'bulanan', 'teknik', 'marketing', 'kemarin', 'beli', 'kartu', 'udah', 'nggk', 'nyaman', 'kartu', 'horang', 'kaya', 'jaringan', 'gue', 'jaringan', 'nggk', 'kuota', '']</t>
  </si>
  <si>
    <t>['beli', 'voucher', 'tulisan', 'maaf', 'pelanggan', 'paket', 'lainya', 'beli', 'beli', 'voucher', '']</t>
  </si>
  <si>
    <t>['jaringan', 'telkomsel', 'bagus', 'jelek', 'beda', 'kyk', 'jaringan', 'lumayan', 'bagus', 'skrng', 'hancur', 'kadang', 'jaringan', 'hilang', 'timbul', 'main', 'game', 'online', 'kota', 'kampung', 'knp', 'jaringan', 'telkomsel', 'jelek', 'kali', 'tolong', 'perbaiki', 'jaringan', 'akses', 'internet', 'udah', 'mahal', 'paket', 'jelek', 'pulak', 'jaringan', 'tolong', 'perbaiki', 'orang', 'menikmatinya', 'puas', 'cari', 'untung', 'doang', '']</t>
  </si>
  <si>
    <t>['kesini', 'aneh', 'paketan', 'udah', 'aktif', 'pulsa', 'tetep', 'kesedot', 'paketan', 'mahal', 'provider', 'profesional']</t>
  </si>
  <si>
    <t>['lancar', 'sinyalnya', 'udah', 'amburadul', 'gimana', 'ditambah', 'error', 'isi', 'vocer', 'nyesel', 'gua', 'pelanggan', 'setia', 'sinyal', 'udah', 'buruk', '']</t>
  </si>
  <si>
    <t>['tolong', 'tingkatkan', 'sinyal', 'intetnet', 'daerah', 'bermasalah', 'sinyal', 'internet', 'telkomsel']</t>
  </si>
  <si>
    <t>['kartu', 'telkomsel', 'kualitas', 'bagus', 'turun', 'contoh', 'jaringan', 'benerin', 'and', 'fix', 'kartu', 'telkomsel', 'kartu', 'terburuk']</t>
  </si>
  <si>
    <t>['ahir', 'ahir', 'jaringan', 'telkomsel', 'tingal', 'susah', 'koneksi', 'lambat', 'mohon', 'cek', 'knpa', 'lancar', '']</t>
  </si>
  <si>
    <t>['puas', 'telkomsel', 'sayang', 'daerah', 'signal', 'telkomsel', '']</t>
  </si>
  <si>
    <t>['sayangkan', 'enak', 'pakai', 'telcomsel', 'bagus', 'jaringanya', 'tpi', 'beberpa', 'jaringanya', 'memuaskan', 'kecewa', 'tlcomsel', 'sekrang', '']</t>
  </si>
  <si>
    <t>['harga', 'kuota', 'mahal', 'sinyal', 'kek', 'pepek', 'game', 'sinyal', 'ilang', 'harga', 'kualitas', 'rendah']</t>
  </si>
  <si>
    <t>['maap', 'turunin', 'ratingnya', 'jaringan', 'buruk', 'suka', 'ilang', 'sinyalnya', 'kalah', 'operator', 'lokasi', 'perkotaan', 'pegunungan', 'lancar', '']</t>
  </si>
  <si>
    <t>['banget', 'update', 'gasuka', 'ohiya', 'paket', 'telkomsel', 'tolong', 'harga', 'ekonomis', 'min', 'mahal', 'banget', 'jaringannya', 'suka', 'ilang', '']</t>
  </si>
  <si>
    <t>['alhamdulillah', 'aplikasi', 'membatu', 'sya', 'mudah', 'bagus', 'diskon', 'memuaskan', 'pelanggan', 'pengguna', 'aplikasi']</t>
  </si>
  <si>
    <t>['bangga', 'banget', 'tsel', 'mah', 'nyiksa', 'nelpon', 'diangkat', 'orangnya', 'pulsanya', 'langsung', 'abis', 'ditambah', 'mytelkomsel', 'membantu', 'harga', 'kuotanya', 'mahal', 'aplikasi', '']</t>
  </si>
  <si>
    <t>['harga', 'paket', 'internet', 'mahal', 'pelanggan', 'pindah', 'skema', 'tarifpun']</t>
  </si>
  <si>
    <t>['simpati', 'internet', 'kesini', 'lemot', 'besok', 'mesti', 'ganti', 'kartu', 'mah']</t>
  </si>
  <si>
    <t>['murah', 'dapet', 'data', 'membantu', 'masyarakat', 'ekonomi', '']</t>
  </si>
  <si>
    <t>['menganyelkan', 'beli', 'pulsa', 'ribu', 'dipake', 'udah', 'ilang', 'pas', 'dipake', 'tolong', 'tambahin', 'fitur', 'internet', 'make', 'pulsa', 'paketnya', 'abis', 'menganyelkan', 'emang']</t>
  </si>
  <si>
    <t>['jaringan', 'telkomsel', 'kayak', 'taik', 'hello', 'telkomsel', 'bkn', 'jaman', 'batu', 'jaman', 'serba', 'teknologi', 'jaringanmu', 'tingkatkan', 'kualitas', 'sinyalmu', 'kayak', 'tinggal', 'dasar', 'laut', '']</t>
  </si>
  <si>
    <t>['', 'daerah', 'karawang', 'leg', 'mulu', 'yahh', 'iya', 'kalah', 'ama', 'indosat', 'mahal', 'sinyal', 'leg', 'muluu']</t>
  </si>
  <si>
    <t>['sinyal', 'mah', 'fulll', 'jaringan', 'kyk', 'jirr', 'payah', 'bnget', 'skrng', 'telkomsel', 'mahalnya', 'doangggggg', 'kualitas', 'rendah', '']</t>
  </si>
  <si>
    <t>['', 'sinyal', 'telkomsel', 'sinyalnya', 'bagus', 'buruk', 'pelanggan', 'kecewa', '']</t>
  </si>
  <si>
    <t>['jaringan', 'memuaskan', 'kuat', 'tolong', 'perbaiki', 'pelanggan', 'puar']</t>
  </si>
  <si>
    <t>['kasih', 'bintang', 'bgus', 'nnti', 'tmbah', 'coba', 'pakai', 'telkomsel']</t>
  </si>
  <si>
    <t>['telkomsel', 'lola', 'banget', 'ngerti', 'deh', 'seharus', 'kartu', 'bermunculan', 'kualitas', 'telkomsel', 'bagus', 'tinggal', 'dikota', 'jaringan', 'lemot', 'udh', 'dtg', 'hujan', 'asli', 'kepake', 'jaringannya', '']</t>
  </si>
  <si>
    <t>['jaringan', 'lelet', 'main', 'game', 'serius', 'sumpah', 'kota', 'makassar', 'ahhh']</t>
  </si>
  <si>
    <t>['jaringan', 'telkomsel', 'tolong', 'lelet', 'kuotanya', 'mahal', 'masak', 'jaringan', 'keong', 'lambat', 'sesuaikan', 'harga', 'kualitas', 'bos', '']</t>
  </si>
  <si>
    <t>['buka', 'aplikasi', 'mytelkomsel', 'force', 'close', 'hpnya', 'error', 'restart', 'coba', 'aplikasi', 'force', 'close', 'trus', 'aplikasi', 'error', 'coba', 'ngeluarin', 'duit', 'dikit', 'aplikasi', 'bagus', 'sebagus', 'aplikasi', 'commerce', 'minimal', 'kayak', 'banking', 'udah', 'banget', 'banyakin', 'fitur', 'aplikasi', 'berat', 'ujung', 'dipake', '']</t>
  </si>
  <si>
    <t>['kecewa', 'berat', 'jaringan', 'telkomsel', 'daerah', 'perdesaan', 'sumatera', 'barat', 'memuaskan', 'anak', 'belajar', 'online', 'terkendala', 'jaringan', 'mbps', 'tower', 'telkomsel', 'tebang', 'pilih', 'jaringan', 'daerah', 'pedesaan', 'jawa', 'stabil', 'ketimbang', 'daerah', 'pedesaan', 'pulau', 'jawa', 'super', 'kecewa', '']</t>
  </si>
  <si>
    <t>['menukar', 'poin', 'denga', 'kuota', 'ntah', 'aneh', 'tukar', 'undi', 'undi', 'heppy']</t>
  </si>
  <si>
    <t>['udh', 'hmpir', 'sinyal', 'area', 'kulon', 'progo', 'stabil', 'tolong', 'perbaiki', 'klau', 'upgrade', 'sinyal', 'perbaiki', 'jangkaun', 'sinyal', 'stabil', '']</t>
  </si>
  <si>
    <t>['tolong', 'telkomsel', 'jelek', 'jaringanya', 'telkomsel', 'beda', 'banget', 'kecewa', 'telkomsel', 'boro', 'boro', 'main', 'game', 'buka', 'jelek', 'banget', 'jaringanyaaaa', 'kecewa']</t>
  </si>
  <si>
    <t>['aplikasi', 'bagus', 'tpi', 'menu', 'save', 'mode', 'pulsa', 'kesedot', 'kuota', 'habis', 'kebiasaan', 'simpati', 'kuota', 'habis', 'suka', 'nyedot', 'pulsa']</t>
  </si>
  <si>
    <t>['maaf', 'veronikanya', 'canggih', 'menghentikan', 'paket', 'tsel', 'isi', 'pulsa', 'habis', 'kesedot', 'instal', 'mytelkomsel', 'menghentikan', 'gimana', 'seh', '']</t>
  </si>
  <si>
    <t>['jaringan', 'lelet', 'dri', 'jam', 'malam', 'keatas', 'habis', 'kuota', 'kyk', 'gini', 'fix', 'ganti', 'oprator']</t>
  </si>
  <si>
    <t>['hallo', 'maaf', 'sebelomnya', 'nanya', 'menukar', 'poin', 'isi', 'ulang', 'pulsa', 'mohon', 'informasinya', 'terima', 'kasih']</t>
  </si>
  <si>
    <t>['semoga', 'telkomnyet', 'cepat', 'hilang', 'muka', 'bumi', 'aduhhh', 'knapa', 'telkomnyet', 'emang', 'kontl', 'sinyal', 'indilator', 'tpi', 'jalannya', 'kayak', '']</t>
  </si>
  <si>
    <t>['kesini', 'jaringan', 'susah', 'hujan', 'jaringan', 'hilang', 'harga', 'paketan', 'mahal', 'kualitas', 'dukung']</t>
  </si>
  <si>
    <t>['sinyal', 'bapuk', 'tolong', 'perbaiki', 'pengguna', 'telkomsel', 'kecewa']</t>
  </si>
  <si>
    <t>['aplikasinya', 'membantu', 'jaringannya', 'diperbaiki', 'lancar', 'jaya', 'telkomsel', 'uda', 'setia', 'haruskah', 'mendua', '']</t>
  </si>
  <si>
    <t>['maaf', 'kasi', 'kecewa', 'dlm', 'bebrapa', 'jaringan', 'telkomsel', 'lemot', 'banget', 'tinggak', 'dki', 'jkt', 'teman', 'tetangga', 'mengalami', 'kejadian', 'heranya', 'kartu', 'seluler', 'lainya', 'bagus', '']</t>
  </si>
  <si>
    <t>['update', 'apk', 'paketan', 'beli', 'hilang', 'beli', 'paketannya', 'pakai', 'perdana', 'bertahun', 'berubah', 'upadate', 'dibuka', 'update', 'hilang', 'paketannya', 'mengecewakan']</t>
  </si>
  <si>
    <t>['mantap', 'gaes', 'smp', 'berlangganan', 'telkomsel', 'udh', 'ahahah', 'keluarga', 'pakai', 'telkomsel', 'berlangganan', 'telkomsel', 'hehehe', '']</t>
  </si>
  <si>
    <t>['hallo', 'min', 'jaringan', 'daerah', 'turun', 'gangguan', 'alias', 'lemot', 'tolong', 'tindak', 'masak', 'beda', 'daerah', 'dikota', 'cari', 'google', 'alamat', 'kelurahan', 'pasar', 'surulangun', 'kabupaten', 'musi', 'rawas', 'utara']</t>
  </si>
  <si>
    <t>['telkomsel', 'pas', 'kali', 'kena', 'roaming', 'tlp', 'provinsi', 'sms', 'berbiaya', 'nyesel', 'simpati', 'mahal', 'dibanding', 'kartu', 'ttep', 'telkomsel', 'terbaik', '']</t>
  </si>
  <si>
    <t>['game', 'jelek', 'sinyal', 'kauota', 'mahal', 'mahal', 'jelek', 'sinyal', '']</t>
  </si>
  <si>
    <t>['paket', 'kuota', 'dibagi', 'sosmed', 'youtube', 'game', 'film', 'dll', 'paket', 'kuota', 'diakses', 'jam']</t>
  </si>
  <si>
    <t>['jaringan', 'lemot', 'giliran', 'motongin', 'pulsa', 'data', 'ilang', 'lemotnya', 'mahal', 'pulsanya', 'pelayanan', 'ditingkatkan', 'mahalnya', 'doang', 'ditingkatkan']</t>
  </si>
  <si>
    <t>['kuota', 'habis', 'sampe', 'penasaran', 'cabut', 'kartu', 'kuota', 'habis', 'hati', 'pengguna', 'telkomsel', 'tolong', 'pihakkkk', 'telkomsel', 'selidiki', 'system', 'hack', 'telkomsel', 'butuh', 'duit', 'ppkm', 'kacau', 'grapari', 'history', 'pemakaianya', 'kemana', 'mbk', 'konternya', 'lihat', 'parah', 'telkomsel', 'parah', '']</t>
  </si>
  <si>
    <t>['promo', 'doang', 'diurusin', 'kouta', 'mahal', 'jaringan', 'jelek', 'kayak', 'tinggal', 'dihutan', '']</t>
  </si>
  <si>
    <t>['kartu', 'nyesel', 'banget', 'udah', 'telkomsel', 'kesini', 'paket', 'data', 'mahal', 'udh', 'mah', 'sinyalnya', 'lemot', 'paket', 'omg', 'gb', 'rb', 'rb', 'paketan', 'abis', 'gada', 'notif', 'kartu', 'mah', 'paket', 'abis', 'notif', 'trus', 'jaringan', 'internet', 'langsung', 'off', 'mah', 'paket', 'abis', 'ngambil', 'pulsa', 'coba', 'perbaiki', 'kartu', 'mahal', 'kualitasnya', 'jlek']</t>
  </si>
  <si>
    <t>['semoga', 'hadiah', 'telkomsel', 'sukses', 'trus', 'telkomsel', 'jaya', 'udara']</t>
  </si>
  <si>
    <t>['pengguna', 'kartu', 'hallo', 'telkomsel', 'hallo', 'udah', 'nggak', 'deh', 'perasaan', 'gmn', 'semenjak', 'telkomsel', 'ganti', 'logo', 'anak', 'band', 'komisaris', 'kualitas', 'sinyal', 'bapuk', '']</t>
  </si>
  <si>
    <t>['kebanyakan', 'click', 'bait', 'paketnya', 'skrg', 'bertele', 'tele', 'tertulis', 'unlimeted', 'batas', 'kuotanya', 'mahal', 'hack', 'hacker', '']</t>
  </si>
  <si>
    <t>['suka', 'pakai', 'telkomsel', 'transaksi', 'beli', 'paket', 'mudah', 'pilihan', '']</t>
  </si>
  <si>
    <t>['sinyal', 'telkomsel', 'dikit', 'dikit', 'ngelag', 'game', 'ngelag', 'youtube', 'lancar']</t>
  </si>
  <si>
    <t>['knpa', 'plsa', 'suka', 'abis', 'kga', 'langganan', 'engga', 'nyesek', 'banget', 'plsa', 'sisa', '']</t>
  </si>
  <si>
    <t>['beli', 'paket', 'internet', 'harga', 'rb', 'kualitas', 'sinyal', 'jelek', 'menit', 'rutin', 'sinyal', 'hilang', 'bintaro', 'telkomsel', 'sinyal', 'stabil', 'tolong', 'toloooooooooong', '']</t>
  </si>
  <si>
    <t>['tolong', 'koneksi', 'internet', 'bagus', 'lancar', 'parah', 'perdesaan', 'sulit']</t>
  </si>
  <si>
    <t>['pulsa', 'kepotong', 'data', 'nyala', 'panggilan', 'cek', 'pulsa', 'ntah', 'rupiah', 'sampe', 'kepotong', 'rb', 'tolong']</t>
  </si>
  <si>
    <t>['download', 'dekk', 'lina', 'telkomsel', 'membantu', 'dlm', 'bertransaksi', 'berbagi', 'pulsa', 'teman', 'bgmna', 'yaa', '']</t>
  </si>
  <si>
    <t>['kuota', 'habis', 'tanggal', 'september', 'tanggal', 'agustus', 'cek', 'kuota', 'hilang', 'kemana', 'alias', 'kosong', '']</t>
  </si>
  <si>
    <t>['woy', 'telkomsel', 'sinyal', 'bagus', 'sinyal', 'bagus', 'sampe', 'gua', 'banting', 'banting', 'hape', 'gegara', 'sinyal', 'telkomsel', 'gapernah', 'bener', 'gua', 'pengguna', 'telkomsel', 'udah', 'knp', 'skrng', 'sinyal', 'ancur', '']</t>
  </si>
  <si>
    <t>['memudahkan', 'transaksi', 'terima', 'kasih', 'telkomsel', 'jaringan', 'tingkatkan', 'undian', 'semoga', 'menang', 'amin', '']</t>
  </si>
  <si>
    <t>['tolong', 'merakyat', 'harga', 'datanya', 'dibagi', 'jenis', 'pemakaian', 'kadang', 'tertipu', 'harga', 'merakyat', 'kuota', 'sesuai', 'harga', 'karna', 'terbagi', 'multimedia', 'kadang', 'lemot', 'rasakan', 'bertahun', 'pelanggan', 'setia', 'telkomsel', 'jaringannya', 'paraaaaaah', 'abis', 'telkomsel', 'mohon', 'ditinjau', 'min']</t>
  </si>
  <si>
    <t>['sorry', 'turunkan', 'rating', 'hancur', 'banget', 'jaringannya', 'sulawesi', 'selatan', 'wilayah', 'rajawali', 'kemarin']</t>
  </si>
  <si>
    <t>['malam', 'min', 'gua', 'beli', 'pulsa', 'paket', 'pas', 'ngaktifin', 'paket', 'harganya', 'nge', 'pas', 'pulsanya', 'dimakan', 'berkurang', 'mohon', 'perbaikannya', 'min']</t>
  </si>
  <si>
    <t>['kronologi', 'datanya', 'nyala', 'didiemin', 'sebentar', 'pas', 'buka', 'sinyalnya', 'lemot', 'hasil', 'matikan', 'hidupkan', 'data', 'aneh', 'telkomsel', '']</t>
  </si>
  <si>
    <t>['aplikasi', 'berat', 'loadingnya', 'kadang', 'buka', 'berkali', 'kali', 'loadingnya', 'lancar', 'promosi', 'iklan', 'disediakan', 'menarik', 'program', 'daily', 'cek', 'oke', 'sayang', 'klaim', 'kuota', 'sehari', '']</t>
  </si>
  <si>
    <t>['jaringan', 'telomsel', 'kesini', 'lemot', 'suka', 'putus', 'putus', 'jaringan', 'semanjak', 'telkomsek', 'memburuk', 'jaringan', 'kalah', 'saing', 'operator', 'beda', 'jaringan', 'telkomsel', 'tanidngan', 'banding', 'jaringan', 'operator', 'pengguna', 'telkomsel', 'kartu', 'sim', 'card', 'ganti', '']</t>
  </si>
  <si>
    <t>['daerah', 'lancar', 'terkadang', 'jaringan', 'hilang', 'main', 'game']</t>
  </si>
  <si>
    <t>['beli', 'paket', 'internet', 'kepotong', 'paketnya', 'pulsanya', 'habis', 'pantes', 'untungnya', 'gede', 'nyolong', 'nyolong']</t>
  </si>
  <si>
    <t>['terjangkau', 'kualitas', 'playanan', 'bnyak', 'poin', 'bonus', '']</t>
  </si>
  <si>
    <t>['kesini', 'sinyal', 'stabil', 'kadang', 'suka', 'ilang', 'ilang', 'sinyal', 'kecewa', 'sbg', 'pelanggan', 'telkomsel', '']</t>
  </si>
  <si>
    <t>['masuk', 'susah', 'metode', 'login', 'unrecommended']</t>
  </si>
  <si>
    <t>['bertahan', 'bagus', 'telpon', 'jaringan', 'internet', 'lemot', 'telkomsel', 'terbaik', 'tolong', 'jaringan', 'diperbaiki', 'jaringan', 'lemot', 'lambat', 'sisa', 'pulsa', 'habis', 'saran', 'dikasih', 'kunci', 'axis', 'jaringan', 'lemot', 'lambat', 'sisa', 'pulsa', 'aman', '']</t>
  </si>
  <si>
    <t>['saran', 'berhubung', 'player', 'game', 'online', 'susah', 'top', 'diamond', 'jdi', 'berterimakasih', 'telkomsel', 'dpt', 'menyediakan', 'top', 'sekian', 'terimakasih']</t>
  </si>
  <si>
    <t>['vocher', 'telkomsel', 'regional', 'tolong', 'pencerahan', 'gimana', 'mengaktifkan', 'sms', 'terimakasih']</t>
  </si>
  <si>
    <t>['isi', 'pulsa', 'langsung', 'abis', 'data', 'gb', 'pakai', 'paket', 'darurat', 'didaftarkan', 'kedepan', 'penagihan', 'langsung', 'diambil', 'harga', 'paket', 'darurat', 'rb', 'gini', 'maling', 'kau', 'bangsatt', '']</t>
  </si>
  <si>
    <t>['beli', 'paket', 'internet', 'proses', 'kadang', 'seharian', 'masuk', 'proses']</t>
  </si>
  <si>
    <t>['', 'rumah', 'jaringan', 'sanhat', 'jelek', 'internet', '']</t>
  </si>
  <si>
    <t>['najis', 'jelek', 'banget', 'telkomsel', 'main', 'buka', 'aplikasi', 'main', 'game', 'lemot', 'parah', 'full', 'giliran', 'komplen', 'jaringan', 'suruh', 'setting', 'apn', 'data', 'tetep', 'lemot', 'parah', 'cih', '']</t>
  </si>
  <si>
    <t>['ginana', 'ceritanya', 'kuota', 'tersedia', 'pas', 'beli', 'proses', 'pulsa', 'gada', 'terpotong', 'kuota', 'masuk', 'aneh']</t>
  </si>
  <si>
    <t>['halo', 'kak', 'kasih', 'bintang', 'btw', 'tsel', 'motong', 'pulsa', 'customer', 'mulu', 'serius', 'nnya', 'pdhal', 'kuota', 'pulsa', 'hilang', 'tinggal', 'rupiah', 'pdhal', 'kuota', '']</t>
  </si>
  <si>
    <t>['bukanya', 'bagus', 'jelek', 'sinyal', 'tinggal', 'dikota', 'kek', 'tinggal', 'dihutan', 'miris']</t>
  </si>
  <si>
    <t>['kartu', 'perdana', 'harga', 'kuotanya', 'mahal', 'beda', 'kartu', 'simpati', '']</t>
  </si>
  <si>
    <t>['tolong', 'telkomsel', 'kartu', 'membeli', 'paket', 'internet', 'tunggu', 'minggu', 'pulsa', 'tersedot', 'beli', 'pulsa', 'mengaktifkan', 'paketnya', '']</t>
  </si>
  <si>
    <t>['', 'aplikasi', 'beda', 'kuota', 'gb', 'harga', 'apps', 'min', 'ratakan', 'promo', '']</t>
  </si>
  <si>
    <t>['sorry', 'kak', 'telkomsel', 'skrng', 'susah', 'jaringanx', 'pdhal', 'telkomsel', 'trkenal', 'bagus', 'jaringanx', 'pas', 'makek', 'aplikasinya', 'awalx', 'bagus', 'lancar', 'skrng', 'login', 'app', 'alasanx', 'pke', 'jaringan', 'telkomsel', 'lahh', 'ttrus', 'beli', 'kartu', 'telkomsel', 'yaa', 'astagahhh', 'tlong', 'dibagusin', 'byar', 'kecewa', 'sya', 'mahasiswa', 'jdi', 'butuh', 'bngt', 'byar', 'sya', 'kuliahx', 'lancar', 'kota', 'denpasar', 'sayang', 'skali', 'jaringanx', 'kek', 'gini']</t>
  </si>
  <si>
    <t>['apah', 'mudah', 'beli', 'data', 'mudah', 'pengecekan', 'data', 'data', 'buka', 'app', 'telkomsel', 'data', 'pulsa', 'beli', 'data', 'buka', 'telkomsel', 'kepo', 'tong', 'pulsa', 'beli', 'paket', 'kagak', 'kya', 'operator', 'sebelah', 'payah', 'jaringan', 'jelek', 'asw']</t>
  </si>
  <si>
    <t>['pulsa', 'kesedot', 'biaya', 'akses', 'internet', 'non', 'kuota', 'ngotak', 'kb', 'berkisar', 'mb', 'paket', 'midnight', 'mahal', 'app', 'error', 'diakui', 'jaringan', 'provider', 'telkomsel', 'stabil', 'jangkauannya', 'terluas', 'indonesia', '']</t>
  </si>
  <si>
    <t>['akun', 'sesuai', 'pakai', 'dapet', 'undian', 'pengguna', 'telkomsel', 'uda', '']</t>
  </si>
  <si>
    <t>['kartu', 'telkomsel', 'rusak', 'diganti', 'grapari', 'telkomsel', 'gimana']</t>
  </si>
  <si>
    <t>['beli', 'paket', 'mahal', 'sinyal', 'jelek', 'gua', 'kasi', 'bintang', 'dlu', 'sinyal', 'udh', 'bagus', 'kasi', 'bintang', '']</t>
  </si>
  <si>
    <t>['assalamualaikum', 'telekomonikasi', 'seluler', 'senang', 'kartu', 'sim', 'telkomsel', 'pengguna', 'berharap', 'telkomsel', 'kelancaran', 'penggunaan', 'lakukan', 'sehari', 'telkomsel', 'semoga', 'telkomsel', 'terbaik', 'jaringan', 'telkomsel', 'memburuk', 'perbaikan', 'jaringan', 'sumsel', 'september', '']</t>
  </si>
  <si>
    <t>['jaringan', 'telkomsel', 'ngga', 'kaya', 'main', 'game', 'nge', 'lag', 'banget', 'jaringan', 'ngga', 'stabil']</t>
  </si>
  <si>
    <t>['grapari', 'ganti', 'nomer', 'tenggangnya', 'habis', 'ruwetnya', 'ampun', 'nomer', 'pribadi', 'suruh', 'surat', 'keterangan', 'ketiga', 'gojek', 'persyaratan', 'lengkap', 'ktp', 'karyawan', 'grapari', 'sidoarjo', 'trainingnya', 'gimana', 'telkomsel', 'kehilangan', '']</t>
  </si>
  <si>
    <t>['gua', 'kesel', 'banget', 'tinggal', 'dibrbes', 'udah', 'kaya', 'hutan', 'telkomsel', 'jaringan', 'kalah', 'ampun', 'tolong', 'cek', 'sinyal', 'telkomsel', 'desa', 'lembarawa', 'brebes', 'udah', 'kalah', 'xsis', 'jaringanya', 'gimna', 'tkkomsel']</t>
  </si>
  <si>
    <t>['buruk', 'matiin', 'data', 'nyalain', 'datanya', 'orang', 'suruh', 'nunggu', 'agustus', 'sampe', 'september']</t>
  </si>
  <si>
    <t>['tersiksa', 'jaringan', 'telkomsel', 'alias', 'lelet', 'tolong', 'diperbaiki', 'orang', 'berganti', 'kartu']</t>
  </si>
  <si>
    <t>['telkomsel', 'turun', 'menurun', 'suruh', 'upgrade', 'pulsa', 'sedot', 'bosen', 'pindah', 'provider', 'complain', 'email', 'teteap']</t>
  </si>
  <si>
    <t>['sinyalnya', 'buruk', 'jakarta', 'klu', 'papua', 'kaya', 'sinyal']</t>
  </si>
  <si>
    <t>['aplikasinya', 'lemot', 'internet', 'lancar', 'nonton', 'youtube', 'full', 'nge', 'game', 'lancar', 'pas', 'buka', 'aplikasi', 'telkomsel', 'doank', 'lemot', '']</t>
  </si>
  <si>
    <t>['', 'bingung', 'kartu', 'diperpanjang', 'aktifnya', 'wloupun', 'pulsa', 'dipake', 'dikit', 'diperpanjang', 'sebulan', 'wloupun', 'sampe', 'puluhan', 'ribu', 'cek', 'kartu', 'diperpanjang', 'hr', 'bsk', 'mmg', 'kartu', 'dipake', 'pulsanya', 'aktif', 'kartunya', 'exp', 'ato', 'pulsanya', 'hilang', 'tolong', 'dibantu', 'makasih', '']</t>
  </si>
  <si>
    <t>['beli', 'paket', 'tgl', 'habis', 'tgl', 'konyol', 'pdhl', 'aktif', 'mohon', 'penjelasannya']</t>
  </si>
  <si>
    <t>['apk', 'mempermudah', 'mempersulit', 'jaringan', 'bar', 'kalah', 'sma', 'exis', 'udah', 'paketan', 'mahal', 'unreg', 'paketan', 'internet', 'aplikasinya', 'tolongdong', 'gmnaa', 'aplikasi', 'mempermudahkan', 'menu', 'fungsi', 'unrege', 'berhenti', 'berlangganannya', 'telkomsel', 'nyari', 'untungan', 'tpi', 'mikirin', 'kenyaman', 'pelangan', 'pulsa', 'isi', 'potong', 'abisan', 'paket', 'minjem', 'pulsa', 'telkomsel', 'gtu', 'mengambil', 'hak', 'planggan']</t>
  </si>
  <si>
    <t>['telkomsel', 'parah', 'jaringan', 'internetnya', 'lelet', '']</t>
  </si>
  <si>
    <t>['susah', 'bnget', 'sinyal', 'telkomsel', 'bali', 'sadhar', 'kab', 'way', 'kanan', 'buka', 'youtube', 'susah', 'bnget', 'parah', 'susah', 'sinyalnya', 'kalah', 'paketnya', 'mahal', 'banget', '']</t>
  </si>
  <si>
    <t>['mohon', 'penukaran', 'poin', 'kurangi', 'harga', 'mahal', 'terima', 'kasih']</t>
  </si>
  <si>
    <t>['mengeluh', 'telkomsel', 'isi', 'pulsa', 'telkomsel', 'jaringan', 'internetnya', 'taunya', 'tenggang', 'habis', 'oke', 'telkomselnya', 'langsung', 'aktifkan', 'nomer', 'sya', 'kecewakan', 'knp', 'beli', 'nomer', 'vaksin', 'sya', 'dftrkan', 'adlh', 'telkomsel', 'krna', 'telkomsel', 'sya', 'tidk', 'aktivasi', 'sertifikat', 'vaksin', 'sya', 'tidk', 'tlng', 'prsulit', '']</t>
  </si>
  <si>
    <t>['aplikasi', 'ribet', 'trpaksa', 'instal', 'karna', 'cek', 'paket', 'kuota', 'susah', 'download', 'fiturnya', 'kebutuhan', 'bermanfaat', 'kecuali', 'cek', 'kuota', 'pulsa', 'promonya', 'hilang', 'muncul', 'promo', 'mahal', 'pointnya', 'bingung', 'dikemanain', 'karna', 'sesuai', 'kebutuhan', 'sinyal', 'susah', 'diperkotaan', 'telkomsel', 'asyikk', '']</t>
  </si>
  <si>
    <t>['paket', 'darurat', 'misterius', 'data', 'info', 'laporan', 'pembayaran', 'tagihan', 'paket', 'darurat', 'masuk', 'paket', 'reguler', 'aplikasi', 'waras', 'sengaja', 'track', 'record', 'pembelian', 'pulsa', 'nomer', 'main', 'sedot', 'sedot', 'pulsa', 'kesel', 'nomer', '']</t>
  </si>
  <si>
    <t>['beli', 'paket', 'data', 'kadang', 'pulsa', 'kepotong', 'kayak', 'provider', 'paket', 'habis', 'pulsa', 'kepotong', 'beli', 'paket', 'aktif', 'aktif', 'kirain', 'keterangan', 'beli', 'giliran', 'beli', 'paket', 'aktif', 'paket', 'aktif', 'telkomsel', 'payah', '']</t>
  </si>
  <si>
    <t>['telkomsel', 'muda', 'pembelian', 'paket', 'kuota', 'muda', 'mengecek', 'sisa', 'kuota']</t>
  </si>
  <si>
    <t>['aplikasi', 'mantulll', 'bagus', 'mudah', 'semangat', '']</t>
  </si>
  <si>
    <t>['harga', 'kuota', 'telkomsel', 'mahal', 'sinyal', 'lambat', 'mengecewakan']</t>
  </si>
  <si>
    <t>['telkomsel', 'lemot', 'banget', 'jaringannya', 'beli', 'mahal', 'kuota', 'buka', 'aplikasi', 'gabisa', 'telkomsel', 'mahal', 'jaringannya', 'parah', 'banget', 'loadingnya', 'emosi', '']</t>
  </si>
  <si>
    <t>['syusah', 'masuknya', 'pengin', 'ganti', 'halo', 'muahal', 'benerrrr', 'sesuai', 'promonya', 'kecewa', 'mahal', 'cepet', 'mahal', 'lemot', 'berkali', 'pencet', 'nongol', 'aplikasi', 'telkomsel']</t>
  </si>
  <si>
    <t>['kuota', 'multimedia', 'berkurang', 'aplikasi', 'youtube', 'facebook', 'kuota', 'internet', 'reguler', 'berkurang', '']</t>
  </si>
  <si>
    <t>['paket', 'internet', 'mahal', 'promo', 'ambil', 'komplain', 'costumer', 'service', 'proses', 'promo', 'habis', 'buruk', 'telkomsel']</t>
  </si>
  <si>
    <t>['maaf', 'rate', 'karna', 'bbrp', 'mnggu', 'jaringan', 'memalukan', 'udh', 'beli', 'pulsa', 'paket', 'mahal', 'kualitas', 'burikk', 'telpon', 'peningkatan', 'jaringan', 'emng', 'persiapan', 'alasan', 'bentar', 'makai', 'paket', 'telkomsel', 'dikit', 'perubahan', 'pelayanan', 'paham', '']</t>
  </si>
  <si>
    <t>['main', 'game', 'tenang', 'hilang', 'singal', 'paket', 'mahal', 'haduhhhhh', 'mengecewakan', '']</t>
  </si>
  <si>
    <t>['membantu', 'repot', 'bli', 'paket', 'kuota', 'saldo', 'mahal', 'gpp', 'laah', 'cmn', 'operator', 'daerah', 'trpencil']</t>
  </si>
  <si>
    <t>['hoax', 'sms', 'promo', 'pembayaran', 'via', 'gopay', 'pembelian', 'pulsa', 'paket', 'data', 'beli', 'promo', 'cashback', 'dll']</t>
  </si>
  <si>
    <t>['jaringan', 'ngaco', 'data', 'dibilang', 'kuota', 'habis', 'jaringan', 'jelekkkkk', 'pulaaa', 'operator', 'tinggal', 'pindah', 'indosat', 'buang', 'kartu', 'telkomsel']</t>
  </si>
  <si>
    <t>['download', 'aplikasi', 'ngelem', 'boong', '']</t>
  </si>
  <si>
    <t>['signal', 'diperkuat', 'kaya', 'lemot', 'cepat', 'nomor', '']</t>
  </si>
  <si>
    <t>['paket', 'data', 'mahal', 'jaringan', 'kadang', 'ilang', 'lemot', 'tinggal', 'hutan', 'anjg', 'harga', 'paket', 'mahal', 'data', 'meras', 'uang', 'rakyat', 'covid', 'gini', 'kecewa', 'telkomsel', 'jaringan', 'stabil', 'instruksi', 'ganti', 'jaringan', 'manual', 'lahhh', 'tauuuuuu', 'harga', 'data', 'mahalllllllll', 'banget', 'anjg', 'paket', 'dikit', 'tolong', 'jan', 'menyusahkan', 'pengguna', 'telkomsel', '']</t>
  </si>
  <si>
    <t>['', 'daerah', 'oki', 'sungai', 'baung', 'bar', 'jaringannya', 'sekelas', 'telkomsel', 'lemot', 'banget', 'jaringannya', '']</t>
  </si>
  <si>
    <t>['buruk', 'telfon', 'veronika', 'sms', 'pulsa', 'masuk', 'kgk', 'paketan', 'doang', 'mahal', 'jaringan', 'kadang', 'putus', 'mahal', 'doang', 'pelayanan', 'mahal', 'doang', 'intinya']</t>
  </si>
  <si>
    <t>['permisi', 'telkomsel', 'knp', 'membuka', 'mobile', 'legends', 'youtube', 'tiktok', 'update', 'download', 'paketan', 'telkomsel', 'pemotongan', 'pulsa', 'menjengkelkan', 'pulsa', 'rb', 'potong', 'rb', 'pulsa', 'langsung', '']</t>
  </si>
  <si>
    <t>['', 'pokoknya', 'loss', 'bnyak', 'paket', 'murah', 'pokoknya', 'hepi', 'bngt', 'tsel', 'trus', 'nuker', 'poin', 'dapetin', 'toyota', 'yaris', 'semoga', 'menang', 'udah', 'tsel']</t>
  </si>
  <si>
    <t>['harga', 'paket', 'internetnya', 'adain', 'unlimited', 'donk', 'telkomsel', 'harganya', 'tolong', 'sesuaikan', 'pandemi', 'banyakin', 'bonus', 'potongan', 'harganya', 'thank']</t>
  </si>
  <si>
    <t>['', 'telkomsel', 'burukkkkkkkkkkkkkkkkkkkkkkkkkkkkkkkk', 'jeeeelllleeeeeeeeekkkkkkk', 'harga', 'paket', 'internet', 'mahal', 'banget', 'gimana', 'beli', 'banyk', 'orang', 'beli', 'paket', 'data', 'coba', 'mikir', 'pelajar', 'kecewa', 'app', 'telkomsel', 'harga', 'peket', 'internet', 'dikasih', 'diskon', 'diskon', 'kali', 'sulit', 'pandemi', 'pelajar', 'membutuhkan', 'paket', 'internet', 'ramah', 'didompet', 'tolong', '']</t>
  </si>
  <si>
    <t>['pulsa', 'tersedot', 'kuota', 'sosmed', 'gb', 'menyalakan', 'data', 'kuota', 'disedot', 'pulsa', 'disedot', 'habis', 'bis', 'bis', 'tersisa', 'rp', 'masyarakat', 'indonesia', 'miskin', 'gara', 'gara', 'pakai', 'telkomsel', '']</t>
  </si>
  <si>
    <t>['aneh', 'kmren', 'beli', 'paket', 'corporate', 'udah', 'isi', 'pulsa', 'menu', 'paket', 'corporatenya', 'hilang', 'beli', 'kuota', 'combo', 'muncul', 'paket', 'corporate', 'barusan', 'paket', 'combo', 'abis', 'isi', 'pulsa', 'harganya', 'berubah', 'paket', 'licik']</t>
  </si>
  <si>
    <t>['telkomsel', 'skrg', 'kartunya', 'nonton', 'denger', 'musik', 'kah', 'telkomsel', 'internet']</t>
  </si>
  <si>
    <t>['tolong', 'paket', 'dibeli', 'dimunculkan', 'kolom', 'belanja', 'capek', 'bolak', 'balek', 'nyoba', 'beli', 'bisabisa', 'dibeli', '']</t>
  </si>
  <si>
    <t>['pelanggan', 'telkomsel', 'puas', 'samapai', '']</t>
  </si>
  <si>
    <t>['nomor', 'simpati', 'diganti', 'kartu', 'halo', 'koq', 'berpindah', 'tangan', 'dipakai', 'orang', 'akses', 'group', 'untung', 'teman', 'jeli', 'ngeliat', 'telkomsel', 'berbahaya', 'ganti', 'kartu', 'grapari', 'margocity', 'depok', 'mohon', 'berhati', 'hati', 'pengguna', 'telkomsel', 'pengalaman', 'mengenakan', 'pelanggan', 'setia', 'telkomsel', '']</t>
  </si>
  <si>
    <t>['rada', 'lelet', 'yaa', 'telkomsel', 'youtube', 'lelet', 'udah', 'pasang', 'paket', 'unlimited', '']</t>
  </si>
  <si>
    <t>['bintangya', 'turunin', 'nth', 'mngapa', 'pas', 'transaksi', 'beli', 'paket', 'katany', 'pulsa', 'pdhl', 'pulsa', 'pas', 'ktika', 'beli', 'paket', 'hrgany', 'dibwah', 'pulsa', 'ttp', 'dibilng', 'pulsa', 'tlong', 'lhh', '']</t>
  </si>
  <si>
    <t>['seandainya', 'poin', 'langsung', 'ditukar', 'kuota', 'nambah', 'rupiah', 'joss', '']</t>
  </si>
  <si>
    <t>['aplikasi', 'mytelkomsel', 'membantu', 'transaksi', 'paket', 'datanya', '']</t>
  </si>
  <si>
    <t>['ditempatku', 'sinyalnya', 'lemot', 'banget', 'banget', 'banget', 'udah', 'keselnya', 'aktif', 'kuota', 'gb', 'lahkok', 'pulsaku', 'pakek', 'dipotong', 'piye', 'thooo', 'rugi', 'bandar', '']</t>
  </si>
  <si>
    <t>['ngisi', 'pulsa', 'langsung', 'dipotong', 'pembayaran', 'paket', 'darurat', 'ambil', 'paket', 'darurat', 'isi', 'pulsa', 'beli', 'kuota', 'sisa', 'pulsa', 'pembelian', 'habis', 'kuota', 'pulsa', 'habis', 'sungguh']</t>
  </si>
  <si>
    <t>['beli', 'paket', 'unlimited', 'youtube', 'seharga', 'sehari', 'kepotong', 'pulsa', 'tinggal', 'pulsa', 'habis', 'aktifin', 'paket', 'unlimited', 'youtube', 'lngsung', 'aplikasi', 'youtube', 'browsing', 'google', 'pulsa', 'kepotong', 'knp', 'kepotong', 'bener', 'bener', 'telkomsel', 'bad', 'service', 'thief', 'udah', 'gitu', 'paket', 'youtube', 'unlimited', 'dipake', 'buka', 'youtube', 'buffering', 'bintang', 'wajar', 'telkomsel', 'mksih']</t>
  </si>
  <si>
    <t>['diperbaharui', 'perangkat', 'terbaru', 'aneh', 'pulsa', 'gue', 'gue', 'beli', 'plsa', 'teln', 'sebulan', 'alsannya', 'pulsa', '']</t>
  </si>
  <si>
    <t>['menu', 'ceria', 'dilist', 'app', 'mytelkomsel', 'dibeli', 'hny', 'promosi', 'atw', 'menarik', 'konsumen', 'promo', '']</t>
  </si>
  <si>
    <t>['jaringan', 'banget', 'telkomsel', 'provider', 'best', 'indonesia', 'mantap', 'brosel', '']</t>
  </si>
  <si>
    <t>['pelanggan', 'telkomsel', 'poin', 'hangus', 'coba', 'tukar', 'poin', 'semoga', 'keberuntungan', 'berpihak', 'nomor', 'insya', 'allah', '']</t>
  </si>
  <si>
    <t>['komplain', 'kmrn', 'bln', 'beli', 'paket', 'society', 'semalam', 'tgl', 'paket', 'data', 'kemendikbud', 'bln', 'semalam', 'terpakai', 'kemendikbud', 'beli', 'gb', 'minggu', 'udh', 'habis', 'kemendikbud', 'bln', 'ngak', 'diperbaiki', 'sia', 'sia', 'beli', 'paket', 'data', 'gini', 'udah', 'hubungi', 'veronika', 'klen']</t>
  </si>
  <si>
    <t>['pulsa', 'potong', 'paket', 'lengkap', 'sisa', 'pulsa', 'bbrp', 'hilang', 'jaringan', 'pdhal', 'puluhan', 'telkomsel', 'koq', 'gini', 'yaa', 'kesini', '']</t>
  </si>
  <si>
    <t>['dasar', 'aplikasi', 'bodoh', 'isi', 'pulsa', 'langsung', 'kesedot', 'laporkan']</t>
  </si>
  <si>
    <t>['aplikasinya', 'bermanfaat', 'kartu', 'hallo', 'telkomsel', 'milik', 'semoga', 'kedepannya', 'pengguna', '']</t>
  </si>
  <si>
    <t>['aplikasi', 'harga', 'paketan', 'internetnya', 'mahal', 'dibanding', 'teman', 'pengguna', 'pelanggan', 'ditambah', 'promonya', 'berbeda', 'teman', 'pengguna', 'byk', 'promonya']</t>
  </si>
  <si>
    <t>['semoga', 'dapet', 'uuh', 'bismillah', 'pejuang', 'poin', 'cepet', 'unduh']</t>
  </si>
  <si>
    <t>['', 'beli', 'kuota', 'aplikasinya', 'aneh', 'jaringan', 'kenceng', 'koneksi', 'koneksi']</t>
  </si>
  <si>
    <t>['gimana', 'coba', 'dana', 'eror', 'pas', 'dana', 'udah', 'telkomsel', 'mohon', 'sambung', 'dana']</t>
  </si>
  <si>
    <t>['bangga', 'telkomsel', 'ganti']</t>
  </si>
  <si>
    <t>['kak', 'telkomsel', 'bermasalah', 'kemaren', 'beli', 'kuota', 'bermasalah', 'mengecewakan']</t>
  </si>
  <si>
    <t>['mohon', 'maaf', 'terpaksa', 'rating', 'bintang', 'prlu', 'btang', 'kcw', 'parah', 'bulanan', 'jaringan', 'khusus', 'dlm', 'rmh', 'hilang', 'pagar', 'bar', 'spot', 'kdg', 'edge', 'kdg', 'jrg', 'ganti', 'nomor', 'telkomsel', 'kmrin', 'hallo', 'nonatifkan', 'dipake', 'ayo', 'kasi', 'solusi', 'paksa', 'pindah', 'hati', 'gara', 'jaringan', 'provider', 'tetangga', 'lbh', 'bgs', 'grapari', 'laporkan', '']</t>
  </si>
  <si>
    <t>['', 'telkomsel', 'beda', 'pindah', 'kartu', 'halo', 'paket', 'unlimitid', 'bln', 'teryata', 'isi', 'pulsa', 'ketengan', 'klou', 'sms', 'bayarin', 'teryata', 'pulsa', 'bayarin', 'otomatis', 'membuka', 'sms', 'bayarin', 'tolong', 'admin', 'gimana', 'blm', 'byk', 'mohon', 'info', '']</t>
  </si>
  <si>
    <t>['kecewa', 'pakai', 'telkomsel', 'kuota', 'unlimited', 'pulsa', 'langsung', 'dipotong', 'habis', 'pas', 'malam', 'pemberitahuan', 'udah', 'kyak', 'gini', 'programnya', 'gimana', 'hati', 'hati', 'isi', 'pulsa', 'pakai', 'kuota']</t>
  </si>
  <si>
    <t>['diarahkan', 'telkomsel', 'mempermudah', 'pindah', 'paket', 'ujung', 'grapari', 'trus', 'gunanya', 'apk', 'mempermudah', 'call', 'center', 'ngarahkan', 'grapari', 'terdekat', 'nach', 'call', 'center', 'privilege', '']</t>
  </si>
  <si>
    <t>['mohon', 'perhatikan', 'telkomsel', 'skr', 'marak', 'lgi', 'nomer', 'kenal', 'masuk', 'lwt', 'tlp', 'sms', 'whatsapp', 'dll', 'mengganggu', 'aktifitas', 'trimakasih']</t>
  </si>
  <si>
    <t>['pulsa', 'beli', 'paket', 'pulsa', 'mencukupi', 'pulsa', 'berkurang', '']</t>
  </si>
  <si>
    <t>['jaringan', 'internet', 'telkomsel', 'mati', 'nyala', 'kecewa', '']</t>
  </si>
  <si>
    <t>['paket', 'internet', 'pulsa', 'sedot', 'internetan', 'bad', 'rating']</t>
  </si>
  <si>
    <t>['', 'pakek', 'telkomsel', 'kali', 'pulsa', 'gue', 'kesedot', 'paket', 'data', 'sms', 'mengakses', 'internet', 'tarif', 'non', 'paket', 'lucu', 'data', 'wifi', 'pulsa', 'raip', 'kemana', 'super', 'kecewa']</t>
  </si>
  <si>
    <t>['masalahh', 'internet', 'lambat', 'jaringan', 'data', 'terputus', 'tower', 'deket', 'lohh', 'klauu', 'gangguan', 'serba', 'mahal', 'lohh', 'paket', 'data', 'telkomsel', 'buruk']</t>
  </si>
  <si>
    <t>['paket', 'multimedia', 'pulsa', 'berkurang', 'gunanya', 'paket', 'multimedia', '']</t>
  </si>
  <si>
    <t>['tukarkan', 'poin', 'paketan', 'gagal', 'poin', 'penukaran', 'poin', 'gagal', 'sms', 'masuk', 'tukarkan', 'gagal', 'sistem', 'sibuk', 'mohon', 'bantuanya', 'smentara', 'kasih', 'bintang', 'update', 'kelanjutanya', 'kasih', 'bintang', '']</t>
  </si>
  <si>
    <t>['kartu', 'sinyal', 'susah', 'gangguan', 'mulu', 'setan', 'bener']</t>
  </si>
  <si>
    <t>['kecewa', 'kekuatan', 'sinyal', 'kartu', 'katru', 'klah', 'kekutan', 'sinyalnya', 'axis', 'lainya']</t>
  </si>
  <si>
    <t>['salah', 'kuota', 'internet', 'habis', 'pastikan', 'memiliki', 'kuota', 'cek', 'berkala', 'kuota', 'beli', 'paket', 'tsel', 'tsel', 'hub', '']</t>
  </si>
  <si>
    <t>['jaringannya', 'busukkkk', 'nge', 'lag', 'klu', 'dipake', 'nge', 'game', 'sesuai', 'harga', 'paket', 'super', 'mahal', 'kualitas', 'mumpuni', '']</t>
  </si>
  <si>
    <t>['telkomsel', 'babi', 'sinyal', 'ancur', 'recomend', 'bngt', 'provider', 'tolol', 'emosi']</t>
  </si>
  <si>
    <t>['aplikasi', 'bagus', 'harga', 'paket', 'grapari', 'telkomsel', 'counter', '']</t>
  </si>
  <si>
    <t>['kuota', 'mahal', 'harga', 'signal', 'paket', 'data', 'pengguna', 'telkomsel', 'kecewa', 'kualitas', 'telkomsel', 'menurun', 'berpindah', '']</t>
  </si>
  <si>
    <t>['', 'paket', 'ribu', 'bula', 'mahal', 'aneh', 'males', 'telkomsel', '']</t>
  </si>
  <si>
    <t>['paket', 'telkomsel', 'kebijaksanan', 'paket', 'murah', 'karnakan', 'dampak', 'ppkm', 'menikan', 'paket', 'klw', 'pelanggan', 'telkomsel', 'pindah', '']</t>
  </si>
  <si>
    <t>['tolong', 'respon', 'beli', 'paket', 'combo', 'sakti', 'max', 'dipakai', 'full', 'berkurang']</t>
  </si>
  <si>
    <t>['poin', 'jelek', 'pengisian', 'pulsa', 'dapet', 'penukaran', 'paket', 'data', 'bayar', 'kartu', 'penukaran', 'poin', 'langsung', 'paket', 'data', 'parah', 'menang', 'mahal', 'doang', 'kaga', 'sesuai', '']</t>
  </si>
  <si>
    <t>['download', 'jaringan', 'telkomsel', 'payah', 'ngehubungi', 'via', 'email', 'telkomsel', 'perubahan', 'tetep', 'parah', 'mending', 'ganti', 'provider', '']</t>
  </si>
  <si>
    <t>['beli', 'paket', 'promo', 'gb', 'cek', 'gb', 'paket', 'reguler', 'sisahnya', 'gb', 'unlimited', 'gb', 'biaya', 'admin', 'sayangnya', 'unlimitednya', 'mbps', 'lalod', 'parah', 'youtube', 'nda', 'telkomsel', 'please', 'niat', 'promo', 'stengah', '']</t>
  </si>
  <si>
    <t>['isi', 'voucher', 'tulisan', 'jaringan', 'sibuk', 'kemarin', 'sampe', 'tetep', 'udh', 'kali', 'beli', 'voucher', 'buang', 'duit', 'voucher', 'tolong', 'solusinya', '']</t>
  </si>
  <si>
    <t>['hujan', 'listrik', 'mati', 'sinyal', 'hilang', 'harga', 'paket', 'internet', 'telpon', 'mahal', 'banding', 'provider', 'sevice', 'sebanding', 'harga']</t>
  </si>
  <si>
    <t>['telkomsel', 'emang', 'keren', 'th', 'pakek', 'telkomsel', 'sinyal', 'kuat', 'jarang', 'gangguan', 'harga', 'sesuai', 'kwalitas', 'pokok', 'cinta', 'telkomsel']</t>
  </si>
  <si>
    <t>['org', 'download', 'masuk', 'tulisannya', 'memuat', 'halaman', 'trs', 'wifi', 'tolong', 'dongg']</t>
  </si>
  <si>
    <t>['nga', 'login', 'abis', 'update', 'udah', 'klik', 'link', 'dikirim', 'via', 'sms', 'mail', 'ttp', 'nga', 'login']</t>
  </si>
  <si>
    <t>['telkomsel', 'gerangan', 'sinyal', 'tpi', 'ngelag', 'kartu', 'sebelah', 'asli', 'capee', 'diginiin', 'udh', 'nyaman', 'gini', 'berpaling', 'kartu', 'telkomsel', 'percaya', 'dri', 'kelas', 'pliis']</t>
  </si>
  <si>
    <t>['tolong', 'sediakan', 'fitur', 'lock', 'pulsa', 'mengganggu', 'jaringan', 'telkomsel', 'jelek', 'paket', 'ceria', 'jaringan', 'pulsa', 'keserep', 'tolong', 'sediakan', 'fitur']</t>
  </si>
  <si>
    <t>['telkomsial', 'tingkatkan', 'kualitas', 'jaringan', 'tanah', 'karo', 'sumatra', 'utara', 'kabanjahe', 'bagus', 'tutup', 'jaringan', 'bangke', 'bolak', 'mode', 'pesawat', 'laporkan', 'keluhan', 'telkomsial', 'jawabannya', 'gangguan', 'peningkatan', 'jaringan', 'habis', 'alasan', 'paket', 'rb', 'sebulan', 'kualitas', 'jaringan', 'taik', 'perbaharuan', 'aplikasi', 'mb', 'jalannya', 'taik', 'nyangkut', 'pipa', 'air', 'kesel', 'kali', 'udh', 'telkomsial']</t>
  </si>
  <si>
    <t>['tolong', 'telkomsel', 'info', 'sinyal', 'buruk', 'kasian', 'ojol', 'ngeluh', 'susah', 'orderan', 'sinyal', 'ilang', 'ilang', '']</t>
  </si>
  <si>
    <t>['ngaktivin', 'paket', 'kali', 'aplikasi', 'status', 'diproses', 'aktivasi', 'nunggu', 'jam', 'ujung', 'ujungnya', 'solusi', 'aplikasi']</t>
  </si>
  <si>
    <t>['tukar', 'point', 'kuota', 'point', 'susah', 'ampun', 'sistem', 'aibul']</t>
  </si>
  <si>
    <t>['mengecewakan', 'berlangganan', 'mengecewakan', '']</t>
  </si>
  <si>
    <t>['oke', 'coba', 'install', 'jaringan', 'uda', 'bagus', 'kasih', 'bintang', 'klau', 'bnar', 'bagus', 'ntr', 'kasih', '']</t>
  </si>
  <si>
    <t>['tinggal', 'dikota', 'jaringan', 'tetep', 'bambang', 'bambang', 'gmn', 'tinggal', 'dipelosok', 'wkwkwk', 'kalah', 'provaider']</t>
  </si>
  <si>
    <t>['tolong', 'perbaiki', 'telkomsel', 'area', 'ogan', 'komering', 'ulu', 'kususnya', 'kota', 'baturaja', 'sinyal', 'internet', 'drop', 'pengguna', 'telkomsel', 'kecewa', 'krna', 'beli', 'oaket', 'data', 'mahal', 'sesui', 'pelayanan', 'tolong', 'respon']</t>
  </si>
  <si>
    <t>['niatnya', 'balikin', 'pulsa', 'kouta', 'darurat', 'isi', 'rb', 'makan', 'aduh', 'parah', 'operator', '']</t>
  </si>
  <si>
    <t>['udah', 'kecewa', 'telkomsel', 'jaringan', 'lelet', 'nauzubillah', 'jaringan', 'hilang', 'harap', 'kecewa', 'telkomsel', '']</t>
  </si>
  <si>
    <t>['memudahkan', 'pembelian', 'paket', 'internet', 'promo', 'menarik', '']</t>
  </si>
  <si>
    <t>['bertahun', 'setia', 'make', 'telkomsel', 'nggak', 'pemeliharaan', 'sinyal', 'stabil', 'service', 'pelanggan', 'menurun', 'kentang', 'brand']</t>
  </si>
  <si>
    <t>['mohon', 'dibantu', 'upgrade', 'sinyal', 'desa', 'hewokloang', 'kecamatan', 'hewokloang', 'kabupaten', 'sikka', 'ntt', 'sinyal', 'daerah', 'menyedihkan', 'desa', 'sebelah', 'jaringannya', 'bagus', 'jaringan', 'internet', 'susah', 'wilayah', 'mohon', 'bantuannya']</t>
  </si>
  <si>
    <t>['beli', 'kuota', 'combo', 'sakti', 'unlimited', 'gb', 'hri', 'pas', 'kuota', 'utama', 'habis', 'pulsa', 'kepotong', 'cek', 'deskripsi', 'paket', 'combo', 'sakti', 'unlimited', 'kuota', 'utama', 'habis', 'kecepatan', 'internet', 'sesuaikan', 'kbps', 'memotong', 'pulsa', 'pelanggan', 'sarankan', 'beli', 'kuota', 'combo', 'sakti', 'telkomsel', 'nipu', 'kecewa', '']</t>
  </si>
  <si>
    <t>['sinyal', 'internet', 'kampung', 'harga', 'mahal', 'perbaikilah', 'spiker', 'jagan', 'malas', '']</t>
  </si>
  <si>
    <t>['lelet', 'akses', 'jaringan', 'telkomsel', 'minggu', 'mohon', 'bantu', 'min', 'koeta', 'lelet', 'tinggal', 'kota', 'aceh', '']</t>
  </si>
  <si>
    <t>['telkomsel', 'jelek', 'bagus', 'parah', 'main', 'game', 'jaringan', 'langsung', 'hilang', 'giliran', 'konek', 'pemain', 'game', 'suka', 'emosi', 'karna', 'jaringan', 'hilang', 'cepat', 'panas', 'karna', 'jaringan', 'stabil', 'perbaiki', 'kecewa', '']</t>
  </si>
  <si>
    <t>['jaringan', 'wilayah', 'kota', 'banda', 'aceh', 'bagus', 'putus', 'putus', 'jaringan']</t>
  </si>
  <si>
    <t>['jaringan', 'telkomsel', 'anak', 'haram', 'paket', 'mahal', 'jaringannya', 'diperbaiki', 'ajg', 'mahal', 'lelet', 'mati', 'bnagsat']</t>
  </si>
  <si>
    <t>['sorry', 'turunin', 'jaringan', 'telkomsel', 'payah', 'udh', 'masuk', 'ruangan', 'jaringan', 'langsung', 'ilang']</t>
  </si>
  <si>
    <t>['pulsa', 'kepotong', 'telkomsel', 'dibuka', 'wifi', 'rumah', '']</t>
  </si>
  <si>
    <t>['aplikasi', 'najis', 'mulu', 'login', 'netep', 'hrus', 'login', 'ulang', 'sampah', 'ribet', 'masuk', '']</t>
  </si>
  <si>
    <t>['kuota', 'mahal', 'jaringan', 'siput', 'nyesel', '']</t>
  </si>
  <si>
    <t>['ngelag', 'udah', 'sinyaln', 'parah', 'mahal', '']</t>
  </si>
  <si>
    <t>['mengisi', 'pulsa', 'masuk', 'nlp', 'kali', 'tlp', 'nlp', 'memuaskan', 'kecewa']</t>
  </si>
  <si>
    <t>['bintang', 'kalai', 'update', 'unlimited', 'bosen', 'beli', 'paket', 'mahal', 'ribu', 'dapet', 'giga', 'max', 'pemakaian', 'sekian', 'terimakasih', 'semoga', 'kedepannya', 'unlimited', 'paket']</t>
  </si>
  <si>
    <t>['kartu', 'paketan', 'murah', 'murah', 'kartu', 'kecewasiii']</t>
  </si>
  <si>
    <t>['date', 'applikasi', 'telkomsel', 'akun', 'otomatis', 'log', 'out', 'log', 'susah', 'nunggu', 'kinfirmasi', 'sms', 'menit', 'masuk', 'otp', 'code', 'habya', 'berlaku', 'detik', 'pulsa', 'terpitong', 'isi', 'pulsa', 'ribu', 'besoknya', 'sisa', 'ribu', 'paket', 'data', 'aktiv', 'sekelas', 'telkomsel', 'lho', 'helllooooo']</t>
  </si>
  <si>
    <t>['biaya', 'transfer', 'pulsa', 'mahal', 'minimum', 'sisa', 'pulsa', 'transfer', 'dinaikkan', 'ribu', 'rupiah', 'nanggung', 'banget', '']</t>
  </si>
  <si>
    <t>['pulsa', 'kesedot', 'beli', 'pulsa', 'rp', 'aneh', 'data', 'selulernya', 'dinyalain', 'niatnya', 'beli', 'paket', 'kuota', 'sebulan']</t>
  </si>
  <si>
    <t>['', 'jaringan', 'lemot', 'driver', 'ojol', 'susah', 'orderan', 'mohon', 'kejelasannya', '']</t>
  </si>
  <si>
    <t>['semenjak', 'pulsa', 'potong', 'detail', 'daily', 'check', 'notif', 'males', 'pke', 'tsel', 'jlas', 'aplikasi', 'qna', 'sma', 'veronica', 'dpt', 'solusi', 'mgkin', 'suruh', 'pindah', 'haluan', 'langsung', '']</t>
  </si>
  <si>
    <t>['yaa', 'penjualan', 'paket', 'suka', 'berbeda', 'pengguna', 'telkomsel', '']</t>
  </si>
  <si>
    <t>['sinyal', 'kuat', 'manapun', 'slalu', 'promo', 'kuota', 'hadiah', 'menarik', 'optimis']</t>
  </si>
  <si>
    <t>['membuka', 'aplikasi', 'telkomsel', 'lancar', 'membuka', 'kaliny', 'aplikasi', 'telkomsel', 'layar', 'putih', 'haeus', 'download', 'lagu', 'buka', 'mhon', 'penjelasannya']</t>
  </si>
  <si>
    <t>['bgs', 'bat', '']</t>
  </si>
  <si>
    <t>['beli', 'paket', 'telkomsel', 'diproses', 'kelanjutannya', 'gagal', 'sukses', 'pindah', 'provider', 'semoga', 'cepat', 'teratasi']</t>
  </si>
  <si>
    <t>['paket', 'data', 'abis', 'langsung', 'nyedot', 'pulsa', 'nyedotnya', 'parah', '']</t>
  </si>
  <si>
    <t>['lemot', 'terpaksa', 'pakai', 'telkomsel', 'kampung', 'ngak', 'pesaingnya']</t>
  </si>
  <si>
    <t>['telkomsel', 'tlp', 'seluler', 'murah', 'klau', 'paketan', 'internet', 'mahal', 'banding']</t>
  </si>
  <si>
    <t>['terimakasih', 'sekelas', 'telkomsel', 'jaringan', 'jarang', 'diskon', 'paketan', 'internet', 'terbilang', 'mahal', 'terhitung', 'pelanggan', 'jarang', 'rewardnya', 'semoga']</t>
  </si>
  <si>
    <t>['mentang', 'paket', 'promo', 'ceria', 'pagi', 'coba', 'aktif', 'pembelian', 'proses', 'tunggu', 'aktivasi', 'sampe', 'tunggu', 'udah', 'pagi', 'pasang', 'paket', 'aktif', 'mohon', 'kejelasan', '']</t>
  </si>
  <si>
    <t>['', 'beli', 'pulsa', 'kesedot', 'trus', 'paket', 'internet', 'telkomsel', 'kah', 'kesini', 'meragukan', '']</t>
  </si>
  <si>
    <t>['halo', 'kak', 'nama', 'mhd', 'riski', 'ridho', 'nanya', 'kak', 'penukaran', 'poin', 'diamond', 'free', 'fire', 'apk', 'telkomsel', 'ngk', 'kak', 'bagaimna', 'mengatasinya']</t>
  </si>
  <si>
    <t>['buruk', 'jaringan', 'telkomsel', 'beli', 'paketnya', 'mahal', 'jaringannya', 'jelek']</t>
  </si>
  <si>
    <t>['tolong', 'telkom', 'perbaiki', 'sistem', 'isi', 'pulsa', 'nyalain', 'data', 'detik', 'ilang', 'pulsa', 'merugikan', 'banget', '']</t>
  </si>
  <si>
    <t>['signal', 'kuat', 'pelosok', 'thn', 'pakai', 'telkomsel', '']</t>
  </si>
  <si>
    <t>['telkomsel', 'kesini', 'jelek', 'jaringannya', 'dirumah', 'udah', 'bertahun', 'telkomsel', 'tolong', 'diperbaiki', 'yaaa', 'suka', 'kesel', 'gara', 'jaringan', 'jelek']</t>
  </si>
  <si>
    <t>['telkomsel', 'migrasi', 'kartu', 'halo', 'sinyal', 'selincah', 'smartfren', 'area', 'cikarang', 'selatan', 'bekasi']</t>
  </si>
  <si>
    <t>['kasi', 'bintang', 'tolong', 'prank', 'jaringannya', 'jekpot', '']</t>
  </si>
  <si>
    <t>['paket', 'sisa', 'mb', 'download', 'diplaystore', 'mb', 'jebol', 'sisa', 'mahal', 'bet', 'masi', 'nunggu', 'muncul', 'kuota', 'murah', '']</t>
  </si>
  <si>
    <t>['responsip', 'migrasi', 'kartu', 'halo', 'sayangnya', 'kartu', 'nomor', 'hangus', 'berhenti', 'berlangganan', 'kartu', 'halo', '']</t>
  </si>
  <si>
    <t>['senang', 'dng', 'telkomsel', 'bantuan', 'gratis', 'kuota', 'guru', 'siswa', 'disekolah', 'pandemi', 'covid', 'bersyukur', 'semoga', 'telkomsel', 'maju', 'jaya', 'sukses', 'aamiin', '']</t>
  </si>
  <si>
    <t>['aplikasi', 'bagus', 'makan', 'kuota', 'aplikasi', 'versi', 'isi', 'promo', 'kuota', 'aplikasi', 'bnyk', 'brita', 'gtu', 'mreka', 'nyri', 'uang', 'dri', 'iklan', 'brita', 'tpi', 'ganggu']</t>
  </si>
  <si>
    <t>['perbaiki', 'jaringannya', 'kali', 'tinggal', 'kota', 'dimana', 'lag', 'kalah', 'kartu', 'dimana', 'lancar', '']</t>
  </si>
  <si>
    <t>['lumayan', 'bagus', 'kadang', 'lelet', 'jaringan', 'mudah', 'mudahan']</t>
  </si>
  <si>
    <t>['nipu', 'isi', 'pulsa', 'paket', 'sekian', 'giliran', 'isi', 'beli', 'paketnya', 'sibuk', 'paketnya', 'ilang', 'rugi', 'gua', 'isi', 'pulsa']</t>
  </si>
  <si>
    <t>['aolikasi', 'seru', 'promo', 'mahal', 'pengguna', 'telkomsel', 'udah', 'tadinta', 'asik', 'ribet', 'pindah', 'jaringan', 'tri']</t>
  </si>
  <si>
    <t>['seringkali', 'koneksi', 'lokasi', 'jabodetabek', 'namakan', 'cinta', 'kumaha', 'atuh', 'mang', '']</t>
  </si>
  <si>
    <t>['makasih', 'tsel', 'berkat', 'retak', 'earphone', 'putus', 'kena', 'mental']</t>
  </si>
  <si>
    <t>['perbanyak', 'paket', 'paket', 'promo', 'kasih', 'limit', 'beli']</t>
  </si>
  <si>
    <t>['data', 'game', 'nggak', 'main', 'free', 'fire', 'mobile', 'legends', 'telkomsel', 'musuhan', 'game', 'free', 'fire', 'mohon', 'tanggapannya', '']</t>
  </si>
  <si>
    <t>['sinyalnya', 'payah', 'bener', 'simpati', 'sinyalnya', 'oke', 'kalah', 'paket', 'kasih', 'bintang']</t>
  </si>
  <si>
    <t>['maaf', 'pengembang', 'kasih', 'masukan', 'tolong', 'perbaiki', 'jaringan', 'pelosok', 'desa', 'desa', 'indonesia', 'jaringan', 'jelek', 'kartu', 'telkomsel', 'jaringan', 'lemah', 'hadi', 'mengganggu', 'penguna', 'pergi', 'cari', 'jaringan', 'jaringannya', 'jaringan', 'lumayan', 'kerja', 'tugas', 'jalan', 'km']</t>
  </si>
  <si>
    <t>['gimana', 'sinyalnya', 'kaga', 'lemot', 'udah', 'kota']</t>
  </si>
  <si>
    <t>['tingkatkan', 'fitur', 'fitur', 'apk', 'mytelkomsel', '']</t>
  </si>
  <si>
    <t>['telkomsel', 'knapa', 'slalu', 'isi', 'pulsa', 'kepake', 'slalu', 'kesedot', 'sms', 'ndam', 'telfn', 'ndak', 'ngutang', 'ndak', 'maunya', 'nyedot', 'coba', 'balas', 'ulasan', '']</t>
  </si>
  <si>
    <t>['telkomsel', 'balikan', 'pulsa', 'masak', 'beli', 'paket', 'internet', 'pulsa', 'ambil', 'beli', 'pulsa', 'mintak', 'tolong', 'kembalikan', 'pulsa']</t>
  </si>
  <si>
    <t>['telkomsel', 'kesini', 'parah', 'ganti', 'kartu', '']</t>
  </si>
  <si>
    <t>['paket', 'emang', 'jaringan', 'buruk', 'pembelian', 'mahal', 'kuat', 'makai', 'telkomsel', 'indosat', 'ayo', 'buang', 'kartu', 'telkomsel', 'teman', 'ganti', 'pakai', 'indosat', 'jamin', 'jaringan', '']</t>
  </si>
  <si>
    <t>['udah', 'make', 'telkomsel', 'jaringan', 'lemot', 'banget', 'kalah', 'kartu', 'kartu', 'pulsa', 'kesedot', 'datanya', 'diaktifkan', 'trus', 'pulsa', 'kepotong', 'pdahal', 'minjam', 'paket', 'darurat', '']</t>
  </si>
  <si>
    <t>['layanan', 'customer', 'center', 'kartu', 'halo', 'membantu', 'terkesan', 'persulit', 'bad', 'service', '']</t>
  </si>
  <si>
    <t>['kemudahan', 'transaksi', 'bagus', 'banget', 'tolong', 'jaringan', 'diperbaiki', '']</t>
  </si>
  <si>
    <t>['sinyal', 'telkomsel', 'jelek', 'buka', 'aplikasi', 'sinyalnya', 'bagus', 'main', 'game', 'sinyalnya', 'jelek', 'tolong', 'perbaiki', 'costumer', 'nyaman', '']</t>
  </si>
  <si>
    <t>['bagus', 'kualitas', 'sinyal', 'apek', 'hadeuh', '']</t>
  </si>
  <si>
    <t>['buruk', 'jaringannya', 'kota', 'jkrt', 'sinyal', 'turun', 'cepat', 'habis', 'internet', 'loading', 'mulu', 'lemot', '']</t>
  </si>
  <si>
    <t>['mohon', 'maaf', 'bintang', 'sebulan', 'jaringan', 'lag']</t>
  </si>
  <si>
    <t>['bagus', 'banget', 'pembelian', 'packet', 'kuota', 'terhitung', 'murah', 'sinyal', 'dikami', 'bagus', 'klu', 'packet', 'kasih', 'murah', 'pakai', 'combo', 'sakti', '']</t>
  </si>
  <si>
    <t>['harga', 'paket', 'mahal', 'kualitas', 'jelek', 'jam', 'siang', 'jaringan', 'lbih', 'parahnya', 'jaringan', 'edge', 'telkomsel', 'tolong', 'perbaiki', 'jaringan', 'pengguna', 'setia', 'telkomsel', '']</t>
  </si>
  <si>
    <t>['', 'tuhan', 'salah', 'apalg', 'beli', 'pulsa', 'kesedot', 'mulu', 'udh', 'stop', 'msh', 'koutanya', 'mahal', '']</t>
  </si>
  <si>
    <t>['kuota', 'sms', 'mengakses', 'internet', 'non', 'paket', 'motong', 'pulsa', 'aneh', 'perbaiki', 'kenyamanan', 'pelanggan', '']</t>
  </si>
  <si>
    <t>['internetnya', 'lemot', 'banget', 'aplikasi', 'buka', 'mytelkomsel', 'cepat', 'aneh', '']</t>
  </si>
  <si>
    <t>['membantu', 'cepat', 'semoga', 'telkomsel', 'terbaii', '']</t>
  </si>
  <si>
    <t>['parah', 'nyedot', 'pulsa', 'transaksi', 'uda', 'berkali', 'kali', 'pulsa', 'disedot', 'veronika', 'jawabannya', 'robot', 'solusi']</t>
  </si>
  <si>
    <t>['berlangganan', 'telkomsel', 'perhatikan', 'qualitas', 'telkomsel', 'buruk', 'telpon', 'internetan', 'jelek', 'mudah', 'terputus', 'harga', 'termahal', 'qualitas', 'jarang', 'perhatikan', 'buru', 'buru', 'promo', 'nyaman', 'dipake']</t>
  </si>
  <si>
    <t>['mencoba', 'aplikasi', 'mudah', 'mudahan', 'dpt', 'info', 'lbh', 'dpt', 'hadiahnya', '']</t>
  </si>
  <si>
    <t>['sbnernya', 'suka', 'telkomsel', 'tlpon', 'mahal', 'sodara', 'cianjur', 'tlpon', 'murah', 'bagus', 'knpa', 'kabupaten', 'beda', 'paket', 'murah', 'beli', 'sebulan', 'enak', 'gitu', 'duit']</t>
  </si>
  <si>
    <t>['beli', 'kuota', 'omg', 'muncul', 'ekstra', 'unlimited', 'yahh', 'tolong', 'bantu', 'beli', 'pulsa', 'mahal', 'lohhh', '']</t>
  </si>
  <si>
    <t>['berulang', 'kali', 'suami', 'bermasalah', 'jaringan', 'buruk']</t>
  </si>
  <si>
    <t>['membantu', 'informasi', 'konsumen', 'profesional', 'tingkatkan']</t>
  </si>
  <si>
    <t>['tolong', 'diperhatikan', 'diperhatikan', 'kuota', 'habis', 'langsung', 'nyedot', 'saldo', 'pulsa', 'kali', 'berulang', 'tindakan', 'perbaiki', 'systemnya', 'sinyal', 'kali', 'ilang', 'area', 'gurah', 'kediri']</t>
  </si>
  <si>
    <t>['uang', 'bapa', 'uang', 'cari', 'beliin', 'kuota', 'jaringan', 'telkomsel', 'jngan', 'main', '']</t>
  </si>
  <si>
    <t>['', 'samsung', 'beli', 'paketan', 'internet', 'ngga', 'buka', 'you', 'tube', 'buka', 'aplikasi', 'map', 'rubah', 'pengaturan', 'thank', '']</t>
  </si>
  <si>
    <t>['telkomsel', 'penipu', 'pulsaku', 'habis', 'disedot', 'pdhal', 'nsp', 'paket', 'stand', 'telponan', 'whatsapp', 'udah', 'cek', 'counternya', 'langsung', 'disedot', 'makanlah', 'pulsa', 'cepat', 'kaya', 'kau', '']</t>
  </si>
  <si>
    <t>['apk', 'dibuka', 'loading', 'bener', 'jaringan', 'kenceng', 'dipake', 'nonton', 'youtube', 'kualitas', 'hd', 'lancar', 'download', 'tembus', 'kecepatan', 'mb', 'android', 'udh', 'giliran', 'buka', 'apk', 'loadingnya', 'bener', 'serasa', 'jaringan', '']</t>
  </si>
  <si>
    <t>['pelanggan', 'telkom', 'ksini', 'pelayanan', 'telkom', 'memuaskan', 'hilangnya', 'sinyal', 'mohon', 'diperbaiki', 'pelayanan', '']</t>
  </si>
  <si>
    <t>['aplikasinya', 'bgs', 'banget', 'ngak', 'nyesel', 'deh', 'gue', 'dwonload', 'install', 'buruan', 'deh', 'install', '']</t>
  </si>
  <si>
    <t>['jaringan', 'down', 'kadang', 'kadang', 'hilang', 'mohon', 'perbaiki', '']</t>
  </si>
  <si>
    <t>['parah', 'telkomel', 'paketin', 'quota', 'pembayaran', 'gopay', 'nyari', 'metode', 'pembayaran', 'telkomsel', 'parah', '']</t>
  </si>
  <si>
    <t>['pulsa', 'dibuka', 'pulsa', 'makan', 'pulsa', 'isi', 'ribu', 'beli', 'paket', 'kunjung', 'proses', 'pulsa', 'dipotong', 'alasan', 'internet', 'paket', 'notif', 'paket', 'dibeli', 'dibeli', 'karna', 'pulsa', 'mencukupi', 'taik', '']</t>
  </si>
  <si>
    <t>['dear', 'developer', 'telkom', 'knp', 'jaringan', 'telkom', 'susah', 'nyaman', 'jaringan', 'telkom', 'lancar', 'tpi', 'knp', 'lambat', 'kecewa', 'telkom', '']</t>
  </si>
  <si>
    <t>['paket', 'datanya', 'murah', 'meriah', 'jaringan', 'wilayah', 'pondok', 'labu', 'cilandak', 'bagus']</t>
  </si>
  <si>
    <t>['telkomsel', 'bagus', 'tolong', 'min', 'pembelian', 'paket', 'data', '']</t>
  </si>
  <si>
    <t>['sinyal', 'kaya', 'axsis', 'mah', 'udah', 'mah', 'mahal', 'kualitas', 'jaringan', 'lemot', 'mah', 'kaya']</t>
  </si>
  <si>
    <t>['rusak', 'telkomsel', 'gila', 'paket', 'kuota', 'murah', 'ditambah', 'kagak', 'parah', 'sumpah', 'telkomsel', 'skrg']</t>
  </si>
  <si>
    <t>['alhamdulillah', 'udah', 'pakek', 'telkomsel', 'harga', 'paket', 'terjangkau', 'membantu', 'pekerjaan', 'terima', 'kasih', 'telkomsel']</t>
  </si>
  <si>
    <t>['lunas', 'mengembalikan', 'paket', 'darurat', 'kehabisan', 'pulsa', 'aktifkan', 'paket', 'darurat', 'hub', 'cek', 'aplikasi', 'mytelkomsel', 'berlaku', 'lucu', 'paksa', 'bayar', 'perna', 'pinjam', 'ambil', 'paket', 'utang', 'lansung', 'main', 'potong', 'pulsa', 'top', 'pulsa']</t>
  </si>
  <si>
    <t>['pelanggan', 'setia', 'harga', 'kuota', 'nggak', 'murah', 'mahal', 'bener', 'kuota', 'kebutuhanku', 'dikit', 'rugi', '']</t>
  </si>
  <si>
    <t>['simple', 'membantu', 'memudahkan', 'info', 'program', 'telkomsel']</t>
  </si>
  <si>
    <t>['kasih', 'bintang', 'kalah', 'tetangga', 'sebelah', 'bebas', 'akses', 'kuota', 'pas', 'kuota', 'habis', 'beli', 'paket', 'app', 'susah', 'karna', 'paketan', '']</t>
  </si>
  <si>
    <t>['pakai', 'telkomsel', 'teruslah', 'terbaik', 'prlanggan']</t>
  </si>
  <si>
    <t>['aplikasinya', 'bermasalah', 'upgrade', '']</t>
  </si>
  <si>
    <t>['kasih', 'promo', 'paket', 'murah', 'kak', 'pandemi', 'kak', 'susah', 'uang', 'butuh', 'kuota', 'paket', 'murah', 'dihilangin']</t>
  </si>
  <si>
    <t>['ngelag', 'ngelag', 'main', 'game', 'sinyal', 'telkomsel', 'solusi', 'keterangan', 'kartu', 'udah', 'sinyal', 'kadang', 'stabil', '']</t>
  </si>
  <si>
    <t>['kecewa', 'kecewa', 'tdi', 'promo', 'gb', 'seminggu', 'belik', 'tunggu', 'pulsa', 'kepotong', 'kecewa']</t>
  </si>
  <si>
    <t>['diupdate', 'nggak', 'dibuka', 'ngebug', 'crash', 'beli', 'paket', 'data', 'kembalikan', 'aplikasi', 'telkomsel', 'update', 'terimakasih', 'memperbaiki', 'aplikasinya', 'seneng', 'customer', 'care', 'pofesional', 'memperhatikan', 'kepuasan', 'pelanggan', 'sukses', 'telkomsel', '']</t>
  </si>
  <si>
    <t>['transaksi', 'ceria', 'proses', 'pulsa', 'habis', 'paketnya', 'kunjung', 'diterima']</t>
  </si>
  <si>
    <t>['aplikasi', 'bermasalah', 'koneksi', 'jaringan', 'lelet', 'muncul', 'ikon', 'postingan', 'laman', 'apk', 'harga', 'udah', 'segitu', 'tergantung', 'wilayahnya', '']</t>
  </si>
  <si>
    <t>['tlp', 'operator', 'gratis', 'paket', 'halo', 'unlimited', 'kenyataan', 'kena', 'biaya', 'pulsa', 'gtu', 'pakat', 'multimedia', 'ngga', 'kena', 'data']</t>
  </si>
  <si>
    <t>['kadang', 'nge', 'lag', 'kak', 'memudahkan', 'semoga', 'berkah', 'untukku', 'insyallah']</t>
  </si>
  <si>
    <t>['aplikasi', 'loadingnya', 'lambat', 'metode', 'pembayaran', 'diakses', 'aplikasi', 'promo', 'dibeli', 'gue', 'telkomsel', 'promo', 'ogah', 'promo', 'mahal', 'paketnya', 'tutup', 'loe']</t>
  </si>
  <si>
    <t>['balikin', 'pulsa', 'ribu', 'transaksi', 'sukses', 'pulsanya', 'masuk', 'terlkomsel', '']</t>
  </si>
  <si>
    <t>['kuota', 'belajar', 'kek', 'sampah', 'ngikut', 'gmeet', 'aplikasi', 'conference', 'lancar', 'black', 'screen', 'masuk', 'aplikasi', 'mulu', '']</t>
  </si>
  <si>
    <t>['tingkatkan', 'pelayanan', 'kualitas', 'harga', 'terjangkau', 'kalangan', 'menengah', 'kebawah', '']</t>
  </si>
  <si>
    <t>['tolong', 'banget', 'telkom', 'perbaiki', 'lupa', 'maketin', 'klik', 'nyalain', 'data', 'pulsa', 'langsung', 'abis', 'kek', 'buang', 'uang', 'harap', 'lihat', 'perbaiki', 'uang', 'susah', '']</t>
  </si>
  <si>
    <t>['kecewa', 'karna', 'pemberitahuan', 'telkomsel', 'paket', 'darurat', 'aktif', 'pinjam', 'paket', 'darurat', 'dimana', 'paket', 'berguna', 'kecewa', 'telkomsel', 'sampe', 'percaya', 'kesel']</t>
  </si>
  <si>
    <t>['pembeliaan', 'paket', 'ceria', 'gb', 'gangguan', 'sistem', 'melulu', '']</t>
  </si>
  <si>
    <t>['pembelian', 'paket', 'asisten', 'virtual', 'telkomsel', 'penipuan', 'tagihan', 'bengkak', 'kali', 'orang', 'beli', 'paket', 'tagihan', 'masuk', 'nomor', 'halo', '']</t>
  </si>
  <si>
    <t>['langganan', 'beli', 'paketan', 'combo', 'omg', 'gb', 'harga', 'drastis', 'gamau', 'beli', 'harga', 'segitu', 'kecewa', '']</t>
  </si>
  <si>
    <t>['mahal', 'udah', 'komplen', 'mytelkomsel', 'tetep', 'jaringan', 'tetep', 'buruk', 'nomor', 'kerja', 'udah', 'ganti', 'kali', 'udah', 'bertahun', 'telkomsel', 'udah', 'mahal', 'buruk', 'kualitasanya', 'susah', 'kemana']</t>
  </si>
  <si>
    <t>['paket', 'combo', 'sakti', 'paketan', 'aneh', 'knp', 'kuota', 'multimedia', 'dipake', 'kuota', 'utama', 'habis', 'nyusahin', 'kuota', 'gede', 'angka', 'doank', 'makasih']</t>
  </si>
  <si>
    <t>['redeem', 'coin', 'mytelkomsel', 'koin', 'reedem', 'paket', 'data', 'koin', 'mencukupi', 'persyaratan', 'redeem', 'mytelkomsel', '']</t>
  </si>
  <si>
    <t>['harga', 'paket', 'mahal', 'kualitas', 'gitu', 'pemakaian', 'kuota', 'balance', 'sedot', 'kuota', 'utama', 'multimedia', 'sayang', 'kuota', 'utama', 'habis', 'paketnya', 'habis', 'pas', 'sebulan', 'kuota', 'multimedia', 'utuh', 'beli', 'paket', 'combo', 'utama', 'multimedia', 'tolong', 'perbaikilah', 'pemakaian', 'internet', 'kuota', 'terpakai', 'balance', 'sisa', 'kuota', 'akumulasikan', 'beli', 'paket', '']</t>
  </si>
  <si>
    <t>['terimakasih', 'telkomsel', 'aplikasi', 'bagus', 'membantu', 'harga', 'paketan', 'murah', 'sukses', 'telkomsel', 'makasih', 'mantappp', 'jossss', '']</t>
  </si>
  <si>
    <t>['kasih', 'bintang', 'paket', 'rb', 'aktifitas', 'diluar', 'dirumah', 'indi', 'home', '']</t>
  </si>
  <si>
    <t>['app', 'dibanding', 'kebutuhan', 'hasilnya', 'lemot', 'buka', 'butuh', '']</t>
  </si>
  <si>
    <t>['paketnya', 'tolong', 'mahal', 'mahal', 'tolong', 'bantu', 'rakyatnya', 'allah', 'menolong', 'ppkm', 'kwkwk']</t>
  </si>
  <si>
    <t>['aplikasi', 'tukar', 'poin', 'menukar', 'point', 'kuota', 'internet', 'memakai', 'kartu', 'hallo', '']</t>
  </si>
  <si>
    <t>['telkomsel', 'jaringan', 'komunikasi', 'terhandal', 'semoga', 'harga', 'quota', 'jaringan', 'sinyal', 'menjangkau', 'masyarakat', 'menengah', 'meluas', 'pelosok', 'negeri', '']</t>
  </si>
  <si>
    <t>['pakai', 'telkom', 'ksini', 'lemot', 'ajaya', 'stream', 'game', 'dll', 'tolong', 'perbaiki']</t>
  </si>
  <si>
    <t>['kecolongan', 'kuota', 'paket', 'data', 'kuota', 'tersisa', 'lumayan', 'bnyak', 'malam', 'paket', 'malam', 'aktif', 'sisa', 'kuota', 'paket', 'data', 'normal', 'pemakaian', 'data', 'gb', 'total', 'kuota', 'tersisa']</t>
  </si>
  <si>
    <t>['smoga', 'kedepannya', 'paket', 'menarik', 'terjangkau', '']</t>
  </si>
  <si>
    <t>['daridulu', 'pakai', 'telkomsel', 'hancur', 'kirain', 'lemot', 'ehh', 'jaringan', 'kawan', 'ram', 'lemot', 'tinggal', 'kota', 'malu', 'jaringan', 'tetangga', 'kirain', 'suhu', 'kayu', 'kayu', '']</t>
  </si>
  <si>
    <t>['tingkatkan', 'performa', 'jangkauannya', 'kepentingan', 'bangsa', 'rakyat', 'indonesia', 'maju', 'bumn', 'sejahtera', 'masyarakatnya', '']</t>
  </si>
  <si>
    <t>['paketnya', 'masuk', 'akal', 'mending', 'hapus', 'combo', 'sakti', 'unlimited', 'september', 'youtube', 'hilang', 'list', 'unlimited', 'hilang']</t>
  </si>
  <si>
    <t>['mantap', 'baca', '']</t>
  </si>
  <si>
    <t>['redeem', 'poin', 'saldo', 'link', 'parah', 'banget', 'emang', 'telkomsel', 'gadang', 'gadang', 'link', 'telkomsel', 'pelit', 'banget', 'poin', 'dituker', 'saldo', 'link', 'lucu', 'kalinya', 'pakai', 'telkomsel', '']</t>
  </si>
  <si>
    <t>['pelayanan', 'jam', 'kaga', 'bales', 'sinyal', 'bagus', 'buktinya', 'sonya', 'udh', 'jelek']</t>
  </si>
  <si>
    <t>['kualitas', 'pelayanan', 'bangus', 'kualitas', 'sinyal', 'bagus', 'tapinkenapa', 'logo', 'kaya', 'perusahaan', 'tabung', 'gas',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</si>
</sst>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6.43"/>
    <col customWidth="1" min="4" max="7" width="8.71"/>
  </cols>
  <sheetData>
    <row r="1">
      <c r="B1" s="1" t="s">
        <v>0</v>
      </c>
      <c r="C1" s="2" t="s">
        <v>1</v>
      </c>
      <c r="D1" s="1" t="s">
        <v>2</v>
      </c>
    </row>
    <row r="2">
      <c r="A2" s="1">
        <v>0.0</v>
      </c>
      <c r="B2" s="3" t="s">
        <v>3</v>
      </c>
      <c r="C2" s="3" t="str">
        <f>IFERROR(__xludf.DUMMYFUNCTION("GOOGLETRANSLATE(B2,""id"",""en"")"),"['Please', 'Telkomsel', 'Package', 'Emergency', 'Please', 'Action', 'Continue']")</f>
        <v>['Please', 'Telkomsel', 'Package', 'Emergency', 'Please', 'Action', 'Continue']</v>
      </c>
      <c r="D2" s="3">
        <v>2.0</v>
      </c>
    </row>
    <row r="3">
      <c r="A3" s="1">
        <v>1.0</v>
      </c>
      <c r="B3" s="3" t="s">
        <v>4</v>
      </c>
      <c r="C3" s="3" t="str">
        <f>IFERROR(__xludf.DUMMYFUNCTION("GOOGLETRANSLATE(B3,""id"",""en"")"),"['Telkomsel', 'Difficult', 'Network', 'Ngegame', 'Season', 'Network', 'Current', 'Play', 'Game', 'Broken', 'Fix', 'Network', ' In the area ',' Maju ',' Inhibition ']")</f>
        <v>['Telkomsel', 'Difficult', 'Network', 'Ngegame', 'Season', 'Network', 'Current', 'Play', 'Game', 'Broken', 'Fix', 'Network', ' In the area ',' Maju ',' Inhibition ']</v>
      </c>
      <c r="D3" s="3">
        <v>1.0</v>
      </c>
    </row>
    <row r="4">
      <c r="A4" s="1">
        <v>2.0</v>
      </c>
      <c r="B4" s="3" t="s">
        <v>5</v>
      </c>
      <c r="C4" s="3" t="str">
        <f>IFERROR(__xludf.DUMMYFUNCTION("GOOGLETRANSLATE(B4,""id"",""en"")"),"['The', 'Best', 'Application', 'MyTelkomsel', 'Facilitates', 'Check', 'Quota', '']")</f>
        <v>['The', 'Best', 'Application', 'MyTelkomsel', 'Facilitates', 'Check', 'Quota', '']</v>
      </c>
      <c r="D4" s="3">
        <v>5.0</v>
      </c>
    </row>
    <row r="5">
      <c r="A5" s="1">
        <v>3.0</v>
      </c>
      <c r="B5" s="3" t="s">
        <v>6</v>
      </c>
      <c r="C5" s="3" t="str">
        <f>IFERROR(__xludf.DUMMYFUNCTION("GOOGLETRANSLATE(B5,""id"",""en"")"),"['name', 'connection', 'network', 'destroyed', 'canal', 'KNPA', 'BERES', 'QUALITY', 'Network', 'Professional', 'Telkomsel', 'Basic', ' slow ',' Keg ',' Gini ',' Screwed ',' Mending ',' Cave ',' Press', 'Sign', 'Point', 'Corner', 'Right', 'Mark', 'as' , 'S"&amp;"ngat', 'detrimental', 'skrg', 'connection', 'network']")</f>
        <v>['name', 'connection', 'network', 'destroyed', 'canal', 'KNPA', 'BERES', 'QUALITY', 'Network', 'Professional', 'Telkomsel', 'Basic', ' slow ',' Keg ',' Gini ',' Screwed ',' Mending ',' Cave ',' Press', 'Sign', 'Point', 'Corner', 'Right', 'Mark', 'as' , 'Sngat', 'detrimental', 'skrg', 'connection', 'network']</v>
      </c>
      <c r="D5" s="3">
        <v>1.0</v>
      </c>
    </row>
    <row r="6">
      <c r="A6" s="1">
        <v>4.0</v>
      </c>
      <c r="B6" s="3" t="s">
        <v>7</v>
      </c>
      <c r="C6" s="3" t="str">
        <f>IFERROR(__xludf.DUMMYFUNCTION("GOOGLETRANSLATE(B6,""id"",""en"")"),"['live', 'data', 'cost', 'transaction', 'usage', 'data', 'cut', 'pulse']")</f>
        <v>['live', 'data', 'cost', 'transaction', 'usage', 'data', 'cut', 'pulse']</v>
      </c>
      <c r="D6" s="3">
        <v>1.0</v>
      </c>
    </row>
    <row r="7">
      <c r="A7" s="1">
        <v>5.0</v>
      </c>
      <c r="B7" s="3" t="s">
        <v>8</v>
      </c>
      <c r="C7" s="3" t="str">
        <f>IFERROR(__xludf.DUMMYFUNCTION("GOOGLETRANSLATE(B7,""id"",""en"")"),"['Ohh', 'provider', 'the most expensive', 'best', 'signal', 'good', 'night', 'wowwwww', 'pride', 'Indonesia', 'Mending', 'Dubarin', ' Yak ',' Thanks', '']")</f>
        <v>['Ohh', 'provider', 'the most expensive', 'best', 'signal', 'good', 'night', 'wowwwww', 'pride', 'Indonesia', 'Mending', 'Dubarin', ' Yak ',' Thanks', '']</v>
      </c>
      <c r="D7" s="3">
        <v>1.0</v>
      </c>
    </row>
    <row r="8">
      <c r="A8" s="1">
        <v>6.0</v>
      </c>
      <c r="B8" s="3" t="s">
        <v>9</v>
      </c>
      <c r="C8" s="3" t="str">
        <f>IFERROR(__xludf.DUMMYFUNCTION("GOOGLETRANSLATE(B8,""id"",""en"")"),"['Parawhhhhh', 'Load', 'reset', 'class', 'Telkomsel', 'Application', 'Kek', 'Gini', 'Lost', 'laen', 'wkwkwkwk']")</f>
        <v>['Parawhhhhh', 'Load', 'reset', 'class', 'Telkomsel', 'Application', 'Kek', 'Gini', 'Lost', 'laen', 'wkwkwkwk']</v>
      </c>
      <c r="D8" s="3">
        <v>1.0</v>
      </c>
    </row>
    <row r="9">
      <c r="A9" s="1">
        <v>7.0</v>
      </c>
      <c r="B9" s="3" t="s">
        <v>10</v>
      </c>
      <c r="C9" s="3" t="str">
        <f>IFERROR(__xludf.DUMMYFUNCTION("GOOGLETRANSLATE(B9,""id"",""en"")"),"['Dear', 'Admin', 'Staff', 'Love', 'Suggestions',' Package ',' Data ',' Active ',' Register ',' ATO ',' Package ',' Data ',' Quota ',' Roli ',' Roli ',' took precedence ',' used ',' quota ',' data ',' apply ',' package ',' mubajir ',' trims']")</f>
        <v>['Dear', 'Admin', 'Staff', 'Love', 'Suggestions',' Package ',' Data ',' Active ',' Register ',' ATO ',' Package ',' Data ',' Quota ',' Roli ',' Roli ',' took precedence ',' used ',' quota ',' data ',' apply ',' package ',' mubajir ',' trims']</v>
      </c>
      <c r="D9" s="3">
        <v>4.0</v>
      </c>
    </row>
    <row r="10">
      <c r="A10" s="1">
        <v>8.0</v>
      </c>
      <c r="B10" s="3" t="s">
        <v>11</v>
      </c>
      <c r="C10" s="3" t="str">
        <f>IFERROR(__xludf.DUMMYFUNCTION("GOOGLETRANSLATE(B10,""id"",""en"")"),"['special', 'proud', 'number', 'sympathy', 'Telkomsel']")</f>
        <v>['special', 'proud', 'number', 'sympathy', 'Telkomsel']</v>
      </c>
      <c r="D10" s="3">
        <v>5.0</v>
      </c>
    </row>
    <row r="11">
      <c r="A11" s="1">
        <v>9.0</v>
      </c>
      <c r="B11" s="3" t="s">
        <v>12</v>
      </c>
      <c r="C11" s="3" t="str">
        <f>IFERROR(__xludf.DUMMYFUNCTION("GOOGLETRANSLATE(B11,""id"",""en"")"),"['Telkomsel', 'telephone', 'limit', 'second', 'really', 'please', 'repaired']")</f>
        <v>['Telkomsel', 'telephone', 'limit', 'second', 'really', 'please', 'repaired']</v>
      </c>
      <c r="D11" s="3">
        <v>3.0</v>
      </c>
    </row>
    <row r="12">
      <c r="A12" s="1">
        <v>10.0</v>
      </c>
      <c r="B12" s="3" t="s">
        <v>13</v>
      </c>
      <c r="C12" s="3" t="str">
        <f>IFERROR(__xludf.DUMMYFUNCTION("GOOGLETRANSLATE(B12,""id"",""en"")"),"['Network', 'Soak', 'told', 'Pay', 'expensive', 'Sorry', 'Indosat', 'Change', 'Telkomsel', 'Baning', 'GTU', 'Response', ' ']")</f>
        <v>['Network', 'Soak', 'told', 'Pay', 'expensive', 'Sorry', 'Indosat', 'Change', 'Telkomsel', 'Baning', 'GTU', 'Response', ' ']</v>
      </c>
      <c r="D12" s="3">
        <v>1.0</v>
      </c>
    </row>
    <row r="13">
      <c r="A13" s="1">
        <v>11.0</v>
      </c>
      <c r="B13" s="3" t="s">
        <v>14</v>
      </c>
      <c r="C13" s="3" t="str">
        <f>IFERROR(__xludf.DUMMYFUNCTION("GOOGLETRANSLATE(B13,""id"",""en"")"),"['signal', 'ugly', 'internet', 'slow', 'right', 'speedtest', 'network', 'severe', 'area', 'corner', 'coast', 'beach', ' Udh ',' that's', 'price', 'package', 'muahaaall', 'compared', 'operator', 'next door', 'COB', 'fix', 'package', 'eliminated', 'internet"&amp;"' , 'fast', 'package', 'blah', 'blah', 'gausah', 'deh', ""]")</f>
        <v>['signal', 'ugly', 'internet', 'slow', 'right', 'speedtest', 'network', 'severe', 'area', 'corner', 'coast', 'beach', ' Udh ',' that's', 'price', 'package', 'muahaaall', 'compared', 'operator', 'next door', 'COB', 'fix', 'package', 'eliminated', 'internet' , 'fast', 'package', 'blah', 'blah', 'gausah', 'deh', "]</v>
      </c>
      <c r="D13" s="3">
        <v>2.0</v>
      </c>
    </row>
    <row r="14">
      <c r="A14" s="1">
        <v>12.0</v>
      </c>
      <c r="B14" s="3" t="s">
        <v>15</v>
      </c>
      <c r="C14" s="3" t="str">
        <f>IFERROR(__xludf.DUMMYFUNCTION("GOOGLETRANSLATE(B14,""id"",""en"")"),"['Choice', 'Fun', 'Win', 'Network', 'Where', 'Kuy', 'Tambai', 'Leech', 'Land', 'Simpik', 'Thieves',' Move ',' Friend ',' Leave ',' ']")</f>
        <v>['Choice', 'Fun', 'Win', 'Network', 'Where', 'Kuy', 'Tambai', 'Leech', 'Land', 'Simpik', 'Thieves',' Move ',' Friend ',' Leave ',' ']</v>
      </c>
      <c r="D14" s="3">
        <v>1.0</v>
      </c>
    </row>
    <row r="15">
      <c r="A15" s="1">
        <v>13.0</v>
      </c>
      <c r="B15" s="3" t="s">
        <v>16</v>
      </c>
      <c r="C15" s="3" t="str">
        <f>IFERROR(__xludf.DUMMYFUNCTION("GOOGLETRANSLATE(B15,""id"",""en"")"),"['Telkomsel', 'severe', 'signal', 'good', 'ugly', 'entry', 'youtube', 'Instagram', 'game', 'loading', 'what', 'already', ' Update ',' Changed ',' Signal ',' Tetep ',' Litu ',' ']")</f>
        <v>['Telkomsel', 'severe', 'signal', 'good', 'ugly', 'entry', 'youtube', 'Instagram', 'game', 'loading', 'what', 'already', ' Update ',' Changed ',' Signal ',' Tetep ',' Litu ',' ']</v>
      </c>
      <c r="D15" s="3">
        <v>1.0</v>
      </c>
    </row>
    <row r="16">
      <c r="A16" s="1">
        <v>14.0</v>
      </c>
      <c r="B16" s="3" t="s">
        <v>17</v>
      </c>
      <c r="C16" s="3" t="str">
        <f>IFERROR(__xludf.DUMMYFUNCTION("GOOGLETRANSLATE(B16,""id"",""en"")"),"['Telkomsel', 'best', 'network', 'satisfying', 'love', 'You', 'Telkomsel']")</f>
        <v>['Telkomsel', 'best', 'network', 'satisfying', 'love', 'You', 'Telkomsel']</v>
      </c>
      <c r="D16" s="3">
        <v>5.0</v>
      </c>
    </row>
    <row r="17">
      <c r="A17" s="1">
        <v>15.0</v>
      </c>
      <c r="B17" s="3" t="s">
        <v>18</v>
      </c>
      <c r="C17" s="3" t="str">
        <f>IFERROR(__xludf.DUMMYFUNCTION("GOOGLETRANSLATE(B17,""id"",""en"")"),"['Network', 'damaged', 'quota', 'expensive', 'Telkomsel', 'Ajg', 'emang', 'aswwww', '']")</f>
        <v>['Network', 'damaged', 'quota', 'expensive', 'Telkomsel', 'Ajg', 'emang', 'aswwww', '']</v>
      </c>
      <c r="D17" s="3">
        <v>1.0</v>
      </c>
    </row>
    <row r="18">
      <c r="A18" s="1">
        <v>16.0</v>
      </c>
      <c r="B18" s="3" t="s">
        <v>19</v>
      </c>
      <c r="C18" s="3" t="str">
        <f>IFERROR(__xludf.DUMMYFUNCTION("GOOGLETRANSLATE(B18,""id"",""en"")"),"['Good', 'Data', 'Loading', 'Loading', 'Beheading', 'Doly Hula', 'Muahal']")</f>
        <v>['Good', 'Data', 'Loading', 'Loading', 'Beheading', 'Doly Hula', 'Muahal']</v>
      </c>
      <c r="D18" s="3">
        <v>1.0</v>
      </c>
    </row>
    <row r="19">
      <c r="A19" s="1">
        <v>17.0</v>
      </c>
      <c r="B19" s="3" t="s">
        <v>20</v>
      </c>
      <c r="C19" s="3" t="str">
        <f>IFERROR(__xludf.DUMMYFUNCTION("GOOGLETRANSLATE(B19,""id"",""en"")"),"['Network', 'normal', 'already', 'week', 'missing', 'mulu', 'network', 'severe', 'really', 'sich', '']")</f>
        <v>['Network', 'normal', 'already', 'week', 'missing', 'mulu', 'network', 'severe', 'really', 'sich', '']</v>
      </c>
      <c r="D19" s="3">
        <v>1.0</v>
      </c>
    </row>
    <row r="20">
      <c r="A20" s="1">
        <v>18.0</v>
      </c>
      <c r="B20" s="3" t="s">
        <v>21</v>
      </c>
      <c r="C20" s="3" t="str">
        <f>IFERROR(__xludf.DUMMYFUNCTION("GOOGLETRANSLATE(B20,""id"",""en"")"),"['Telkomsel', 'Please', 'Fix', 'Network', 'Region', 'City', 'Bukittinggi', 'Network', 'Ngelag', 'Pas',' Maen ',' Game ',' please ',' already ',' pay ',' expensive ',' quality ',' kayak ',' provider ']")</f>
        <v>['Telkomsel', 'Please', 'Fix', 'Network', 'Region', 'City', 'Bukittinggi', 'Network', 'Ngelag', 'Pas',' Maen ',' Game ',' please ',' already ',' pay ',' expensive ',' quality ',' kayak ',' provider ']</v>
      </c>
      <c r="D20" s="3">
        <v>1.0</v>
      </c>
    </row>
    <row r="21" ht="15.75" customHeight="1">
      <c r="A21" s="1">
        <v>19.0</v>
      </c>
      <c r="B21" s="3" t="s">
        <v>22</v>
      </c>
      <c r="C21" s="3" t="str">
        <f>IFERROR(__xludf.DUMMYFUNCTION("GOOGLETRANSLATE(B21,""id"",""en"")"),"['quota', 'unlimited', 'made', 'slow', 'nggk', 'really']")</f>
        <v>['quota', 'unlimited', 'made', 'slow', 'nggk', 'really']</v>
      </c>
      <c r="D21" s="3">
        <v>1.0</v>
      </c>
    </row>
    <row r="22" ht="15.75" customHeight="1">
      <c r="A22" s="1">
        <v>20.0</v>
      </c>
      <c r="B22" s="3" t="s">
        <v>23</v>
      </c>
      <c r="C22" s="3" t="str">
        <f>IFERROR(__xludf.DUMMYFUNCTION("GOOGLETRANSLATE(B22,""id"",""en"")"),"['disappointed', 'network', 'bad', 'package', 'expensive', 'expensive', 'network', 'satisfying', 'auto', 'replace', 'provider', 'choice', ' minus', 'star', 'cave', 'love', 'minus',' ']")</f>
        <v>['disappointed', 'network', 'bad', 'package', 'expensive', 'expensive', 'network', 'satisfying', 'auto', 'replace', 'provider', 'choice', ' minus', 'star', 'cave', 'love', 'minus',' ']</v>
      </c>
      <c r="D22" s="3">
        <v>1.0</v>
      </c>
    </row>
    <row r="23" ht="15.75" customHeight="1">
      <c r="A23" s="1">
        <v>21.0</v>
      </c>
      <c r="B23" s="3" t="s">
        <v>24</v>
      </c>
      <c r="C23" s="3" t="str">
        <f>IFERROR(__xludf.DUMMYFUNCTION("GOOGLETRANSLATE(B23,""id"",""en"")"),"['Anjeng', 'Tuker', 'Points', 'Package', 'Internet', 'Telkomsel', '']")</f>
        <v>['Anjeng', 'Tuker', 'Points', 'Package', 'Internet', 'Telkomsel', '']</v>
      </c>
      <c r="D23" s="3">
        <v>1.0</v>
      </c>
    </row>
    <row r="24" ht="15.75" customHeight="1">
      <c r="A24" s="1">
        <v>22.0</v>
      </c>
      <c r="B24" s="3" t="s">
        <v>25</v>
      </c>
      <c r="C24" s="3" t="str">
        <f>IFERROR(__xludf.DUMMYFUNCTION("GOOGLETRANSLATE(B24,""id"",""en"")"),"['Hopefully', 'Lottery', 'Telkomsel', 'Points', 'hehehe', 'Aamiin', 'Believe', 'loyal', 'use', 'Telkomsel', ""]")</f>
        <v>['Hopefully', 'Lottery', 'Telkomsel', 'Points', 'hehehe', 'Aamiin', 'Believe', 'loyal', 'use', 'Telkomsel', "]</v>
      </c>
      <c r="D24" s="3">
        <v>5.0</v>
      </c>
    </row>
    <row r="25" ht="15.75" customHeight="1">
      <c r="A25" s="1">
        <v>23.0</v>
      </c>
      <c r="B25" s="3" t="s">
        <v>26</v>
      </c>
      <c r="C25" s="3" t="str">
        <f>IFERROR(__xludf.DUMMYFUNCTION("GOOGLETRANSLATE(B25,""id"",""en"")"),"['Talk', 'complaints', 'tired', 'typing', 'Bintang', 'Judge', 'comment', 'About', 'noticed', 'Indonesia', 'Raya', 'Stone' plant', '']")</f>
        <v>['Talk', 'complaints', 'tired', 'typing', 'Bintang', 'Judge', 'comment', 'About', 'noticed', 'Indonesia', 'Raya', 'Stone' plant', '']</v>
      </c>
      <c r="D25" s="3">
        <v>1.0</v>
      </c>
    </row>
    <row r="26" ht="15.75" customHeight="1">
      <c r="A26" s="1">
        <v>24.0</v>
      </c>
      <c r="B26" s="3" t="s">
        <v>27</v>
      </c>
      <c r="C26" s="3" t="str">
        <f>IFERROR(__xludf.DUMMYFUNCTION("GOOGLETRANSLATE(B26,""id"",""en"")"),"['Severe', 'Internet', 'Males', 'Buy', 'Data', 'Main', 'Game', 'lag', 'Mulun']")</f>
        <v>['Severe', 'Internet', 'Males', 'Buy', 'Data', 'Main', 'Game', 'lag', 'Mulun']</v>
      </c>
      <c r="D26" s="3">
        <v>1.0</v>
      </c>
    </row>
    <row r="27" ht="15.75" customHeight="1">
      <c r="A27" s="1">
        <v>25.0</v>
      </c>
      <c r="B27" s="3" t="s">
        <v>28</v>
      </c>
      <c r="C27" s="3" t="str">
        <f>IFERROR(__xludf.DUMMYFUNCTION("GOOGLETRANSLATE(B27,""id"",""en"")"),"['The most expensive', 'Most Expensive', 'Network', 'Easter', 'Reach', 'Lost', 'Next Next', 'Disappointed', 'Already', 'Maketin', 'Telkomsel', ' xx ',' ']")</f>
        <v>['The most expensive', 'Most Expensive', 'Network', 'Easter', 'Reach', 'Lost', 'Next Next', 'Disappointed', 'Already', 'Maketin', 'Telkomsel', ' xx ',' ']</v>
      </c>
      <c r="D27" s="3">
        <v>1.0</v>
      </c>
    </row>
    <row r="28" ht="15.75" customHeight="1">
      <c r="A28" s="1">
        <v>26.0</v>
      </c>
      <c r="B28" s="3" t="s">
        <v>29</v>
      </c>
      <c r="C28" s="3" t="str">
        <f>IFERROR(__xludf.DUMMYFUNCTION("GOOGLETRANSLATE(B28,""id"",""en"")"),"['user', 'loyal', 'Telkomsel', 'many years',' pke ',' knp ',' ugly ',' really ',' quota ',' msh ',' manteng ',' dipake ',' Application ',' ugly ',' really ',' oath ',' Please ',' repaired ',' min ', ""]")</f>
        <v>['user', 'loyal', 'Telkomsel', 'many years',' pke ',' knp ',' ugly ',' really ',' quota ',' msh ',' manteng ',' dipake ',' Application ',' ugly ',' really ',' oath ',' Please ',' repaired ',' min ', "]</v>
      </c>
      <c r="D28" s="3">
        <v>1.0</v>
      </c>
    </row>
    <row r="29" ht="15.75" customHeight="1">
      <c r="A29" s="1">
        <v>27.0</v>
      </c>
      <c r="B29" s="3" t="s">
        <v>30</v>
      </c>
      <c r="C29" s="3" t="str">
        <f>IFERROR(__xludf.DUMMYFUNCTION("GOOGLETRANSLATE(B29,""id"",""en"")"),"['Network', 'Internet', 'Bad', 'Region', 'Cengkareng', 'Jakarta', 'West', 'Please', 'His attention', 'Employees',' Telkomsel ',' Beloved ',' thank you darling']")</f>
        <v>['Network', 'Internet', 'Bad', 'Region', 'Cengkareng', 'Jakarta', 'West', 'Please', 'His attention', 'Employees',' Telkomsel ',' Beloved ',' thank you darling']</v>
      </c>
      <c r="D29" s="3">
        <v>1.0</v>
      </c>
    </row>
    <row r="30" ht="15.75" customHeight="1">
      <c r="A30" s="1">
        <v>28.0</v>
      </c>
      <c r="B30" s="3" t="s">
        <v>31</v>
      </c>
      <c r="C30" s="3" t="str">
        <f>IFERROR(__xludf.DUMMYFUNCTION("GOOGLETRANSLATE(B30,""id"",""en"")"),"['Service', 'virtue', 'bad', 'pulses',' wasted ',' Sia ',' sucked ',' continued ',' tired ',' telkom ',' gini ',' corruption ',' Credit ',' collected ',' leftover ',' filled ',' quota ',' dahlahhh ',' replace ',' provider ',' ajaaaaa ', ""]")</f>
        <v>['Service', 'virtue', 'bad', 'pulses',' wasted ',' Sia ',' sucked ',' continued ',' tired ',' telkom ',' gini ',' corruption ',' Credit ',' collected ',' leftover ',' filled ',' quota ',' dahlahhh ',' replace ',' provider ',' ajaaaaa ', "]</v>
      </c>
      <c r="D30" s="3">
        <v>1.0</v>
      </c>
    </row>
    <row r="31" ht="15.75" customHeight="1">
      <c r="A31" s="1">
        <v>29.0</v>
      </c>
      <c r="B31" s="3" t="s">
        <v>32</v>
      </c>
      <c r="C31" s="3" t="str">
        <f>IFERROR(__xludf.DUMMYFUNCTION("GOOGLETRANSLATE(B31,""id"",""en"")"),"['buy', 'package', 'promo', 'enter', 'oath', 'oath', 'user', 'loyal', 'telkomsel', 'purchase', 'package', 'quota', ' internet ',' promoin ',' hope ',' fake ',' buy ',' package ',' promo ',' hope ',' fake ',' telkomsel ',' community ',' indonesia ' , '']")</f>
        <v>['buy', 'package', 'promo', 'enter', 'oath', 'oath', 'user', 'loyal', 'telkomsel', 'purchase', 'package', 'quota', ' internet ',' promoin ',' hope ',' fake ',' buy ',' package ',' promo ',' hope ',' fake ',' telkomsel ',' community ',' indonesia ' , '']</v>
      </c>
      <c r="D31" s="3">
        <v>1.0</v>
      </c>
    </row>
    <row r="32" ht="15.75" customHeight="1">
      <c r="A32" s="1">
        <v>30.0</v>
      </c>
      <c r="B32" s="3" t="s">
        <v>33</v>
      </c>
      <c r="C32" s="3" t="str">
        <f>IFERROR(__xludf.DUMMYFUNCTION("GOOGLETRANSLATE(B32,""id"",""en"")"),"['Love', 'Bitang', 'buy', 'package', 'internet', 'night', 'price', 'thousand', 'pulse', 'thousand', ""]")</f>
        <v>['Love', 'Bitang', 'buy', 'package', 'internet', 'night', 'price', 'thousand', 'pulse', 'thousand', "]</v>
      </c>
      <c r="D32" s="3">
        <v>1.0</v>
      </c>
    </row>
    <row r="33" ht="15.75" customHeight="1">
      <c r="A33" s="1">
        <v>31.0</v>
      </c>
      <c r="B33" s="3" t="s">
        <v>34</v>
      </c>
      <c r="C33" s="3" t="str">
        <f>IFERROR(__xludf.DUMMYFUNCTION("GOOGLETRANSLATE(B33,""id"",""en"")"),"['price', 'package', 'expensive', 'network', 'slow', 'home', 'tasty', 'ehh', 'slow', 'download', 'apk', 'yng', ' CMA ',' MB ',' Nyampe ',' seconds', 'now', 'mah', 'bsa', 'nyampe', 'hour', 'emg', 'fiks',' hrus', 'replace' , 'trimakasih', 'bnyak', 'service'"&amp;", 'bye']")</f>
        <v>['price', 'package', 'expensive', 'network', 'slow', 'home', 'tasty', 'ehh', 'slow', 'download', 'apk', 'yng', ' CMA ',' MB ',' Nyampe ',' seconds', 'now', 'mah', 'bsa', 'nyampe', 'hour', 'emg', 'fiks',' hrus', 'replace' , 'trimakasih', 'bnyak', 'service', 'bye']</v>
      </c>
      <c r="D33" s="3">
        <v>1.0</v>
      </c>
    </row>
    <row r="34" ht="15.75" customHeight="1">
      <c r="A34" s="1">
        <v>32.0</v>
      </c>
      <c r="B34" s="3" t="s">
        <v>35</v>
      </c>
      <c r="C34" s="3" t="str">
        <f>IFERROR(__xludf.DUMMYFUNCTION("GOOGLETRANSLATE(B34,""id"",""en"")"),"['The network', 'ugly', 'expensive', 'doang', 'quality', 'network', 'hard', 'already', 'call', 'care', 'line', 'give', ' The deadline ',' for ',' improvement ',' clock ',' nil ',' position ',' home ',' in the area ',' hills', 'sung up', 'tree', 'please', "&amp;"'related' , 'Follow', 'bored', 'contact', 'CARE', 'LINE', 'result', '']")</f>
        <v>['The network', 'ugly', 'expensive', 'doang', 'quality', 'network', 'hard', 'already', 'call', 'care', 'line', 'give', ' The deadline ',' for ',' improvement ',' clock ',' nil ',' position ',' home ',' in the area ',' hills', 'sung up', 'tree', 'please', 'related' , 'Follow', 'bored', 'contact', 'CARE', 'LINE', 'result', '']</v>
      </c>
      <c r="D34" s="3">
        <v>1.0</v>
      </c>
    </row>
    <row r="35" ht="15.75" customHeight="1">
      <c r="A35" s="1">
        <v>33.0</v>
      </c>
      <c r="B35" s="3" t="s">
        <v>36</v>
      </c>
      <c r="C35" s="3" t="str">
        <f>IFERROR(__xludf.DUMMYFUNCTION("GOOGLETRANSLATE(B35,""id"",""en"")"),"['Leet', 'PKE', 'Tomsel', 'Bagus', 'Pekah', 'trpksa', 'unemployed', 'Tlkomsel', 'Jrang', 'Kekeke', ""]")</f>
        <v>['Leet', 'PKE', 'Tomsel', 'Bagus', 'Pekah', 'trpksa', 'unemployed', 'Tlkomsel', 'Jrang', 'Kekeke', "]</v>
      </c>
      <c r="D35" s="3">
        <v>1.0</v>
      </c>
    </row>
    <row r="36" ht="15.75" customHeight="1">
      <c r="A36" s="1">
        <v>34.0</v>
      </c>
      <c r="B36" s="3" t="s">
        <v>37</v>
      </c>
      <c r="C36" s="3" t="str">
        <f>IFERROR(__xludf.DUMMYFUNCTION("GOOGLETRANSLATE(B36,""id"",""en"")"),"['Lottery', 'Points', 'Telkomsel', 'real', 'at least', 'love', 'org', 'lottery', 'real', 'no', 'thank', 'love']")</f>
        <v>['Lottery', 'Points', 'Telkomsel', 'real', 'at least', 'love', 'org', 'lottery', 'real', 'no', 'thank', 'love']</v>
      </c>
      <c r="D36" s="3">
        <v>2.0</v>
      </c>
    </row>
    <row r="37" ht="15.75" customHeight="1">
      <c r="A37" s="1">
        <v>35.0</v>
      </c>
      <c r="B37" s="3" t="s">
        <v>38</v>
      </c>
      <c r="C37" s="3" t="str">
        <f>IFERROR(__xludf.DUMMYFUNCTION("GOOGLETRANSLATE(B37,""id"",""en"")"),"['Ngilak', 'a little', 'anjg', 'expensive', 'NOT', 'smooth', 'internet', 'slow', 'many years', 'Telkomsel', 'disappointed', 'anjg']")</f>
        <v>['Ngilak', 'a little', 'anjg', 'expensive', 'NOT', 'smooth', 'internet', 'slow', 'many years', 'Telkomsel', 'disappointed', 'anjg']</v>
      </c>
      <c r="D37" s="3">
        <v>1.0</v>
      </c>
    </row>
    <row r="38" ht="15.75" customHeight="1">
      <c r="A38" s="1">
        <v>36.0</v>
      </c>
      <c r="B38" s="3" t="s">
        <v>39</v>
      </c>
      <c r="C38" s="3" t="str">
        <f>IFERROR(__xludf.DUMMYFUNCTION("GOOGLETRANSLATE(B38,""id"",""en"")"),"['Pliss',' Telkomsel ',' gave ',' choice ',' Package ',' Bener ',' Need ',' Very ',' Package ',' Internet ',' Operator ',' Student ',' people ',' rich ',' pliss', 'mahalin', 'package', 'data', 'choice', 'package', 'data', 'all', 'operator', 'expensive', '"&amp;"mah' , 'GPP', 'package', 'watch', 'addin', 'aitu', 'expensive', 'mah', 'need', 'gituan', 'sell', 'package', 'data', ' Really ',' choice ',' Lots', 'expensive', 'expensive', 'njerr']")</f>
        <v>['Pliss',' Telkomsel ',' gave ',' choice ',' Package ',' Bener ',' Need ',' Very ',' Package ',' Internet ',' Operator ',' Student ',' people ',' rich ',' pliss', 'mahalin', 'package', 'data', 'choice', 'package', 'data', 'all', 'operator', 'expensive', 'mah' , 'GPP', 'package', 'watch', 'addin', 'aitu', 'expensive', 'mah', 'need', 'gituan', 'sell', 'package', 'data', ' Really ',' choice ',' Lots', 'expensive', 'expensive', 'njerr']</v>
      </c>
      <c r="D38" s="3">
        <v>1.0</v>
      </c>
    </row>
    <row r="39" ht="15.75" customHeight="1">
      <c r="A39" s="1">
        <v>37.0</v>
      </c>
      <c r="B39" s="3" t="s">
        <v>40</v>
      </c>
      <c r="C39" s="3" t="str">
        <f>IFERROR(__xludf.DUMMYFUNCTION("GOOGLETRANSLATE(B39,""id"",""en"")"),"['Disappointed', 'Telkomsel', 'right', 'noon', 'right', 'rain', 'network', 'slow', 'really']")</f>
        <v>['Disappointed', 'Telkomsel', 'right', 'noon', 'right', 'rain', 'network', 'slow', 'really']</v>
      </c>
      <c r="D39" s="3">
        <v>1.0</v>
      </c>
    </row>
    <row r="40" ht="15.75" customHeight="1">
      <c r="A40" s="1">
        <v>38.0</v>
      </c>
      <c r="B40" s="3" t="s">
        <v>41</v>
      </c>
      <c r="C40" s="3" t="str">
        <f>IFERROR(__xludf.DUMMYFUNCTION("GOOGLETRANSLATE(B40,""id"",""en"")"),"['connection', 'stable', 'down', 'extreme', 'complaints', 'network', 'overcome', ""]")</f>
        <v>['connection', 'stable', 'down', 'extreme', 'complaints', 'network', 'overcome', "]</v>
      </c>
      <c r="D40" s="3">
        <v>1.0</v>
      </c>
    </row>
    <row r="41" ht="15.75" customHeight="1">
      <c r="A41" s="1">
        <v>39.0</v>
      </c>
      <c r="B41" s="3" t="s">
        <v>42</v>
      </c>
      <c r="C41" s="3" t="str">
        <f>IFERROR(__xludf.DUMMYFUNCTION("GOOGLETRANSLATE(B41,""id"",""en"")"),"['njir', 'gwe', 'make', 'apk', 'error', 'error', 'already', 'week', 'apk', 'download', 'apk', 'ugly']")</f>
        <v>['njir', 'gwe', 'make', 'apk', 'error', 'error', 'already', 'week', 'apk', 'download', 'apk', 'ugly']</v>
      </c>
      <c r="D41" s="3">
        <v>1.0</v>
      </c>
    </row>
    <row r="42" ht="15.75" customHeight="1">
      <c r="A42" s="1">
        <v>40.0</v>
      </c>
      <c r="B42" s="3" t="s">
        <v>43</v>
      </c>
      <c r="C42" s="3" t="str">
        <f>IFERROR(__xludf.DUMMYFUNCTION("GOOGLETRANSLATE(B42,""id"",""en"")"),"['Help', 'Control', 'Bill', 'Application', 'Good', '']")</f>
        <v>['Help', 'Control', 'Bill', 'Application', 'Good', '']</v>
      </c>
      <c r="D42" s="3">
        <v>5.0</v>
      </c>
    </row>
    <row r="43" ht="15.75" customHeight="1">
      <c r="A43" s="1">
        <v>41.0</v>
      </c>
      <c r="B43" s="3" t="s">
        <v>44</v>
      </c>
      <c r="C43" s="3" t="str">
        <f>IFERROR(__xludf.DUMMYFUNCTION("GOOGLETRANSLATE(B43,""id"",""en"")"),"['Telkomsel', 'rotten', 'network', 'data', 'cellular', 'area', 'jakarta']")</f>
        <v>['Telkomsel', 'rotten', 'network', 'data', 'cellular', 'area', 'jakarta']</v>
      </c>
      <c r="D43" s="3">
        <v>1.0</v>
      </c>
    </row>
    <row r="44" ht="15.75" customHeight="1">
      <c r="A44" s="1">
        <v>42.0</v>
      </c>
      <c r="B44" s="3" t="s">
        <v>45</v>
      </c>
      <c r="C44" s="3" t="str">
        <f>IFERROR(__xludf.DUMMYFUNCTION("GOOGLETRANSLATE(B44,""id"",""en"")"),"['The application', 'makes it easier', 'purchase', 'package', 'data', 'TPI', 'variant', 'package', 'please', 'multiplied', 'package', 'Call', ' Credit ',' Sumpot ',' Free ',' Call ',' Minutes', 'Please', 'Repaired', 'Good', 'Job', ""]")</f>
        <v>['The application', 'makes it easier', 'purchase', 'package', 'data', 'TPI', 'variant', 'package', 'please', 'multiplied', 'package', 'Call', ' Credit ',' Sumpot ',' Free ',' Call ',' Minutes', 'Please', 'Repaired', 'Good', 'Job', "]</v>
      </c>
      <c r="D44" s="3">
        <v>4.0</v>
      </c>
    </row>
    <row r="45" ht="15.75" customHeight="1">
      <c r="A45" s="1">
        <v>43.0</v>
      </c>
      <c r="B45" s="3" t="s">
        <v>46</v>
      </c>
      <c r="C45" s="3" t="str">
        <f>IFERROR(__xludf.DUMMYFUNCTION("GOOGLETRANSLATE(B45,""id"",""en"")"),"['Customer', 'Telkomsel', 'disappointed', 'condition', 'internet', 'bad', 'day', 'signal', 'beg', 'action', 'continue', ""]")</f>
        <v>['Customer', 'Telkomsel', 'disappointed', 'condition', 'internet', 'bad', 'day', 'signal', 'beg', 'action', 'continue', "]</v>
      </c>
      <c r="D45" s="3">
        <v>1.0</v>
      </c>
    </row>
    <row r="46" ht="15.75" customHeight="1">
      <c r="A46" s="1">
        <v>44.0</v>
      </c>
      <c r="B46" s="3" t="s">
        <v>47</v>
      </c>
      <c r="C46" s="3" t="str">
        <f>IFERROR(__xludf.DUMMYFUNCTION("GOOGLETRANSLATE(B46,""id"",""en"")"),"['Hope', 'already', 'Telkomsel', 'Pngen', 'sikipi', 'sustenance', 'Telkomsel']")</f>
        <v>['Hope', 'already', 'Telkomsel', 'Pngen', 'sikipi', 'sustenance', 'Telkomsel']</v>
      </c>
      <c r="D46" s="3">
        <v>3.0</v>
      </c>
    </row>
    <row r="47" ht="15.75" customHeight="1">
      <c r="A47" s="1">
        <v>45.0</v>
      </c>
      <c r="B47" s="3" t="s">
        <v>48</v>
      </c>
      <c r="C47" s="3" t="str">
        <f>IFERROR(__xludf.DUMMYFUNCTION("GOOGLETRANSLATE(B47,""id"",""en"")"),"['ugly', 'good', 'ngak', 'download', 'ngak', 'update', '']")</f>
        <v>['ugly', 'good', 'ngak', 'download', 'ngak', 'update', '']</v>
      </c>
      <c r="D47" s="3">
        <v>1.0</v>
      </c>
    </row>
    <row r="48" ht="15.75" customHeight="1">
      <c r="A48" s="1">
        <v>46.0</v>
      </c>
      <c r="B48" s="3" t="s">
        <v>49</v>
      </c>
      <c r="C48" s="3" t="str">
        <f>IFERROR(__xludf.DUMMYFUNCTION("GOOGLETRANSLATE(B48,""id"",""en"")"),"['Telkomsel', 'pulse', 'pulse', 'uda', 'contents',' pulse ',' depressed ',' data ',' direct ',' run out ',' the network ',' problematic ',' expensive ',' Telkomsel ',' wins', 'area', 'remote', 'doang', 'Season', 'cave', 'please', 'fix', 'front', '']")</f>
        <v>['Telkomsel', 'pulse', 'pulse', 'uda', 'contents',' pulse ',' depressed ',' data ',' direct ',' run out ',' the network ',' problematic ',' expensive ',' Telkomsel ',' wins', 'area', 'remote', 'doang', 'Season', 'cave', 'please', 'fix', 'front', '']</v>
      </c>
      <c r="D48" s="3">
        <v>2.0</v>
      </c>
    </row>
    <row r="49" ht="15.75" customHeight="1">
      <c r="A49" s="1">
        <v>47.0</v>
      </c>
      <c r="B49" s="3" t="s">
        <v>50</v>
      </c>
      <c r="C49" s="3" t="str">
        <f>IFERROR(__xludf.DUMMYFUNCTION("GOOGLETRANSLATE(B49,""id"",""en"")"),"['Telkom', 'Bgsat', 'Becus',' Gara ',' You ',' Credit ',' Score ',' Down ',' Stupid ',' Love ',' Bintang ',' Buy ',' the package ',' loss', 'replace', 'card', 'friend', 'stupid', 'network', 'abovein', 'divided', 'idiot', 'you', 'Develover', 'overin' , 'Ne"&amp;"twork', 'cheap', 'pig', 'change', 'loss', 'sorry', 'doang', 'nutmeg', 'brain', 'you', 'sorry']")</f>
        <v>['Telkom', 'Bgsat', 'Becus',' Gara ',' You ',' Credit ',' Score ',' Down ',' Stupid ',' Love ',' Bintang ',' Buy ',' the package ',' loss', 'replace', 'card', 'friend', 'stupid', 'network', 'abovein', 'divided', 'idiot', 'you', 'Develover', 'overin' , 'Network', 'cheap', 'pig', 'change', 'loss', 'sorry', 'doang', 'nutmeg', 'brain', 'you', 'sorry']</v>
      </c>
      <c r="D49" s="3">
        <v>1.0</v>
      </c>
    </row>
    <row r="50" ht="15.75" customHeight="1">
      <c r="A50" s="1">
        <v>48.0</v>
      </c>
      <c r="B50" s="3" t="s">
        <v>51</v>
      </c>
      <c r="C50" s="3" t="str">
        <f>IFERROR(__xludf.DUMMYFUNCTION("GOOGLETRANSLATE(B50,""id"",""en"")"),"['Telkomsel', 'cheating', 'fill in', 'package', 'buy', 'according to', 'nominal', 'pulse', 'already', 'reduced', 'automatic', 'ndk', ' Imagine ',' million ',' customer ',' diginin ']")</f>
        <v>['Telkomsel', 'cheating', 'fill in', 'package', 'buy', 'according to', 'nominal', 'pulse', 'already', 'reduced', 'automatic', 'ndk', ' Imagine ',' million ',' customer ',' diginin ']</v>
      </c>
      <c r="D50" s="3">
        <v>1.0</v>
      </c>
    </row>
    <row r="51" ht="15.75" customHeight="1">
      <c r="A51" s="1">
        <v>49.0</v>
      </c>
      <c r="B51" s="3" t="s">
        <v>52</v>
      </c>
      <c r="C51" s="3" t="str">
        <f>IFERROR(__xludf.DUMMYFUNCTION("GOOGLETRANSLATE(B51,""id"",""en"")"),"['Sorry', 'open', 'application', 'Telkomsel', 'ngak', 'then', 'screen', 'main', ""]")</f>
        <v>['Sorry', 'open', 'application', 'Telkomsel', 'ngak', 'then', 'screen', 'main', "]</v>
      </c>
      <c r="D51" s="3">
        <v>4.0</v>
      </c>
    </row>
    <row r="52" ht="15.75" customHeight="1">
      <c r="A52" s="1">
        <v>50.0</v>
      </c>
      <c r="B52" s="3" t="s">
        <v>53</v>
      </c>
      <c r="C52" s="3" t="str">
        <f>IFERROR(__xludf.DUMMYFUNCTION("GOOGLETRANSLATE(B52,""id"",""en"")"),"['Open', 'Telkomsel', 'Difficult', 'Uninstall', 'Dlu', ""]")</f>
        <v>['Open', 'Telkomsel', 'Difficult', 'Uninstall', 'Dlu', "]</v>
      </c>
      <c r="D52" s="3">
        <v>1.0</v>
      </c>
    </row>
    <row r="53" ht="15.75" customHeight="1">
      <c r="A53" s="1">
        <v>51.0</v>
      </c>
      <c r="B53" s="3" t="s">
        <v>54</v>
      </c>
      <c r="C53" s="3" t="str">
        <f>IFERROR(__xludf.DUMMYFUNCTION("GOOGLETRANSLATE(B53,""id"",""en"")"),"['Application', 'Good', 'Network', 'Extensive', 'Anyway', 'Raying', 'Telkomsel']")</f>
        <v>['Application', 'Good', 'Network', 'Extensive', 'Anyway', 'Raying', 'Telkomsel']</v>
      </c>
      <c r="D53" s="3">
        <v>4.0</v>
      </c>
    </row>
    <row r="54" ht="15.75" customHeight="1">
      <c r="A54" s="1">
        <v>52.0</v>
      </c>
      <c r="B54" s="3" t="s">
        <v>55</v>
      </c>
      <c r="C54" s="3" t="str">
        <f>IFERROR(__xludf.DUMMYFUNCTION("GOOGLETRANSLATE(B54,""id"",""en"")"),"['Network', 'Telkomsel', 'Place', 'Baaanget', 'Under it', 'IM', 'Network', 'Im', 'Place', 'Good', 'Very', 'Plus',' quota ',' data ',' muuuurah ',' really ',' telkomsel ',' quota ',' data ',' mahaaal ',' network ',' jellek ',' really ',' ugly ',' the netwo"&amp;"rk ' , 'emotions',' use ',' play ',' games', 'plus',' filled ',' pulse ',' really ',' steal ',' pulse ',' ngapister ',' package ',' emergency ',' subscribe ',' apapa ',' direct ',' registered ',' angry ', ""]")</f>
        <v>['Network', 'Telkomsel', 'Place', 'Baaanget', 'Under it', 'IM', 'Network', 'Im', 'Place', 'Good', 'Very', 'Plus',' quota ',' data ',' muuuurah ',' really ',' telkomsel ',' quota ',' data ',' mahaaal ',' network ',' jellek ',' really ',' ugly ',' the network ' , 'emotions',' use ',' play ',' games', 'plus',' filled ',' pulse ',' really ',' steal ',' pulse ',' ngapister ',' package ',' emergency ',' subscribe ',' apapa ',' direct ',' registered ',' angry ', "]</v>
      </c>
      <c r="D54" s="3">
        <v>1.0</v>
      </c>
    </row>
    <row r="55" ht="15.75" customHeight="1">
      <c r="A55" s="1">
        <v>53.0</v>
      </c>
      <c r="B55" s="3" t="s">
        <v>56</v>
      </c>
      <c r="C55" s="3" t="str">
        <f>IFERROR(__xludf.DUMMYFUNCTION("GOOGLETRANSLATE(B55,""id"",""en"")"),"['Cave', 'gabisa', 'enter', 'Telkomsel', 'Posts',' Load ',' Page ',' Network ',' watch ',' Lanjay ',' Open ',' Telkomsel ',' Buffering ',' Severe ',' Telkomsel ',' ']")</f>
        <v>['Cave', 'gabisa', 'enter', 'Telkomsel', 'Posts',' Load ',' Page ',' Network ',' watch ',' Lanjay ',' Open ',' Telkomsel ',' Buffering ',' Severe ',' Telkomsel ',' ']</v>
      </c>
      <c r="D55" s="3">
        <v>1.0</v>
      </c>
    </row>
    <row r="56" ht="15.75" customHeight="1">
      <c r="A56" s="1">
        <v>54.0</v>
      </c>
      <c r="B56" s="3" t="s">
        <v>57</v>
      </c>
      <c r="C56" s="3" t="str">
        <f>IFERROR(__xludf.DUMMYFUNCTION("GOOGLETRANSLATE(B56,""id"",""en"")"),"['Network', 'problematic', 'accessed', '']")</f>
        <v>['Network', 'problematic', 'accessed', '']</v>
      </c>
      <c r="D56" s="3">
        <v>1.0</v>
      </c>
    </row>
    <row r="57" ht="15.75" customHeight="1">
      <c r="A57" s="1">
        <v>55.0</v>
      </c>
      <c r="B57" s="3" t="s">
        <v>58</v>
      </c>
      <c r="C57" s="3" t="str">
        <f>IFERROR(__xludf.DUMMYFUNCTION("GOOGLETRANSLATE(B57,""id"",""en"")"),"['Connection', 'Network', '']")</f>
        <v>['Connection', 'Network', '']</v>
      </c>
      <c r="D57" s="3">
        <v>1.0</v>
      </c>
    </row>
    <row r="58" ht="15.75" customHeight="1">
      <c r="A58" s="1">
        <v>56.0</v>
      </c>
      <c r="B58" s="3" t="s">
        <v>59</v>
      </c>
      <c r="C58" s="3" t="str">
        <f>IFERROR(__xludf.DUMMYFUNCTION("GOOGLETRANSLATE(B58,""id"",""en"")"),"['promo', 'according to', 'bugget', 'medium', 'down', 'APL', 'answered', 'uses', 'functions', '']")</f>
        <v>['promo', 'according to', 'bugget', 'medium', 'down', 'APL', 'answered', 'uses', 'functions', '']</v>
      </c>
      <c r="D58" s="3">
        <v>5.0</v>
      </c>
    </row>
    <row r="59" ht="15.75" customHeight="1">
      <c r="A59" s="1">
        <v>57.0</v>
      </c>
      <c r="B59" s="3" t="s">
        <v>60</v>
      </c>
      <c r="C59" s="3" t="str">
        <f>IFERROR(__xludf.DUMMYFUNCTION("GOOGLETRANSLATE(B59,""id"",""en"")"),"['menu', 'package', 'price', 'populat', 'cheap', 'help', 'community', 'down', 'minimal', 'income', ""]")</f>
        <v>['menu', 'package', 'price', 'populat', 'cheap', 'help', 'community', 'down', 'minimal', 'income', "]</v>
      </c>
      <c r="D59" s="3">
        <v>4.0</v>
      </c>
    </row>
    <row r="60" ht="15.75" customHeight="1">
      <c r="A60" s="1">
        <v>58.0</v>
      </c>
      <c r="B60" s="3" t="s">
        <v>61</v>
      </c>
      <c r="C60" s="3" t="str">
        <f>IFERROR(__xludf.DUMMYFUNCTION("GOOGLETRANSLATE(B60,""id"",""en"")"),"['open', 'application', 'Telkomsel', 'writing', 'error', 'system']")</f>
        <v>['open', 'application', 'Telkomsel', 'writing', 'error', 'system']</v>
      </c>
      <c r="D60" s="3">
        <v>5.0</v>
      </c>
    </row>
    <row r="61" ht="15.75" customHeight="1">
      <c r="A61" s="1">
        <v>59.0</v>
      </c>
      <c r="B61" s="3" t="s">
        <v>62</v>
      </c>
      <c r="C61" s="3" t="str">
        <f>IFERROR(__xludf.DUMMYFUNCTION("GOOGLETRANSLATE(B61,""id"",""en"")"),"['Please', 'Developer', 'Application', 'Add', 'Lock', 'Lock', 'Credit', 'Application', 'Axisnet', 'Quota', 'Out', 'Credit', ' Yng ',' already ',' prepare ',' buy ',' package ',' no ',' run out ',' sucked ', ""]")</f>
        <v>['Please', 'Developer', 'Application', 'Add', 'Lock', 'Lock', 'Credit', 'Application', 'Axisnet', 'Quota', 'Out', 'Credit', ' Yng ',' already ',' prepare ',' buy ',' package ',' no ',' run out ',' sucked ', "]</v>
      </c>
      <c r="D61" s="3">
        <v>1.0</v>
      </c>
    </row>
    <row r="62" ht="15.75" customHeight="1">
      <c r="A62" s="1">
        <v>60.0</v>
      </c>
      <c r="B62" s="3" t="s">
        <v>63</v>
      </c>
      <c r="C62" s="3" t="str">
        <f>IFERROR(__xludf.DUMMYFUNCTION("GOOGLETRANSLATE(B62,""id"",""en"")"),"['Provider', 'MOTH', 'Credit', ""]")</f>
        <v>['Provider', 'MOTH', 'Credit', "]</v>
      </c>
      <c r="D62" s="3">
        <v>1.0</v>
      </c>
    </row>
    <row r="63" ht="15.75" customHeight="1">
      <c r="A63" s="1">
        <v>61.0</v>
      </c>
      <c r="B63" s="3" t="s">
        <v>64</v>
      </c>
      <c r="C63" s="3" t="str">
        <f>IFERROR(__xludf.DUMMYFUNCTION("GOOGLETRANSLATE(B63,""id"",""en"")"),"['Please', 'Telkom', 'Credit', 'Taken', 'Try', 'Content', 'Credit', 'Data', 'Dead', 'SMS', 'Credit', 'Kedesot', ' strange ',' really ',' company ',' Telkom ',' take ',' pulse ',' people ',' poor ',' valuable ']")</f>
        <v>['Please', 'Telkom', 'Credit', 'Taken', 'Try', 'Content', 'Credit', 'Data', 'Dead', 'SMS', 'Credit', 'Kedesot', ' strange ',' really ',' company ',' Telkom ',' take ',' pulse ',' people ',' poor ',' valuable ']</v>
      </c>
      <c r="D63" s="3">
        <v>1.0</v>
      </c>
    </row>
    <row r="64" ht="15.75" customHeight="1">
      <c r="A64" s="1">
        <v>62.0</v>
      </c>
      <c r="B64" s="3" t="s">
        <v>65</v>
      </c>
      <c r="C64" s="3" t="str">
        <f>IFERROR(__xludf.DUMMYFUNCTION("GOOGLETRANSLATE(B64,""id"",""en"")"),"['Telkomsel', 'already', 'every year', 'use', 'Telkomsel', 'NOT', 'Network', 'Error', 'quota', 'expensive', 'use', 'Severe', ' Serching ',' Wait ',' Working ',' Tasks', 'Blood', 'Expensive', 'Use', 'Hissst', 'Raying', 'Cave']")</f>
        <v>['Telkomsel', 'already', 'every year', 'use', 'Telkomsel', 'NOT', 'Network', 'Error', 'quota', 'expensive', 'use', 'Severe', ' Serching ',' Wait ',' Working ',' Tasks', 'Blood', 'Expensive', 'Use', 'Hissst', 'Raying', 'Cave']</v>
      </c>
      <c r="D64" s="3">
        <v>1.0</v>
      </c>
    </row>
    <row r="65" ht="15.75" customHeight="1">
      <c r="A65" s="1">
        <v>63.0</v>
      </c>
      <c r="B65" s="3" t="s">
        <v>66</v>
      </c>
      <c r="C65" s="3" t="str">
        <f>IFERROR(__xludf.DUMMYFUNCTION("GOOGLETRANSLATE(B65,""id"",""en"")"),"['easy', 'fast', 'install', 'language', 'easy', 'understood', 'hope', 'benefits']")</f>
        <v>['easy', 'fast', 'install', 'language', 'easy', 'understood', 'hope', 'benefits']</v>
      </c>
      <c r="D65" s="3">
        <v>5.0</v>
      </c>
    </row>
    <row r="66" ht="15.75" customHeight="1">
      <c r="A66" s="1">
        <v>64.0</v>
      </c>
      <c r="B66" s="3" t="s">
        <v>67</v>
      </c>
      <c r="C66" s="3" t="str">
        <f>IFERROR(__xludf.DUMMYFUNCTION("GOOGLETRANSLATE(B66,""id"",""en"")"),"['network', 'the widest', 'Indonesia', 'reach', 'all', 'village', 'remote', 'Indonesia', 'thank', 'love', 'Telkomsel', ""]")</f>
        <v>['network', 'the widest', 'Indonesia', 'reach', 'all', 'village', 'remote', 'Indonesia', 'thank', 'love', 'Telkomsel', "]</v>
      </c>
      <c r="D66" s="3">
        <v>5.0</v>
      </c>
    </row>
    <row r="67" ht="15.75" customHeight="1">
      <c r="A67" s="1">
        <v>65.0</v>
      </c>
      <c r="B67" s="3" t="s">
        <v>68</v>
      </c>
      <c r="C67" s="3" t="str">
        <f>IFERROR(__xludf.DUMMYFUNCTION("GOOGLETRANSLATE(B67,""id"",""en"")"),"['', 'Download', 'game', 'use', 'tethering', 'cellphone', 'size', 'data', 'used', 'corruption', 'provider', 'suggest', 'buy it ',' Package ',' Just ',' WhatsApp ',' Download ',' WiFi ',' Home ',' Loss', 'Tetering', ""]")</f>
        <v>['', 'Download', 'game', 'use', 'tethering', 'cellphone', 'size', 'data', 'used', 'corruption', 'provider', 'suggest', 'buy it ',' Package ',' Just ',' WhatsApp ',' Download ',' WiFi ',' Home ',' Loss', 'Tetering', "]</v>
      </c>
      <c r="D67" s="3">
        <v>1.0</v>
      </c>
    </row>
    <row r="68" ht="15.75" customHeight="1">
      <c r="A68" s="1">
        <v>66.0</v>
      </c>
      <c r="B68" s="3" t="s">
        <v>69</v>
      </c>
      <c r="C68" s="3" t="str">
        <f>IFERROR(__xludf.DUMMYFUNCTION("GOOGLETRANSLATE(B68,""id"",""en"")"),"['contents',' pulse ',' message ',' package ',' internet ',' Rp ',' GB ',' active ',' subscribe ',' package ',' package ',' run out ',' bills', 'pulse', 'please', 'delete', 'package']")</f>
        <v>['contents',' pulse ',' message ',' package ',' internet ',' Rp ',' GB ',' active ',' subscribe ',' package ',' package ',' run out ',' bills', 'pulse', 'please', 'delete', 'package']</v>
      </c>
      <c r="D68" s="3">
        <v>1.0</v>
      </c>
    </row>
    <row r="69" ht="15.75" customHeight="1">
      <c r="A69" s="1">
        <v>67.0</v>
      </c>
      <c r="B69" s="3" t="s">
        <v>70</v>
      </c>
      <c r="C69" s="3" t="str">
        <f>IFERROR(__xludf.DUMMYFUNCTION("GOOGLETRANSLATE(B69,""id"",""en"")"),"['loss',' I ',' already ',' buy ',' package ',' unlimited ',' expensive ',' signal ',' ilang ',' ilang ',' severe ',' really ',' Internet ',' signal ',' ilang ',' all day ',' fix ',' replace ',' card ',' prime ', ""]")</f>
        <v>['loss',' I ',' already ',' buy ',' package ',' unlimited ',' expensive ',' signal ',' ilang ',' ilang ',' severe ',' really ',' Internet ',' signal ',' ilang ',' all day ',' fix ',' replace ',' card ',' prime ', "]</v>
      </c>
      <c r="D69" s="3">
        <v>1.0</v>
      </c>
    </row>
    <row r="70" ht="15.75" customHeight="1">
      <c r="A70" s="1">
        <v>68.0</v>
      </c>
      <c r="B70" s="3" t="s">
        <v>71</v>
      </c>
      <c r="C70" s="3" t="str">
        <f>IFERROR(__xludf.DUMMYFUNCTION("GOOGLETRANSLATE(B70,""id"",""en"")"),"['GMN', 'open', 'application', 'Telkomsel', 'difficult', 'really', 'price', 'packetxpun', 'expensive', '']")</f>
        <v>['GMN', 'open', 'application', 'Telkomsel', 'difficult', 'really', 'price', 'packetxpun', 'expensive', '']</v>
      </c>
      <c r="D70" s="3">
        <v>1.0</v>
      </c>
    </row>
    <row r="71" ht="15.75" customHeight="1">
      <c r="A71" s="1">
        <v>69.0</v>
      </c>
      <c r="B71" s="3" t="s">
        <v>72</v>
      </c>
      <c r="C71" s="3" t="str">
        <f>IFERROR(__xludf.DUMMYFUNCTION("GOOGLETRANSLATE(B71,""id"",""en"")"),"['application', 'fraudster', 'list', 'package', 'processed', 'sms',' pulse ',' sufficient ',' pulse ',' until ',' pulses', 'run out', ' Open ',' Application ',' Stupid ',' Application ',' Rich ',' MyXL ',' Application ',' Accessible ',' Free ',' Credit ',"&amp;"' Quota ',' Disright ',' Customer ' ]")</f>
        <v>['application', 'fraudster', 'list', 'package', 'processed', 'sms',' pulse ',' sufficient ',' pulse ',' until ',' pulses', 'run out', ' Open ',' Application ',' Stupid ',' Application ',' Rich ',' MyXL ',' Application ',' Accessible ',' Free ',' Credit ',' Quota ',' Disright ',' Customer ' ]</v>
      </c>
      <c r="D71" s="3">
        <v>1.0</v>
      </c>
    </row>
    <row r="72" ht="15.75" customHeight="1">
      <c r="A72" s="1">
        <v>70.0</v>
      </c>
      <c r="B72" s="3" t="s">
        <v>73</v>
      </c>
      <c r="C72" s="3" t="str">
        <f>IFERROR(__xludf.DUMMYFUNCTION("GOOGLETRANSLATE(B72,""id"",""en"")"),"['Severe', 'really', 'application', 'already', 'collect', 'point', 'update', 'lost', 'lure', 'lottery', 'kalu', 'emang', ' take']")</f>
        <v>['Severe', 'really', 'application', 'already', 'collect', 'point', 'update', 'lost', 'lure', 'lottery', 'kalu', 'emang', ' take']</v>
      </c>
      <c r="D72" s="3">
        <v>1.0</v>
      </c>
    </row>
    <row r="73" ht="15.75" customHeight="1">
      <c r="A73" s="1">
        <v>71.0</v>
      </c>
      <c r="B73" s="3" t="s">
        <v>74</v>
      </c>
      <c r="C73" s="3" t="str">
        <f>IFERROR(__xludf.DUMMYFUNCTION("GOOGLETRANSLATE(B73,""id"",""en"")"),"['Please', 'speed', 'message', 'buy', 'package', 'thousand', 'GB', 'really', 'notification']")</f>
        <v>['Please', 'speed', 'message', 'buy', 'package', 'thousand', 'GB', 'really', 'notification']</v>
      </c>
      <c r="D73" s="3">
        <v>1.0</v>
      </c>
    </row>
    <row r="74" ht="15.75" customHeight="1">
      <c r="A74" s="1">
        <v>72.0</v>
      </c>
      <c r="B74" s="3" t="s">
        <v>75</v>
      </c>
      <c r="C74" s="3" t="str">
        <f>IFERROR(__xludf.DUMMYFUNCTION("GOOGLETRANSLATE(B74,""id"",""en"")"),"['Get', 'SMS', 'Telkomsel', 'get', 'pulse', 'thousand', 'directed', 'check', 'MyTelkomsel', 'Severe', 'Roli', 'get', ' GB ',' DiChek ']")</f>
        <v>['Get', 'SMS', 'Telkomsel', 'get', 'pulse', 'thousand', 'directed', 'check', 'MyTelkomsel', 'Severe', 'Roli', 'get', ' GB ',' DiChek ']</v>
      </c>
      <c r="D74" s="3">
        <v>1.0</v>
      </c>
    </row>
    <row r="75" ht="15.75" customHeight="1">
      <c r="A75" s="1">
        <v>73.0</v>
      </c>
      <c r="B75" s="3" t="s">
        <v>76</v>
      </c>
      <c r="C75" s="3" t="str">
        <f>IFERROR(__xludf.DUMMYFUNCTION("GOOGLETRANSLATE(B75,""id"",""en"")"),"['', 'oath', 'ngeselin', 'already', 'update', 'load', 'reset', 'then' delete ',' download ',' mending ',' deh ',' moved ',' Provider ',' okay ',' guys']")</f>
        <v>['', 'oath', 'ngeselin', 'already', 'update', 'load', 'reset', 'then' delete ',' download ',' mending ',' deh ',' moved ',' Provider ',' okay ',' guys']</v>
      </c>
      <c r="D75" s="3">
        <v>1.0</v>
      </c>
    </row>
    <row r="76" ht="15.75" customHeight="1">
      <c r="A76" s="1">
        <v>74.0</v>
      </c>
      <c r="B76" s="3" t="s">
        <v>77</v>
      </c>
      <c r="C76" s="3" t="str">
        <f>IFERROR(__xludf.DUMMYFUNCTION("GOOGLETRANSLATE(B76,""id"",""en"")"),"['', 'contents', 'balance', 'cut', 'already', 'use', 'card', 'tuyul']")</f>
        <v>['', 'contents', 'balance', 'cut', 'already', 'use', 'card', 'tuyul']</v>
      </c>
      <c r="D76" s="3">
        <v>1.0</v>
      </c>
    </row>
    <row r="77" ht="15.75" customHeight="1">
      <c r="A77" s="1">
        <v>75.0</v>
      </c>
      <c r="B77" s="3" t="s">
        <v>78</v>
      </c>
      <c r="C77" s="3" t="str">
        <f>IFERROR(__xludf.DUMMYFUNCTION("GOOGLETRANSLATE(B77,""id"",""en"")"),"['Feature', 'Telkomsel', 'provided', 'App', 'Practical']")</f>
        <v>['Feature', 'Telkomsel', 'provided', 'App', 'Practical']</v>
      </c>
      <c r="D77" s="3">
        <v>5.0</v>
      </c>
    </row>
    <row r="78" ht="15.75" customHeight="1">
      <c r="A78" s="1">
        <v>76.0</v>
      </c>
      <c r="B78" s="3" t="s">
        <v>79</v>
      </c>
      <c r="C78" s="3" t="str">
        <f>IFERROR(__xludf.DUMMYFUNCTION("GOOGLETRANSLATE(B78,""id"",""en"")"),"['pulse', 'times', 'Cut', 'Rb', 'used', 'outside', 'package', 'internet', 'pdhl', 'use', 'internet', 'outside' package ',' hrs', 'cut', 'pulse', 'thief', '']")</f>
        <v>['pulse', 'times', 'Cut', 'Rb', 'used', 'outside', 'package', 'internet', 'pdhl', 'use', 'internet', 'outside' package ',' hrs', 'cut', 'pulse', 'thief', '']</v>
      </c>
      <c r="D78" s="3">
        <v>1.0</v>
      </c>
    </row>
    <row r="79" ht="15.75" customHeight="1">
      <c r="A79" s="1">
        <v>77.0</v>
      </c>
      <c r="B79" s="3" t="s">
        <v>80</v>
      </c>
      <c r="C79" s="3" t="str">
        <f>IFERROR(__xludf.DUMMYFUNCTION("GOOGLETRANSLATE(B79,""id"",""en"")"),"['buy', 'Package', 'RB', 'GB', 'quota', 'internet', 'quota', 'GB', 'multimedia', 'sosmed', 'Yutub', 'strange', ' quota ',' GB ',' fought ',' whole ',' GB ',' Taik ',' wirs', 'prank', 'already', 'buy', 'right', 'love', 'description' , 'Cook', 'BUMN', 'Kaya"&amp;"k', 'Gini', ""]")</f>
        <v>['buy', 'Package', 'RB', 'GB', 'quota', 'internet', 'quota', 'GB', 'multimedia', 'sosmed', 'Yutub', 'strange', ' quota ',' GB ',' fought ',' whole ',' GB ',' Taik ',' wirs', 'prank', 'already', 'buy', 'right', 'love', 'description' , 'Cook', 'BUMN', 'Kayak', 'Gini', "]</v>
      </c>
      <c r="D79" s="3">
        <v>1.0</v>
      </c>
    </row>
    <row r="80" ht="15.75" customHeight="1">
      <c r="A80" s="1">
        <v>78.0</v>
      </c>
      <c r="B80" s="3" t="s">
        <v>81</v>
      </c>
      <c r="C80" s="3" t="str">
        <f>IFERROR(__xludf.DUMMYFUNCTION("GOOGLETRANSLATE(B80,""id"",""en"")"),"['Update', 'use', 'Severe', 'Loading', 'Page', 'Gagauan', 'System', 'Pekah', '']")</f>
        <v>['Update', 'use', 'Severe', 'Loading', 'Page', 'Gagauan', 'System', 'Pekah', '']</v>
      </c>
      <c r="D80" s="3">
        <v>1.0</v>
      </c>
    </row>
    <row r="81" ht="15.75" customHeight="1">
      <c r="A81" s="1">
        <v>79.0</v>
      </c>
      <c r="B81" s="3" t="s">
        <v>82</v>
      </c>
      <c r="C81" s="3" t="str">
        <f>IFERROR(__xludf.DUMMYFUNCTION("GOOGLETRANSLATE(B81,""id"",""en"")"),"['Sorry', 'Application', 'Telkomsel', 'Bagusan', 'Heavy', 'Just', 'Check', 'Quota', 'Loading', ""]")</f>
        <v>['Sorry', 'Application', 'Telkomsel', 'Bagusan', 'Heavy', 'Just', 'Check', 'Quota', 'Loading', "]</v>
      </c>
      <c r="D81" s="3">
        <v>3.0</v>
      </c>
    </row>
    <row r="82" ht="15.75" customHeight="1">
      <c r="A82" s="1">
        <v>80.0</v>
      </c>
      <c r="B82" s="3" t="s">
        <v>83</v>
      </c>
      <c r="C82" s="3" t="str">
        <f>IFERROR(__xludf.DUMMYFUNCTION("GOOGLETRANSLATE(B82,""id"",""en"")"),"['The network', 'smooth', 'right', 'open', 'youtube', 'doang', 'translucent', 'mbs',' open ',' apk ',' rich ',' tiktok ',' Facebook ',' etc. ',' network ',' stuck ',' please ',' fix ',' person ',' village ',' please ',' emang ',' people ',' village ',' ng"&amp;"gk ' , 'entitled', 'get', 'signal', 'good', 'pandemic', 'rich', 'learn', 'online', 'sometimes',' like ',' late ',' absent ',' As a result ',' Alpa ',' because ',' limit ',' absent ',' ']")</f>
        <v>['The network', 'smooth', 'right', 'open', 'youtube', 'doang', 'translucent', 'mbs',' open ',' apk ',' rich ',' tiktok ',' Facebook ',' etc. ',' network ',' stuck ',' please ',' fix ',' person ',' village ',' please ',' emang ',' people ',' village ',' nggk ' , 'entitled', 'get', 'signal', 'good', 'pandemic', 'rich', 'learn', 'online', 'sometimes',' like ',' late ',' absent ',' As a result ',' Alpa ',' because ',' limit ',' absent ',' ']</v>
      </c>
      <c r="D82" s="3">
        <v>1.0</v>
      </c>
    </row>
    <row r="83" ht="15.75" customHeight="1">
      <c r="A83" s="1">
        <v>81.0</v>
      </c>
      <c r="B83" s="3" t="s">
        <v>84</v>
      </c>
      <c r="C83" s="3" t="str">
        <f>IFERROR(__xludf.DUMMYFUNCTION("GOOGLETRANSLATE(B83,""id"",""en"")"),"['Level', 'heavy', 'specifications', 'low', 'version', 'Lite', 'Love', 'this', 'App', '']")</f>
        <v>['Level', 'heavy', 'specifications', 'low', 'version', 'Lite', 'Love', 'this', 'App', '']</v>
      </c>
      <c r="D83" s="3">
        <v>5.0</v>
      </c>
    </row>
    <row r="84" ht="15.75" customHeight="1">
      <c r="A84" s="1">
        <v>82.0</v>
      </c>
      <c r="B84" s="3" t="s">
        <v>85</v>
      </c>
      <c r="C84" s="3" t="str">
        <f>IFERROR(__xludf.DUMMYFUNCTION("GOOGLETRANSLATE(B84,""id"",""en"")"),"['likes', 'Telkomsel', 'easy', 'buy', 'package', 'please', 'number', 'package', 'expensive', ""]")</f>
        <v>['likes', 'Telkomsel', 'easy', 'buy', 'package', 'please', 'number', 'package', 'expensive', "]</v>
      </c>
      <c r="D84" s="3">
        <v>5.0</v>
      </c>
    </row>
    <row r="85" ht="15.75" customHeight="1">
      <c r="A85" s="1">
        <v>83.0</v>
      </c>
      <c r="B85" s="3" t="s">
        <v>86</v>
      </c>
      <c r="C85" s="3" t="str">
        <f>IFERROR(__xludf.DUMMYFUNCTION("GOOGLETRANSLATE(B85,""id"",""en"")"),"['Good', 'like', 'application', 'loss', 'use', 'Telkomsel', 'Download', 'Telkomsel']")</f>
        <v>['Good', 'like', 'application', 'loss', 'use', 'Telkomsel', 'Download', 'Telkomsel']</v>
      </c>
      <c r="D85" s="3">
        <v>5.0</v>
      </c>
    </row>
    <row r="86" ht="15.75" customHeight="1">
      <c r="A86" s="1">
        <v>84.0</v>
      </c>
      <c r="B86" s="3" t="s">
        <v>87</v>
      </c>
      <c r="C86" s="3" t="str">
        <f>IFERROR(__xludf.DUMMYFUNCTION("GOOGLETRANSLATE(B86,""id"",""en"")"),"['Network', 'Location', 'Leet', 'Lottery', 'Points',' Prize ',' Telkomsel ',' Publish ',' winner ',' Media ',' Terbimah ',' Love ',' ']")</f>
        <v>['Network', 'Location', 'Leet', 'Lottery', 'Points',' Prize ',' Telkomsel ',' Publish ',' winner ',' Media ',' Terbimah ',' Love ',' ']</v>
      </c>
      <c r="D86" s="3">
        <v>4.0</v>
      </c>
    </row>
    <row r="87" ht="15.75" customHeight="1">
      <c r="A87" s="1">
        <v>85.0</v>
      </c>
      <c r="B87" s="3" t="s">
        <v>88</v>
      </c>
      <c r="C87" s="3" t="str">
        <f>IFERROR(__xludf.DUMMYFUNCTION("GOOGLETRANSLATE(B87,""id"",""en"")"),"['Application', 'Disappointed', 'Cook', 'Credit', 'Used', 'Luu', 'Recommendation', 'Subscriptions',' DIRTING ',' AXIS ',' Smartfren ',' IM ',' ']")</f>
        <v>['Application', 'Disappointed', 'Cook', 'Credit', 'Used', 'Luu', 'Recommendation', 'Subscriptions',' DIRTING ',' AXIS ',' Smartfren ',' IM ',' ']</v>
      </c>
      <c r="D87" s="3">
        <v>1.0</v>
      </c>
    </row>
    <row r="88" ht="15.75" customHeight="1">
      <c r="A88" s="1">
        <v>86.0</v>
      </c>
      <c r="B88" s="3" t="s">
        <v>89</v>
      </c>
      <c r="C88" s="3" t="str">
        <f>IFERROR(__xludf.DUMMYFUNCTION("GOOGLETRANSLATE(B88,""id"",""en"")"),"['function', 'useful', 'version', 'Lite', 'area', 'difficult', 'signal', 'mountains',' difficult ',' access', 'load', 'page', ' ']")</f>
        <v>['function', 'useful', 'version', 'Lite', 'area', 'difficult', 'signal', 'mountains',' difficult ',' access', 'load', 'page', ' ']</v>
      </c>
      <c r="D88" s="3">
        <v>5.0</v>
      </c>
    </row>
    <row r="89" ht="15.75" customHeight="1">
      <c r="A89" s="1">
        <v>87.0</v>
      </c>
      <c r="B89" s="3" t="s">
        <v>90</v>
      </c>
      <c r="C89" s="3" t="str">
        <f>IFERROR(__xludf.DUMMYFUNCTION("GOOGLETRANSLATE(B89,""id"",""en"")"),"['', 'Points', 'Klau', 'Exchange', 'Please', 'Boss', 'Repaired', 'TPIBKKAU', 'CLOSED', 'CLOSE', 'BOS', '']")</f>
        <v>['', 'Points', 'Klau', 'Exchange', 'Please', 'Boss', 'Repaired', 'TPIBKKAU', 'CLOSED', 'CLOSE', 'BOS', '']</v>
      </c>
      <c r="D89" s="3">
        <v>1.0</v>
      </c>
    </row>
    <row r="90" ht="15.75" customHeight="1">
      <c r="A90" s="1">
        <v>88.0</v>
      </c>
      <c r="B90" s="3" t="s">
        <v>91</v>
      </c>
      <c r="C90" s="3" t="str">
        <f>IFERROR(__xludf.DUMMYFUNCTION("GOOGLETRANSLATE(B90,""id"",""en"")"),"['Network', 'Telkomsel', 'loss', 'Customer', 'fill in', 'quota', 'expensive', 'disorder']")</f>
        <v>['Network', 'Telkomsel', 'loss', 'Customer', 'fill in', 'quota', 'expensive', 'disorder']</v>
      </c>
      <c r="D90" s="3">
        <v>1.0</v>
      </c>
    </row>
    <row r="91" ht="15.75" customHeight="1">
      <c r="A91" s="1">
        <v>89.0</v>
      </c>
      <c r="B91" s="3" t="s">
        <v>92</v>
      </c>
      <c r="C91" s="3" t="str">
        <f>IFERROR(__xludf.DUMMYFUNCTION("GOOGLETRANSLATE(B91,""id"",""en"")"),"['buy', 'package', 'application', 'application', 'disorder', 'buy', 'pulse', 'buy', 'packagetttt']")</f>
        <v>['buy', 'package', 'application', 'application', 'disorder', 'buy', 'pulse', 'buy', 'packagetttt']</v>
      </c>
      <c r="D91" s="3">
        <v>3.0</v>
      </c>
    </row>
    <row r="92" ht="15.75" customHeight="1">
      <c r="A92" s="1">
        <v>90.0</v>
      </c>
      <c r="B92" s="3" t="s">
        <v>93</v>
      </c>
      <c r="C92" s="3" t="str">
        <f>IFERROR(__xludf.DUMMYFUNCTION("GOOGLETRANSLATE(B92,""id"",""en"")"),"['application', 'Telkomsel', 'good', 'complete', 'bangetttttttttttttttttttttttttttttttttttttttttttttttttttttttttttttttttttttttttttttttttttttttttttttttttttttttttttttttttttttttttttttttttttttttttttttttttttttttttttttttttttttttttttttttttttttttttttttttttttttttt"&amp;"tt Now ',' Hurry ']")</f>
        <v>['application', 'Telkomsel', 'good', 'complete', 'bangetttttttttttttttttttttttttttttttttttttttttttttttttttttttttttttttttttttttttttttttttttttttttttttttttttttttttttttttttttttttttttttttttttttttttttttttttttttttttttttttttttttttttttttttttttttttttttttttttttttttttt Now ',' Hurry ']</v>
      </c>
      <c r="D92" s="3">
        <v>5.0</v>
      </c>
    </row>
    <row r="93" ht="15.75" customHeight="1">
      <c r="A93" s="1">
        <v>91.0</v>
      </c>
      <c r="B93" s="3" t="s">
        <v>94</v>
      </c>
      <c r="C93" s="3" t="str">
        <f>IFERROR(__xludf.DUMMYFUNCTION("GOOGLETRANSLATE(B93,""id"",""en"")"),"['already', 'closed', 'already', 'a week', 'buy', 'quota', '']")</f>
        <v>['already', 'closed', 'already', 'a week', 'buy', 'quota', '']</v>
      </c>
      <c r="D93" s="3">
        <v>1.0</v>
      </c>
    </row>
    <row r="94" ht="15.75" customHeight="1">
      <c r="A94" s="1">
        <v>92.0</v>
      </c>
      <c r="B94" s="3" t="s">
        <v>95</v>
      </c>
      <c r="C94" s="3" t="str">
        <f>IFERROR(__xludf.DUMMYFUNCTION("GOOGLETRANSLATE(B94,""id"",""en"")"),"['unlimited', 'right', 'quota', 'mainly', 'run out', 'unlimited', 'no', 'use', 'buy', 'expensive', 'gausah', 'cheat', ' Gini ',' ']")</f>
        <v>['unlimited', 'right', 'quota', 'mainly', 'run out', 'unlimited', 'no', 'use', 'buy', 'expensive', 'gausah', 'cheat', ' Gini ',' ']</v>
      </c>
      <c r="D94" s="3">
        <v>1.0</v>
      </c>
    </row>
    <row r="95" ht="15.75" customHeight="1">
      <c r="A95" s="1">
        <v>93.0</v>
      </c>
      <c r="B95" s="3" t="s">
        <v>96</v>
      </c>
      <c r="C95" s="3" t="str">
        <f>IFERROR(__xludf.DUMMYFUNCTION("GOOGLETRANSLATE(B95,""id"",""en"")"),"['Telkomsel', 'price', 'according to', 'quality', 'family', 'to', 'person', 'old', 'people', 'already', 'customers',' Telkomsel ',' Services', 'TLPN', 'Customer', 'Sarvice', 'here', 'ugly', 'service', 'error', 'deliberate', 'quota', 'clock', 'ilang', 'con"&amp;"dition' , 'Download', 'update', 'application', 'process', 'eat', 'Gara', 'ilang', 'KTP', 'Data', 'complete', 'prbaiki']")</f>
        <v>['Telkomsel', 'price', 'according to', 'quality', 'family', 'to', 'person', 'old', 'people', 'already', 'customers',' Telkomsel ',' Services', 'TLPN', 'Customer', 'Sarvice', 'here', 'ugly', 'service', 'error', 'deliberate', 'quota', 'clock', 'ilang', 'condition' , 'Download', 'update', 'application', 'process', 'eat', 'Gara', 'ilang', 'KTP', 'Data', 'complete', 'prbaiki']</v>
      </c>
      <c r="D95" s="3">
        <v>1.0</v>
      </c>
    </row>
    <row r="96" ht="15.75" customHeight="1">
      <c r="A96" s="1">
        <v>94.0</v>
      </c>
      <c r="B96" s="3" t="s">
        <v>97</v>
      </c>
      <c r="C96" s="3" t="str">
        <f>IFERROR(__xludf.DUMMYFUNCTION("GOOGLETRANSLATE(B96,""id"",""en"")"),"['Price', 'expensive', 'signal', 'stable', 'emang', 'best', 'note', 'deteriorating', 'best']")</f>
        <v>['Price', 'expensive', 'signal', 'stable', 'emang', 'best', 'note', 'deteriorating', 'best']</v>
      </c>
      <c r="D96" s="3">
        <v>1.0</v>
      </c>
    </row>
    <row r="97" ht="15.75" customHeight="1">
      <c r="A97" s="1">
        <v>95.0</v>
      </c>
      <c r="B97" s="3" t="s">
        <v>98</v>
      </c>
      <c r="C97" s="3" t="str">
        <f>IFERROR(__xludf.DUMMYFUNCTION("GOOGLETRANSLATE(B97,""id"",""en"")"),"['Provider', 'garbage', 'slogan', 'Network', 'Until', 'Remote', 'Negri', 'proof', 'City', 'Kek', 'pulp', 'quota', ' Expensive ',' Please ',' Telkomsel ',' Increase ',' Network ',' Sampe ',' Customer ',' Switch ',' Provider ']")</f>
        <v>['Provider', 'garbage', 'slogan', 'Network', 'Until', 'Remote', 'Negri', 'proof', 'City', 'Kek', 'pulp', 'quota', ' Expensive ',' Please ',' Telkomsel ',' Increase ',' Network ',' Sampe ',' Customer ',' Switch ',' Provider ']</v>
      </c>
      <c r="D97" s="3">
        <v>1.0</v>
      </c>
    </row>
    <row r="98" ht="15.75" customHeight="1">
      <c r="A98" s="1">
        <v>96.0</v>
      </c>
      <c r="B98" s="3" t="s">
        <v>99</v>
      </c>
      <c r="C98" s="3" t="str">
        <f>IFERROR(__xludf.DUMMYFUNCTION("GOOGLETRANSLATE(B98,""id"",""en"")"),"['network', 'slow', 'call', 'disconnected', 'broke', 'NGK', 'voice', 'access', 'internet', 'failed']")</f>
        <v>['network', 'slow', 'call', 'disconnected', 'broke', 'NGK', 'voice', 'access', 'internet', 'failed']</v>
      </c>
      <c r="D98" s="3">
        <v>1.0</v>
      </c>
    </row>
    <row r="99" ht="15.75" customHeight="1">
      <c r="A99" s="1">
        <v>97.0</v>
      </c>
      <c r="B99" s="3" t="s">
        <v>100</v>
      </c>
      <c r="C99" s="3" t="str">
        <f>IFERROR(__xludf.DUMMYFUNCTION("GOOGLETRANSLATE(B99,""id"",""en"")"),"['', 'use', 'card', 'know', 'expensive', 'package', 'internet', 'sometimes',' package ',' tlpn ',' use ',' card ',' knpa ',' price ',' package ',' Different ',' Try ',' repaired ',' service ',' customer ',' loyal ',' Telkomsel ',' Moso ',' yes', 'disappoi"&amp;"nted', '']")</f>
        <v>['', 'use', 'card', 'know', 'expensive', 'package', 'internet', 'sometimes',' package ',' tlpn ',' use ',' card ',' knpa ',' price ',' package ',' Different ',' Try ',' repaired ',' service ',' customer ',' loyal ',' Telkomsel ',' Moso ',' yes', 'disappointed', '']</v>
      </c>
      <c r="D99" s="3">
        <v>3.0</v>
      </c>
    </row>
    <row r="100" ht="15.75" customHeight="1">
      <c r="A100" s="1">
        <v>98.0</v>
      </c>
      <c r="B100" s="3" t="s">
        <v>101</v>
      </c>
      <c r="C100" s="3" t="str">
        <f>IFERROR(__xludf.DUMMYFUNCTION("GOOGLETRANSLATE(B100,""id"",""en"")"),"['Bonus', 'Lost', 'Package', 'Call', 'All', 'Operator', 'Package', 'SMS', 'Eeeh', 'Credit', 'Embat', 'Bangsatttttttt']")</f>
        <v>['Bonus', 'Lost', 'Package', 'Call', 'All', 'Operator', 'Package', 'SMS', 'Eeeh', 'Credit', 'Embat', 'Bangsatttttttt']</v>
      </c>
      <c r="D100" s="3">
        <v>1.0</v>
      </c>
    </row>
    <row r="101" ht="15.75" customHeight="1">
      <c r="A101" s="1">
        <v>99.0</v>
      </c>
      <c r="B101" s="3" t="s">
        <v>102</v>
      </c>
      <c r="C101" s="3" t="str">
        <f>IFERROR(__xludf.DUMMYFUNCTION("GOOGLETRANSLATE(B101,""id"",""en"")"),"['signal', 'area', 'difficult', 'internet', 'call', 'disorder']")</f>
        <v>['signal', 'area', 'difficult', 'internet', 'call', 'disorder']</v>
      </c>
      <c r="D101" s="3">
        <v>3.0</v>
      </c>
    </row>
    <row r="102" ht="15.75" customHeight="1">
      <c r="A102" s="1">
        <v>100.0</v>
      </c>
      <c r="B102" s="3" t="s">
        <v>103</v>
      </c>
      <c r="C102" s="3" t="str">
        <f>IFERROR(__xludf.DUMMYFUNCTION("GOOGLETRANSLATE(B102,""id"",""en"")"),"['Please', 'Telkomsel', 'Access',' No "", 'Package', 'Data', 'Loading', 'Update',""]")</f>
        <v>['Please', 'Telkomsel', 'Access',' No ", 'Package', 'Data', 'Loading', 'Update',"]</v>
      </c>
      <c r="D102" s="3">
        <v>3.0</v>
      </c>
    </row>
    <row r="103" ht="15.75" customHeight="1">
      <c r="A103" s="1">
        <v>101.0</v>
      </c>
      <c r="B103" s="3" t="s">
        <v>104</v>
      </c>
      <c r="C103" s="3" t="str">
        <f>IFERROR(__xludf.DUMMYFUNCTION("GOOGLETRANSLATE(B103,""id"",""en"")"),"['Internet', 'Credit', 'Cut', 'thousand', 'Buln', 'Pulak', 'Bokek', 'pulse', 'drift', 'Mengsedihhh', 'reverse', 'pulses',' ']")</f>
        <v>['Internet', 'Credit', 'Cut', 'thousand', 'Buln', 'Pulak', 'Bokek', 'pulse', 'drift', 'Mengsedihhh', 'reverse', 'pulses',' ']</v>
      </c>
      <c r="D103" s="3">
        <v>4.0</v>
      </c>
    </row>
    <row r="104" ht="15.75" customHeight="1">
      <c r="A104" s="1">
        <v>102.0</v>
      </c>
      <c r="B104" s="3" t="s">
        <v>105</v>
      </c>
      <c r="C104" s="3" t="str">
        <f>IFERROR(__xludf.DUMMYFUNCTION("GOOGLETRANSLATE(B104,""id"",""en"")"),"['Criticism', 'Lack', 'Protection', 'Remnant', 'Credit', 'Package', 'Main', 'Out', 'Notification', 'Credit', 'Out', 'Feature', ' Operators', 'Indosat', 'operators',' cellular ',' owned ',' Telkomsel ',' hope ',' suggestions', 'responded', 'Telkomsel', 'ac"&amp;"cept', 'suggestion', 'repair' , 'Addition', 'Features', 'Protection', 'Remnant', 'Credit', '']")</f>
        <v>['Criticism', 'Lack', 'Protection', 'Remnant', 'Credit', 'Package', 'Main', 'Out', 'Notification', 'Credit', 'Out', 'Feature', ' Operators', 'Indosat', 'operators',' cellular ',' owned ',' Telkomsel ',' hope ',' suggestions', 'responded', 'Telkomsel', 'accept', 'suggestion', 'repair' , 'Addition', 'Features', 'Protection', 'Remnant', 'Credit', '']</v>
      </c>
      <c r="D104" s="3">
        <v>2.0</v>
      </c>
    </row>
    <row r="105" ht="15.75" customHeight="1">
      <c r="A105" s="1">
        <v>103.0</v>
      </c>
      <c r="B105" s="3" t="s">
        <v>106</v>
      </c>
      <c r="C105" s="3" t="str">
        <f>IFERROR(__xludf.DUMMYFUNCTION("GOOGLETRANSLATE(B105,""id"",""en"")"),"['steady', 'deh', 'enhanced', 'comfortable', '']")</f>
        <v>['steady', 'deh', 'enhanced', 'comfortable', '']</v>
      </c>
      <c r="D105" s="3">
        <v>5.0</v>
      </c>
    </row>
    <row r="106" ht="15.75" customHeight="1">
      <c r="A106" s="1">
        <v>104.0</v>
      </c>
      <c r="B106" s="3" t="s">
        <v>107</v>
      </c>
      <c r="C106" s="3" t="str">
        <f>IFERROR(__xludf.DUMMYFUNCTION("GOOGLETRANSLATE(B106,""id"",""en"")"),"['Satisfied', 'Display', 'Simple', 'Futuristic', 'Hopefully', 'MyTelkomsel', 'Experience', 'Feature', '']")</f>
        <v>['Satisfied', 'Display', 'Simple', 'Futuristic', 'Hopefully', 'MyTelkomsel', 'Experience', 'Feature', '']</v>
      </c>
      <c r="D106" s="3">
        <v>5.0</v>
      </c>
    </row>
    <row r="107" ht="15.75" customHeight="1">
      <c r="A107" s="1">
        <v>105.0</v>
      </c>
      <c r="B107" s="3" t="s">
        <v>108</v>
      </c>
      <c r="C107" s="3" t="str">
        <f>IFERROR(__xludf.DUMMYFUNCTION("GOOGLETRANSLATE(B107,""id"",""en"")"),"['The network', 'slow', 'internet', 'just', 'rare', 'buy', 'package', 'expensive', 'signal', 'bad', 'send', 'hour', ' Open ',' Tik ',' Tok ',' Buffering ',' Open ',' The picture ',' Kliatan ',' Hadeh ',' Filled ',' Pulse ',' Sumpot ',' Mulu ',' Operator '"&amp;" , 'Wonder', 'deh', 'use', 'application', 'lock', 'pulse', 'application', 'next door', 'lock', 'pulses',' stuff ',' expensive ',' Doank ',' quality ',' abal ',' network ',' rotten ', ""]")</f>
        <v>['The network', 'slow', 'internet', 'just', 'rare', 'buy', 'package', 'expensive', 'signal', 'bad', 'send', 'hour', ' Open ',' Tik ',' Tok ',' Buffering ',' Open ',' The picture ',' Kliatan ',' Hadeh ',' Filled ',' Pulse ',' Sumpot ',' Mulu ',' Operator ' , 'Wonder', 'deh', 'use', 'application', 'lock', 'pulse', 'application', 'next door', 'lock', 'pulses',' stuff ',' expensive ',' Doank ',' quality ',' abal ',' network ',' rotten ', "]</v>
      </c>
      <c r="D107" s="3">
        <v>1.0</v>
      </c>
    </row>
    <row r="108" ht="15.75" customHeight="1">
      <c r="A108" s="1">
        <v>106.0</v>
      </c>
      <c r="B108" s="3" t="s">
        <v>109</v>
      </c>
      <c r="C108" s="3" t="str">
        <f>IFERROR(__xludf.DUMMYFUNCTION("GOOGLETRANSLATE(B108,""id"",""en"")"),"['Quality', 'Network', 'Best', 'Adlh', 'Telkomsel', 'skrg', 'deteriorated', 'quota', 'internet', 'taste', 'wasteful', 'imposing', ' Customers', 'moved', 'Dri', 'Tsel', '']")</f>
        <v>['Quality', 'Network', 'Best', 'Adlh', 'Telkomsel', 'skrg', 'deteriorated', 'quota', 'internet', 'taste', 'wasteful', 'imposing', ' Customers', 'moved', 'Dri', 'Tsel', '']</v>
      </c>
      <c r="D108" s="3">
        <v>3.0</v>
      </c>
    </row>
    <row r="109" ht="15.75" customHeight="1">
      <c r="A109" s="1">
        <v>107.0</v>
      </c>
      <c r="B109" s="3" t="s">
        <v>110</v>
      </c>
      <c r="C109" s="3" t="str">
        <f>IFERROR(__xludf.DUMMYFUNCTION("GOOGLETRANSLATE(B109,""id"",""en"")"),"['', 'need', 'staple', 'open', 'fasting', 'week']")</f>
        <v>['', 'need', 'staple', 'open', 'fasting', 'week']</v>
      </c>
      <c r="D109" s="3">
        <v>4.0</v>
      </c>
    </row>
    <row r="110" ht="15.75" customHeight="1">
      <c r="A110" s="1">
        <v>108.0</v>
      </c>
      <c r="B110" s="3" t="s">
        <v>111</v>
      </c>
      <c r="C110" s="3" t="str">
        <f>IFERROR(__xludf.DUMMYFUNCTION("GOOGLETRANSLATE(B110,""id"",""en"")"),"['network', 'Telkomsel', 'Agats',' stable ',' log ',' Telkomsel ',' fast ',' morning ',' noon ',' afternoon ',' night ',' Need ',' Log ',' thank ',' love ',' ']")</f>
        <v>['network', 'Telkomsel', 'Agats',' stable ',' log ',' Telkomsel ',' fast ',' morning ',' noon ',' afternoon ',' night ',' Need ',' Log ',' thank ',' love ',' ']</v>
      </c>
      <c r="D110" s="3">
        <v>4.0</v>
      </c>
    </row>
    <row r="111" ht="15.75" customHeight="1">
      <c r="A111" s="1">
        <v>109.0</v>
      </c>
      <c r="B111" s="3" t="s">
        <v>112</v>
      </c>
      <c r="C111" s="3" t="str">
        <f>IFERROR(__xludf.DUMMYFUNCTION("GOOGLETRANSLATE(B111,""id"",""en"")"),"['The network', 'incur', 'ugly', 'signal', 'Jakarta', 'pulse', 'slalu', 'truncated', 'until', 'run out', 'package', 'data', ' package ',' problematic ',' complement ',' Veronika ',' clock ',' review ',' pulse ',' ugly ',' the network ', ""]")</f>
        <v>['The network', 'incur', 'ugly', 'signal', 'Jakarta', 'pulse', 'slalu', 'truncated', 'until', 'run out', 'package', 'data', ' package ',' problematic ',' complement ',' Veronika ',' clock ',' review ',' pulse ',' ugly ',' the network ', "]</v>
      </c>
      <c r="D111" s="3">
        <v>1.0</v>
      </c>
    </row>
    <row r="112" ht="15.75" customHeight="1">
      <c r="A112" s="1">
        <v>110.0</v>
      </c>
      <c r="B112" s="3" t="s">
        <v>113</v>
      </c>
      <c r="C112" s="3" t="str">
        <f>IFERROR(__xludf.DUMMYFUNCTION("GOOGLETRANSLATE(B112,""id"",""en"")"),"['page', 'check', 'open', 'closed', 'open', '']")</f>
        <v>['page', 'check', 'open', 'closed', 'open', '']</v>
      </c>
      <c r="D112" s="3">
        <v>4.0</v>
      </c>
    </row>
    <row r="113" ht="15.75" customHeight="1">
      <c r="A113" s="1">
        <v>111.0</v>
      </c>
      <c r="B113" s="3" t="s">
        <v>114</v>
      </c>
      <c r="C113" s="3" t="str">
        <f>IFERROR(__xludf.DUMMYFUNCTION("GOOGLETRANSLATE(B113,""id"",""en"")"),"['Combo', 'Sakti', 'unlimited', 'update', 'bit', 'that way', 'used', 'slow', ""]")</f>
        <v>['Combo', 'Sakti', 'unlimited', 'update', 'bit', 'that way', 'used', 'slow', "]</v>
      </c>
      <c r="D113" s="3">
        <v>5.0</v>
      </c>
    </row>
    <row r="114" ht="15.75" customHeight="1">
      <c r="A114" s="1">
        <v>112.0</v>
      </c>
      <c r="B114" s="3" t="s">
        <v>115</v>
      </c>
      <c r="C114" s="3" t="str">
        <f>IFERROR(__xludf.DUMMYFUNCTION("GOOGLETRANSLATE(B114,""id"",""en"")"),"['Network', 'Sumatra', 'South', 'ugly', 'district', 'Muara', 'Enim', 'sub-district', 'Lawang', 'kidul', 'buy', 'good', ' Bye ',' Telkomsel ',' ']")</f>
        <v>['Network', 'Sumatra', 'South', 'ugly', 'district', 'Muara', 'Enim', 'sub-district', 'Lawang', 'kidul', 'buy', 'good', ' Bye ',' Telkomsel ',' ']</v>
      </c>
      <c r="D114" s="3">
        <v>1.0</v>
      </c>
    </row>
    <row r="115" ht="15.75" customHeight="1">
      <c r="A115" s="1">
        <v>113.0</v>
      </c>
      <c r="B115" s="3" t="s">
        <v>116</v>
      </c>
      <c r="C115" s="3" t="str">
        <f>IFERROR(__xludf.DUMMYFUNCTION("GOOGLETRANSLATE(B115,""id"",""en"")"),"['sory', 'down', 'rate', 'price', 'package', 'balanced', 'service', 'difficult', 'right', 'buy', 'package', 'app', ' run out ',' pulses', 'dedot', 'package', 'enter', 'tuk', 'app', 'buy', 'package', 'tasty', 'gunain', 'code', 'dial' , 'Cheap', 'difficult'"&amp;", '']")</f>
        <v>['sory', 'down', 'rate', 'price', 'package', 'balanced', 'service', 'difficult', 'right', 'buy', 'package', 'app', ' run out ',' pulses', 'dedot', 'package', 'enter', 'tuk', 'app', 'buy', 'package', 'tasty', 'gunain', 'code', 'dial' , 'Cheap', 'difficult', '']</v>
      </c>
      <c r="D115" s="3">
        <v>1.0</v>
      </c>
    </row>
    <row r="116" ht="15.75" customHeight="1">
      <c r="A116" s="1">
        <v>114.0</v>
      </c>
      <c r="B116" s="3" t="s">
        <v>117</v>
      </c>
      <c r="C116" s="3" t="str">
        <f>IFERROR(__xludf.DUMMYFUNCTION("GOOGLETRANSLATE(B116,""id"",""en"")"),"['satisfying', 'network', 'weak', 'count on', 'Telkomsel', 'era', 'decent', ""]")</f>
        <v>['satisfying', 'network', 'weak', 'count on', 'Telkomsel', 'era', 'decent', "]</v>
      </c>
      <c r="D116" s="3">
        <v>1.0</v>
      </c>
    </row>
    <row r="117" ht="15.75" customHeight="1">
      <c r="A117" s="1">
        <v>115.0</v>
      </c>
      <c r="B117" s="3" t="s">
        <v>118</v>
      </c>
      <c r="C117" s="3" t="str">
        <f>IFERROR(__xludf.DUMMYFUNCTION("GOOGLETRANSLATE(B117,""id"",""en"")"),"['contents',' pulse ',' stay ',' base ',' thief ',' modern ',' to move ',' call ',' gprs', 'ora', 'funny', 'valuable', ' Hard ',' looking for ',' Wis', 'Ora', 'ISO', 'Internet', 'ilang', 'Ambar', 'Sri', 'solution', 'best', ""]")</f>
        <v>['contents',' pulse ',' stay ',' base ',' thief ',' modern ',' to move ',' call ',' gprs', 'ora', 'funny', 'valuable', ' Hard ',' looking for ',' Wis', 'Ora', 'ISO', 'Internet', 'ilang', 'Ambar', 'Sri', 'solution', 'best', "]</v>
      </c>
      <c r="D117" s="3">
        <v>1.0</v>
      </c>
    </row>
    <row r="118" ht="15.75" customHeight="1">
      <c r="A118" s="1">
        <v>116.0</v>
      </c>
      <c r="B118" s="3" t="s">
        <v>119</v>
      </c>
      <c r="C118" s="3" t="str">
        <f>IFERROR(__xludf.DUMMYFUNCTION("GOOGLETRANSLATE(B118,""id"",""en"")"),"['', 'Telkomsel', 'DBESS', 'emng', 'Telkomsel', 'Wktu', 'school']")</f>
        <v>['', 'Telkomsel', 'DBESS', 'emng', 'Telkomsel', 'Wktu', 'school']</v>
      </c>
      <c r="D118" s="3">
        <v>4.0</v>
      </c>
    </row>
    <row r="119" ht="15.75" customHeight="1">
      <c r="A119" s="1">
        <v>117.0</v>
      </c>
      <c r="B119" s="3" t="s">
        <v>120</v>
      </c>
      <c r="C119" s="3" t="str">
        <f>IFERROR(__xludf.DUMMYFUNCTION("GOOGLETRANSLATE(B119,""id"",""en"")"),"['value', 'bikan', 'zero', 'comment', 'suggestion', 'pakek', 'Telkomsel', 'complaints',' customer ',' neglected ',' quality ',' bad ',' price ',' soaring ',' moved ',' already ',' pakek ',' Telkomsel ',' eager ',' subscription ']")</f>
        <v>['value', 'bikan', 'zero', 'comment', 'suggestion', 'pakek', 'Telkomsel', 'complaints',' customer ',' neglected ',' quality ',' bad ',' price ',' soaring ',' moved ',' already ',' pakek ',' Telkomsel ',' eager ',' subscription ']</v>
      </c>
      <c r="D119" s="3">
        <v>1.0</v>
      </c>
    </row>
    <row r="120" ht="15.75" customHeight="1">
      <c r="A120" s="1">
        <v>118.0</v>
      </c>
      <c r="B120" s="3" t="s">
        <v>121</v>
      </c>
      <c r="C120" s="3" t="str">
        <f>IFERROR(__xludf.DUMMYFUNCTION("GOOGLETRANSLATE(B120,""id"",""en"")"),"['buy', 'package', 'quota', 'error', 'exp', 'quota', 'stay', 'tomorrow']")</f>
        <v>['buy', 'package', 'quota', 'error', 'exp', 'quota', 'stay', 'tomorrow']</v>
      </c>
      <c r="D120" s="3">
        <v>2.0</v>
      </c>
    </row>
    <row r="121" ht="15.75" customHeight="1">
      <c r="A121" s="1">
        <v>119.0</v>
      </c>
      <c r="B121" s="3" t="s">
        <v>122</v>
      </c>
      <c r="C121" s="3" t="str">
        <f>IFERROR(__xludf.DUMMYFUNCTION("GOOGLETRANSLATE(B121,""id"",""en"")"),"['Slow', 'really', 'APK', 'buy', 'package', 'data', 'pdhl', 'pulse', 'ngepain', 'love', 'promo', 'bought', ' ']")</f>
        <v>['Slow', 'really', 'APK', 'buy', 'package', 'data', 'pdhl', 'pulse', 'ngepain', 'love', 'promo', 'bought', ' ']</v>
      </c>
      <c r="D121" s="3">
        <v>1.0</v>
      </c>
    </row>
    <row r="122" ht="15.75" customHeight="1">
      <c r="A122" s="1">
        <v>120.0</v>
      </c>
      <c r="B122" s="3" t="s">
        <v>123</v>
      </c>
      <c r="C122" s="3" t="str">
        <f>IFERROR(__xludf.DUMMYFUNCTION("GOOGLETRANSLATE(B122,""id"",""en"")"),"['Points', 'Difficulties', 'Exchange', 'Points', 'Lottery', 'Points', 'exchanged', 'PERTRANCTION', 'Application', 'ugly']")</f>
        <v>['Points', 'Difficulties', 'Exchange', 'Points', 'Lottery', 'Points', 'exchanged', 'PERTRANCTION', 'Application', 'ugly']</v>
      </c>
      <c r="D122" s="3">
        <v>1.0</v>
      </c>
    </row>
    <row r="123" ht="15.75" customHeight="1">
      <c r="A123" s="1">
        <v>121.0</v>
      </c>
      <c r="B123" s="3" t="s">
        <v>124</v>
      </c>
      <c r="C123" s="3" t="str">
        <f>IFERROR(__xludf.DUMMYFUNCTION("GOOGLETRANSLATE(B123,""id"",""en"")"),"['buy', 'quota', 'daritadi', 'acc', 'samoai', 'service', 'hour', 'udh', 'contact', 'veronika', 'the application', 'reply']")</f>
        <v>['buy', 'quota', 'daritadi', 'acc', 'samoai', 'service', 'hour', 'udh', 'contact', 'veronika', 'the application', 'reply']</v>
      </c>
      <c r="D123" s="3">
        <v>1.0</v>
      </c>
    </row>
    <row r="124" ht="15.75" customHeight="1">
      <c r="A124" s="1">
        <v>122.0</v>
      </c>
      <c r="B124" s="3" t="s">
        <v>125</v>
      </c>
      <c r="C124" s="3" t="str">
        <f>IFERROR(__xludf.DUMMYFUNCTION("GOOGLETRANSLATE(B124,""id"",""en"")"),"['contents', 'package', 'expensive', 'expensive', 'open', 'apk', 'waited', 'run', 'provider', 'yaa', ""]")</f>
        <v>['contents', 'package', 'expensive', 'expensive', 'open', 'apk', 'waited', 'run', 'provider', 'yaa', "]</v>
      </c>
      <c r="D124" s="3">
        <v>1.0</v>
      </c>
    </row>
    <row r="125" ht="15.75" customHeight="1">
      <c r="A125" s="1">
        <v>123.0</v>
      </c>
      <c r="B125" s="3" t="s">
        <v>126</v>
      </c>
      <c r="C125" s="3" t="str">
        <f>IFERROR(__xludf.DUMMYFUNCTION("GOOGLETRANSLATE(B125,""id"",""en"")"),"['package', 'emergency', 'activation', 'turning back', 'pulses',' sms', 'please', 'fix', 'activation', 'package', 'emergency', 'kayak', ' Gini ',' go up ',' star ']")</f>
        <v>['package', 'emergency', 'activation', 'turning back', 'pulses',' sms', 'please', 'fix', 'activation', 'package', 'emergency', 'kayak', ' Gini ',' go up ',' star ']</v>
      </c>
      <c r="D125" s="3">
        <v>1.0</v>
      </c>
    </row>
    <row r="126" ht="15.75" customHeight="1">
      <c r="A126" s="1">
        <v>124.0</v>
      </c>
      <c r="B126" s="3" t="s">
        <v>127</v>
      </c>
      <c r="C126" s="3" t="str">
        <f>IFERROR(__xludf.DUMMYFUNCTION("GOOGLETRANSLATE(B126,""id"",""en"")"),"['Next', 'Payment', 'Purchase', 'Package', 'Data', 'Love', 'Features',' Payment ',' Via ',' Gopay ',' Fund ',' Link ',' ']")</f>
        <v>['Next', 'Payment', 'Purchase', 'Package', 'Data', 'Love', 'Features',' Payment ',' Via ',' Gopay ',' Fund ',' Link ',' ']</v>
      </c>
      <c r="D126" s="3">
        <v>2.0</v>
      </c>
    </row>
    <row r="127" ht="15.75" customHeight="1">
      <c r="A127" s="1">
        <v>125.0</v>
      </c>
      <c r="B127" s="3" t="s">
        <v>128</v>
      </c>
      <c r="C127" s="3" t="str">
        <f>IFERROR(__xludf.DUMMYFUNCTION("GOOGLETRANSLATE(B127,""id"",""en"")"),"['repay', 'gwa', 'buy', 'expensive', 'Bela', 'Belain', 'want', 'good', 'network', 'ama', 'signal', 'rich', ' PEKOK ',' Disappointed ',' Very ',' oath ',' Gwa ',' UDH ',' Gemes', 'Telkomsel', 'Severe', 'Fix', 'chaotic', 'already', 'want' , 'ngacak', 'ngaca"&amp;"k', 'gini', 'tea', 'nyepelein', 'boss', 'business', 'network', 'ugly', 'gempor', 'netizin']")</f>
        <v>['repay', 'gwa', 'buy', 'expensive', 'Bela', 'Belain', 'want', 'good', 'network', 'ama', 'signal', 'rich', ' PEKOK ',' Disappointed ',' Very ',' oath ',' Gwa ',' UDH ',' Gemes', 'Telkomsel', 'Severe', 'Fix', 'chaotic', 'already', 'want' , 'ngacak', 'ngacak', 'gini', 'tea', 'nyepelein', 'boss', 'business', 'network', 'ugly', 'gempor', 'netizin']</v>
      </c>
      <c r="D127" s="3">
        <v>1.0</v>
      </c>
    </row>
    <row r="128" ht="15.75" customHeight="1">
      <c r="A128" s="1">
        <v>126.0</v>
      </c>
      <c r="B128" s="3" t="s">
        <v>129</v>
      </c>
      <c r="C128" s="3" t="str">
        <f>IFERROR(__xludf.DUMMYFUNCTION("GOOGLETRANSLATE(B128,""id"",""en"")"),"['buy', 'package', 'enterprise', 'quota', 'net', 'GB', 'quota', 'chat', 'sosmed', 'GB', 'knp', 'quota', ' Net ',' drained ',' wear ',' sosmed ',' WhatsApp ',' use ',' quota ',' GB ',' quota ',' net ',' run out ',' hrs', 'buy' , 'Litu', 'regret', 'bngt', '"&amp;"buy', 'paketan', 'telkomsel', 'already', 'expensive', 'loss',' kya ',' gini ',' already ',' Chat ',' application ',' JLS ',' answer ',' operator ',' use ',' already ',' kaga ',' good ',' signal ']")</f>
        <v>['buy', 'package', 'enterprise', 'quota', 'net', 'GB', 'quota', 'chat', 'sosmed', 'GB', 'knp', 'quota', ' Net ',' drained ',' wear ',' sosmed ',' WhatsApp ',' use ',' quota ',' GB ',' quota ',' net ',' run out ',' hrs', 'buy' , 'Litu', 'regret', 'bngt', 'buy', 'paketan', 'telkomsel', 'already', 'expensive', 'loss',' kya ',' gini ',' already ',' Chat ',' application ',' JLS ',' answer ',' operator ',' use ',' already ',' kaga ',' good ',' signal ']</v>
      </c>
      <c r="D128" s="3">
        <v>1.0</v>
      </c>
    </row>
    <row r="129" ht="15.75" customHeight="1">
      <c r="A129" s="1">
        <v>127.0</v>
      </c>
      <c r="B129" s="3" t="s">
        <v>130</v>
      </c>
      <c r="C129" s="3" t="str">
        <f>IFERROR(__xludf.DUMMYFUNCTION("GOOGLETRANSLATE(B129,""id"",""en"")"),"['', 'Telkomsel', 'Severe', 'Updated', 'Good', 'Emotion', 'Opened', '']")</f>
        <v>['', 'Telkomsel', 'Severe', 'Updated', 'Good', 'Emotion', 'Opened', '']</v>
      </c>
      <c r="D129" s="3">
        <v>1.0</v>
      </c>
    </row>
    <row r="130" ht="15.75" customHeight="1">
      <c r="A130" s="1">
        <v>128.0</v>
      </c>
      <c r="B130" s="3" t="s">
        <v>131</v>
      </c>
      <c r="C130" s="3" t="str">
        <f>IFERROR(__xludf.DUMMYFUNCTION("GOOGLETRANSLATE(B130,""id"",""en"")"),"['Siknial', 'sikninya', 'dipake', 'savage', 'tired', 'destroy', 'tower', ""]")</f>
        <v>['Siknial', 'sikninya', 'dipake', 'savage', 'tired', 'destroy', 'tower', "]</v>
      </c>
      <c r="D130" s="3">
        <v>3.0</v>
      </c>
    </row>
    <row r="131" ht="15.75" customHeight="1">
      <c r="A131" s="1">
        <v>129.0</v>
      </c>
      <c r="B131" s="3" t="s">
        <v>132</v>
      </c>
      <c r="C131" s="3" t="str">
        <f>IFERROR(__xludf.DUMMYFUNCTION("GOOGLETRANSLATE(B131,""id"",""en"")"),"['already', 'comment', 'Telkomsel', 'responds', 'Come on', 'cave', 'sleep', 'devolder', 'tri', 'good', 'converting', 'he slowly']")</f>
        <v>['already', 'comment', 'Telkomsel', 'responds', 'Come on', 'cave', 'sleep', 'devolder', 'tri', 'good', 'converting', 'he slowly']</v>
      </c>
      <c r="D131" s="3">
        <v>1.0</v>
      </c>
    </row>
    <row r="132" ht="15.75" customHeight="1">
      <c r="A132" s="1">
        <v>130.0</v>
      </c>
      <c r="B132" s="3" t="s">
        <v>133</v>
      </c>
      <c r="C132" s="3" t="str">
        <f>IFERROR(__xludf.DUMMYFUNCTION("GOOGLETRANSLATE(B132,""id"",""en"")"),"['Like', 'Error', 'Tampa', 'Network', 'Sometimes',' Difficult ',' Enter ',' Loading ',' Page ',' Sorry ',' Error ',' System ',' Wrong ',' NGK ',' Enter ',' Application ',' Please ',' Fix ',' Karna ',' Application ',' Actual ',' Good ',' Already ',' Applic"&amp;"ation ',' Come ' , 'critical', '']")</f>
        <v>['Like', 'Error', 'Tampa', 'Network', 'Sometimes',' Difficult ',' Enter ',' Loading ',' Page ',' Sorry ',' Error ',' System ',' Wrong ',' NGK ',' Enter ',' Application ',' Please ',' Fix ',' Karna ',' Application ',' Actual ',' Good ',' Already ',' Application ',' Come ' , 'critical', '']</v>
      </c>
      <c r="D132" s="3">
        <v>1.0</v>
      </c>
    </row>
    <row r="133" ht="15.75" customHeight="1">
      <c r="A133" s="1">
        <v>131.0</v>
      </c>
      <c r="B133" s="3" t="s">
        <v>134</v>
      </c>
      <c r="C133" s="3" t="str">
        <f>IFERROR(__xludf.DUMMYFUNCTION("GOOGLETRANSLATE(B133,""id"",""en"")"),"['Telkomsel', 'Severe', 'Network', 'stable', 'package', 'expensive', 'user', 'disappointed', ""]")</f>
        <v>['Telkomsel', 'Severe', 'Network', 'stable', 'package', 'expensive', 'user', 'disappointed', "]</v>
      </c>
      <c r="D133" s="3">
        <v>1.0</v>
      </c>
    </row>
    <row r="134" ht="15.75" customHeight="1">
      <c r="A134" s="1">
        <v>132.0</v>
      </c>
      <c r="B134" s="3" t="s">
        <v>135</v>
      </c>
      <c r="C134" s="3" t="str">
        <f>IFERROR(__xludf.DUMMYFUNCTION("GOOGLETRANSLATE(B134,""id"",""en"")"),"['', 'update', 'error', 'uninstall', 'isall', 'results', 'right', 'noon', 'version', '']")</f>
        <v>['', 'update', 'error', 'uninstall', 'isall', 'results', 'right', 'noon', 'version', '']</v>
      </c>
      <c r="D134" s="3">
        <v>3.0</v>
      </c>
    </row>
    <row r="135" ht="15.75" customHeight="1">
      <c r="A135" s="1">
        <v>133.0</v>
      </c>
      <c r="B135" s="3" t="s">
        <v>136</v>
      </c>
      <c r="C135" s="3" t="str">
        <f>IFERROR(__xludf.DUMMYFUNCTION("GOOGLETRANSLATE(B135,""id"",""en"")"),"['Twenty', 'use', 'Telkomsel', 'slow', 'package', 'expensive', 'operator', 'plus',' network ',' slow ',' buffering ',' what ',' Plus', 'ads',' bejibun ',' lots', 'please', 'noticed', 'customer', 'old', 'trims', ""]")</f>
        <v>['Twenty', 'use', 'Telkomsel', 'slow', 'package', 'expensive', 'operator', 'plus',' network ',' slow ',' buffering ',' what ',' Plus', 'ads',' bejibun ',' lots', 'please', 'noticed', 'customer', 'old', 'trims', "]</v>
      </c>
      <c r="D135" s="3">
        <v>4.0</v>
      </c>
    </row>
    <row r="136" ht="15.75" customHeight="1">
      <c r="A136" s="1">
        <v>134.0</v>
      </c>
      <c r="B136" s="3" t="s">
        <v>137</v>
      </c>
      <c r="C136" s="3" t="str">
        <f>IFERROR(__xludf.DUMMYFUNCTION("GOOGLETRANSLATE(B136,""id"",""en"")"),"['bru', 'application', 'jdi', 'blm', 'gmna', 'good', 'no', 'hope', 'good', 'pke', 'trs',' star ',' nnti ',' addin ',' klu ',' emang ',' experience ',' dlu ']")</f>
        <v>['bru', 'application', 'jdi', 'blm', 'gmna', 'good', 'no', 'hope', 'good', 'pke', 'trs',' star ',' nnti ',' addin ',' klu ',' emang ',' experience ',' dlu ']</v>
      </c>
      <c r="D136" s="3">
        <v>3.0</v>
      </c>
    </row>
    <row r="137" ht="15.75" customHeight="1">
      <c r="A137" s="1">
        <v>135.0</v>
      </c>
      <c r="B137" s="3" t="s">
        <v>138</v>
      </c>
      <c r="C137" s="3" t="str">
        <f>IFERROR(__xludf.DUMMYFUNCTION("GOOGLETRANSLATE(B137,""id"",""en"")"),"['contents', 'pulse', 'package', 'phone', 'contents', 'pulse', 'cheap', '']")</f>
        <v>['contents', 'pulse', 'package', 'phone', 'contents', 'pulse', 'cheap', '']</v>
      </c>
      <c r="D137" s="3">
        <v>1.0</v>
      </c>
    </row>
    <row r="138" ht="15.75" customHeight="1">
      <c r="A138" s="1">
        <v>136.0</v>
      </c>
      <c r="B138" s="3" t="s">
        <v>139</v>
      </c>
      <c r="C138" s="3" t="str">
        <f>IFERROR(__xludf.DUMMYFUNCTION("GOOGLETRANSLATE(B138,""id"",""en"")"),"['Kalok', 'emang', 'stage', 'improvement', 'network', 'Matiin', 'Sorry', 'Kalok', 'Cman', 'Love', 'Bintang', ' Ngeteleg ',' Game ',' Package ',' Game ',' Activity ',' Medsos', 'Game', 'Kuata', 'Internet', 'Please', 'Solution', ""]")</f>
        <v>['Kalok', 'emang', 'stage', 'improvement', 'network', 'Matiin', 'Sorry', 'Kalok', 'Cman', 'Love', 'Bintang', ' Ngeteleg ',' Game ',' Package ',' Game ',' Activity ',' Medsos', 'Game', 'Kuata', 'Internet', 'Please', 'Solution', "]</v>
      </c>
      <c r="D138" s="3">
        <v>1.0</v>
      </c>
    </row>
    <row r="139" ht="15.75" customHeight="1">
      <c r="A139" s="1">
        <v>137.0</v>
      </c>
      <c r="B139" s="3" t="s">
        <v>140</v>
      </c>
      <c r="C139" s="3" t="str">
        <f>IFERROR(__xludf.DUMMYFUNCTION("GOOGLETRANSLATE(B139,""id"",""en"")"),"['Forced', 'Cave', 'Change', 'Provider', 'Telkom', 'Lost', 'Current', 'Cheap', 'thousand', 'Rich', 'Telkom', 'Udh', ' expensive ',' network ',' rotten ',' expensive ',' smooth ',' suits', 'expensive', 'slow', 'cuih', 'unclean', 'telkom']")</f>
        <v>['Forced', 'Cave', 'Change', 'Provider', 'Telkom', 'Lost', 'Current', 'Cheap', 'thousand', 'Rich', 'Telkom', 'Udh', ' expensive ',' network ',' rotten ',' expensive ',' smooth ',' suits', 'expensive', 'slow', 'cuih', 'unclean', 'telkom']</v>
      </c>
      <c r="D139" s="3">
        <v>1.0</v>
      </c>
    </row>
    <row r="140" ht="15.75" customHeight="1">
      <c r="A140" s="1">
        <v>138.0</v>
      </c>
      <c r="B140" s="3" t="s">
        <v>141</v>
      </c>
      <c r="C140" s="3" t="str">
        <f>IFERROR(__xludf.DUMMYFUNCTION("GOOGLETRANSLATE(B140,""id"",""en"")"),"['buy', 'package', 'combo', 'run out', 'quota', 'main', 'first', 'accessible', 'multimedia', 'turn', 'quota', 'main', ' run out ',' package ',' multimedia ',' slow ',' really ',' gmn ',' run out ',' used ',' ']")</f>
        <v>['buy', 'package', 'combo', 'run out', 'quota', 'main', 'first', 'accessible', 'multimedia', 'turn', 'quota', 'main', ' run out ',' package ',' multimedia ',' slow ',' really ',' gmn ',' run out ',' used ',' ']</v>
      </c>
      <c r="D140" s="3">
        <v>1.0</v>
      </c>
    </row>
    <row r="141" ht="15.75" customHeight="1">
      <c r="A141" s="1">
        <v>139.0</v>
      </c>
      <c r="B141" s="3" t="s">
        <v>142</v>
      </c>
      <c r="C141" s="3" t="str">
        <f>IFERROR(__xludf.DUMMYFUNCTION("GOOGLETRANSLATE(B141,""id"",""en"")"),"['signal', 'Telkomsel', 'bad', 'Gamers',' harmed ',' disappointed ',' signal ',' Telkomsel ',' weather ',' anything ',' wherever ',' location ',' signal ',' Telkomsel ',' stable ',' obstacle ',' signal ',' Telkomsel ',' bad ',' quality ',' service ',' liv"&amp;"ing ',' area ',' Palembang ',' district ' , 'Ogan', 'Ilir', 'village', 'Obsomancal', 'Fix', 'abandoned', 'users', 'Telkomsel', 'in the city', ""]")</f>
        <v>['signal', 'Telkomsel', 'bad', 'Gamers',' harmed ',' disappointed ',' signal ',' Telkomsel ',' weather ',' anything ',' wherever ',' location ',' signal ',' Telkomsel ',' stable ',' obstacle ',' signal ',' Telkomsel ',' bad ',' quality ',' service ',' living ',' area ',' Palembang ',' district ' , 'Ogan', 'Ilir', 'village', 'Obsomancal', 'Fix', 'abandoned', 'users', 'Telkomsel', 'in the city', "]</v>
      </c>
      <c r="D141" s="3">
        <v>1.0</v>
      </c>
    </row>
    <row r="142" ht="15.75" customHeight="1">
      <c r="A142" s="1">
        <v>140.0</v>
      </c>
      <c r="B142" s="3" t="s">
        <v>143</v>
      </c>
      <c r="C142" s="3" t="str">
        <f>IFERROR(__xludf.DUMMYFUNCTION("GOOGLETRANSLATE(B142,""id"",""en"")"),"['woi', 'babl', 'already', 'dominates',' market ',' network ',' sek ',' ntol ',' work ',' use ',' internet ',' TPI ',' network ',' kek ',' njing ',' work ',' stabbed ',' because ',' LL ',' LL ',' repaired ',' little ',' network ']")</f>
        <v>['woi', 'babl', 'already', 'dominates',' market ',' network ',' sek ',' ntol ',' work ',' use ',' internet ',' TPI ',' network ',' kek ',' njing ',' work ',' stabbed ',' because ',' LL ',' LL ',' repaired ',' little ',' network ']</v>
      </c>
      <c r="D142" s="3">
        <v>1.0</v>
      </c>
    </row>
    <row r="143" ht="15.75" customHeight="1">
      <c r="A143" s="1">
        <v>141.0</v>
      </c>
      <c r="B143" s="3" t="s">
        <v>144</v>
      </c>
      <c r="C143" s="3" t="str">
        <f>IFERROR(__xludf.DUMMYFUNCTION("GOOGLETRANSLATE(B143,""id"",""en"")"),"['Region', 'Jatimulyo', 'Lampung', 'South', 'Internet', 'Lelet', 'Lost', 'Proferder']")</f>
        <v>['Region', 'Jatimulyo', 'Lampung', 'South', 'Internet', 'Lelet', 'Lost', 'Proferder']</v>
      </c>
      <c r="D143" s="3">
        <v>1.0</v>
      </c>
    </row>
    <row r="144" ht="15.75" customHeight="1">
      <c r="A144" s="1">
        <v>142.0</v>
      </c>
      <c r="B144" s="3" t="s">
        <v>145</v>
      </c>
      <c r="C144" s="3" t="str">
        <f>IFERROR(__xludf.DUMMYFUNCTION("GOOGLETRANSLATE(B144,""id"",""en"")"),"['Telkomsel', 'game', 'anything', 'mending', 'think', 'times',' signal ',' good ',' compared ',' emotion ',' package ',' expensive ',' Quality ',' signal ',' improvement ',' improvement ',' powahhhhh ']")</f>
        <v>['Telkomsel', 'game', 'anything', 'mending', 'think', 'times',' signal ',' good ',' compared ',' emotion ',' package ',' expensive ',' Quality ',' signal ',' improvement ',' improvement ',' powahhhhh ']</v>
      </c>
      <c r="D144" s="3">
        <v>1.0</v>
      </c>
    </row>
    <row r="145" ht="15.75" customHeight="1">
      <c r="A145" s="1">
        <v>143.0</v>
      </c>
      <c r="B145" s="3" t="s">
        <v>146</v>
      </c>
      <c r="C145" s="3" t="str">
        <f>IFERROR(__xludf.DUMMYFUNCTION("GOOGLETRANSLATE(B145,""id"",""en"")"),"['Hadeh', 'Sexycall', 'Leet', 'Pay', 'Expensive', 'TPI', 'Network', 'Kek', 'Gini', 'Boong', 'Open', 'Application', ' error ',' please ',' love ',' service ',' mentang ',' use ',' then ']")</f>
        <v>['Hadeh', 'Sexycall', 'Leet', 'Pay', 'Expensive', 'TPI', 'Network', 'Kek', 'Gini', 'Boong', 'Open', 'Application', ' error ',' please ',' love ',' service ',' mentang ',' use ',' then ']</v>
      </c>
      <c r="D145" s="3">
        <v>1.0</v>
      </c>
    </row>
    <row r="146" ht="15.75" customHeight="1">
      <c r="A146" s="1">
        <v>144.0</v>
      </c>
      <c r="B146" s="3" t="s">
        <v>147</v>
      </c>
      <c r="C146" s="3" t="str">
        <f>IFERROR(__xludf.DUMMYFUNCTION("GOOGLETRANSLATE(B146,""id"",""en"")"),"['Over', 'entry', 'application', 'Telkomsel', 'Thank you', 'Telkomsel']")</f>
        <v>['Over', 'entry', 'application', 'Telkomsel', 'Thank you', 'Telkomsel']</v>
      </c>
      <c r="D146" s="3">
        <v>5.0</v>
      </c>
    </row>
    <row r="147" ht="15.75" customHeight="1">
      <c r="A147" s="1">
        <v>145.0</v>
      </c>
      <c r="B147" s="3" t="s">
        <v>148</v>
      </c>
      <c r="C147" s="3" t="str">
        <f>IFERROR(__xludf.DUMMYFUNCTION("GOOGLETRANSLATE(B147,""id"",""en"")"),"['network', 'nihh', 'make', 'card', 'network', 'steady', 'telkomsel', 'yok', 'moved', 'card', 'friend', 'network', ' Telkomsel ',' Good ']")</f>
        <v>['network', 'nihh', 'make', 'card', 'network', 'steady', 'telkomsel', 'yok', 'moved', 'card', 'friend', 'network', ' Telkomsel ',' Good ']</v>
      </c>
      <c r="D147" s="3">
        <v>1.0</v>
      </c>
    </row>
    <row r="148" ht="15.75" customHeight="1">
      <c r="A148" s="1">
        <v>146.0</v>
      </c>
      <c r="B148" s="3" t="s">
        <v>149</v>
      </c>
      <c r="C148" s="3" t="str">
        <f>IFERROR(__xludf.DUMMYFUNCTION("GOOGLETRANSLATE(B148,""id"",""en"")"),"['Points',' Donations', 'Mending', 'Love', 'Bates',' Points', 'Should', 'Mending', 'Donations',' Please ',' Love ',' Bates', ' Contact ',' remember ',' alms']")</f>
        <v>['Points',' Donations', 'Mending', 'Love', 'Bates',' Points', 'Should', 'Mending', 'Donations',' Please ',' Love ',' Bates', ' Contact ',' remember ',' alms']</v>
      </c>
      <c r="D148" s="3">
        <v>5.0</v>
      </c>
    </row>
    <row r="149" ht="15.75" customHeight="1">
      <c r="A149" s="1">
        <v>147.0</v>
      </c>
      <c r="B149" s="3" t="s">
        <v>150</v>
      </c>
      <c r="C149" s="3" t="str">
        <f>IFERROR(__xludf.DUMMYFUNCTION("GOOGLETRANSLATE(B149,""id"",""en"")"),"['Sexose', 'please', 'delete', 'system', 'pulse', 'replace', 'quota', 'except', 'buy', 'Pack', 'quota', 'Gara', ' Credit ',' Rb ',' Out ',' Eat ',' Gara ',' Card ',' Telkom ',' On ',' Quota ',' Telkomsel ',' WiFi ',' Gara ',' Dead ' , 'lights', 'quota', '"&amp;"eat', 'nya']")</f>
        <v>['Sexose', 'please', 'delete', 'system', 'pulse', 'replace', 'quota', 'except', 'buy', 'Pack', 'quota', 'Gara', ' Credit ',' Rb ',' Out ',' Eat ',' Gara ',' Card ',' Telkom ',' On ',' Quota ',' Telkomsel ',' WiFi ',' Gara ',' Dead ' , 'lights', 'quota', 'eat', 'nya']</v>
      </c>
      <c r="D149" s="3">
        <v>1.0</v>
      </c>
    </row>
    <row r="150" ht="15.75" customHeight="1">
      <c r="A150" s="1">
        <v>148.0</v>
      </c>
      <c r="B150" s="3" t="s">
        <v>151</v>
      </c>
      <c r="C150" s="3" t="str">
        <f>IFERROR(__xludf.DUMMYFUNCTION("GOOGLETRANSLATE(B150,""id"",""en"")"),"['internet', 'slow', 'already', 'my computer', 'expensive', 'gabisa', 'game']")</f>
        <v>['internet', 'slow', 'already', 'my computer', 'expensive', 'gabisa', 'game']</v>
      </c>
      <c r="D150" s="3">
        <v>1.0</v>
      </c>
    </row>
    <row r="151" ht="15.75" customHeight="1">
      <c r="A151" s="1">
        <v>149.0</v>
      </c>
      <c r="B151" s="3" t="s">
        <v>152</v>
      </c>
      <c r="C151" s="3" t="str">
        <f>IFERROR(__xludf.DUMMYFUNCTION("GOOGLETRANSLATE(B151,""id"",""en"")"),"['Cook', 'package', 'internet', 'expensive', 'slow', 'devoloper', 'ngembangin', 'lie to', 'disappointed']")</f>
        <v>['Cook', 'package', 'internet', 'expensive', 'slow', 'devoloper', 'ngembangin', 'lie to', 'disappointed']</v>
      </c>
      <c r="D151" s="3">
        <v>1.0</v>
      </c>
    </row>
    <row r="152" ht="15.75" customHeight="1">
      <c r="A152" s="1">
        <v>150.0</v>
      </c>
      <c r="B152" s="3" t="s">
        <v>153</v>
      </c>
      <c r="C152" s="3" t="str">
        <f>IFERROR(__xludf.DUMMYFUNCTION("GOOGLETRANSLATE(B152,""id"",""en"")"),"['', 'Telkomsel', 'kog', 'slow', 'blaa', 'blaa', 'blaa', 'beg', 'sorry', 'complaint', 'please', 'contact', 'twitter ',' blah ',' blaa ',' Telkomsel ',' provider ',' bad ',' ']")</f>
        <v>['', 'Telkomsel', 'kog', 'slow', 'blaa', 'blaa', 'blaa', 'beg', 'sorry', 'complaint', 'please', 'contact', 'twitter ',' blah ',' blaa ',' Telkomsel ',' provider ',' bad ',' ']</v>
      </c>
      <c r="D152" s="3">
        <v>1.0</v>
      </c>
    </row>
    <row r="153" ht="15.75" customHeight="1">
      <c r="A153" s="1">
        <v>151.0</v>
      </c>
      <c r="B153" s="3" t="s">
        <v>154</v>
      </c>
      <c r="C153" s="3" t="str">
        <f>IFERROR(__xludf.DUMMYFUNCTION("GOOGLETRANSLATE(B153,""id"",""en"")"),"['Download', 'APK', 'System', 'Service', 'APK', 'Stopped', 'Gunain', 'Samsung', 'Supports', 'APK', ""]")</f>
        <v>['Download', 'APK', 'System', 'Service', 'APK', 'Stopped', 'Gunain', 'Samsung', 'Supports', 'APK', "]</v>
      </c>
      <c r="D153" s="3">
        <v>1.0</v>
      </c>
    </row>
    <row r="154" ht="15.75" customHeight="1">
      <c r="A154" s="1">
        <v>152.0</v>
      </c>
      <c r="B154" s="3" t="s">
        <v>155</v>
      </c>
      <c r="C154" s="3" t="str">
        <f>IFERROR(__xludf.DUMMYFUNCTION("GOOGLETRANSLATE(B154,""id"",""en"")"),"['annoyed', 'deh', 'contents', 'pulse', 'sumps', 'spent', 'really', 'deh', 'right', 'emang', 'leech']")</f>
        <v>['annoyed', 'deh', 'contents', 'pulse', 'sumps', 'spent', 'really', 'deh', 'right', 'emang', 'leech']</v>
      </c>
      <c r="D154" s="3">
        <v>1.0</v>
      </c>
    </row>
    <row r="155" ht="15.75" customHeight="1">
      <c r="A155" s="1">
        <v>153.0</v>
      </c>
      <c r="B155" s="3" t="s">
        <v>156</v>
      </c>
      <c r="C155" s="3" t="str">
        <f>IFERROR(__xludf.DUMMYFUNCTION("GOOGLETRANSLATE(B155,""id"",""en"")"),"['signal', 'improved', 'application', 'good', 'stay', 'signal', 'slow']")</f>
        <v>['signal', 'improved', 'application', 'good', 'stay', 'signal', 'slow']</v>
      </c>
      <c r="D155" s="3">
        <v>1.0</v>
      </c>
    </row>
    <row r="156" ht="15.75" customHeight="1">
      <c r="A156" s="1">
        <v>154.0</v>
      </c>
      <c r="B156" s="3" t="s">
        <v>157</v>
      </c>
      <c r="C156" s="3" t="str">
        <f>IFERROR(__xludf.DUMMYFUNCTION("GOOGLETRANSLATE(B156,""id"",""en"")"),"['jdi', 'open', 'app', 'load', 'reset', 'then', 'network', 'good']")</f>
        <v>['jdi', 'open', 'app', 'load', 'reset', 'then', 'network', 'good']</v>
      </c>
      <c r="D156" s="3">
        <v>1.0</v>
      </c>
    </row>
    <row r="157" ht="15.75" customHeight="1">
      <c r="A157" s="1">
        <v>155.0</v>
      </c>
      <c r="B157" s="3" t="s">
        <v>158</v>
      </c>
      <c r="C157" s="3" t="str">
        <f>IFERROR(__xludf.DUMMYFUNCTION("GOOGLETRANSLATE(B157,""id"",""en"")"),"['The application', 'ngak', 'open', 'how', 'Telkomsel', 'here', 'poor', 'star', 'like', 'match', 'APK']")</f>
        <v>['The application', 'ngak', 'open', 'how', 'Telkomsel', 'here', 'poor', 'star', 'like', 'match', 'APK']</v>
      </c>
      <c r="D157" s="3">
        <v>1.0</v>
      </c>
    </row>
    <row r="158" ht="15.75" customHeight="1">
      <c r="A158" s="1">
        <v>156.0</v>
      </c>
      <c r="B158" s="3" t="s">
        <v>159</v>
      </c>
      <c r="C158" s="3" t="str">
        <f>IFERROR(__xludf.DUMMYFUNCTION("GOOGLETRANSLATE(B158,""id"",""en"")"),"['Yuk', 'Rame', 'Moving', 'Haluan', 'Neighbor', 'Next', 'Bad', 'Sinyal']")</f>
        <v>['Yuk', 'Rame', 'Moving', 'Haluan', 'Neighbor', 'Next', 'Bad', 'Sinyal']</v>
      </c>
      <c r="D158" s="3">
        <v>1.0</v>
      </c>
    </row>
    <row r="159" ht="15.75" customHeight="1">
      <c r="A159" s="1">
        <v>157.0</v>
      </c>
      <c r="B159" s="3" t="s">
        <v>160</v>
      </c>
      <c r="C159" s="3" t="str">
        <f>IFERROR(__xludf.DUMMYFUNCTION("GOOGLETRANSLATE(B159,""id"",""en"")"),"['Access',' Social ',' Media ',' Instagram ',' Tiktok ',' Twitter ',' Etc. ',' Good ',' Main ',' Game ',' Disruption ',' Mulu ',' strange']")</f>
        <v>['Access',' Social ',' Media ',' Instagram ',' Tiktok ',' Twitter ',' Etc. ',' Good ',' Main ',' Game ',' Disruption ',' Mulu ',' strange']</v>
      </c>
      <c r="D159" s="3">
        <v>1.0</v>
      </c>
    </row>
    <row r="160" ht="15.75" customHeight="1">
      <c r="A160" s="1">
        <v>158.0</v>
      </c>
      <c r="B160" s="3" t="s">
        <v>161</v>
      </c>
      <c r="C160" s="3" t="str">
        <f>IFERROR(__xludf.DUMMYFUNCTION("GOOGLETRANSLATE(B160,""id"",""en"")"),"['buy', 'package', 'network', 'bad', 'report', 'ask', 'address', 'doang', 'change']")</f>
        <v>['buy', 'package', 'network', 'bad', 'report', 'ask', 'address', 'doang', 'change']</v>
      </c>
      <c r="D160" s="3">
        <v>2.0</v>
      </c>
    </row>
    <row r="161" ht="15.75" customHeight="1">
      <c r="A161" s="1">
        <v>159.0</v>
      </c>
      <c r="B161" s="3" t="s">
        <v>162</v>
      </c>
      <c r="C161" s="3" t="str">
        <f>IFERROR(__xludf.DUMMYFUNCTION("GOOGLETRANSLATE(B161,""id"",""en"")"),"['Ngak', 'enter', 'Mulu', 'enter', 'Must', 'Delete', 'Data', 'Application', 'Enter', 'Must', 'entered', 'number', ' telephone ',' Mulu ',' please ',' help ']")</f>
        <v>['Ngak', 'enter', 'Mulu', 'enter', 'Must', 'Delete', 'Data', 'Application', 'Enter', 'Must', 'entered', 'number', ' telephone ',' Mulu ',' please ',' help ']</v>
      </c>
      <c r="D161" s="3">
        <v>3.0</v>
      </c>
    </row>
    <row r="162" ht="15.75" customHeight="1">
      <c r="A162" s="1">
        <v>160.0</v>
      </c>
      <c r="B162" s="3" t="s">
        <v>163</v>
      </c>
      <c r="C162" s="3" t="str">
        <f>IFERROR(__xludf.DUMMYFUNCTION("GOOGLETRANSLATE(B162,""id"",""en"")"),"['Hey', 'provider', 'ng', 'signal', 'red', 'mulu', 'number', 'telephone', 'boss',' intention ',' network ',' service ',' Internet ',' Quality ',' Rich ',' ']")</f>
        <v>['Hey', 'provider', 'ng', 'signal', 'red', 'mulu', 'number', 'telephone', 'boss',' intention ',' network ',' service ',' Internet ',' Quality ',' Rich ',' ']</v>
      </c>
      <c r="D162" s="3">
        <v>1.0</v>
      </c>
    </row>
    <row r="163" ht="15.75" customHeight="1">
      <c r="A163" s="1">
        <v>161.0</v>
      </c>
      <c r="B163" s="3" t="s">
        <v>164</v>
      </c>
      <c r="C163" s="3" t="str">
        <f>IFERROR(__xludf.DUMMYFUNCTION("GOOGLETRANSLATE(B163,""id"",""en"")"),"['bad', 'until', 'buy', 'package', 'internet', 'uninstall', 'dlu']")</f>
        <v>['bad', 'until', 'buy', 'package', 'internet', 'uninstall', 'dlu']</v>
      </c>
      <c r="D163" s="3">
        <v>1.0</v>
      </c>
    </row>
    <row r="164" ht="15.75" customHeight="1">
      <c r="A164" s="1">
        <v>162.0</v>
      </c>
      <c r="B164" s="3" t="s">
        <v>165</v>
      </c>
      <c r="C164" s="3" t="str">
        <f>IFERROR(__xludf.DUMMYFUNCTION("GOOGLETRANSLATE(B164,""id"",""en"")"),"['ugly', 'kouta', 'expensive', 'network', 'ugly', 'please', 'repair', 'network']")</f>
        <v>['ugly', 'kouta', 'expensive', 'network', 'ugly', 'please', 'repair', 'network']</v>
      </c>
      <c r="D164" s="3">
        <v>1.0</v>
      </c>
    </row>
    <row r="165" ht="15.75" customHeight="1">
      <c r="A165" s="1">
        <v>163.0</v>
      </c>
      <c r="B165" s="3" t="s">
        <v>166</v>
      </c>
      <c r="C165" s="3" t="str">
        <f>IFERROR(__xludf.DUMMYFUNCTION("GOOGLETRANSLATE(B165,""id"",""en"")"),"['For days',' network ',' ugly ',' skrg ',' all-round ',' online ',' network ',' ugly ',' gini ',' gmn ',' work ',' need ',' Network ',' Internet ',' Woyyyyyy ',' Price ',' Quota ',' High ',' Network ',' Low ',' Severe ', ""]")</f>
        <v>['For days',' network ',' ugly ',' skrg ',' all-round ',' online ',' network ',' ugly ',' gini ',' gmn ',' work ',' need ',' Network ',' Internet ',' Woyyyyyy ',' Price ',' Quota ',' High ',' Network ',' Low ',' Severe ', "]</v>
      </c>
      <c r="D165" s="3">
        <v>1.0</v>
      </c>
    </row>
    <row r="166" ht="15.75" customHeight="1">
      <c r="A166" s="1">
        <v>164.0</v>
      </c>
      <c r="B166" s="3" t="s">
        <v>167</v>
      </c>
      <c r="C166" s="3" t="str">
        <f>IFERROR(__xludf.DUMMYFUNCTION("GOOGLETRANSLATE(B166,""id"",""en"")"),"['LemoOttttt', 'Please', 'Lined', 'Already', 'Updated', 'Open', 'APK', 'GMNA', ""]")</f>
        <v>['LemoOttttt', 'Please', 'Lined', 'Already', 'Updated', 'Open', 'APK', 'GMNA', "]</v>
      </c>
      <c r="D166" s="3">
        <v>1.0</v>
      </c>
    </row>
    <row r="167" ht="15.75" customHeight="1">
      <c r="A167" s="1">
        <v>165.0</v>
      </c>
      <c r="B167" s="3" t="s">
        <v>168</v>
      </c>
      <c r="C167" s="3" t="str">
        <f>IFERROR(__xludf.DUMMYFUNCTION("GOOGLETRANSLATE(B167,""id"",""en"")"),"['price', 'package', 'odd', 'thousand', 'right', 'that's',' ttep ',' fill ',' pulse ',' must ',' round ',' quota ',' After ',' pulses', 'leftover', 'Ludes',' Star ',' Prisedur ',' Changed ',' Yng ',' Merciful ']")</f>
        <v>['price', 'package', 'odd', 'thousand', 'right', 'that's',' ttep ',' fill ',' pulse ',' must ',' round ',' quota ',' After ',' pulses', 'leftover', 'Ludes',' Star ',' Prisedur ',' Changed ',' Yng ',' Merciful ']</v>
      </c>
      <c r="D167" s="3">
        <v>1.0</v>
      </c>
    </row>
    <row r="168" ht="15.75" customHeight="1">
      <c r="A168" s="1">
        <v>166.0</v>
      </c>
      <c r="B168" s="3" t="s">
        <v>169</v>
      </c>
      <c r="C168" s="3" t="str">
        <f>IFERROR(__xludf.DUMMYFUNCTION("GOOGLETRANSLATE(B168,""id"",""en"")"),"['expensive', 'doang', 'network', 'ugly', 'missing', 'network', 'city', '']")</f>
        <v>['expensive', 'doang', 'network', 'ugly', 'missing', 'network', 'city', '']</v>
      </c>
      <c r="D168" s="3">
        <v>1.0</v>
      </c>
    </row>
    <row r="169" ht="15.75" customHeight="1">
      <c r="A169" s="1">
        <v>167.0</v>
      </c>
      <c r="B169" s="3" t="s">
        <v>170</v>
      </c>
      <c r="C169" s="3" t="str">
        <f>IFERROR(__xludf.DUMMYFUNCTION("GOOGLETRANSLATE(B169,""id"",""en"")"),"['Pravieder', 'Quality', 'Direct', 'Benerin', 'WTF', '']")</f>
        <v>['Pravieder', 'Quality', 'Direct', 'Benerin', 'WTF', '']</v>
      </c>
      <c r="D169" s="3">
        <v>1.0</v>
      </c>
    </row>
    <row r="170" ht="15.75" customHeight="1">
      <c r="A170" s="1">
        <v>168.0</v>
      </c>
      <c r="B170" s="3" t="s">
        <v>171</v>
      </c>
      <c r="C170" s="3" t="str">
        <f>IFERROR(__xludf.DUMMYFUNCTION("GOOGLETRANSLATE(B170,""id"",""en"")"),"['Telkomsel', 'Please', 'Network', 'Data', 'Region', 'Gresik', 'East Java', 'Fix', 'Network', 'Open', 'Application', 'Game', ' sosmed ',' youtube ',' slow ',' please ',' fix ',' smooth ',' user ',' complain ',' friend ',' users', 'Telkomsel', 'complaining"&amp;"', 'network' , 'slow', 'thank', 'love', '']")</f>
        <v>['Telkomsel', 'Please', 'Network', 'Data', 'Region', 'Gresik', 'East Java', 'Fix', 'Network', 'Open', 'Application', 'Game', ' sosmed ',' youtube ',' slow ',' please ',' fix ',' smooth ',' user ',' complain ',' friend ',' users', 'Telkomsel', 'complaining', 'network' , 'slow', 'thank', 'love', '']</v>
      </c>
      <c r="D170" s="3">
        <v>3.0</v>
      </c>
    </row>
    <row r="171" ht="15.75" customHeight="1">
      <c r="A171" s="1">
        <v>169.0</v>
      </c>
      <c r="B171" s="3" t="s">
        <v>172</v>
      </c>
      <c r="C171" s="3" t="str">
        <f>IFERROR(__xludf.DUMMYFUNCTION("GOOGLETRANSLATE(B171,""id"",""en"")"),"['koq', 'enter', 'already', 'list', 'pske', 'koq', 'rich', 'gini', 'fed up', 'high school', 'application', 'Telkomsel', ' Mending ',' Move ',' Network ']")</f>
        <v>['koq', 'enter', 'already', 'list', 'pske', 'koq', 'rich', 'gini', 'fed up', 'high school', 'application', 'Telkomsel', ' Mending ',' Move ',' Network ']</v>
      </c>
      <c r="D171" s="3">
        <v>1.0</v>
      </c>
    </row>
    <row r="172" ht="15.75" customHeight="1">
      <c r="A172" s="1">
        <v>170.0</v>
      </c>
      <c r="B172" s="3" t="s">
        <v>173</v>
      </c>
      <c r="C172" s="3" t="str">
        <f>IFERROR(__xludf.DUMMYFUNCTION("GOOGLETRANSLATE(B172,""id"",""en"")"),"['Kayak', 'good', 'disorder', 'left', 'dragging', 'late', 'already', 'expensive', 'ugly', 'disappointing', 'cable', 'transmission', ' Main ',' tangled ',' destroy ',' beauty ',' city ',' ']")</f>
        <v>['Kayak', 'good', 'disorder', 'left', 'dragging', 'late', 'already', 'expensive', 'ugly', 'disappointing', 'cable', 'transmission', ' Main ',' tangled ',' destroy ',' beauty ',' city ',' ']</v>
      </c>
      <c r="D172" s="3">
        <v>2.0</v>
      </c>
    </row>
    <row r="173" ht="15.75" customHeight="1">
      <c r="A173" s="1">
        <v>171.0</v>
      </c>
      <c r="B173" s="3" t="s">
        <v>174</v>
      </c>
      <c r="C173" s="3" t="str">
        <f>IFERROR(__xludf.DUMMYFUNCTION("GOOGLETRANSLATE(B173,""id"",""en"")"),"['Application', 'rare', 'buy', 'package', 'ngeselin', 'right']")</f>
        <v>['Application', 'rare', 'buy', 'package', 'ngeselin', 'right']</v>
      </c>
      <c r="D173" s="3">
        <v>1.0</v>
      </c>
    </row>
    <row r="174" ht="15.75" customHeight="1">
      <c r="A174" s="1">
        <v>172.0</v>
      </c>
      <c r="B174" s="3" t="s">
        <v>175</v>
      </c>
      <c r="C174" s="3" t="str">
        <f>IFERROR(__xludf.DUMMYFUNCTION("GOOGLETRANSLATE(B174,""id"",""en"")"),"['Serasa', 'Pingin', 'Racist', 'Region', 'Delicious', 'Network', 'Kutim', 'Child', 'Tirikan', 'Service']")</f>
        <v>['Serasa', 'Pingin', 'Racist', 'Region', 'Delicious', 'Network', 'Kutim', 'Child', 'Tirikan', 'Service']</v>
      </c>
      <c r="D174" s="3">
        <v>1.0</v>
      </c>
    </row>
    <row r="175" ht="15.75" customHeight="1">
      <c r="A175" s="1">
        <v>173.0</v>
      </c>
      <c r="B175" s="3" t="s">
        <v>176</v>
      </c>
      <c r="C175" s="3" t="str">
        <f>IFERROR(__xludf.DUMMYFUNCTION("GOOGLETRANSLATE(B175,""id"",""en"")"),"['Look like', 'Telkomsel', 'stingy', 'already', 'package', 'internet', 'expensive', 'sometimes',' error ',' voucher ',' viku ',' bangett ',' Please ',' Note ',' Keaningnan ',' Customer ',' Thanks', ""]")</f>
        <v>['Look like', 'Telkomsel', 'stingy', 'already', 'package', 'internet', 'expensive', 'sometimes',' error ',' voucher ',' viku ',' bangett ',' Please ',' Note ',' Keaningnan ',' Customer ',' Thanks', "]</v>
      </c>
      <c r="D175" s="3">
        <v>1.0</v>
      </c>
    </row>
    <row r="176" ht="15.75" customHeight="1">
      <c r="A176" s="1">
        <v>174.0</v>
      </c>
      <c r="B176" s="3" t="s">
        <v>177</v>
      </c>
      <c r="C176" s="3" t="str">
        <f>IFERROR(__xludf.DUMMYFUNCTION("GOOGLETRANSLATE(B176,""id"",""en"")"),"['Severe', 'open', 'told', 'upgrade', 'UDH', 'upgrade', 'open', ""]")</f>
        <v>['Severe', 'open', 'told', 'upgrade', 'UDH', 'upgrade', 'open', "]</v>
      </c>
      <c r="D176" s="3">
        <v>1.0</v>
      </c>
    </row>
    <row r="177" ht="15.75" customHeight="1">
      <c r="A177" s="1">
        <v>175.0</v>
      </c>
      <c r="B177" s="3" t="s">
        <v>178</v>
      </c>
      <c r="C177" s="3" t="str">
        <f>IFERROR(__xludf.DUMMYFUNCTION("GOOGLETRANSLATE(B177,""id"",""en"")"),"['Loading', 'Loading', 'Loading', 'makes it easier', 'make it difficult', 'Tetep', 'check', 'pulse', 'quota', 'code', 'dial', 'severe']")</f>
        <v>['Loading', 'Loading', 'Loading', 'makes it easier', 'make it difficult', 'Tetep', 'check', 'pulse', 'quota', 'code', 'dial', 'severe']</v>
      </c>
      <c r="D177" s="3">
        <v>1.0</v>
      </c>
    </row>
    <row r="178" ht="15.75" customHeight="1">
      <c r="A178" s="1">
        <v>176.0</v>
      </c>
      <c r="B178" s="3" t="s">
        <v>179</v>
      </c>
      <c r="C178" s="3" t="str">
        <f>IFERROR(__xludf.DUMMYFUNCTION("GOOGLETRANSLATE(B178,""id"",""en"")"),"['Severe', 'oath', 'Telkomsel', 'PKIR', 'quota', 'HBIS', 'KNP', 'his entry', 'muter', 'then', 'stlh', 'contents',' Quota ',' tryrnya ',' a month ',' Season ',' card ',' Telkomsel ',' gerangan ',' ']")</f>
        <v>['Severe', 'oath', 'Telkomsel', 'PKIR', 'quota', 'HBIS', 'KNP', 'his entry', 'muter', 'then', 'stlh', 'contents',' Quota ',' tryrnya ',' a month ',' Season ',' card ',' Telkomsel ',' gerangan ',' ']</v>
      </c>
      <c r="D178" s="3">
        <v>1.0</v>
      </c>
    </row>
    <row r="179" ht="15.75" customHeight="1">
      <c r="A179" s="1">
        <v>177.0</v>
      </c>
      <c r="B179" s="3" t="s">
        <v>180</v>
      </c>
      <c r="C179" s="3" t="str">
        <f>IFERROR(__xludf.DUMMYFUNCTION("GOOGLETRANSLATE(B179,""id"",""en"")"),"['Package', 'expensive', 'network', 'ugly', 'stay', 'city', 'disappointing', 'Telkomsel']")</f>
        <v>['Package', 'expensive', 'network', 'ugly', 'stay', 'city', 'disappointing', 'Telkomsel']</v>
      </c>
      <c r="D179" s="3">
        <v>1.0</v>
      </c>
    </row>
    <row r="180" ht="15.75" customHeight="1">
      <c r="A180" s="1">
        <v>178.0</v>
      </c>
      <c r="B180" s="3" t="s">
        <v>181</v>
      </c>
      <c r="C180" s="3" t="str">
        <f>IFERROR(__xludf.DUMMYFUNCTION("GOOGLETRANSLATE(B180,""id"",""en"")"),"['Telkomsel', 'ugly', 'expensive', 'yes',' signal ',' behgh ',' jelekkkk ',' Please ',' Telkomsel ',' Benerin ',' Season ',' Pelangement ',' ugly ',' yes', 'cheap', 'mah', 'gpp']")</f>
        <v>['Telkomsel', 'ugly', 'expensive', 'yes',' signal ',' behgh ',' jelekkkk ',' Please ',' Telkomsel ',' Benerin ',' Season ',' Pelangement ',' ugly ',' yes', 'cheap', 'mah', 'gpp']</v>
      </c>
      <c r="D180" s="3">
        <v>1.0</v>
      </c>
    </row>
    <row r="181" ht="15.75" customHeight="1">
      <c r="A181" s="1">
        <v>179.0</v>
      </c>
      <c r="B181" s="3" t="s">
        <v>182</v>
      </c>
      <c r="C181" s="3" t="str">
        <f>IFERROR(__xludf.DUMMYFUNCTION("GOOGLETRANSLATE(B181,""id"",""en"")"),"['Alhamdulillah', 'Use', 'App', 'Telkomsel', 'Safe', 'Use', 'Network', 'Sometimes',' Leet ',' Karna ',' Makai ',' People ',' Indonesia ',' Wear ',' Fast ',' Network ',' Tower ',' ']")</f>
        <v>['Alhamdulillah', 'Use', 'App', 'Telkomsel', 'Safe', 'Use', 'Network', 'Sometimes',' Leet ',' Karna ',' Makai ',' People ',' Indonesia ',' Wear ',' Fast ',' Network ',' Tower ',' ']</v>
      </c>
      <c r="D181" s="3">
        <v>5.0</v>
      </c>
    </row>
    <row r="182" ht="15.75" customHeight="1">
      <c r="A182" s="1">
        <v>180.0</v>
      </c>
      <c r="B182" s="3" t="s">
        <v>183</v>
      </c>
      <c r="C182" s="3" t="str">
        <f>IFERROR(__xludf.DUMMYFUNCTION("GOOGLETRANSLATE(B182,""id"",""en"")"),"['lazy', 'pakek', 'telkom', 'signal', 'lag', 'network', 'network', 'palingan', 'briefly', 'ngellag', 'aduhhh', 'telkom', ' Sorry ',' just ',' signal ',' Telkomsel ',' ngeleg ',' hope ',' lag ',' in the future ',' enthusiasm ']")</f>
        <v>['lazy', 'pakek', 'telkom', 'signal', 'lag', 'network', 'network', 'palingan', 'briefly', 'ngellag', 'aduhhh', 'telkom', ' Sorry ',' just ',' signal ',' Telkomsel ',' ngeleg ',' hope ',' lag ',' in the future ',' enthusiasm ']</v>
      </c>
      <c r="D182" s="3">
        <v>1.0</v>
      </c>
    </row>
    <row r="183" ht="15.75" customHeight="1">
      <c r="A183" s="1">
        <v>181.0</v>
      </c>
      <c r="B183" s="3" t="s">
        <v>184</v>
      </c>
      <c r="C183" s="3" t="str">
        <f>IFERROR(__xludf.DUMMYFUNCTION("GOOGLETRANSLATE(B183,""id"",""en"")"),"['Here', 'Signal', 'Severe', 'Please', 'Telkomsel', 'Fix', 'Signal', 'Severe', 'Very', 'Quality', 'Price', 'Plus']")</f>
        <v>['Here', 'Signal', 'Severe', 'Please', 'Telkomsel', 'Fix', 'Signal', 'Severe', 'Very', 'Quality', 'Price', 'Plus']</v>
      </c>
      <c r="D183" s="3">
        <v>3.0</v>
      </c>
    </row>
    <row r="184" ht="15.75" customHeight="1">
      <c r="A184" s="1">
        <v>182.0</v>
      </c>
      <c r="B184" s="3" t="s">
        <v>185</v>
      </c>
      <c r="C184" s="3" t="str">
        <f>IFERROR(__xludf.DUMMYFUNCTION("GOOGLETRANSLATE(B184,""id"",""en"")"),"['Sorry', 'Love', 'Star', 'Application', 'Current', 'Contents',' Credit ',' Loading ',' Page ',' What ',' Register ',' Package ',' Internet ',' Application ',' Eroro ',' Please ',' Fix ',' Masalh ',' Forced ',' Buy ',' Vouch ',' Daily ',' Due to ',' Packa"&amp;"ge ',' Package ' , 'Internet']")</f>
        <v>['Sorry', 'Love', 'Star', 'Application', 'Current', 'Contents',' Credit ',' Loading ',' Page ',' What ',' Register ',' Package ',' Internet ',' Application ',' Eroro ',' Please ',' Fix ',' Masalh ',' Forced ',' Buy ',' Vouch ',' Daily ',' Due to ',' Package ',' Package ' , 'Internet']</v>
      </c>
      <c r="D184" s="3">
        <v>1.0</v>
      </c>
    </row>
    <row r="185" ht="15.75" customHeight="1">
      <c r="A185" s="1">
        <v>183.0</v>
      </c>
      <c r="B185" s="3" t="s">
        <v>186</v>
      </c>
      <c r="C185" s="3" t="str">
        <f>IFERROR(__xludf.DUMMYFUNCTION("GOOGLETRANSLATE(B185,""id"",""en"")"),"['Lemooot', 'Sempet', 'Use', 'Operator', 'Sympathy', 'Tetep', 'Muter', 'Muter', 'Lemooot']")</f>
        <v>['Lemooot', 'Sempet', 'Use', 'Operator', 'Sympathy', 'Tetep', 'Muter', 'Muter', 'Lemooot']</v>
      </c>
      <c r="D185" s="3">
        <v>2.0</v>
      </c>
    </row>
    <row r="186" ht="15.75" customHeight="1">
      <c r="A186" s="1">
        <v>184.0</v>
      </c>
      <c r="B186" s="3" t="s">
        <v>187</v>
      </c>
      <c r="C186" s="3" t="str">
        <f>IFERROR(__xludf.DUMMYFUNCTION("GOOGLETRANSLATE(B186,""id"",""en"")"),"['Provider', 'worst', 'bad', 'night', 'signal', 'lost', 'network', 'destroyed', 'severe', 'price', 'package', 'internet', ' Ngilake ',' Quality ',' Akhlaq ',' Telkomsel ',' Mending ',' Buy ',' Telkomsel ',' Loss', 'Raying', 'Eat', 'Money', 'Doang', 'Give'"&amp;" , 'Quality', 'kagak', ""]")</f>
        <v>['Provider', 'worst', 'bad', 'night', 'signal', 'lost', 'network', 'destroyed', 'severe', 'price', 'package', 'internet', ' Ngilake ',' Quality ',' Akhlaq ',' Telkomsel ',' Mending ',' Buy ',' Telkomsel ',' Loss', 'Raying', 'Eat', 'Money', 'Doang', 'Give' , 'Quality', 'kagak', "]</v>
      </c>
      <c r="D186" s="3">
        <v>1.0</v>
      </c>
    </row>
    <row r="187" ht="15.75" customHeight="1">
      <c r="A187" s="1">
        <v>185.0</v>
      </c>
      <c r="B187" s="3" t="s">
        <v>188</v>
      </c>
      <c r="C187" s="3" t="str">
        <f>IFERROR(__xludf.DUMMYFUNCTION("GOOGLETRANSLATE(B187,""id"",""en"")"),"['update', 'mulu', 'quality', 'adehh', 'use', 'tweeter', 'already', 'told', 'twiter', 'most', 'update']")</f>
        <v>['update', 'mulu', 'quality', 'adehh', 'use', 'tweeter', 'already', 'told', 'twiter', 'most', 'update']</v>
      </c>
      <c r="D187" s="3">
        <v>1.0</v>
      </c>
    </row>
    <row r="188" ht="15.75" customHeight="1">
      <c r="A188" s="1">
        <v>186.0</v>
      </c>
      <c r="B188" s="3" t="s">
        <v>189</v>
      </c>
      <c r="C188" s="3" t="str">
        <f>IFERROR(__xludf.DUMMYFUNCTION("GOOGLETRANSLATE(B188,""id"",""en"")"),"['Switch', 'Hello', 'Sympathy', 'Post', 'Pay', 'Pre', 'Pay', 'Please', 'Assisted']")</f>
        <v>['Switch', 'Hello', 'Sympathy', 'Post', 'Pay', 'Pre', 'Pay', 'Please', 'Assisted']</v>
      </c>
      <c r="D188" s="3">
        <v>1.0</v>
      </c>
    </row>
    <row r="189" ht="15.75" customHeight="1">
      <c r="A189" s="1">
        <v>187.0</v>
      </c>
      <c r="B189" s="3" t="s">
        <v>190</v>
      </c>
      <c r="C189" s="3" t="str">
        <f>IFERROR(__xludf.DUMMYFUNCTION("GOOGLETRANSLATE(B189,""id"",""en"")"),"['promo', 'offer', 'MyTelkomsel', 'choose', 'according to', 'Dengn', 'need']")</f>
        <v>['promo', 'offer', 'MyTelkomsel', 'choose', 'according to', 'Dengn', 'need']</v>
      </c>
      <c r="D189" s="3">
        <v>5.0</v>
      </c>
    </row>
    <row r="190" ht="15.75" customHeight="1">
      <c r="A190" s="1">
        <v>188.0</v>
      </c>
      <c r="B190" s="3" t="s">
        <v>191</v>
      </c>
      <c r="C190" s="3" t="str">
        <f>IFERROR(__xludf.DUMMYFUNCTION("GOOGLETRANSLATE(B190,""id"",""en"")"),"['Buy', 'Package', 'MULUT', 'PACKAGE', 'Subscribe', 'Lost', 'Application', 'Delete', 'Download', 'Appsi', 'Package', 'Nnt', ' check ',' quota ',' updt ',' version ',' package ',' run out ',' application ',' hrus', 'delete', 'download', 'that's',' then ','"&amp;" buy ' , 'palette']")</f>
        <v>['Buy', 'Package', 'MULUT', 'PACKAGE', 'Subscribe', 'Lost', 'Application', 'Delete', 'Download', 'Appsi', 'Package', 'Nnt', ' check ',' quota ',' updt ',' version ',' package ',' run out ',' application ',' hrus', 'delete', 'download', 'that's',' then ',' buy ' , 'palette']</v>
      </c>
      <c r="D190" s="3">
        <v>3.0</v>
      </c>
    </row>
    <row r="191" ht="15.75" customHeight="1">
      <c r="A191" s="1">
        <v>189.0</v>
      </c>
      <c r="B191" s="3" t="s">
        <v>192</v>
      </c>
      <c r="C191" s="3" t="str">
        <f>IFERROR(__xludf.DUMMYFUNCTION("GOOGLETRANSLATE(B191,""id"",""en"")"),"['application', 'error', 'mulu', 'expensive', 'doang', 'regret', 'right', 'Telkomsel', 'because', 'udh', 'buy', 'package', ' Suggestion ',' Telkomsel ',' ']")</f>
        <v>['application', 'error', 'mulu', 'expensive', 'doang', 'regret', 'right', 'Telkomsel', 'because', 'udh', 'buy', 'package', ' Suggestion ',' Telkomsel ',' ']</v>
      </c>
      <c r="D191" s="3">
        <v>1.0</v>
      </c>
    </row>
    <row r="192" ht="15.75" customHeight="1">
      <c r="A192" s="1">
        <v>190.0</v>
      </c>
      <c r="B192" s="3" t="s">
        <v>193</v>
      </c>
      <c r="C192" s="3" t="str">
        <f>IFERROR(__xludf.DUMMYFUNCTION("GOOGLETRANSLATE(B192,""id"",""en"")"),"['Assalamualaikum', 'Congratulations',' Night ',' Min ',' Honest ',' Use ',' Card ',' SIM ',' Telkomsel ',' Disappointed ',' Network ',' Signal ',' Telkomsel ',' Basically ',' Event ',' Fire ',' Building ',' Telkomsel ',' Network ',' Telkomsel ',' Trouble"&amp;"d ',' Main ',' Game ',' Forest ',' Good ' , 'Network', 'Medan', 'Main', 'Game', 'Please', 'Fix', 'The Network', '']")</f>
        <v>['Assalamualaikum', 'Congratulations',' Night ',' Min ',' Honest ',' Use ',' Card ',' SIM ',' Telkomsel ',' Disappointed ',' Network ',' Signal ',' Telkomsel ',' Basically ',' Event ',' Fire ',' Building ',' Telkomsel ',' Network ',' Telkomsel ',' Troubled ',' Main ',' Game ',' Forest ',' Good ' , 'Network', 'Medan', 'Main', 'Game', 'Please', 'Fix', 'The Network', '']</v>
      </c>
      <c r="D192" s="3">
        <v>1.0</v>
      </c>
    </row>
    <row r="193" ht="15.75" customHeight="1">
      <c r="A193" s="1">
        <v>191.0</v>
      </c>
      <c r="B193" s="3" t="s">
        <v>194</v>
      </c>
      <c r="C193" s="3" t="str">
        <f>IFERROR(__xludf.DUMMYFUNCTION("GOOGLETRANSLATE(B193,""id"",""en"")"),"['here', 'ugly', 'min', 'buy', 'package', 'price', 'expensive', 'already', 'bought', 'money', 'network', 'kayak', ' Gini ',' please ',' debenerin ',' love ',' star ',' good ',' love ',' star ']")</f>
        <v>['here', 'ugly', 'min', 'buy', 'package', 'price', 'expensive', 'already', 'bought', 'money', 'network', 'kayak', ' Gini ',' please ',' debenerin ',' love ',' star ',' good ',' love ',' star ']</v>
      </c>
      <c r="D193" s="3">
        <v>3.0</v>
      </c>
    </row>
    <row r="194" ht="15.75" customHeight="1">
      <c r="A194" s="1">
        <v>192.0</v>
      </c>
      <c r="B194" s="3" t="s">
        <v>195</v>
      </c>
      <c r="C194" s="3" t="str">
        <f>IFERROR(__xludf.DUMMYFUNCTION("GOOGLETRANSLATE(B194,""id"",""en"")"),"['really', 'application', 'cave', 'buy', 'package', 'reading', 'loading', 'page', 'hope', 'barren', 'tomorrow', 'cave', ' Deuteronomy ',' asw ', ""]")</f>
        <v>['really', 'application', 'cave', 'buy', 'package', 'reading', 'loading', 'page', 'hope', 'barren', 'tomorrow', 'cave', ' Deuteronomy ',' asw ', "]</v>
      </c>
      <c r="D194" s="3">
        <v>1.0</v>
      </c>
    </row>
    <row r="195" ht="15.75" customHeight="1">
      <c r="A195" s="1">
        <v>193.0</v>
      </c>
      <c r="B195" s="3" t="s">
        <v>196</v>
      </c>
      <c r="C195" s="3" t="str">
        <f>IFERROR(__xludf.DUMMYFUNCTION("GOOGLETRANSLATE(B195,""id"",""en"")"),"['ugly', 'network', 'all day', 'ngak', 'use', 'internet', 'quota', 'internet', 'telkomsel', 'sophisticated', 'decline', '']")</f>
        <v>['ugly', 'network', 'all day', 'ngak', 'use', 'internet', 'quota', 'internet', 'telkomsel', 'sophisticated', 'decline', '']</v>
      </c>
      <c r="D195" s="3">
        <v>1.0</v>
      </c>
    </row>
    <row r="196" ht="15.75" customHeight="1">
      <c r="A196" s="1">
        <v>194.0</v>
      </c>
      <c r="B196" s="3" t="s">
        <v>197</v>
      </c>
      <c r="C196" s="3" t="str">
        <f>IFERROR(__xludf.DUMMYFUNCTION("GOOGLETRANSLATE(B196,""id"",""en"")"),"['Please', 'Telkomsel', 'buy', 'package', 'expensive', 'network', 'BURIK', 'customize', 'quality', 'network', 'price', 'sell', ' expensive ',' annoyed ',' provider ']")</f>
        <v>['Please', 'Telkomsel', 'buy', 'package', 'expensive', 'network', 'BURIK', 'customize', 'quality', 'network', 'price', 'sell', ' expensive ',' annoyed ',' provider ']</v>
      </c>
      <c r="D196" s="3">
        <v>1.0</v>
      </c>
    </row>
    <row r="197" ht="15.75" customHeight="1">
      <c r="A197" s="1">
        <v>195.0</v>
      </c>
      <c r="B197" s="3" t="s">
        <v>198</v>
      </c>
      <c r="C197" s="3" t="str">
        <f>IFERROR(__xludf.DUMMYFUNCTION("GOOGLETRANSLATE(B197,""id"",""en"")"),"['Telkomsel', 'Knp', 'Game', 'ping', 'Drop', 'Mulu', 'Please', 'Fix', 'Sunday']")</f>
        <v>['Telkomsel', 'Knp', 'Game', 'ping', 'Drop', 'Mulu', 'Please', 'Fix', 'Sunday']</v>
      </c>
      <c r="D197" s="3">
        <v>1.0</v>
      </c>
    </row>
    <row r="198" ht="15.75" customHeight="1">
      <c r="A198" s="1">
        <v>196.0</v>
      </c>
      <c r="B198" s="3" t="s">
        <v>199</v>
      </c>
      <c r="C198" s="3" t="str">
        <f>IFERROR(__xludf.DUMMYFUNCTION("GOOGLETRANSLATE(B198,""id"",""en"")"),"['steady', 'TPI', 'Steady', 'LGI', 'Win', 'Lottery', 'Point', 'Hoping', 'Winner', 'Lottery', 'POIT', 'Telkomsel', ' Thanks', 'Love', 'Greetings',' Healthy ',' ']")</f>
        <v>['steady', 'TPI', 'Steady', 'LGI', 'Win', 'Lottery', 'Point', 'Hoping', 'Winner', 'Lottery', 'POIT', 'Telkomsel', ' Thanks', 'Love', 'Greetings',' Healthy ',' ']</v>
      </c>
      <c r="D198" s="3">
        <v>4.0</v>
      </c>
    </row>
    <row r="199" ht="15.75" customHeight="1">
      <c r="A199" s="1">
        <v>197.0</v>
      </c>
      <c r="B199" s="3" t="s">
        <v>200</v>
      </c>
      <c r="C199" s="3" t="str">
        <f>IFERROR(__xludf.DUMMYFUNCTION("GOOGLETRANSLATE(B199,""id"",""en"")"),"['signal', 'ugly', 'annoyed', 'price', 'expensive', 'quality', 'signal', 'zonk', '']")</f>
        <v>['signal', 'ugly', 'annoyed', 'price', 'expensive', 'quality', 'signal', 'zonk', '']</v>
      </c>
      <c r="D199" s="3">
        <v>1.0</v>
      </c>
    </row>
    <row r="200" ht="15.75" customHeight="1">
      <c r="A200" s="1">
        <v>198.0</v>
      </c>
      <c r="B200" s="3" t="s">
        <v>201</v>
      </c>
      <c r="C200" s="3" t="str">
        <f>IFERROR(__xludf.DUMMYFUNCTION("GOOGLETRANSLATE(B200,""id"",""en"")"),"['promo', 'open', 'application', 'clicked', 'sorry', 'buy', 'package']")</f>
        <v>['promo', 'open', 'application', 'clicked', 'sorry', 'buy', 'package']</v>
      </c>
      <c r="D200" s="3">
        <v>1.0</v>
      </c>
    </row>
    <row r="201" ht="15.75" customHeight="1">
      <c r="A201" s="1">
        <v>199.0</v>
      </c>
      <c r="B201" s="3" t="s">
        <v>202</v>
      </c>
      <c r="C201" s="3" t="str">
        <f>IFERROR(__xludf.DUMMYFUNCTION("GOOGLETRANSLATE(B201,""id"",""en"")"),"['Damaged', 'Signal', 'East Java']")</f>
        <v>['Damaged', 'Signal', 'East Java']</v>
      </c>
      <c r="D201" s="3">
        <v>1.0</v>
      </c>
    </row>
    <row r="202" ht="15.75" customHeight="1">
      <c r="A202" s="1">
        <v>200.0</v>
      </c>
      <c r="B202" s="3" t="s">
        <v>203</v>
      </c>
      <c r="C202" s="3" t="str">
        <f>IFERROR(__xludf.DUMMYFUNCTION("GOOGLETRANSLATE(B202,""id"",""en"")"),"['Donload', 'right', 'Open', 'APK', 'PEAH']")</f>
        <v>['Donload', 'right', 'Open', 'APK', 'PEAH']</v>
      </c>
      <c r="D202" s="3">
        <v>1.0</v>
      </c>
    </row>
    <row r="203" ht="15.75" customHeight="1">
      <c r="A203" s="1">
        <v>201.0</v>
      </c>
      <c r="B203" s="3" t="s">
        <v>204</v>
      </c>
      <c r="C203" s="3" t="str">
        <f>IFERROR(__xludf.DUMMYFUNCTION("GOOGLETRANSLATE(B203,""id"",""en"")"),"['Telkomsel', 'please', 'right', 'network', 'money', 'Doang', 'Telkomsel', 'UDH', 'bankrupt', 'network', 'Kek', 'Telkomsel', ' bother ',' buyer ',' kntle ']")</f>
        <v>['Telkomsel', 'please', 'right', 'network', 'money', 'Doang', 'Telkomsel', 'UDH', 'bankrupt', 'network', 'Kek', 'Telkomsel', ' bother ',' buyer ',' kntle ']</v>
      </c>
      <c r="D203" s="3">
        <v>1.0</v>
      </c>
    </row>
    <row r="204" ht="15.75" customHeight="1">
      <c r="A204" s="1">
        <v>202.0</v>
      </c>
      <c r="B204" s="3" t="s">
        <v>205</v>
      </c>
      <c r="C204" s="3" t="str">
        <f>IFERROR(__xludf.DUMMYFUNCTION("GOOGLETRANSLATE(B204,""id"",""en"")"),"['already', 'update', 'told', 'update', 'enter', 'application', 'Telkomsel', 'provider', 'lol']")</f>
        <v>['already', 'update', 'told', 'update', 'enter', 'application', 'Telkomsel', 'provider', 'lol']</v>
      </c>
      <c r="D204" s="3">
        <v>1.0</v>
      </c>
    </row>
    <row r="205" ht="15.75" customHeight="1">
      <c r="A205" s="1">
        <v>203.0</v>
      </c>
      <c r="B205" s="3" t="s">
        <v>206</v>
      </c>
      <c r="C205" s="3" t="str">
        <f>IFERROR(__xludf.DUMMYFUNCTION("GOOGLETRANSLATE(B205,""id"",""en"")"),"['signal', 'fix', 'please', 'signal', 'city', 'signal', 'stable', 'access', 'internet', 'difficult', '']")</f>
        <v>['signal', 'fix', 'please', 'signal', 'city', 'signal', 'stable', 'access', 'internet', 'difficult', '']</v>
      </c>
      <c r="D205" s="3">
        <v>2.0</v>
      </c>
    </row>
    <row r="206" ht="15.75" customHeight="1">
      <c r="A206" s="1">
        <v>204.0</v>
      </c>
      <c r="B206" s="3" t="s">
        <v>207</v>
      </c>
      <c r="C206" s="3" t="str">
        <f>IFERROR(__xludf.DUMMYFUNCTION("GOOGLETRANSLATE(B206,""id"",""en"")"),"['The information', 'accurate', 'trusted', 'masysrakat', 'users',' remote ',' land ',' water ',' area ',' enjoy ',' service ',' Telkomsel ',' Try ',' established ',' Tower ',' Tower ',' Improved ',' Access', 'Quality', 'Service', ""]")</f>
        <v>['The information', 'accurate', 'trusted', 'masysrakat', 'users',' remote ',' land ',' water ',' area ',' enjoy ',' service ',' Telkomsel ',' Try ',' established ',' Tower ',' Tower ',' Improved ',' Access', 'Quality', 'Service', "]</v>
      </c>
      <c r="D206" s="3">
        <v>4.0</v>
      </c>
    </row>
    <row r="207" ht="15.75" customHeight="1">
      <c r="A207" s="1">
        <v>205.0</v>
      </c>
      <c r="B207" s="3" t="s">
        <v>208</v>
      </c>
      <c r="C207" s="3" t="str">
        <f>IFERROR(__xludf.DUMMYFUNCTION("GOOGLETRANSLATE(B207,""id"",""en"")"),"['signal', 'setabilia', 'user', 'emotion', 'missing', 'network', 'Genting', 'please', 'fix', '']")</f>
        <v>['signal', 'setabilia', 'user', 'emotion', 'missing', 'network', 'Genting', 'please', 'fix', '']</v>
      </c>
      <c r="D207" s="3">
        <v>3.0</v>
      </c>
    </row>
    <row r="208" ht="15.75" customHeight="1">
      <c r="A208" s="1">
        <v>206.0</v>
      </c>
      <c r="B208" s="3" t="s">
        <v>209</v>
      </c>
      <c r="C208" s="3" t="str">
        <f>IFERROR(__xludf.DUMMYFUNCTION("GOOGLETRANSLATE(B208,""id"",""en"")"),"['apk', 'slow', 'really', 'road', 'game', 'ping', 'network', 'red', 'sampe', 'setres',' mslh ',' network ',' Telkom ',' most ',' promo ',' loss', 'signal', 'slow', ""]")</f>
        <v>['apk', 'slow', 'really', 'road', 'game', 'ping', 'network', 'red', 'sampe', 'setres',' mslh ',' network ',' Telkom ',' most ',' promo ',' loss', 'signal', 'slow', "]</v>
      </c>
      <c r="D208" s="3">
        <v>1.0</v>
      </c>
    </row>
    <row r="209" ht="15.75" customHeight="1">
      <c r="A209" s="1">
        <v>207.0</v>
      </c>
      <c r="B209" s="3" t="s">
        <v>210</v>
      </c>
      <c r="C209" s="3" t="str">
        <f>IFERROR(__xludf.DUMMYFUNCTION("GOOGLETRANSLATE(B209,""id"",""en"")"),"['Network', 'good', 'city', 'remote', 'forest', 'please', 'losetreak', 'nii', 'kimak', 'no', 'cheap', 'price', ' the quota ',' service ',' like ',' that's', '']")</f>
        <v>['Network', 'good', 'city', 'remote', 'forest', 'please', 'losetreak', 'nii', 'kimak', 'no', 'cheap', 'price', ' the quota ',' service ',' like ',' that's', '']</v>
      </c>
      <c r="D209" s="3">
        <v>1.0</v>
      </c>
    </row>
    <row r="210" ht="15.75" customHeight="1">
      <c r="A210" s="1">
        <v>208.0</v>
      </c>
      <c r="B210" s="3" t="s">
        <v>211</v>
      </c>
      <c r="C210" s="3" t="str">
        <f>IFERROR(__xludf.DUMMYFUNCTION("GOOGLETRANSLATE(B210,""id"",""en"")"),"['Telkomsel', 'slow', 'really', 'cave', 'play', 'game', 'slow', 'severe', 'network', 'position', 'quota', 'run out', ' The rest of ',' how ',' Customer ',' Comfortable ',' Please ',' Fix ',' The Network ',' Smooth ',' Movers', 'How']")</f>
        <v>['Telkomsel', 'slow', 'really', 'cave', 'play', 'game', 'slow', 'severe', 'network', 'position', 'quota', 'run out', ' The rest of ',' how ',' Customer ',' Comfortable ',' Please ',' Fix ',' The Network ',' Smooth ',' Movers', 'How']</v>
      </c>
      <c r="D210" s="3">
        <v>1.0</v>
      </c>
    </row>
    <row r="211" ht="15.75" customHeight="1">
      <c r="A211" s="1">
        <v>209.0</v>
      </c>
      <c r="B211" s="3" t="s">
        <v>212</v>
      </c>
      <c r="C211" s="3" t="str">
        <f>IFERROR(__xludf.DUMMYFUNCTION("GOOGLETRANSLATE(B211,""id"",""en"")"),"['Come', 'Telkomsel', 'JLZ', 'Network', 'Lemot', 'Rates',' Doank ',' Expensive ',' Satisfaction ',' User ',' Preferred ',' Bintang ',' Pengemberemberuan ',' User ',' Satisfied ',' Stay ',' Region ',' Urban ',' Lemot ',' in the area ',' inland ', ""]")</f>
        <v>['Come', 'Telkomsel', 'JLZ', 'Network', 'Lemot', 'Rates',' Doank ',' Expensive ',' Satisfaction ',' User ',' Preferred ',' Bintang ',' Pengemberemberuan ',' User ',' Satisfied ',' Stay ',' Region ',' Urban ',' Lemot ',' in the area ',' inland ', "]</v>
      </c>
      <c r="D211" s="3">
        <v>1.0</v>
      </c>
    </row>
    <row r="212" ht="15.75" customHeight="1">
      <c r="A212" s="1">
        <v>210.0</v>
      </c>
      <c r="B212" s="3" t="s">
        <v>213</v>
      </c>
      <c r="C212" s="3" t="str">
        <f>IFERROR(__xludf.DUMMYFUNCTION("GOOGLETRANSLATE(B212,""id"",""en"")"),"['use', 'card', 'Hello', 'network', 'stable', 'network', 'good', 'good', 'play', 'game', '']")</f>
        <v>['use', 'card', 'Hello', 'network', 'stable', 'network', 'good', 'good', 'play', 'game', '']</v>
      </c>
      <c r="D212" s="3">
        <v>1.0</v>
      </c>
    </row>
    <row r="213" ht="15.75" customHeight="1">
      <c r="A213" s="1">
        <v>211.0</v>
      </c>
      <c r="B213" s="3" t="s">
        <v>214</v>
      </c>
      <c r="C213" s="3" t="str">
        <f>IFERROR(__xludf.DUMMYFUNCTION("GOOGLETRANSLATE(B213,""id"",""en"")"),"['Sorry', 'operator', 'Telkomsel', 'Please', 'Hold', 'Features', 'Transfer', 'Credit', 'Operator', 'Influential', 'User', 'Telkomsel']")</f>
        <v>['Sorry', 'operator', 'Telkomsel', 'Please', 'Hold', 'Features', 'Transfer', 'Credit', 'Operator', 'Influential', 'User', 'Telkomsel']</v>
      </c>
      <c r="D213" s="3">
        <v>2.0</v>
      </c>
    </row>
    <row r="214" ht="15.75" customHeight="1">
      <c r="A214" s="1">
        <v>212.0</v>
      </c>
      <c r="B214" s="3" t="s">
        <v>215</v>
      </c>
      <c r="C214" s="3" t="str">
        <f>IFERROR(__xludf.DUMMYFUNCTION("GOOGLETRANSLATE(B214,""id"",""en"")"),"['Notif', 'Telkomsel', 'Get', 'quota', 'quota', 'unlimited', 'right', 'open', 'promo', 'ganiatta', 'kasi', 'promo', ' Please, 'MyTelkomsel', 'Kasi', 'Promo']")</f>
        <v>['Notif', 'Telkomsel', 'Get', 'quota', 'quota', 'unlimited', 'right', 'open', 'promo', 'ganiatta', 'kasi', 'promo', ' Please, 'MyTelkomsel', 'Kasi', 'Promo']</v>
      </c>
      <c r="D214" s="3">
        <v>1.0</v>
      </c>
    </row>
    <row r="215" ht="15.75" customHeight="1">
      <c r="A215" s="1">
        <v>213.0</v>
      </c>
      <c r="B215" s="3" t="s">
        <v>216</v>
      </c>
      <c r="C215" s="3" t="str">
        <f>IFERROR(__xludf.DUMMYFUNCTION("GOOGLETRANSLATE(B215,""id"",""en"")"),"['application', 'Help', 'on', 'donlod', 'daily', 'check', 'quota', 'free', 'follow', 'edits']")</f>
        <v>['application', 'Help', 'on', 'donlod', 'daily', 'check', 'quota', 'free', 'follow', 'edits']</v>
      </c>
      <c r="D215" s="3">
        <v>5.0</v>
      </c>
    </row>
    <row r="216" ht="15.75" customHeight="1">
      <c r="A216" s="1">
        <v>214.0</v>
      </c>
      <c r="B216" s="3" t="s">
        <v>217</v>
      </c>
      <c r="C216" s="3" t="str">
        <f>IFERROR(__xludf.DUMMYFUNCTION("GOOGLETRANSLATE(B216,""id"",""en"")"),"['love', 'star', 'quality', 'connection', 'internet', 'bad', 'fill', 'quota', 'internet', 'then', 'strange', 'fill', ' quota ',' times', 'message', 'quota', 'internet', 'run out', 'check', 'quota', 'msh', 'please', 'telkomsel', 'increase', 'quality' , 'co"&amp;"nnection', 'thank', 'love']")</f>
        <v>['love', 'star', 'quality', 'connection', 'internet', 'bad', 'fill', 'quota', 'internet', 'then', 'strange', 'fill', ' quota ',' times', 'message', 'quota', 'internet', 'run out', 'check', 'quota', 'msh', 'please', 'telkomsel', 'increase', 'quality' , 'connection', 'thank', 'love']</v>
      </c>
      <c r="D216" s="3">
        <v>1.0</v>
      </c>
    </row>
    <row r="217" ht="15.75" customHeight="1">
      <c r="A217" s="1">
        <v>215.0</v>
      </c>
      <c r="B217" s="3" t="s">
        <v>218</v>
      </c>
      <c r="C217" s="3" t="str">
        <f>IFERROR(__xludf.DUMMYFUNCTION("GOOGLETRANSLATE(B217,""id"",""en"")"),"['disappointing', 'signal', 'full', 'internet', '']")</f>
        <v>['disappointing', 'signal', 'full', 'internet', '']</v>
      </c>
      <c r="D217" s="3">
        <v>1.0</v>
      </c>
    </row>
    <row r="218" ht="15.75" customHeight="1">
      <c r="A218" s="1">
        <v>216.0</v>
      </c>
      <c r="B218" s="3" t="s">
        <v>219</v>
      </c>
      <c r="C218" s="3" t="str">
        <f>IFERROR(__xludf.DUMMYFUNCTION("GOOGLETRANSLATE(B218,""id"",""en"")"),"['Star', 'Ajh', 'Msak', 'buy', 'package', 'yng', 'unlimited', 'already', 'run out', 'Telkomsel', 'already', 'corruption', ' regret ',' bnget ',' Telkomsel ',' waste ',' sea ']")</f>
        <v>['Star', 'Ajh', 'Msak', 'buy', 'package', 'yng', 'unlimited', 'already', 'run out', 'Telkomsel', 'already', 'corruption', ' regret ',' bnget ',' Telkomsel ',' waste ',' sea ']</v>
      </c>
      <c r="D218" s="3">
        <v>1.0</v>
      </c>
    </row>
    <row r="219" ht="15.75" customHeight="1">
      <c r="A219" s="1">
        <v>217.0</v>
      </c>
      <c r="B219" s="3" t="s">
        <v>220</v>
      </c>
      <c r="C219" s="3" t="str">
        <f>IFERROR(__xludf.DUMMYFUNCTION("GOOGLETRANSLATE(B219,""id"",""en"")"),"['Telkomsel', 'operator', 'busy', 'Mulu', 'trouble', 'fill', 'reset', ""]")</f>
        <v>['Telkomsel', 'operator', 'busy', 'Mulu', 'trouble', 'fill', 'reset', "]</v>
      </c>
      <c r="D219" s="3">
        <v>1.0</v>
      </c>
    </row>
    <row r="220" ht="15.75" customHeight="1">
      <c r="A220" s="1">
        <v>218.0</v>
      </c>
      <c r="B220" s="3" t="s">
        <v>221</v>
      </c>
      <c r="C220" s="3" t="str">
        <f>IFERROR(__xludf.DUMMYFUNCTION("GOOGLETRANSLATE(B220,""id"",""en"")"),"['application', 'experience', 'disruption', 'system', 'annoying', 'activation', 'package', 'data', 'check', 'quota']")</f>
        <v>['application', 'experience', 'disruption', 'system', 'annoying', 'activation', 'package', 'data', 'check', 'quota']</v>
      </c>
      <c r="D220" s="3">
        <v>2.0</v>
      </c>
    </row>
    <row r="221" ht="15.75" customHeight="1">
      <c r="A221" s="1">
        <v>219.0</v>
      </c>
      <c r="B221" s="3" t="s">
        <v>222</v>
      </c>
      <c r="C221" s="3" t="str">
        <f>IFERROR(__xludf.DUMMYFUNCTION("GOOGLETRANSLATE(B221,""id"",""en"")"),"['application', 'bad', 'pulse', 'suck', 'capital', 'wifi', 'no', 'activated', 'data', 'cellular', 'pray for', 'owner', ' Telkomsel ',' his employees', 'died', 'Cruel', 'Lord', 'As',' prayer ',' abandoned ',' Telkomselnjing ']")</f>
        <v>['application', 'bad', 'pulse', 'suck', 'capital', 'wifi', 'no', 'activated', 'data', 'cellular', 'pray for', 'owner', ' Telkomsel ',' his employees', 'died', 'Cruel', 'Lord', 'As',' prayer ',' abandoned ',' Telkomselnjing ']</v>
      </c>
      <c r="D221" s="3">
        <v>1.0</v>
      </c>
    </row>
    <row r="222" ht="15.75" customHeight="1">
      <c r="A222" s="1">
        <v>220.0</v>
      </c>
      <c r="B222" s="3" t="s">
        <v>223</v>
      </c>
      <c r="C222" s="3" t="str">
        <f>IFERROR(__xludf.DUMMYFUNCTION("GOOGLETRANSLATE(B222,""id"",""en"")"),"['electricity', 'dead', 'network', 'lost', 'connection', 'internet', 'segini', 'doang', 'quality', 'BUMN', '']")</f>
        <v>['electricity', 'dead', 'network', 'lost', 'connection', 'internet', 'segini', 'doang', 'quality', 'BUMN', '']</v>
      </c>
      <c r="D222" s="3">
        <v>1.0</v>
      </c>
    </row>
    <row r="223" ht="15.75" customHeight="1">
      <c r="A223" s="1">
        <v>221.0</v>
      </c>
      <c r="B223" s="3" t="s">
        <v>224</v>
      </c>
      <c r="C223" s="3" t="str">
        <f>IFERROR(__xludf.DUMMYFUNCTION("GOOGLETRANSLATE(B223,""id"",""en"")"),"['Network', 'Severe', 'Dimorowali', 'Even', 'Transmitter', 'Fortunately', 'Morowali', 'Cellular', 'Choice', '']")</f>
        <v>['Network', 'Severe', 'Dimorowali', 'Even', 'Transmitter', 'Fortunately', 'Morowali', 'Cellular', 'Choice', '']</v>
      </c>
      <c r="D223" s="3">
        <v>1.0</v>
      </c>
    </row>
    <row r="224" ht="15.75" customHeight="1">
      <c r="A224" s="1">
        <v>222.0</v>
      </c>
      <c r="B224" s="3" t="s">
        <v>225</v>
      </c>
      <c r="C224" s="3" t="str">
        <f>IFERROR(__xludf.DUMMYFUNCTION("GOOGLETRANSLATE(B224,""id"",""en"")"),"['Package', 'Severe', 'expensive', 'network', 'down', 'mulu', 'comfortable', 'Telkomsel', 'pdhal', 'card', 'Telkomsel', 'SIM', ' Both ',' Hadeuh ',' Disappointed ',' ']")</f>
        <v>['Package', 'Severe', 'expensive', 'network', 'down', 'mulu', 'comfortable', 'Telkomsel', 'pdhal', 'card', 'Telkomsel', 'SIM', ' Both ',' Hadeuh ',' Disappointed ',' ']</v>
      </c>
      <c r="D224" s="3">
        <v>1.0</v>
      </c>
    </row>
    <row r="225" ht="15.75" customHeight="1">
      <c r="A225" s="1">
        <v>223.0</v>
      </c>
      <c r="B225" s="3" t="s">
        <v>226</v>
      </c>
      <c r="C225" s="3" t="str">
        <f>IFERROR(__xludf.DUMMYFUNCTION("GOOGLETRANSLATE(B225,""id"",""en"")"),"['network', 'signal', 'Telkomsel', 'work', 'ojol', 'week', 'orders', 'network', 'signal', 'stable', 'rich', 'gini']")</f>
        <v>['network', 'signal', 'Telkomsel', 'work', 'ojol', 'week', 'orders', 'network', 'signal', 'stable', 'rich', 'gini']</v>
      </c>
      <c r="D225" s="3">
        <v>1.0</v>
      </c>
    </row>
    <row r="226" ht="15.75" customHeight="1">
      <c r="A226" s="1">
        <v>224.0</v>
      </c>
      <c r="B226" s="3" t="s">
        <v>227</v>
      </c>
      <c r="C226" s="3" t="str">
        <f>IFERROR(__xludf.DUMMYFUNCTION("GOOGLETRANSLATE(B226,""id"",""en"")"),"['package', 'already', 'expensive', 'connection', 'bad', 'skli', 'please', 'telkomsel', 'lbih', 'fix', 'connection']")</f>
        <v>['package', 'already', 'expensive', 'connection', 'bad', 'skli', 'please', 'telkomsel', 'lbih', 'fix', 'connection']</v>
      </c>
      <c r="D226" s="3">
        <v>5.0</v>
      </c>
    </row>
    <row r="227" ht="15.75" customHeight="1">
      <c r="A227" s="1">
        <v>225.0</v>
      </c>
      <c r="B227" s="3" t="s">
        <v>228</v>
      </c>
      <c r="C227" s="3" t="str">
        <f>IFERROR(__xludf.DUMMYFUNCTION("GOOGLETRANSLATE(B227,""id"",""en"")"),"['Telkomsel', 'lag', 'anjg', 'compatience', 'play', 'games',' jdda ',' regret ',' card ',' telkomsel ',' knon ',' please ',' Fix ',' signal ',' Nya ',' anjg ', ""]")</f>
        <v>['Telkomsel', 'lag', 'anjg', 'compatience', 'play', 'games',' jdda ',' regret ',' card ',' telkomsel ',' knon ',' please ',' Fix ',' signal ',' Nya ',' anjg ', "]</v>
      </c>
      <c r="D227" s="3">
        <v>1.0</v>
      </c>
    </row>
    <row r="228" ht="15.75" customHeight="1">
      <c r="A228" s="1">
        <v>226.0</v>
      </c>
      <c r="B228" s="3" t="s">
        <v>229</v>
      </c>
      <c r="C228" s="3" t="str">
        <f>IFERROR(__xludf.DUMMYFUNCTION("GOOGLETRANSLATE(B228,""id"",""en"")"),"['application', 'Telkomse', 'choice', 'payment', 'contents', 'pulses', ""]")</f>
        <v>['application', 'Telkomse', 'choice', 'payment', 'contents', 'pulses', "]</v>
      </c>
      <c r="D228" s="3">
        <v>2.0</v>
      </c>
    </row>
    <row r="229" ht="15.75" customHeight="1">
      <c r="A229" s="1">
        <v>227.0</v>
      </c>
      <c r="B229" s="3" t="s">
        <v>230</v>
      </c>
      <c r="C229" s="3" t="str">
        <f>IFERROR(__xludf.DUMMYFUNCTION("GOOGLETRANSLATE(B229,""id"",""en"")"),"['Bad', 'download', 'application', 'suggest', 'wife', 'use', 'application', 'package', 'internet', 'offer', 'wife', 'different' expensive ',' wife ',' cheap ']")</f>
        <v>['Bad', 'download', 'application', 'suggest', 'wife', 'use', 'application', 'package', 'internet', 'offer', 'wife', 'different' expensive ',' wife ',' cheap ']</v>
      </c>
      <c r="D229" s="3">
        <v>1.0</v>
      </c>
    </row>
    <row r="230" ht="15.75" customHeight="1">
      <c r="A230" s="1">
        <v>228.0</v>
      </c>
      <c r="B230" s="3" t="s">
        <v>231</v>
      </c>
      <c r="C230" s="3" t="str">
        <f>IFERROR(__xludf.DUMMYFUNCTION("GOOGLETRANSLATE(B230,""id"",""en"")"),"['', 'Telkomsel', 'Mantap', 'Trima', 'Love', 'Telkomsel', 'Best', 'The', 'Best']")</f>
        <v>['', 'Telkomsel', 'Mantap', 'Trima', 'Love', 'Telkomsel', 'Best', 'The', 'Best']</v>
      </c>
      <c r="D230" s="3">
        <v>5.0</v>
      </c>
    </row>
    <row r="231" ht="15.75" customHeight="1">
      <c r="A231" s="1">
        <v>229.0</v>
      </c>
      <c r="B231" s="3" t="s">
        <v>232</v>
      </c>
      <c r="C231" s="3" t="str">
        <f>IFERROR(__xludf.DUMMYFUNCTION("GOOGLETRANSLATE(B231,""id"",""en"")"),"['Actually', 'the application', 'Season', 'pulse', 'take-taken', 'Package', 'Regular', 'Rare', 'Activein', 'Data', ""]")</f>
        <v>['Actually', 'the application', 'Season', 'pulse', 'take-taken', 'Package', 'Regular', 'Rare', 'Activein', 'Data', "]</v>
      </c>
      <c r="D231" s="3">
        <v>1.0</v>
      </c>
    </row>
    <row r="232" ht="15.75" customHeight="1">
      <c r="A232" s="1">
        <v>230.0</v>
      </c>
      <c r="B232" s="3" t="s">
        <v>233</v>
      </c>
      <c r="C232" s="3" t="str">
        <f>IFERROR(__xludf.DUMMYFUNCTION("GOOGLETRANSLATE(B232,""id"",""en"")"),"['ajok', 'network', 'Telkomsel', 'price', 'package', 'internet', 'expensive', 'gini', 'mending', 'moved', 'provider', 'disappointed', ' Really ',' Telkomsel ',' ']")</f>
        <v>['ajok', 'network', 'Telkomsel', 'price', 'package', 'internet', 'expensive', 'gini', 'mending', 'moved', 'provider', 'disappointed', ' Really ',' Telkomsel ',' ']</v>
      </c>
      <c r="D232" s="3">
        <v>1.0</v>
      </c>
    </row>
    <row r="233" ht="15.75" customHeight="1">
      <c r="A233" s="1">
        <v>231.0</v>
      </c>
      <c r="B233" s="3" t="s">
        <v>234</v>
      </c>
      <c r="C233" s="3" t="str">
        <f>IFERROR(__xludf.DUMMYFUNCTION("GOOGLETRANSLATE(B233,""id"",""en"")"),"['Abis', 'updated', 'failed', 'connection', 'trs', 'dipake', 'battered', 'really', 'how', 'my apk', 'trs']")</f>
        <v>['Abis', 'updated', 'failed', 'connection', 'trs', 'dipake', 'battered', 'really', 'how', 'my apk', 'trs']</v>
      </c>
      <c r="D233" s="3">
        <v>1.0</v>
      </c>
    </row>
    <row r="234" ht="15.75" customHeight="1">
      <c r="A234" s="1">
        <v>232.0</v>
      </c>
      <c r="B234" s="3" t="s">
        <v>235</v>
      </c>
      <c r="C234" s="3" t="str">
        <f>IFERROR(__xludf.DUMMYFUNCTION("GOOGLETRANSLATE(B234,""id"",""en"")"),"['interesting', 'quota', 'available', 'pulses', 'trimmed', 'surprised', 'Telkomsel', 'stylenya']")</f>
        <v>['interesting', 'quota', 'available', 'pulses', 'trimmed', 'surprised', 'Telkomsel', 'stylenya']</v>
      </c>
      <c r="D234" s="3">
        <v>2.0</v>
      </c>
    </row>
    <row r="235" ht="15.75" customHeight="1">
      <c r="A235" s="1">
        <v>233.0</v>
      </c>
      <c r="B235" s="3" t="s">
        <v>236</v>
      </c>
      <c r="C235" s="3" t="str">
        <f>IFERROR(__xludf.DUMMYFUNCTION("GOOGLETRANSLATE(B235,""id"",""en"")"),"['already', 'buy', 'quota', 'coakes', 'lost', 'change', 'card', 'telkom']")</f>
        <v>['already', 'buy', 'quota', 'coakes', 'lost', 'change', 'card', 'telkom']</v>
      </c>
      <c r="D235" s="3">
        <v>1.0</v>
      </c>
    </row>
    <row r="236" ht="15.75" customHeight="1">
      <c r="A236" s="1">
        <v>234.0</v>
      </c>
      <c r="B236" s="3" t="s">
        <v>237</v>
      </c>
      <c r="C236" s="3" t="str">
        <f>IFERROR(__xludf.DUMMYFUNCTION("GOOGLETRANSLATE(B236,""id"",""en"")"),"['Age', 'card', 'Telkomsel', 'people', 'old', 'customers', 'loyal', 'belom', 'lottery', 'hope', 'Telkomsel', 'triumpha']")</f>
        <v>['Age', 'card', 'Telkomsel', 'people', 'old', 'customers', 'loyal', 'belom', 'lottery', 'hope', 'Telkomsel', 'triumpha']</v>
      </c>
      <c r="D236" s="3">
        <v>5.0</v>
      </c>
    </row>
    <row r="237" ht="15.75" customHeight="1">
      <c r="A237" s="1">
        <v>235.0</v>
      </c>
      <c r="B237" s="3" t="s">
        <v>238</v>
      </c>
      <c r="C237" s="3" t="str">
        <f>IFERROR(__xludf.DUMMYFUNCTION("GOOGLETRANSLATE(B237,""id"",""en"")"),"['Can't', 'consistent', 'price', 'package', 'in order', 'all-round', 'difficult', 'plus',' needs', 'secondary', 'package', 'data', ' TELKOMSEL ',' Needs', 'Secondary', 'Changed', 'Primary', 'Come', 'Job', 'Digitalization', 'Price', 'Expensive', 'Add', 'Lo"&amp;"ad', 'Life' , 'Uklum', 'Sultan', 'buy', 'package', 'price', 'and above', 'Thank you', 'Telkomsel', ""]")</f>
        <v>['Can't', 'consistent', 'price', 'package', 'in order', 'all-round', 'difficult', 'plus',' needs', 'secondary', 'package', 'data', ' TELKOMSEL ',' Needs', 'Secondary', 'Changed', 'Primary', 'Come', 'Job', 'Digitalization', 'Price', 'Expensive', 'Add', 'Load', 'Life' , 'Uklum', 'Sultan', 'buy', 'package', 'price', 'and above', 'Thank you', 'Telkomsel', "]</v>
      </c>
      <c r="D237" s="3">
        <v>3.0</v>
      </c>
    </row>
    <row r="238" ht="15.75" customHeight="1">
      <c r="A238" s="1">
        <v>236.0</v>
      </c>
      <c r="B238" s="3" t="s">
        <v>239</v>
      </c>
      <c r="C238" s="3" t="str">
        <f>IFERROR(__xludf.DUMMYFUNCTION("GOOGLETRANSLATE(B238,""id"",""en"")"),"['suggestion', 'application', 'request', 'Telkomsel', 'Points', 'credit', 'account', 'MyTelkomsel', 'exchanged', 'quota', 'additional', 'pulses']")</f>
        <v>['suggestion', 'application', 'request', 'Telkomsel', 'Points', 'credit', 'account', 'MyTelkomsel', 'exchanged', 'quota', 'additional', 'pulses']</v>
      </c>
      <c r="D238" s="3">
        <v>3.0</v>
      </c>
    </row>
    <row r="239" ht="15.75" customHeight="1">
      <c r="A239" s="1">
        <v>237.0</v>
      </c>
      <c r="B239" s="3" t="s">
        <v>240</v>
      </c>
      <c r="C239" s="3" t="str">
        <f>IFERROR(__xludf.DUMMYFUNCTION("GOOGLETRANSLATE(B239,""id"",""en"")"),"['Sometimes',' buy ',' internet ',' pulse ',' like ',' waste ',' mending ',' cheap ',' price ',' expensive ',' less', 'ngapa', ' Package ',' GB ',' thousand ',' weird ']")</f>
        <v>['Sometimes',' buy ',' internet ',' pulse ',' like ',' waste ',' mending ',' cheap ',' price ',' expensive ',' less', 'ngapa', ' Package ',' GB ',' thousand ',' weird ']</v>
      </c>
      <c r="D239" s="3">
        <v>1.0</v>
      </c>
    </row>
    <row r="240" ht="15.75" customHeight="1">
      <c r="A240" s="1">
        <v>238.0</v>
      </c>
      <c r="B240" s="3" t="s">
        <v>241</v>
      </c>
      <c r="C240" s="3" t="str">
        <f>IFERROR(__xludf.DUMMYFUNCTION("GOOGLETRANSLATE(B240,""id"",""en"")"),"['Sya', 'love', 'star', 'because' service ',' GraPARI ',' good ',' comfortable ',' satisfied ',' TPI ',' package ',' internet ',' Really ',' expensive ',' bnyk ',' competitors', 'internet', 'cheap', 'bngt', 'sampe', 'buln', 'run out', 'I'll', 'pke', 'blom"&amp;"' , 'Buln', 'run out', 'pity', 'Naturally', 'Try', 'mksulkn', 'price', 'psti', 'telkomsel', 'brid', 'sya', 'stia', ' Sya ',' TTP ',' Telkomsel ', ""]")</f>
        <v>['Sya', 'love', 'star', 'because' service ',' GraPARI ',' good ',' comfortable ',' satisfied ',' TPI ',' package ',' internet ',' Really ',' expensive ',' bnyk ',' competitors', 'internet', 'cheap', 'bngt', 'sampe', 'buln', 'run out', 'I'll', 'pke', 'blom' , 'Buln', 'run out', 'pity', 'Naturally', 'Try', 'mksulkn', 'price', 'psti', 'telkomsel', 'brid', 'sya', 'stia', ' Sya ',' TTP ',' Telkomsel ', "]</v>
      </c>
      <c r="D240" s="3">
        <v>5.0</v>
      </c>
    </row>
    <row r="241" ht="15.75" customHeight="1">
      <c r="A241" s="1">
        <v>239.0</v>
      </c>
      <c r="B241" s="3" t="s">
        <v>242</v>
      </c>
      <c r="C241" s="3" t="str">
        <f>IFERROR(__xludf.DUMMYFUNCTION("GOOGLETRANSLATE(B241,""id"",""en"")"),"['okay', 'Lahk', 'signal', 'mAh', 'package', 'please', 'adjusted', 'price', 'affordable', 'customer', '']")</f>
        <v>['okay', 'Lahk', 'signal', 'mAh', 'package', 'please', 'adjusted', 'price', 'affordable', 'customer', '']</v>
      </c>
      <c r="D241" s="3">
        <v>4.0</v>
      </c>
    </row>
    <row r="242" ht="15.75" customHeight="1">
      <c r="A242" s="1">
        <v>240.0</v>
      </c>
      <c r="B242" s="3" t="s">
        <v>243</v>
      </c>
      <c r="C242" s="3" t="str">
        <f>IFERROR(__xludf.DUMMYFUNCTION("GOOGLETRANSLATE(B242,""id"",""en"")"),"['Update', 'stack', 'reset', 'some', 'times', 'waste', 'waste', 'quota', ""]")</f>
        <v>['Update', 'stack', 'reset', 'some', 'times', 'waste', 'waste', 'quota', "]</v>
      </c>
      <c r="D242" s="3">
        <v>1.0</v>
      </c>
    </row>
    <row r="243" ht="15.75" customHeight="1">
      <c r="A243" s="1">
        <v>241.0</v>
      </c>
      <c r="B243" s="3" t="s">
        <v>244</v>
      </c>
      <c r="C243" s="3" t="str">
        <f>IFERROR(__xludf.DUMMYFUNCTION("GOOGLETRANSLATE(B243,""id"",""en"")"),"['Telkomsel', 'package', 'Bener', 'OMG', 'Combo', 'Sakti', 'quota', 'main', 'high school', 'sosmed', 'chat', 'maxtream', ' YouTube ',' etc. ',' quota ',' maxtream ',' sosmed ',' right ',' quota ',' main ',' already ',' abisssss', 'rich', 'axis',' open ' ,"&amp;" 'application', 'sosmed', 'ATW', 'YouTube', 'quota', 'sumps', 'according to', 'users', 'Telkomsel', 'because', 'home', 'just' Telkomsel ',' good ',' signal ',' please ',' fix ',' subject ',' package ',' ']")</f>
        <v>['Telkomsel', 'package', 'Bener', 'OMG', 'Combo', 'Sakti', 'quota', 'main', 'high school', 'sosmed', 'chat', 'maxtream', ' YouTube ',' etc. ',' quota ',' maxtream ',' sosmed ',' right ',' quota ',' main ',' already ',' abisssss', 'rich', 'axis',' open ' , 'application', 'sosmed', 'ATW', 'YouTube', 'quota', 'sumps', 'according to', 'users', 'Telkomsel', 'because', 'home', 'just' Telkomsel ',' good ',' signal ',' please ',' fix ',' subject ',' package ',' ']</v>
      </c>
      <c r="D243" s="3">
        <v>1.0</v>
      </c>
    </row>
    <row r="244" ht="15.75" customHeight="1">
      <c r="A244" s="1">
        <v>242.0</v>
      </c>
      <c r="B244" s="3" t="s">
        <v>245</v>
      </c>
      <c r="C244" s="3" t="str">
        <f>IFERROR(__xludf.DUMMYFUNCTION("GOOGLETRANSLATE(B244,""id"",""en"")"),"['package', 'internet', 'expensive', 'bankrupt', 'upgrade', 'opened', ""]")</f>
        <v>['package', 'internet', 'expensive', 'bankrupt', 'upgrade', 'opened', "]</v>
      </c>
      <c r="D244" s="3">
        <v>1.0</v>
      </c>
    </row>
    <row r="245" ht="15.75" customHeight="1">
      <c r="A245" s="1">
        <v>243.0</v>
      </c>
      <c r="B245" s="3" t="s">
        <v>246</v>
      </c>
      <c r="C245" s="3" t="str">
        <f>IFERROR(__xludf.DUMMYFUNCTION("GOOGLETRANSLATE(B245,""id"",""en"")"),"['right', 'update', 'nggk', 'in the way', 'package', 'data', 'nggk']")</f>
        <v>['right', 'update', 'nggk', 'in the way', 'package', 'data', 'nggk']</v>
      </c>
      <c r="D245" s="3">
        <v>3.0</v>
      </c>
    </row>
    <row r="246" ht="15.75" customHeight="1">
      <c r="A246" s="1">
        <v>244.0</v>
      </c>
      <c r="B246" s="3" t="s">
        <v>247</v>
      </c>
      <c r="C246" s="3" t="str">
        <f>IFERROR(__xludf.DUMMYFUNCTION("GOOGLETRANSLATE(B246,""id"",""en"")"),"['Notif', 'promo', 'kouta', 'unlimited', 'Telkomsel', 'right', 'pressing', 'promo', 'missing', 'writing', 'sorry', 'promotion', ' Found ',' then ',' writing ',' sorry ',' promo ',' notif ',' second ',' then ',' open ',' telkomsel ',' ajng ']")</f>
        <v>['Notif', 'promo', 'kouta', 'unlimited', 'Telkomsel', 'right', 'pressing', 'promo', 'missing', 'writing', 'sorry', 'promotion', ' Found ',' then ',' writing ',' sorry ',' promo ',' notif ',' second ',' then ',' open ',' telkomsel ',' ajng ']</v>
      </c>
      <c r="D246" s="3">
        <v>3.0</v>
      </c>
    </row>
    <row r="247" ht="15.75" customHeight="1">
      <c r="A247" s="1">
        <v>245.0</v>
      </c>
      <c r="B247" s="3" t="s">
        <v>248</v>
      </c>
      <c r="C247" s="3" t="str">
        <f>IFERROR(__xludf.DUMMYFUNCTION("GOOGLETRANSLATE(B247,""id"",""en"")"),"['get', 'Frank', 'promo', 'Telkomsel', 'Notostification', 'Internet', 'unlimeted', 'price', 'RB', 'click', 'buy', 'Rb', ' USA ',' Send ',' Notif ',' ']")</f>
        <v>['get', 'Frank', 'promo', 'Telkomsel', 'Notostification', 'Internet', 'unlimeted', 'price', 'RB', 'click', 'buy', 'Rb', ' USA ',' Send ',' Notif ',' ']</v>
      </c>
      <c r="D247" s="3">
        <v>1.0</v>
      </c>
    </row>
    <row r="248" ht="15.75" customHeight="1">
      <c r="A248" s="1">
        <v>246.0</v>
      </c>
      <c r="B248" s="3" t="s">
        <v>249</v>
      </c>
      <c r="C248" s="3" t="str">
        <f>IFERROR(__xludf.DUMMYFUNCTION("GOOGLETRANSLATE(B248,""id"",""en"")"),"['Application', 'error', 'data', 'cellular', 'information', 'error', 'system', 'use', 'wifi', 'smooth', 'device', 'Different', ' application ',' smooth ',' strange ']")</f>
        <v>['Application', 'error', 'data', 'cellular', 'information', 'error', 'system', 'use', 'wifi', 'smooth', 'device', 'Different', ' application ',' smooth ',' strange ']</v>
      </c>
      <c r="D248" s="3">
        <v>1.0</v>
      </c>
    </row>
    <row r="249" ht="15.75" customHeight="1">
      <c r="A249" s="1">
        <v>247.0</v>
      </c>
      <c r="B249" s="3" t="s">
        <v>250</v>
      </c>
      <c r="C249" s="3" t="str">
        <f>IFERROR(__xludf.DUMMYFUNCTION("GOOGLETRANSLATE(B249,""id"",""en"")"),"['', 'Telkomsel', 'Network', 'Severe', 'Main', 'Game', 'High School', 'Watch', 'YouTube', 'Mendelek', 'Severe', 'Really', 'Move ',' card ',' fix ',' ']")</f>
        <v>['', 'Telkomsel', 'Network', 'Severe', 'Main', 'Game', 'High School', 'Watch', 'YouTube', 'Mendelek', 'Severe', 'Really', 'Move ',' card ',' fix ',' ']</v>
      </c>
      <c r="D249" s="3">
        <v>4.0</v>
      </c>
    </row>
    <row r="250" ht="15.75" customHeight="1">
      <c r="A250" s="1">
        <v>248.0</v>
      </c>
      <c r="B250" s="3" t="s">
        <v>251</v>
      </c>
      <c r="C250" s="3" t="str">
        <f>IFERROR(__xludf.DUMMYFUNCTION("GOOGLETRANSLATE(B250,""id"",""en"")"),"['Anji', 'Credit', 'Cave', 'Sumpot', 'Package', 'Sumpot', 'Content', 'Package', 'Content', 'Re-reset', ""]")</f>
        <v>['Anji', 'Credit', 'Cave', 'Sumpot', 'Package', 'Sumpot', 'Content', 'Package', 'Content', 'Re-reset', "]</v>
      </c>
      <c r="D250" s="3">
        <v>1.0</v>
      </c>
    </row>
    <row r="251" ht="15.75" customHeight="1">
      <c r="A251" s="1">
        <v>249.0</v>
      </c>
      <c r="B251" s="3" t="s">
        <v>252</v>
      </c>
      <c r="C251" s="3" t="str">
        <f>IFERROR(__xludf.DUMMYFUNCTION("GOOGLETRANSLATE(B251,""id"",""en"")"),"['Network', 'Telkomsel', 'Disappointed', 'MoveBprovider', '']")</f>
        <v>['Network', 'Telkomsel', 'Disappointed', 'MoveBprovider', '']</v>
      </c>
      <c r="D251" s="3">
        <v>1.0</v>
      </c>
    </row>
    <row r="252" ht="15.75" customHeight="1">
      <c r="A252" s="1">
        <v>250.0</v>
      </c>
      <c r="B252" s="3" t="s">
        <v>253</v>
      </c>
      <c r="C252" s="3" t="str">
        <f>IFERROR(__xludf.DUMMYFUNCTION("GOOGLETRANSLATE(B252,""id"",""en"")"),"['', 'love', 'star', 'application', 'Telkomsel', 'open', 'tlg', 'info', 'oppo', 'check', 'bill', 'difficult', 'application ',' Open ',' TLP ',' operator ',' Telkomsel ',' Tell ',' Practice ']")</f>
        <v>['', 'love', 'star', 'application', 'Telkomsel', 'open', 'tlg', 'info', 'oppo', 'check', 'bill', 'difficult', 'application ',' Open ',' TLP ',' operator ',' Telkomsel ',' Tell ',' Practice ']</v>
      </c>
      <c r="D252" s="3">
        <v>1.0</v>
      </c>
    </row>
    <row r="253" ht="15.75" customHeight="1">
      <c r="A253" s="1">
        <v>251.0</v>
      </c>
      <c r="B253" s="3" t="s">
        <v>254</v>
      </c>
      <c r="C253" s="3" t="str">
        <f>IFERROR(__xludf.DUMMYFUNCTION("GOOGLETRANSLATE(B253,""id"",""en"")"),"['signal', 'ugly', 'right', 'dendung', 'down', 'signal', 'rain', 'muter', 'alumni', 'project', 'network', 'Telkomsel', ' regretting ',' signal ',' Telkomsel ',' please ',' fix ',' network ',' use ',' frequency ',' horizontal ',' bad ',' service ',' use ',"&amp;"' frequency ' , 'vertical', 'horizontal', 'getting', 'dew', 'dework', 'rain', 'delivery', 'data', 'blocked', 'factor', 'nature', 'vertical', ' safe ',' anti ',' offstekel ',' thank you ',' hope ',' useful ']")</f>
        <v>['signal', 'ugly', 'right', 'dendung', 'down', 'signal', 'rain', 'muter', 'alumni', 'project', 'network', 'Telkomsel', ' regretting ',' signal ',' Telkomsel ',' please ',' fix ',' network ',' use ',' frequency ',' horizontal ',' bad ',' service ',' use ',' frequency ' , 'vertical', 'horizontal', 'getting', 'dew', 'dework', 'rain', 'delivery', 'data', 'blocked', 'factor', 'nature', 'vertical', ' safe ',' anti ',' offstekel ',' thank you ',' hope ',' useful ']</v>
      </c>
      <c r="D253" s="3">
        <v>1.0</v>
      </c>
    </row>
    <row r="254" ht="15.75" customHeight="1">
      <c r="A254" s="1">
        <v>252.0</v>
      </c>
      <c r="B254" s="3" t="s">
        <v>255</v>
      </c>
      <c r="C254" s="3" t="str">
        <f>IFERROR(__xludf.DUMMYFUNCTION("GOOGLETRANSLATE(B254,""id"",""en"")"),"['I', 'Love', 'Star', 'Anjeng', 'Credit', 'I', 'Lost', 'Pakek', 'Crazy', 'Telkomsel', ""]")</f>
        <v>['I', 'Love', 'Star', 'Anjeng', 'Credit', 'I', 'Lost', 'Pakek', 'Crazy', 'Telkomsel', "]</v>
      </c>
      <c r="D254" s="3">
        <v>1.0</v>
      </c>
    </row>
    <row r="255" ht="15.75" customHeight="1">
      <c r="A255" s="1">
        <v>253.0</v>
      </c>
      <c r="B255" s="3" t="s">
        <v>256</v>
      </c>
      <c r="C255" s="3" t="str">
        <f>IFERROR(__xludf.DUMMYFUNCTION("GOOGLETRANSLATE(B255,""id"",""en"")"),"['Yesterday', 'buy', 'extra', 'unlimited', 'situ', 'written', 'unlimited', 'sosmed', 'gamesmax', 'tiktok', 'Instagram', 'Facebook', ' Chat ',' Tik ',' Tok ',' quota ',' main ',' reduced ',' trs', 'unlimited', 'disappointing']")</f>
        <v>['Yesterday', 'buy', 'extra', 'unlimited', 'situ', 'written', 'unlimited', 'sosmed', 'gamesmax', 'tiktok', 'Instagram', 'Facebook', ' Chat ',' Tik ',' Tok ',' quota ',' main ',' reduced ',' trs', 'unlimited', 'disappointing']</v>
      </c>
      <c r="D255" s="3">
        <v>1.0</v>
      </c>
    </row>
    <row r="256" ht="15.75" customHeight="1">
      <c r="A256" s="1">
        <v>254.0</v>
      </c>
      <c r="B256" s="3" t="s">
        <v>257</v>
      </c>
      <c r="C256" s="3" t="str">
        <f>IFERROR(__xludf.DUMMYFUNCTION("GOOGLETRANSLATE(B256,""id"",""en"")"),"['improvement', 'network', 'Telkomsel', 'Kyak', 'Gini', 'Mulu', ""]")</f>
        <v>['improvement', 'network', 'Telkomsel', 'Kyak', 'Gini', 'Mulu', "]</v>
      </c>
      <c r="D256" s="3">
        <v>1.0</v>
      </c>
    </row>
    <row r="257" ht="15.75" customHeight="1">
      <c r="A257" s="1">
        <v>255.0</v>
      </c>
      <c r="B257" s="3" t="s">
        <v>258</v>
      </c>
      <c r="C257" s="3" t="str">
        <f>IFERROR(__xludf.DUMMYFUNCTION("GOOGLETRANSLATE(B257,""id"",""en"")"),"['signal', 'TPI', 'Lemottt', 'pulse', 'Abis',' Sumpot ',' Inet ',' TPI ',' Ket ',' Use ',' Inet ',' Cook ',' Enter ',' Application ',' MyTelkomsel ',' take ',' pulse ',' Sharus', 'SDAH', 'Telkomsel', 'Enter', 'APP', 'Free']")</f>
        <v>['signal', 'TPI', 'Lemottt', 'pulse', 'Abis',' Sumpot ',' Inet ',' TPI ',' Ket ',' Use ',' Inet ',' Cook ',' Enter ',' Application ',' MyTelkomsel ',' take ',' pulse ',' Sharus', 'SDAH', 'Telkomsel', 'Enter', 'APP', 'Free']</v>
      </c>
      <c r="D257" s="3">
        <v>1.0</v>
      </c>
    </row>
    <row r="258" ht="15.75" customHeight="1">
      <c r="A258" s="1">
        <v>256.0</v>
      </c>
      <c r="B258" s="3" t="s">
        <v>259</v>
      </c>
      <c r="C258" s="3" t="str">
        <f>IFERROR(__xludf.DUMMYFUNCTION("GOOGLETRANSLATE(B258,""id"",""en"")"),"['APK', 'update', 'opened', 'repair', 'good', 'destroyed']")</f>
        <v>['APK', 'update', 'opened', 'repair', 'good', 'destroyed']</v>
      </c>
      <c r="D258" s="3">
        <v>1.0</v>
      </c>
    </row>
    <row r="259" ht="15.75" customHeight="1">
      <c r="A259" s="1">
        <v>257.0</v>
      </c>
      <c r="B259" s="3" t="s">
        <v>260</v>
      </c>
      <c r="C259" s="3" t="str">
        <f>IFERROR(__xludf.DUMMYFUNCTION("GOOGLETRANSLATE(B259,""id"",""en"")"),"['Star', 'because', 'disturbed', 'Notif', 'promo', 'package', 'cheap', 'enter', 'promo', 'available']")</f>
        <v>['Star', 'because', 'disturbed', 'Notif', 'promo', 'package', 'cheap', 'enter', 'promo', 'available']</v>
      </c>
      <c r="D259" s="3">
        <v>3.0</v>
      </c>
    </row>
    <row r="260" ht="15.75" customHeight="1">
      <c r="A260" s="1">
        <v>258.0</v>
      </c>
      <c r="B260" s="3" t="s">
        <v>261</v>
      </c>
      <c r="C260" s="3" t="str">
        <f>IFERROR(__xludf.DUMMYFUNCTION("GOOGLETRANSLATE(B260,""id"",""en"")"),"['check', 'pulse', 'kouta', 'application', 'difficult', 'really', 'login', 'reset', 'enter', 'enter', 'login', 'Telkomsel', ' DIRIBETIN ',' Check ',' Kouta ',' Doank ',' PDHL ',' SLL ',' Telkomsel ',' SPRTI ',' Application ',' Disappointing ',' Please ','"&amp;" Admin ',' complaint ' ]")</f>
        <v>['check', 'pulse', 'kouta', 'application', 'difficult', 'really', 'login', 'reset', 'enter', 'enter', 'login', 'Telkomsel', ' DIRIBETIN ',' Check ',' Kouta ',' Doank ',' PDHL ',' SLL ',' Telkomsel ',' SPRTI ',' Application ',' Disappointing ',' Please ',' Admin ',' complaint ' ]</v>
      </c>
      <c r="D260" s="3">
        <v>2.0</v>
      </c>
    </row>
    <row r="261" ht="15.75" customHeight="1">
      <c r="A261" s="1">
        <v>259.0</v>
      </c>
      <c r="B261" s="3" t="s">
        <v>262</v>
      </c>
      <c r="C261" s="3" t="str">
        <f>IFERROR(__xludf.DUMMYFUNCTION("GOOGLETRANSLATE(B261,""id"",""en"")"),"['Hopefully', 'in the future', 'promo', 'package', 'internet', '']")</f>
        <v>['Hopefully', 'in the future', 'promo', 'package', 'internet', '']</v>
      </c>
      <c r="D261" s="3">
        <v>5.0</v>
      </c>
    </row>
    <row r="262" ht="15.75" customHeight="1">
      <c r="A262" s="1">
        <v>260.0</v>
      </c>
      <c r="B262" s="3" t="s">
        <v>263</v>
      </c>
      <c r="C262" s="3" t="str">
        <f>IFERROR(__xludf.DUMMYFUNCTION("GOOGLETRANSLATE(B262,""id"",""en"")"),"['Install', 'apps',' turned off ',' enter ',' apps', 'raises',' white ',' screen ',' change ',' open ',' tab ',' notif ',' scroll ',' smartphone ',' jammed ',' press', 'button', 'back', 'change', 'press',' button ',' button ',' left ',' task ',' manager '"&amp;" , 'Smartphone', 'jammed', 'locked', 'automatic', 'apps', 'pressed', 'raises']")</f>
        <v>['Install', 'apps',' turned off ',' enter ',' apps', 'raises',' white ',' screen ',' change ',' open ',' tab ',' notif ',' scroll ',' smartphone ',' jammed ',' press', 'button', 'back', 'change', 'press',' button ',' button ',' left ',' task ',' manager ' , 'Smartphone', 'jammed', 'locked', 'automatic', 'apps', 'pressed', 'raises']</v>
      </c>
      <c r="D262" s="3">
        <v>1.0</v>
      </c>
    </row>
    <row r="263" ht="15.75" customHeight="1">
      <c r="A263" s="1">
        <v>261.0</v>
      </c>
      <c r="B263" s="3" t="s">
        <v>264</v>
      </c>
      <c r="C263" s="3" t="str">
        <f>IFERROR(__xludf.DUMMYFUNCTION("GOOGLETRANSLATE(B263,""id"",""en"")"),"['Network', 'slow', 'severe', 'slow', 'resolved', 'city', 'medan']")</f>
        <v>['Network', 'slow', 'severe', 'slow', 'resolved', 'city', 'medan']</v>
      </c>
      <c r="D263" s="3">
        <v>1.0</v>
      </c>
    </row>
    <row r="264" ht="15.75" customHeight="1">
      <c r="A264" s="1">
        <v>262.0</v>
      </c>
      <c r="B264" s="3" t="s">
        <v>265</v>
      </c>
      <c r="C264" s="3" t="str">
        <f>IFERROR(__xludf.DUMMYFUNCTION("GOOGLETRANSLATE(B264,""id"",""en"")"),"['Add', 'feature', 'key', 'pulse', 'pulse', 'sucked', 'quota', 'run out']")</f>
        <v>['Add', 'feature', 'key', 'pulse', 'pulse', 'sucked', 'quota', 'run out']</v>
      </c>
      <c r="D264" s="3">
        <v>3.0</v>
      </c>
    </row>
    <row r="265" ht="15.75" customHeight="1">
      <c r="A265" s="1">
        <v>263.0</v>
      </c>
      <c r="B265" s="3" t="s">
        <v>266</v>
      </c>
      <c r="C265" s="3" t="str">
        <f>IFERROR(__xludf.DUMMYFUNCTION("GOOGLETRANSLATE(B265,""id"",""en"")"),"['Telkomselmau', 'list', 'package', 'pulse', 'difficult', 'really', 'pulse', 'cut', 'usage', 'non', 'package', 'package', ' buy ',' pulse ',' phone ',' taunya ',' already ',' come ',' sms', 'pulse', 'take', 'please', 'tekomsel', 'rich', 'gini' ]")</f>
        <v>['Telkomselmau', 'list', 'package', 'pulse', 'difficult', 'really', 'pulse', 'cut', 'usage', 'non', 'package', 'package', ' buy ',' pulse ',' phone ',' taunya ',' already ',' come ',' sms', 'pulse', 'take', 'please', 'tekomsel', 'rich', 'gini' ]</v>
      </c>
      <c r="D265" s="3">
        <v>1.0</v>
      </c>
    </row>
    <row r="266" ht="15.75" customHeight="1">
      <c r="A266" s="1">
        <v>264.0</v>
      </c>
      <c r="B266" s="3" t="s">
        <v>267</v>
      </c>
      <c r="C266" s="3" t="str">
        <f>IFERROR(__xludf.DUMMYFUNCTION("GOOGLETRANSLATE(B266,""id"",""en"")"),"['application', 'sometimes',' like ',' strange ',' wind ',' rain ',' try ',' kagi ',' udh ',' version ',' newest ',' check ',' quota ',' pulses', 'complicated']")</f>
        <v>['application', 'sometimes',' like ',' strange ',' wind ',' rain ',' try ',' kagi ',' udh ',' version ',' newest ',' check ',' quota ',' pulses', 'complicated']</v>
      </c>
      <c r="D266" s="3">
        <v>3.0</v>
      </c>
    </row>
    <row r="267" ht="15.75" customHeight="1">
      <c r="A267" s="1">
        <v>265.0</v>
      </c>
      <c r="B267" s="3" t="s">
        <v>268</v>
      </c>
      <c r="C267" s="3" t="str">
        <f>IFERROR(__xludf.DUMMYFUNCTION("GOOGLETRANSLATE(B267,""id"",""en"")"),"['Hi', 'Telkomsel', 'creative', 'promo', 'users',' Telkomsel ',' bored ',' promo ',' interesting ',' get ',' feel ',' piece ',' price ',' package ',' internet ',' buy ',' sorry ',' move ',' operator ',' quality ',' network ',' just ',' has', 'promo', 'int"&amp;"eresting' , 'thanks']")</f>
        <v>['Hi', 'Telkomsel', 'creative', 'promo', 'users',' Telkomsel ',' bored ',' promo ',' interesting ',' get ',' feel ',' piece ',' price ',' package ',' internet ',' buy ',' sorry ',' move ',' operator ',' quality ',' network ',' just ',' has', 'promo', 'interesting' , 'thanks']</v>
      </c>
      <c r="D267" s="3">
        <v>3.0</v>
      </c>
    </row>
    <row r="268" ht="15.75" customHeight="1">
      <c r="A268" s="1">
        <v>266.0</v>
      </c>
      <c r="B268" s="3" t="s">
        <v>269</v>
      </c>
      <c r="C268" s="3" t="str">
        <f>IFERROR(__xludf.DUMMYFUNCTION("GOOGLETRANSLATE(B268,""id"",""en"")"),"['hmmm', 'yes',' network ',' good ',' package ',' quota ',' buy ',' needin ',' sometimes', 'sometimes',' ngak ',' package ',' Thousands', 'Combo', 'Sakti', 'Need', 'Lho', 'travel', 'skrg', 'cheap', 'thousand', 'doang', 'pulse', 'right', 'please' , 'Search"&amp;"', 'money', 'gini', ""]")</f>
        <v>['hmmm', 'yes',' network ',' good ',' package ',' quota ',' buy ',' needin ',' sometimes', 'sometimes',' ngak ',' package ',' Thousands', 'Combo', 'Sakti', 'Need', 'Lho', 'travel', 'skrg', 'cheap', 'thousand', 'doang', 'pulse', 'right', 'please' , 'Search', 'money', 'gini', "]</v>
      </c>
      <c r="D268" s="3">
        <v>3.0</v>
      </c>
    </row>
    <row r="269" ht="15.75" customHeight="1">
      <c r="A269" s="1">
        <v>267.0</v>
      </c>
      <c r="B269" s="3" t="s">
        <v>270</v>
      </c>
      <c r="C269" s="3" t="str">
        <f>IFERROR(__xludf.DUMMYFUNCTION("GOOGLETRANSLATE(B269,""id"",""en"")"),"['Network', 'slow', 'disappointing', 'network', 'Telkomsel', 'LEGK', 'Customer', 'Telkomsel', 'open', 'Loading', 'Please', ' Repaired ',' Quality ',' Network ',' Telkomsel ',' Thank ',' Love ']")</f>
        <v>['Network', 'slow', 'disappointing', 'network', 'Telkomsel', 'LEGK', 'Customer', 'Telkomsel', 'open', 'Loading', 'Please', ' Repaired ',' Quality ',' Network ',' Telkomsel ',' Thank ',' Love ']</v>
      </c>
      <c r="D269" s="3">
        <v>1.0</v>
      </c>
    </row>
    <row r="270" ht="15.75" customHeight="1">
      <c r="A270" s="1">
        <v>268.0</v>
      </c>
      <c r="B270" s="3" t="s">
        <v>271</v>
      </c>
      <c r="C270" s="3" t="str">
        <f>IFERROR(__xludf.DUMMYFUNCTION("GOOGLETRANSLATE(B270,""id"",""en"")"),"['compatible', 'Kasian', 'deh', 'awokawok']")</f>
        <v>['compatible', 'Kasian', 'deh', 'awokawok']</v>
      </c>
      <c r="D270" s="3">
        <v>5.0</v>
      </c>
    </row>
    <row r="271" ht="15.75" customHeight="1">
      <c r="A271" s="1">
        <v>269.0</v>
      </c>
      <c r="B271" s="3" t="s">
        <v>272</v>
      </c>
      <c r="C271" s="3" t="str">
        <f>IFERROR(__xludf.DUMMYFUNCTION("GOOGLETRANSLATE(B271,""id"",""en"")"),"['apps', 'good', 'please', 'connection', 'network', 'fix', 'karna', 'connection', 'bad']")</f>
        <v>['apps', 'good', 'please', 'connection', 'network', 'fix', 'karna', 'connection', 'bad']</v>
      </c>
      <c r="D271" s="3">
        <v>5.0</v>
      </c>
    </row>
    <row r="272" ht="15.75" customHeight="1">
      <c r="A272" s="1">
        <v>270.0</v>
      </c>
      <c r="B272" s="3" t="s">
        <v>273</v>
      </c>
      <c r="C272" s="3" t="str">
        <f>IFERROR(__xludf.DUMMYFUNCTION("GOOGLETRANSLATE(B272,""id"",""en"")"),"['bang', 'Depok', 'MyTelkomsel', 'right', 'opened', 'his writing', 'Loading', 'Page', 'Posts',' Below ',' Error ',' System ',' How ',' Bang ',' Please ',' Lahhh ',' Abang ',' Napa ',' MyTelkomsel ',' Error ',' Banggi ', ""]")</f>
        <v>['bang', 'Depok', 'MyTelkomsel', 'right', 'opened', 'his writing', 'Loading', 'Page', 'Posts',' Below ',' Error ',' System ',' How ',' Bang ',' Please ',' Lahhh ',' Abang ',' Napa ',' MyTelkomsel ',' Error ',' Banggi ', "]</v>
      </c>
      <c r="D272" s="3">
        <v>1.0</v>
      </c>
    </row>
    <row r="273" ht="15.75" customHeight="1">
      <c r="A273" s="1">
        <v>271.0</v>
      </c>
      <c r="B273" s="3" t="s">
        <v>274</v>
      </c>
      <c r="C273" s="3" t="str">
        <f>IFERROR(__xludf.DUMMYFUNCTION("GOOGLETRANSLATE(B273,""id"",""en"")"),"['Good', 'sich', 'many years', 'exchange', 'Points', 'Lottery', 'Ghosting', 'Telkomsel']")</f>
        <v>['Good', 'sich', 'many years', 'exchange', 'Points', 'Lottery', 'Ghosting', 'Telkomsel']</v>
      </c>
      <c r="D273" s="3">
        <v>5.0</v>
      </c>
    </row>
    <row r="274" ht="15.75" customHeight="1">
      <c r="A274" s="1">
        <v>272.0</v>
      </c>
      <c r="B274" s="3" t="s">
        <v>275</v>
      </c>
      <c r="C274" s="3" t="str">
        <f>IFERROR(__xludf.DUMMYFUNCTION("GOOGLETRANSLATE(B274,""id"",""en"")"),"['application', 'error', 'open', 'his writing', 'loading', 'page', 'quota', 'BUMN', 'application', 'class', 'amateur']")</f>
        <v>['application', 'error', 'open', 'his writing', 'loading', 'page', 'quota', 'BUMN', 'application', 'class', 'amateur']</v>
      </c>
      <c r="D274" s="3">
        <v>1.0</v>
      </c>
    </row>
    <row r="275" ht="15.75" customHeight="1">
      <c r="A275" s="1">
        <v>273.0</v>
      </c>
      <c r="B275" s="3" t="s">
        <v>276</v>
      </c>
      <c r="C275" s="3" t="str">
        <f>IFERROR(__xludf.DUMMYFUNCTION("GOOGLETRANSLATE(B275,""id"",""en"")"),"['Increase', 'Convenience', 'Payment', 'Wallet', 'Digital', 'Bank', 'Convenience', 'Payment', 'Left Behind', 'Compared', 'Provider', ""]")</f>
        <v>['Increase', 'Convenience', 'Payment', 'Wallet', 'Digital', 'Bank', 'Convenience', 'Payment', 'Left Behind', 'Compared', 'Provider', "]</v>
      </c>
      <c r="D275" s="3">
        <v>1.0</v>
      </c>
    </row>
    <row r="276" ht="15.75" customHeight="1">
      <c r="A276" s="1">
        <v>274.0</v>
      </c>
      <c r="B276" s="3" t="s">
        <v>277</v>
      </c>
      <c r="C276" s="3" t="str">
        <f>IFERROR(__xludf.DUMMYFUNCTION("GOOGLETRANSLATE(B276,""id"",""en"")"),"['application', 'ugly', 'promo', 'expensive', 'lyan', 'complaints', 'customer', 'response', 'bgsatt']")</f>
        <v>['application', 'ugly', 'promo', 'expensive', 'lyan', 'complaints', 'customer', 'response', 'bgsatt']</v>
      </c>
      <c r="D276" s="3">
        <v>1.0</v>
      </c>
    </row>
    <row r="277" ht="15.75" customHeight="1">
      <c r="A277" s="1">
        <v>275.0</v>
      </c>
      <c r="B277" s="3" t="s">
        <v>278</v>
      </c>
      <c r="C277" s="3" t="str">
        <f>IFERROR(__xludf.DUMMYFUNCTION("GOOGLETRANSLATE(B277,""id"",""en"")"),"['Open', 'Telkomsel', 'use', 'UDH', 'Diuninstall', 'reset', 'msh', 'open', ""]")</f>
        <v>['Open', 'Telkomsel', 'use', 'UDH', 'Diuninstall', 'reset', 'msh', 'open', "]</v>
      </c>
      <c r="D277" s="3">
        <v>1.0</v>
      </c>
    </row>
    <row r="278" ht="15.75" customHeight="1">
      <c r="A278" s="1">
        <v>276.0</v>
      </c>
      <c r="B278" s="3" t="s">
        <v>279</v>
      </c>
      <c r="C278" s="3" t="str">
        <f>IFERROR(__xludf.DUMMYFUNCTION("GOOGLETRANSLATE(B278,""id"",""en"")"),"['Service', 'Information', 'Telkomsel', 'Useful', 'User', 'Customer', 'Telkomsel', 'Times',' Click ',' Use ',' Ribet ',' Prizes', ' steady', '']")</f>
        <v>['Service', 'Information', 'Telkomsel', 'Useful', 'User', 'Customer', 'Telkomsel', 'Times',' Click ',' Use ',' Ribet ',' Prizes', ' steady', '']</v>
      </c>
      <c r="D278" s="3">
        <v>4.0</v>
      </c>
    </row>
    <row r="279" ht="15.75" customHeight="1">
      <c r="A279" s="1">
        <v>277.0</v>
      </c>
      <c r="B279" s="3" t="s">
        <v>280</v>
      </c>
      <c r="C279" s="3" t="str">
        <f>IFERROR(__xludf.DUMMYFUNCTION("GOOGLETRANSLATE(B279,""id"",""en"")"),"['Like', 'Application', 'Telkomsel', 'Bintang', 'Application', 'Telkomsel']")</f>
        <v>['Like', 'Application', 'Telkomsel', 'Bintang', 'Application', 'Telkomsel']</v>
      </c>
      <c r="D279" s="3">
        <v>5.0</v>
      </c>
    </row>
    <row r="280" ht="15.75" customHeight="1">
      <c r="A280" s="1">
        <v>278.0</v>
      </c>
      <c r="B280" s="3" t="s">
        <v>281</v>
      </c>
      <c r="C280" s="3" t="str">
        <f>IFERROR(__xludf.DUMMYFUNCTION("GOOGLETRANSLATE(B280,""id"",""en"")"),"['Thanks',' MyTelkomsel ',' Telkomsel ',' gift ',' car ',' Toyota ',' Yaris', 'uuh', 'MyTelkomsel', 'promo', 'package', 'love', ' Deh ',' ']")</f>
        <v>['Thanks',' MyTelkomsel ',' Telkomsel ',' gift ',' car ',' Toyota ',' Yaris', 'uuh', 'MyTelkomsel', 'promo', 'package', 'love', ' Deh ',' ']</v>
      </c>
      <c r="D280" s="3">
        <v>5.0</v>
      </c>
    </row>
    <row r="281" ht="15.75" customHeight="1">
      <c r="A281" s="1">
        <v>279.0</v>
      </c>
      <c r="B281" s="3" t="s">
        <v>282</v>
      </c>
      <c r="C281" s="3" t="str">
        <f>IFERROR(__xludf.DUMMYFUNCTION("GOOGLETRANSLATE(B281,""id"",""en"")"),"['Congratulations',' Morning ',' App ',' Telkomsel ',' Update ',' FAILURE ',' Loading ',' Display ',' Refresh ',' Many ',' Refresh ',' Tetep ',' handling ',' ']")</f>
        <v>['Congratulations',' Morning ',' App ',' Telkomsel ',' Update ',' FAILURE ',' Loading ',' Display ',' Refresh ',' Many ',' Refresh ',' Tetep ',' handling ',' ']</v>
      </c>
      <c r="D281" s="3">
        <v>4.0</v>
      </c>
    </row>
    <row r="282" ht="15.75" customHeight="1">
      <c r="A282" s="1">
        <v>280.0</v>
      </c>
      <c r="B282" s="3" t="s">
        <v>283</v>
      </c>
      <c r="C282" s="3" t="str">
        <f>IFERROR(__xludf.DUMMYFUNCTION("GOOGLETRANSLATE(B282,""id"",""en"")"),"['Price', 'cheap', 'connection', 'internet', 'kayak', 'pulp', 'game', 'MMORPG', 'connection', 'fast', 'disconnected', 'Mnt', ' User ',' Disappointed ',' ']")</f>
        <v>['Price', 'cheap', 'connection', 'internet', 'kayak', 'pulp', 'game', 'MMORPG', 'connection', 'fast', 'disconnected', 'Mnt', ' User ',' Disappointed ',' ']</v>
      </c>
      <c r="D282" s="3">
        <v>2.0</v>
      </c>
    </row>
    <row r="283" ht="15.75" customHeight="1">
      <c r="A283" s="1">
        <v>281.0</v>
      </c>
      <c r="B283" s="3" t="s">
        <v>284</v>
      </c>
      <c r="C283" s="3" t="str">
        <f>IFERROR(__xludf.DUMMYFUNCTION("GOOGLETRANSLATE(B283,""id"",""en"")"),"['Abis', 'update', 'opened', 'updet', 'turn', 'click', 'update', 'stay', 'open']")</f>
        <v>['Abis', 'update', 'opened', 'updet', 'turn', 'click', 'update', 'stay', 'open']</v>
      </c>
      <c r="D283" s="3">
        <v>5.0</v>
      </c>
    </row>
    <row r="284" ht="15.75" customHeight="1">
      <c r="A284" s="1">
        <v>282.0</v>
      </c>
      <c r="B284" s="3" t="s">
        <v>285</v>
      </c>
      <c r="C284" s="3" t="str">
        <f>IFERROR(__xludf.DUMMYFUNCTION("GOOGLETRANSLATE(B284,""id"",""en"")"),"['Bangak', 'Information', 'Package', 'Internet', 'Call', 'Application', '']")</f>
        <v>['Bangak', 'Information', 'Package', 'Internet', 'Call', 'Application', '']</v>
      </c>
      <c r="D284" s="3">
        <v>5.0</v>
      </c>
    </row>
    <row r="285" ht="15.75" customHeight="1">
      <c r="A285" s="1">
        <v>283.0</v>
      </c>
      <c r="B285" s="3" t="s">
        <v>286</v>
      </c>
      <c r="C285" s="3" t="str">
        <f>IFERROR(__xludf.DUMMYFUNCTION("GOOGLETRANSLATE(B285,""id"",""en"")"),"['application', 'response', 'menu', 'that's',' that's', 'heavy', 'signal', 'ngaco', 'professional', 'work', 'severe', 'ngerugin', ' Customers', 'Down', 'truss',' ']")</f>
        <v>['application', 'response', 'menu', 'that's',' that's', 'heavy', 'signal', 'ngaco', 'professional', 'work', 'severe', 'ngerugin', ' Customers', 'Down', 'truss',' ']</v>
      </c>
      <c r="D285" s="3">
        <v>1.0</v>
      </c>
    </row>
    <row r="286" ht="15.75" customHeight="1">
      <c r="A286" s="1">
        <v>284.0</v>
      </c>
      <c r="B286" s="3" t="s">
        <v>287</v>
      </c>
      <c r="C286" s="3" t="str">
        <f>IFERROR(__xludf.DUMMYFUNCTION("GOOGLETRANSLATE(B286,""id"",""en"")"),"['', 'Stay', 'City', 'Mamuju', 'Suburban', 'City', 'Signal', 'Sometimes', 'Leet', 'Really', 'Embossed', 'Sinking', "" ]")</f>
        <v>['', 'Stay', 'City', 'Mamuju', 'Suburban', 'City', 'Signal', 'Sometimes', 'Leet', 'Really', 'Embossed', 'Sinking', " ]</v>
      </c>
      <c r="D286" s="3">
        <v>2.0</v>
      </c>
    </row>
    <row r="287" ht="15.75" customHeight="1">
      <c r="A287" s="1">
        <v>285.0</v>
      </c>
      <c r="B287" s="3" t="s">
        <v>288</v>
      </c>
      <c r="C287" s="3" t="str">
        <f>IFERROR(__xludf.DUMMYFUNCTION("GOOGLETRANSLATE(B287,""id"",""en"")"),"['Addin', 'Top', 'Game', 'Kyk', 'Addin', 'Package', 'Kayak', 'A Year', 'That's',' For example ',' Kayak ',' buy ',' TPI ',' expiration ']")</f>
        <v>['Addin', 'Top', 'Game', 'Kyk', 'Addin', 'Package', 'Kayak', 'A Year', 'That's',' For example ',' Kayak ',' buy ',' TPI ',' expiration ']</v>
      </c>
      <c r="D287" s="3">
        <v>3.0</v>
      </c>
    </row>
    <row r="288" ht="15.75" customHeight="1">
      <c r="A288" s="1">
        <v>286.0</v>
      </c>
      <c r="B288" s="3" t="s">
        <v>289</v>
      </c>
      <c r="C288" s="3" t="str">
        <f>IFERROR(__xludf.DUMMYFUNCTION("GOOGLETRANSLATE(B288,""id"",""en"")"),"['Love', 'star', 'Sinyal', 'ugly', 'really', 'telkom', 'plz', 'tower', 'telkom', 'near', 'my house', 'Tiwer', ' really ',' reach ',' please ',' responded ',' already ',' subscription ',' telkom ',' era ',' nokia ',' sampe ',' samsung ',' no 'change' ]")</f>
        <v>['Love', 'star', 'Sinyal', 'ugly', 'really', 'telkom', 'plz', 'tower', 'telkom', 'near', 'my house', 'Tiwer', ' really ',' reach ',' please ',' responded ',' already ',' subscription ',' telkom ',' era ',' nokia ',' sampe ',' samsung ',' no 'change' ]</v>
      </c>
      <c r="D288" s="3">
        <v>3.0</v>
      </c>
    </row>
    <row r="289" ht="15.75" customHeight="1">
      <c r="A289" s="1">
        <v>287.0</v>
      </c>
      <c r="B289" s="3" t="s">
        <v>290</v>
      </c>
      <c r="C289" s="3" t="str">
        <f>IFERROR(__xludf.DUMMYFUNCTION("GOOGLETRANSLATE(B289,""id"",""en"")"),"['Steady', 'Facilitates', 'Exchange', 'Points', 'Prizes', 'Hopefully', 'Cool', '']")</f>
        <v>['Steady', 'Facilitates', 'Exchange', 'Points', 'Prizes', 'Hopefully', 'Cool', '']</v>
      </c>
      <c r="D289" s="3">
        <v>5.0</v>
      </c>
    </row>
    <row r="290" ht="15.75" customHeight="1">
      <c r="A290" s="1">
        <v>288.0</v>
      </c>
      <c r="B290" s="3" t="s">
        <v>291</v>
      </c>
      <c r="C290" s="3" t="str">
        <f>IFERROR(__xludf.DUMMYFUNCTION("GOOGLETRANSLATE(B290,""id"",""en"")"),"['Contents',' Date ',' Package ',' OMG ',' GB ',' Date ',' Get ',' SMS ',' Remnant ',' Quota ',' MB ',' Use ',' YouTube ',' Rare ',' Open ',' Application ',' Telkomsel ',' Loading ',' Page ',' Application ',' Offline ',' ']")</f>
        <v>['Contents',' Date ',' Package ',' OMG ',' GB ',' Date ',' Get ',' SMS ',' Remnant ',' Quota ',' MB ',' Use ',' YouTube ',' Rare ',' Open ',' Application ',' Telkomsel ',' Loading ',' Page ',' Application ',' Offline ',' ']</v>
      </c>
      <c r="D290" s="3">
        <v>1.0</v>
      </c>
    </row>
    <row r="291" ht="15.75" customHeight="1">
      <c r="A291" s="1">
        <v>289.0</v>
      </c>
      <c r="B291" s="3" t="s">
        <v>292</v>
      </c>
      <c r="C291" s="3" t="str">
        <f>IFERROR(__xludf.DUMMYFUNCTION("GOOGLETRANSLATE(B291,""id"",""en"")"),"['use', 'package', 'tasty', 'package', 'abis',' abis', 'thanks',' telkomsel ',' value ',' star ',' download ',' all ',' Abis', 'told', 'owner', 'hack', 'account', 'The', 'Best', '']")</f>
        <v>['use', 'package', 'tasty', 'package', 'abis',' abis', 'thanks',' telkomsel ',' value ',' star ',' download ',' all ',' Abis', 'told', 'owner', 'hack', 'account', 'The', 'Best', '']</v>
      </c>
      <c r="D291" s="3">
        <v>5.0</v>
      </c>
    </row>
    <row r="292" ht="15.75" customHeight="1">
      <c r="A292" s="1">
        <v>290.0</v>
      </c>
      <c r="B292" s="3" t="s">
        <v>293</v>
      </c>
      <c r="C292" s="3" t="str">
        <f>IFERROR(__xludf.DUMMYFUNCTION("GOOGLETRANSLATE(B292,""id"",""en"")"),"['buy', 'pulse', 'kagak', 'entry', 'enter', 'balance', 'already', 'cut "",' bill ',' already ',' people ',' say ',' Emergency ',' Wait ',' TLPN ',' Severe ',' ']")</f>
        <v>['buy', 'pulse', 'kagak', 'entry', 'enter', 'balance', 'already', 'cut ",' bill ',' already ',' people ',' say ',' Emergency ',' Wait ',' TLPN ',' Severe ',' ']</v>
      </c>
      <c r="D292" s="3">
        <v>1.0</v>
      </c>
    </row>
    <row r="293" ht="15.75" customHeight="1">
      <c r="A293" s="1">
        <v>291.0</v>
      </c>
      <c r="B293" s="3" t="s">
        <v>294</v>
      </c>
      <c r="C293" s="3" t="str">
        <f>IFERROR(__xludf.DUMMYFUNCTION("GOOGLETRANSLATE(B293,""id"",""en"")"),"['Please', 'really', 'update', 'the application', 'ntar', 'regret', 'kayak', 'price', 'package', 'expensive', 'cheap', 'just', ' Get ',' GB ',' GB ',' Please ',' Very ',' Update ',' Ntar ',' Money ',' wasteful ',' Gara ',' Telkomsel ',' hahaha ',' GB ' , "&amp;"'Udh', 'ilang', 'Gara', 'updated', 'listen', 'sentence', 'package', 'special', 'for you', 'update', 'package', 'expensive', ' ']")</f>
        <v>['Please', 'really', 'update', 'the application', 'ntar', 'regret', 'kayak', 'price', 'package', 'expensive', 'cheap', 'just', ' Get ',' GB ',' GB ',' Please ',' Very ',' Update ',' Ntar ',' Money ',' wasteful ',' Gara ',' Telkomsel ',' hahaha ',' GB ' , 'Udh', 'ilang', 'Gara', 'updated', 'listen', 'sentence', 'package', 'special', 'for you', 'update', 'package', 'expensive', ' ']</v>
      </c>
      <c r="D293" s="3">
        <v>1.0</v>
      </c>
    </row>
    <row r="294" ht="15.75" customHeight="1">
      <c r="A294" s="1">
        <v>292.0</v>
      </c>
      <c r="B294" s="3" t="s">
        <v>295</v>
      </c>
      <c r="C294" s="3" t="str">
        <f>IFERROR(__xludf.DUMMYFUNCTION("GOOGLETRANSLATE(B294,""id"",""en"")"),"['The application', 'easy', 'used', 'Reliable', 'realtime', 'informative', 'bangett', 'point', 'exchange', 'nyanol', 'hope', 'period', ' ']")</f>
        <v>['The application', 'easy', 'used', 'Reliable', 'realtime', 'informative', 'bangett', 'point', 'exchange', 'nyanol', 'hope', 'period', ' ']</v>
      </c>
      <c r="D294" s="3">
        <v>5.0</v>
      </c>
    </row>
    <row r="295" ht="15.75" customHeight="1">
      <c r="A295" s="1">
        <v>293.0</v>
      </c>
      <c r="B295" s="3" t="s">
        <v>296</v>
      </c>
      <c r="C295" s="3" t="str">
        <f>IFERROR(__xludf.DUMMYFUNCTION("GOOGLETRANSLATE(B295,""id"",""en"")"),"['Sorry', 'slow', 'already', 'pay', 'expensive', 'friend', 'Different', 'card', 'cheap', 'fast', 'already', 'strong', ' Telkomasel ']")</f>
        <v>['Sorry', 'slow', 'already', 'pay', 'expensive', 'friend', 'Different', 'card', 'cheap', 'fast', 'already', 'strong', ' Telkomasel ']</v>
      </c>
      <c r="D295" s="3">
        <v>5.0</v>
      </c>
    </row>
    <row r="296" ht="15.75" customHeight="1">
      <c r="A296" s="1">
        <v>294.0</v>
      </c>
      <c r="B296" s="3" t="s">
        <v>297</v>
      </c>
      <c r="C296" s="3" t="str">
        <f>IFERROR(__xludf.DUMMYFUNCTION("GOOGLETRANSLATE(B296,""id"",""en"")"),"['quota', 'internet', 'expensive', 'please', 'remember', 'the rest', 'okay']")</f>
        <v>['quota', 'internet', 'expensive', 'please', 'remember', 'the rest', 'okay']</v>
      </c>
      <c r="D296" s="3">
        <v>1.0</v>
      </c>
    </row>
    <row r="297" ht="15.75" customHeight="1">
      <c r="A297" s="1">
        <v>295.0</v>
      </c>
      <c r="B297" s="3" t="s">
        <v>298</v>
      </c>
      <c r="C297" s="3" t="str">
        <f>IFERROR(__xludf.DUMMYFUNCTION("GOOGLETRANSLATE(B297,""id"",""en"")"),"['Concerned', 'expensive', 'expensive', 'friend', 'eman', 'cheap', 'Telkomsel', 'joking', '']")</f>
        <v>['Concerned', 'expensive', 'expensive', 'friend', 'eman', 'cheap', 'Telkomsel', 'joking', '']</v>
      </c>
      <c r="D297" s="3">
        <v>5.0</v>
      </c>
    </row>
    <row r="298" ht="15.75" customHeight="1">
      <c r="A298" s="1">
        <v>296.0</v>
      </c>
      <c r="B298" s="3" t="s">
        <v>299</v>
      </c>
      <c r="C298" s="3" t="str">
        <f>IFERROR(__xludf.DUMMYFUNCTION("GOOGLETRANSLATE(B298,""id"",""en"")"),"['Price', 'Package', 'Data', 'Cheap', 'Buy', 'Third', 'Disappointed', 'Customer', 'Telkomsel', ""]")</f>
        <v>['Price', 'Package', 'Data', 'Cheap', 'Buy', 'Third', 'Disappointed', 'Customer', 'Telkomsel', "]</v>
      </c>
      <c r="D298" s="3">
        <v>1.0</v>
      </c>
    </row>
    <row r="299" ht="15.75" customHeight="1">
      <c r="A299" s="1">
        <v>297.0</v>
      </c>
      <c r="B299" s="3" t="s">
        <v>300</v>
      </c>
      <c r="C299" s="3" t="str">
        <f>IFERROR(__xludf.DUMMYFUNCTION("GOOGLETRANSLATE(B299,""id"",""en"")"),"['The network', 'severe', 'really', 'star', 'love', 'disappointed', 'GTU', 'price', 'quota', 'expensive']")</f>
        <v>['The network', 'severe', 'really', 'star', 'love', 'disappointed', 'GTU', 'price', 'quota', 'expensive']</v>
      </c>
      <c r="D299" s="3">
        <v>1.0</v>
      </c>
    </row>
    <row r="300" ht="15.75" customHeight="1">
      <c r="A300" s="1">
        <v>298.0</v>
      </c>
      <c r="B300" s="3" t="s">
        <v>301</v>
      </c>
      <c r="C300" s="3" t="str">
        <f>IFERROR(__xludf.DUMMYFUNCTION("GOOGLETRANSLATE(B300,""id"",""en"")"),"['application', 'gmna', 'just', 'muter', 'doank', 'entry', 'gmana', 'sorry', 'love', 'star', 'doank']")</f>
        <v>['application', 'gmna', 'just', 'muter', 'doank', 'entry', 'gmana', 'sorry', 'love', 'star', 'doank']</v>
      </c>
      <c r="D300" s="3">
        <v>1.0</v>
      </c>
    </row>
    <row r="301" ht="15.75" customHeight="1">
      <c r="A301" s="1">
        <v>299.0</v>
      </c>
      <c r="B301" s="3" t="s">
        <v>302</v>
      </c>
      <c r="C301" s="3" t="str">
        <f>IFERROR(__xludf.DUMMYFUNCTION("GOOGLETRANSLATE(B301,""id"",""en"")"),"['suggestion', 'suda', 'bely', 'contents',' reset ',' pulse ',' transfer ',' pulse ',' at least ',' love ',' bonus', 'pulse', ' ']")</f>
        <v>['suggestion', 'suda', 'bely', 'contents',' reset ',' pulse ',' transfer ',' pulse ',' at least ',' love ',' bonus', 'pulse', ' ']</v>
      </c>
      <c r="D301" s="3">
        <v>4.0</v>
      </c>
    </row>
    <row r="302" ht="15.75" customHeight="1">
      <c r="A302" s="1">
        <v>300.0</v>
      </c>
      <c r="B302" s="3" t="s">
        <v>303</v>
      </c>
      <c r="C302" s="3" t="str">
        <f>IFERROR(__xludf.DUMMYFUNCTION("GOOGLETRANSLATE(B302,""id"",""en"")"),"['application', 'error', 'skrg', 'already', 'application', 'shopping', 'online', 'buy', 'anything', 'fast', 'easy', 'cheap', ' Promo ',' compared ',' application ',' Telkomsel ',' ']")</f>
        <v>['application', 'error', 'skrg', 'already', 'application', 'shopping', 'online', 'buy', 'anything', 'fast', 'easy', 'cheap', ' Promo ',' compared ',' application ',' Telkomsel ',' ']</v>
      </c>
      <c r="D302" s="3">
        <v>1.0</v>
      </c>
    </row>
    <row r="303" ht="15.75" customHeight="1">
      <c r="A303" s="1">
        <v>301.0</v>
      </c>
      <c r="B303" s="3" t="s">
        <v>304</v>
      </c>
      <c r="C303" s="3" t="str">
        <f>IFERROR(__xludf.DUMMYFUNCTION("GOOGLETRANSLATE(B303,""id"",""en"")"),"['Recommend', 'Game', 'Online', 'Network', 'Telkomsel', 'Ancur']")</f>
        <v>['Recommend', 'Game', 'Online', 'Network', 'Telkomsel', 'Ancur']</v>
      </c>
      <c r="D303" s="3">
        <v>1.0</v>
      </c>
    </row>
    <row r="304" ht="15.75" customHeight="1">
      <c r="A304" s="1">
        <v>302.0</v>
      </c>
      <c r="B304" s="3" t="s">
        <v>305</v>
      </c>
      <c r="C304" s="3" t="str">
        <f>IFERROR(__xludf.DUMMYFUNCTION("GOOGLETRANSLATE(B304,""id"",""en"")"),"['Thank "",' Love ',' Telkomsel ',' Help ',' Activities', 'Difficult', 'Search', 'Package', 'Need', 'Activity', 'Thank you',""]")</f>
        <v>['Thank ",' Love ',' Telkomsel ',' Help ',' Activities', 'Difficult', 'Search', 'Package', 'Need', 'Activity', 'Thank you',"]</v>
      </c>
      <c r="D304" s="3">
        <v>5.0</v>
      </c>
    </row>
    <row r="305" ht="15.75" customHeight="1">
      <c r="A305" s="1">
        <v>303.0</v>
      </c>
      <c r="B305" s="3" t="s">
        <v>306</v>
      </c>
      <c r="C305" s="3" t="str">
        <f>IFERROR(__xludf.DUMMYFUNCTION("GOOGLETRANSLATE(B305,""id"",""en"")"),"['expensive', 'package', 'slow', 'data', 'Telkomsel', 'Different', 'steady', 'expensive', ""]")</f>
        <v>['expensive', 'package', 'slow', 'data', 'Telkomsel', 'Different', 'steady', 'expensive', "]</v>
      </c>
      <c r="D305" s="3">
        <v>1.0</v>
      </c>
    </row>
    <row r="306" ht="15.75" customHeight="1">
      <c r="A306" s="1">
        <v>304.0</v>
      </c>
      <c r="B306" s="3" t="s">
        <v>307</v>
      </c>
      <c r="C306" s="3" t="str">
        <f>IFERROR(__xludf.DUMMYFUNCTION("GOOGLETRANSLATE(B306,""id"",""en"")"),"['Please', 'assisted', 'already', 'buy', 'package', 'lap', 'youtube', 'pulse', 'truncated', 'open', 'YouTube', '']")</f>
        <v>['Please', 'assisted', 'already', 'buy', 'package', 'lap', 'youtube', 'pulse', 'truncated', 'open', 'YouTube', '']</v>
      </c>
      <c r="D306" s="3">
        <v>1.0</v>
      </c>
    </row>
    <row r="307" ht="15.75" customHeight="1">
      <c r="A307" s="1">
        <v>305.0</v>
      </c>
      <c r="B307" s="3" t="s">
        <v>308</v>
      </c>
      <c r="C307" s="3" t="str">
        <f>IFERROR(__xludf.DUMMYFUNCTION("GOOGLETRANSLATE(B307,""id"",""en"")"),"['Come', 'Severe', 'Signal', 'PDHL', 'DSNI', 'Region', 'Tower', 'Signal', 'Package', 'Nambah', 'Limit', 'Unlimitid', ' Prices', 'add', 'expensive', 'quality', 'class',' Telkomsel ',' anti ',' storm ',' rich ',' smartfren ',' please ',' check ',' fix ' , '"&amp;"quality', 'signal', 'trs', 'car', 'package', 'populat', 'expensive', 'trs', 'mkch']")</f>
        <v>['Come', 'Severe', 'Signal', 'PDHL', 'DSNI', 'Region', 'Tower', 'Signal', 'Package', 'Nambah', 'Limit', 'Unlimitid', ' Prices', 'add', 'expensive', 'quality', 'class',' Telkomsel ',' anti ',' storm ',' rich ',' smartfren ',' please ',' check ',' fix ' , 'quality', 'signal', 'trs', 'car', 'package', 'populat', 'expensive', 'trs', 'mkch']</v>
      </c>
      <c r="D307" s="3">
        <v>1.0</v>
      </c>
    </row>
    <row r="308" ht="15.75" customHeight="1">
      <c r="A308" s="1">
        <v>306.0</v>
      </c>
      <c r="B308" s="3" t="s">
        <v>309</v>
      </c>
      <c r="C308" s="3" t="str">
        <f>IFERROR(__xludf.DUMMYFUNCTION("GOOGLETRANSLATE(B308,""id"",""en"")"),"['told', 'update', 'APK', 'already', 'update', 'told', 'update', 'enter', 'enter', 'deh', ""]")</f>
        <v>['told', 'update', 'APK', 'already', 'update', 'told', 'update', 'enter', 'enter', 'deh', "]</v>
      </c>
      <c r="D308" s="3">
        <v>1.0</v>
      </c>
    </row>
    <row r="309" ht="15.75" customHeight="1">
      <c r="A309" s="1">
        <v>307.0</v>
      </c>
      <c r="B309" s="3" t="s">
        <v>310</v>
      </c>
      <c r="C309" s="3" t="str">
        <f>IFERROR(__xludf.DUMMYFUNCTION("GOOGLETRANSLATE(B309,""id"",""en"")"),"['The application', 'good', 'looks',' neat ',' not ',' complicated ',' operated ',' Try ',' Addin ',' Feature ',' Lock ',' pulses', ' It runs out ',' quota ',' pulses', 'no', ""]")</f>
        <v>['The application', 'good', 'looks',' neat ',' not ',' complicated ',' operated ',' Try ',' Addin ',' Feature ',' Lock ',' pulses', ' It runs out ',' quota ',' pulses', 'no', "]</v>
      </c>
      <c r="D309" s="3">
        <v>5.0</v>
      </c>
    </row>
    <row r="310" ht="15.75" customHeight="1">
      <c r="A310" s="1">
        <v>308.0</v>
      </c>
      <c r="B310" s="3" t="s">
        <v>311</v>
      </c>
      <c r="C310" s="3" t="str">
        <f>IFERROR(__xludf.DUMMYFUNCTION("GOOGLETRANSLATE(B310,""id"",""en"")"),"['signal', 'apekk', 'lost', 'next door', 'being' said ',' skrang ',' improvement ',' telkom ',' good ',' declined ',' ']")</f>
        <v>['signal', 'apekk', 'lost', 'next door', 'being' said ',' skrang ',' improvement ',' telkom ',' good ',' declined ',' ']</v>
      </c>
      <c r="D310" s="3">
        <v>1.0</v>
      </c>
    </row>
    <row r="311" ht="15.75" customHeight="1">
      <c r="A311" s="1">
        <v>309.0</v>
      </c>
      <c r="B311" s="3" t="s">
        <v>312</v>
      </c>
      <c r="C311" s="3" t="str">
        <f>IFERROR(__xludf.DUMMYFUNCTION("GOOGLETRANSLATE(B311,""id"",""en"")"),"['Package', 'combo', 'cheap', 'please', 'Telkomsel', 'promo', 'package', 'cheap']")</f>
        <v>['Package', 'combo', 'cheap', 'please', 'Telkomsel', 'promo', 'package', 'cheap']</v>
      </c>
      <c r="D311" s="3">
        <v>1.0</v>
      </c>
    </row>
    <row r="312" ht="15.75" customHeight="1">
      <c r="A312" s="1">
        <v>310.0</v>
      </c>
      <c r="B312" s="3" t="s">
        <v>313</v>
      </c>
      <c r="C312" s="3" t="str">
        <f>IFERROR(__xludf.DUMMYFUNCTION("GOOGLETRANSLATE(B312,""id"",""en"")"),"['Telkomsel', 'might', 'hri', 'maybe', 'severe', 'jelekx', 'jringan', 'telkomsel', 'sllu', 'mslah', 'every time', ' Jringanx ',' prnh ',' stable ',' pling ',' expensive ',' dri ',' kerupu ',' jringanx ',' mah ',' hancatterrr ',' tlong ',' prbaik ',' jinga"&amp;"nmu ' , 'Money', 'like', 'pntgkan', 'take ax', 'crazy', 'jringan', 'might', 'ksni', 'might', 'hancuuurrr', '']")</f>
        <v>['Telkomsel', 'might', 'hri', 'maybe', 'severe', 'jelekx', 'jringan', 'telkomsel', 'sllu', 'mslah', 'every time', ' Jringanx ',' prnh ',' stable ',' pling ',' expensive ',' dri ',' kerupu ',' jringanx ',' mah ',' hancatterrr ',' tlong ',' prbaik ',' jinganmu ' , 'Money', 'like', 'pntgkan', 'take ax', 'crazy', 'jringan', 'might', 'ksni', 'might', 'hancuuurrr', '']</v>
      </c>
      <c r="D312" s="3">
        <v>1.0</v>
      </c>
    </row>
    <row r="313" ht="15.75" customHeight="1">
      <c r="A313" s="1">
        <v>311.0</v>
      </c>
      <c r="B313" s="3" t="s">
        <v>314</v>
      </c>
      <c r="C313" s="3" t="str">
        <f>IFERROR(__xludf.DUMMYFUNCTION("GOOGLETRANSLATE(B313,""id"",""en"")"),"['APK', 'ugly', 'really', 'anjirrrrr', 'ong', 'my apk', 'good', 'basics',' suggest ',' friend ',' donwload ',' apk ',' use', '']")</f>
        <v>['APK', 'ugly', 'really', 'anjirrrrr', 'ong', 'my apk', 'good', 'basics',' suggest ',' friend ',' donwload ',' apk ',' use', '']</v>
      </c>
      <c r="D313" s="3">
        <v>5.0</v>
      </c>
    </row>
    <row r="314" ht="15.75" customHeight="1">
      <c r="A314" s="1">
        <v>312.0</v>
      </c>
      <c r="B314" s="3" t="s">
        <v>315</v>
      </c>
      <c r="C314" s="3" t="str">
        <f>IFERROR(__xludf.DUMMYFUNCTION("GOOGLETRANSLATE(B314,""id"",""en"")"),"['threat', 'card', 'package', 'expensive', 'signal', 'jumping', 'mulu', 'auto', 'patahin', 'card', 'buy', 'packetan', ' Until ',' Rb ',' got ',' signal ',' good ',' he knows', 'signal', 'bean', 'expensive', 'doang', 'sell', 'quality', 'severe' , 'network'"&amp;", 'wifi', 'free', 'mending', 'buy', 'package', 'quota', 'card', 'next door', 'udh', 'looks',' rb ',' get ',' GB ',' signal ',' good ',' torture ',' people ',' people ',' buy ',' package ',' expensive ',' want ',' signal ',' good ' , 'critical', '']")</f>
        <v>['threat', 'card', 'package', 'expensive', 'signal', 'jumping', 'mulu', 'auto', 'patahin', 'card', 'buy', 'packetan', ' Until ',' Rb ',' got ',' signal ',' good ',' he knows', 'signal', 'bean', 'expensive', 'doang', 'sell', 'quality', 'severe' , 'network', 'wifi', 'free', 'mending', 'buy', 'package', 'quota', 'card', 'next door', 'udh', 'looks',' rb ',' get ',' GB ',' signal ',' good ',' torture ',' people ',' people ',' buy ',' package ',' expensive ',' want ',' signal ',' good ' , 'critical', '']</v>
      </c>
      <c r="D314" s="3">
        <v>1.0</v>
      </c>
    </row>
    <row r="315" ht="15.75" customHeight="1">
      <c r="A315" s="1">
        <v>313.0</v>
      </c>
      <c r="B315" s="3" t="s">
        <v>316</v>
      </c>
      <c r="C315" s="3" t="str">
        <f>IFERROR(__xludf.DUMMYFUNCTION("GOOGLETRANSLATE(B315,""id"",""en"")"),"['Signal', 'Area', 'Makom', 'Sheikh', 'Anom', 'Sidakarsa', 'Grogolbeningsari', 'Petanahan', 'Kab', 'Kebumen', 'Javanese', 'ugly', ' Please ',' Established ',' Tower ',' BTS ',' Telkomsel ',' Area ',' TSB ',' Customer ',' Telkomsel ',' Served ',' Signal ',"&amp;"' Thank "", 'Love' , '']")</f>
        <v>['Signal', 'Area', 'Makom', 'Sheikh', 'Anom', 'Sidakarsa', 'Grogolbeningsari', 'Petanahan', 'Kab', 'Kebumen', 'Javanese', 'ugly', ' Please ',' Established ',' Tower ',' BTS ',' Telkomsel ',' Area ',' TSB ',' Customer ',' Telkomsel ',' Served ',' Signal ',' Thank ", 'Love' , '']</v>
      </c>
      <c r="D315" s="3">
        <v>1.0</v>
      </c>
    </row>
    <row r="316" ht="15.75" customHeight="1">
      <c r="A316" s="1">
        <v>314.0</v>
      </c>
      <c r="B316" s="3" t="s">
        <v>317</v>
      </c>
      <c r="C316" s="3" t="str">
        <f>IFERROR(__xludf.DUMMYFUNCTION("GOOGLETRANSLATE(B316,""id"",""en"")"),"['company', 'Gede', 'People', 'Tipu', 'Demanding', 'SingNl', 'Lemot', 'Raying', 'MOVER', 'Take', 'Luck', 'Gede', ' Service ',' Down ']")</f>
        <v>['company', 'Gede', 'People', 'Tipu', 'Demanding', 'SingNl', 'Lemot', 'Raying', 'MOVER', 'Take', 'Luck', 'Gede', ' Service ',' Down ']</v>
      </c>
      <c r="D316" s="3">
        <v>1.0</v>
      </c>
    </row>
    <row r="317" ht="15.75" customHeight="1">
      <c r="A317" s="1">
        <v>315.0</v>
      </c>
      <c r="B317" s="3" t="s">
        <v>318</v>
      </c>
      <c r="C317" s="3" t="str">
        <f>IFERROR(__xludf.DUMMYFUNCTION("GOOGLETRANSLATE(B317,""id"",""en"")"),"['Tissue', 'Telkomsel', 'Banjarnegara', 'Weak', 'Notification', 'Hisa', 'Open', 'Youtub', 'Chrome', 'Quota', 'Telkomsel', 'Disappointed', ' network ',' widest ',' package ',' expensive ',' balance ',' dingen ',' quality ',' speed ',' signal ',' ']")</f>
        <v>['Tissue', 'Telkomsel', 'Banjarnegara', 'Weak', 'Notification', 'Hisa', 'Open', 'Youtub', 'Chrome', 'Quota', 'Telkomsel', 'Disappointed', ' network ',' widest ',' package ',' expensive ',' balance ',' dingen ',' quality ',' speed ',' signal ',' ']</v>
      </c>
      <c r="D317" s="3">
        <v>1.0</v>
      </c>
    </row>
    <row r="318" ht="15.75" customHeight="1">
      <c r="A318" s="1">
        <v>316.0</v>
      </c>
      <c r="B318" s="3" t="s">
        <v>319</v>
      </c>
      <c r="C318" s="3" t="str">
        <f>IFERROR(__xludf.DUMMYFUNCTION("GOOGLETRANSLATE(B318,""id"",""en"")"),"['Sorry', 'buy', 'Package', 'Telkomsel', 'expensive', 'expensive', 'friend', 'cheap']")</f>
        <v>['Sorry', 'buy', 'Package', 'Telkomsel', 'expensive', 'expensive', 'friend', 'cheap']</v>
      </c>
      <c r="D318" s="3">
        <v>1.0</v>
      </c>
    </row>
    <row r="319" ht="15.75" customHeight="1">
      <c r="A319" s="1">
        <v>317.0</v>
      </c>
      <c r="B319" s="3" t="s">
        <v>320</v>
      </c>
      <c r="C319" s="3" t="str">
        <f>IFERROR(__xludf.DUMMYFUNCTION("GOOGLETRANSLATE(B319,""id"",""en"")"),"['', 'urban', 'JABODETABEK', 'SIYYAK', 'KEK', 'PUMPAS', 'according to', 'price', 'tip', 'bales',' complaint ',' system ',' doang ',' care ',' pretentious', 'urban', 'ajh', 'pulp']")</f>
        <v>['', 'urban', 'JABODETABEK', 'SIYYAK', 'KEK', 'PUMPAS', 'according to', 'price', 'tip', 'bales',' complaint ',' system ',' doang ',' care ',' pretentious', 'urban', 'ajh', 'pulp']</v>
      </c>
      <c r="D319" s="3">
        <v>1.0</v>
      </c>
    </row>
    <row r="320" ht="15.75" customHeight="1">
      <c r="A320" s="1">
        <v>318.0</v>
      </c>
      <c r="B320" s="3" t="s">
        <v>321</v>
      </c>
      <c r="C320" s="3" t="str">
        <f>IFERROR(__xludf.DUMMYFUNCTION("GOOGLETRANSLATE(B320,""id"",""en"")"),"['Telkomsel', 'Severe', 'already', 'expensive', 'network', 'internet', 'maximum', 'already', 'times',' contact ',' change ',' ugly ',' Network ',' Telkomsel ',' ']")</f>
        <v>['Telkomsel', 'Severe', 'already', 'expensive', 'network', 'internet', 'maximum', 'already', 'times',' contact ',' change ',' ugly ',' Network ',' Telkomsel ',' ']</v>
      </c>
      <c r="D320" s="3">
        <v>1.0</v>
      </c>
    </row>
    <row r="321" ht="15.75" customHeight="1">
      <c r="A321" s="1">
        <v>319.0</v>
      </c>
      <c r="B321" s="3" t="s">
        <v>322</v>
      </c>
      <c r="C321" s="3" t="str">
        <f>IFERROR(__xludf.DUMMYFUNCTION("GOOGLETRANSLATE(B321,""id"",""en"")"),"['Please', 'explanation', 'credit', 'lost', 'used', 'except', 'internet', 'quota', 'value', 'pulse', 'lost', 'fear', ' In the future ',' ']")</f>
        <v>['Please', 'explanation', 'credit', 'lost', 'used', 'except', 'internet', 'quota', 'value', 'pulse', 'lost', 'fear', ' In the future ',' ']</v>
      </c>
      <c r="D321" s="3">
        <v>5.0</v>
      </c>
    </row>
    <row r="322" ht="15.75" customHeight="1">
      <c r="A322" s="1">
        <v>320.0</v>
      </c>
      <c r="B322" s="3" t="s">
        <v>323</v>
      </c>
      <c r="C322" s="3" t="str">
        <f>IFERROR(__xludf.DUMMYFUNCTION("GOOGLETRANSLATE(B322,""id"",""en"")"),"['Benerin', 'signal', 'price', 'expensive', 'signal', 'kek', 'garbage', 'play', 'game', 'smooth', 'turn', 'change', ' TelkomTod ',' Reconnect ',' Mulu ',' Price ',' Expensive ',' Quality ',' Cheap ']")</f>
        <v>['Benerin', 'signal', 'price', 'expensive', 'signal', 'kek', 'garbage', 'play', 'game', 'smooth', 'turn', 'change', ' TelkomTod ',' Reconnect ',' Mulu ',' Price ',' Expensive ',' Quality ',' Cheap ']</v>
      </c>
      <c r="D322" s="3">
        <v>1.0</v>
      </c>
    </row>
    <row r="323" ht="15.75" customHeight="1">
      <c r="A323" s="1">
        <v>321.0</v>
      </c>
      <c r="B323" s="3" t="s">
        <v>324</v>
      </c>
      <c r="C323" s="3" t="str">
        <f>IFERROR(__xludf.DUMMYFUNCTION("GOOGLETRANSLATE(B323,""id"",""en"")"),"['Signal', 'Telkomsel', 'Sumbin', 'Decreases', 'Quality', 'Please', 'Notice', 'Service', 'Comfort', 'Customer', 'Mksh']")</f>
        <v>['Signal', 'Telkomsel', 'Sumbin', 'Decreases', 'Quality', 'Please', 'Notice', 'Service', 'Comfort', 'Customer', 'Mksh']</v>
      </c>
      <c r="D323" s="3">
        <v>3.0</v>
      </c>
    </row>
    <row r="324" ht="15.75" customHeight="1">
      <c r="A324" s="1">
        <v>322.0</v>
      </c>
      <c r="B324" s="3" t="s">
        <v>325</v>
      </c>
      <c r="C324" s="3" t="str">
        <f>IFERROR(__xludf.DUMMYFUNCTION("GOOGLETRANSLATE(B324,""id"",""en"")"),"['subscribe', 'slow', 'disappointed', 'Please', 'noticed', 'slow', 'thank', 'love']")</f>
        <v>['subscribe', 'slow', 'disappointed', 'Please', 'noticed', 'slow', 'thank', 'love']</v>
      </c>
      <c r="D324" s="3">
        <v>1.0</v>
      </c>
    </row>
    <row r="325" ht="15.75" customHeight="1">
      <c r="A325" s="1">
        <v>323.0</v>
      </c>
      <c r="B325" s="3" t="s">
        <v>326</v>
      </c>
      <c r="C325" s="3" t="str">
        <f>IFERROR(__xludf.DUMMYFUNCTION("GOOGLETRANSLATE(B325,""id"",""en"")"),"['Telkomsel', 'signal', 'cellular', 'worst', 'lose', 'card', 'cheap', 'The', 'Best', ""]")</f>
        <v>['Telkomsel', 'signal', 'cellular', 'worst', 'lose', 'card', 'cheap', 'The', 'Best', "]</v>
      </c>
      <c r="D325" s="3">
        <v>1.0</v>
      </c>
    </row>
    <row r="326" ht="15.75" customHeight="1">
      <c r="A326" s="1">
        <v>324.0</v>
      </c>
      <c r="B326" s="3" t="s">
        <v>327</v>
      </c>
      <c r="C326" s="3" t="str">
        <f>IFERROR(__xludf.DUMMYFUNCTION("GOOGLETRANSLATE(B326,""id"",""en"")"),"['neighbor', 'ane', 'pairs',' wifi ',' indihome ',' network ',' telkomsel ',' ane ',' slow ',' buy ',' quota ',' expensive ',' How ',' Disappointed ',' I ',' Telkomsel ',' Tired ',' Move ',' Network ']")</f>
        <v>['neighbor', 'ane', 'pairs',' wifi ',' indihome ',' network ',' telkomsel ',' ane ',' slow ',' buy ',' quota ',' expensive ',' How ',' Disappointed ',' I ',' Telkomsel ',' Tired ',' Move ',' Network ']</v>
      </c>
      <c r="D326" s="3">
        <v>1.0</v>
      </c>
    </row>
    <row r="327" ht="15.75" customHeight="1">
      <c r="A327" s="1">
        <v>325.0</v>
      </c>
      <c r="B327" s="3" t="s">
        <v>328</v>
      </c>
      <c r="C327" s="3" t="str">
        <f>IFERROR(__xludf.DUMMYFUNCTION("GOOGLETRANSLATE(B327,""id"",""en"")"),"['Ngg', 'contents',' reset ',' package ',' combo ',' hiksss', 'sad', 'disappointed', 'hopefully', 'fast', 'overcome', 'Telkomsel', ' Loyal ',' ']")</f>
        <v>['Ngg', 'contents',' reset ',' package ',' combo ',' hiksss', 'sad', 'disappointed', 'hopefully', 'fast', 'overcome', 'Telkomsel', ' Loyal ',' ']</v>
      </c>
      <c r="D327" s="3">
        <v>1.0</v>
      </c>
    </row>
    <row r="328" ht="15.75" customHeight="1">
      <c r="A328" s="1">
        <v>326.0</v>
      </c>
      <c r="B328" s="3" t="s">
        <v>329</v>
      </c>
      <c r="C328" s="3" t="str">
        <f>IFERROR(__xludf.DUMMYFUNCTION("GOOGLETRANSLATE(B328,""id"",""en"")"),"['signal', 'nyitat', 'nyensat', 'city', 'forest', 'annoyed', 'work', 'signal', 'slow', '']")</f>
        <v>['signal', 'nyitat', 'nyensat', 'city', 'forest', 'annoyed', 'work', 'signal', 'slow', '']</v>
      </c>
      <c r="D328" s="3">
        <v>1.0</v>
      </c>
    </row>
    <row r="329" ht="15.75" customHeight="1">
      <c r="A329" s="1">
        <v>327.0</v>
      </c>
      <c r="B329" s="3" t="s">
        <v>330</v>
      </c>
      <c r="C329" s="3" t="str">
        <f>IFERROR(__xludf.DUMMYFUNCTION("GOOGLETRANSLATE(B329,""id"",""en"")"),"['signal', 'SNGT', 'bad', 'decided', 'bye', 'bye', 'Telkomsel', 'card', 'lbh', 'cheap', 'quality', 'lbh', ' SPRTI ',' MSH ',' BNYK ',' ']")</f>
        <v>['signal', 'SNGT', 'bad', 'decided', 'bye', 'bye', 'Telkomsel', 'card', 'lbh', 'cheap', 'quality', 'lbh', ' SPRTI ',' MSH ',' BNYK ',' ']</v>
      </c>
      <c r="D329" s="3">
        <v>1.0</v>
      </c>
    </row>
    <row r="330" ht="15.75" customHeight="1">
      <c r="A330" s="1">
        <v>328.0</v>
      </c>
      <c r="B330" s="3" t="s">
        <v>331</v>
      </c>
      <c r="C330" s="3" t="str">
        <f>IFERROR(__xludf.DUMMYFUNCTION("GOOGLETRANSLATE(B330,""id"",""en"")"),"['', 'good', 'sometimes', 'all day', 'network', 'use', 'please', 'pampering', 'consumer', ""]")</f>
        <v>['', 'good', 'sometimes', 'all day', 'network', 'use', 'please', 'pampering', 'consumer', "]</v>
      </c>
      <c r="D330" s="3">
        <v>5.0</v>
      </c>
    </row>
    <row r="331" ht="15.75" customHeight="1">
      <c r="A331" s="1">
        <v>329.0</v>
      </c>
      <c r="B331" s="3" t="s">
        <v>332</v>
      </c>
      <c r="C331" s="3" t="str">
        <f>IFERROR(__xludf.DUMMYFUNCTION("GOOGLETRANSLATE(B331,""id"",""en"")"),"['Reaching', 'Subdistrict', 'Forgot', 'Subdistrict', 'Lurah', 'Home', 'Citizens',' Globalizing ',' Signal ',' Please ',' Bagusin ',' Sinyal ',' Home ',' Sampe ',' Jamban ',' home ', ""]")</f>
        <v>['Reaching', 'Subdistrict', 'Forgot', 'Subdistrict', 'Lurah', 'Home', 'Citizens',' Globalizing ',' Signal ',' Please ',' Bagusin ',' Sinyal ',' Home ',' Sampe ',' Jamban ',' home ', "]</v>
      </c>
      <c r="D331" s="3">
        <v>3.0</v>
      </c>
    </row>
    <row r="332" ht="15.75" customHeight="1">
      <c r="A332" s="1">
        <v>330.0</v>
      </c>
      <c r="B332" s="3" t="s">
        <v>333</v>
      </c>
      <c r="C332" s="3" t="str">
        <f>IFERROR(__xludf.DUMMYFUNCTION("GOOGLETRANSLATE(B332,""id"",""en"")"),"['Knp', 'Telkomsel', 'The network', 'Region', 'Palembang', 'Maximum', 'JDI', 'SERBA', 'LEGAR', 'GINI', 'Please', 'explanation', ' thank you']")</f>
        <v>['Knp', 'Telkomsel', 'The network', 'Region', 'Palembang', 'Maximum', 'JDI', 'SERBA', 'LEGAR', 'GINI', 'Please', 'explanation', ' thank you']</v>
      </c>
      <c r="D332" s="3">
        <v>1.0</v>
      </c>
    </row>
    <row r="333" ht="15.75" customHeight="1">
      <c r="A333" s="1">
        <v>331.0</v>
      </c>
      <c r="B333" s="3" t="s">
        <v>334</v>
      </c>
      <c r="C333" s="3" t="str">
        <f>IFERROR(__xludf.DUMMYFUNCTION("GOOGLETRANSLATE(B333,""id"",""en"")"),"['', 'times',' old ',' experience ',' open ',' connection ',' response ',' quota ',' steady ',' price ',' okay ',' per month ',' thousand ',' Like ',' GB ',' per month ',' thousand ',' connection ',' smooth ',' mantp ', ""]")</f>
        <v>['', 'times',' old ',' experience ',' open ',' connection ',' response ',' quota ',' steady ',' price ',' okay ',' per month ',' thousand ',' Like ',' GB ',' per month ',' thousand ',' connection ',' smooth ',' mantp ', "]</v>
      </c>
      <c r="D333" s="3">
        <v>1.0</v>
      </c>
    </row>
    <row r="334" ht="15.75" customHeight="1">
      <c r="A334" s="1">
        <v>332.0</v>
      </c>
      <c r="B334" s="3" t="s">
        <v>335</v>
      </c>
      <c r="C334" s="3" t="str">
        <f>IFERROR(__xludf.DUMMYFUNCTION("GOOGLETRANSLATE(B334,""id"",""en"")"),"['how much', 'ceat', 'network', 'steaming', 'buffering', 'mulu', 'you', 'proud of', '']")</f>
        <v>['how much', 'ceat', 'network', 'steaming', 'buffering', 'mulu', 'you', 'proud of', '']</v>
      </c>
      <c r="D334" s="3">
        <v>1.0</v>
      </c>
    </row>
    <row r="335" ht="15.75" customHeight="1">
      <c r="A335" s="1">
        <v>333.0</v>
      </c>
      <c r="B335" s="3" t="s">
        <v>336</v>
      </c>
      <c r="C335" s="3" t="str">
        <f>IFERROR(__xludf.DUMMYFUNCTION("GOOGLETRANSLATE(B335,""id"",""en"")"),"['expensive', 'ugly', 'kaga', 'road', 'open', 'anything', 'off', 'mode', 'plane', 'kaga', 'road', 'funny', ' Lawak ',' Method ',' Solution ',' Practice ',' That's', 'Kaga', 'Good', 'Back', 'Give', 'Bintang', 'hooked', 'telponan', 'Need' , 'internet', 'pro"&amp;"ducts',' chaotic ',' typical ',' ad ',' reality ',' colliding ',' Hopefully ',' fast ',' conscious', 'ngak', 'aware', ' Sirawan ',' spiritual ',' EIT ',' Wrong ',' entered ',' home ',' sick ',' soul ', ""]")</f>
        <v>['expensive', 'ugly', 'kaga', 'road', 'open', 'anything', 'off', 'mode', 'plane', 'kaga', 'road', 'funny', ' Lawak ',' Method ',' Solution ',' Practice ',' That's', 'Kaga', 'Good', 'Back', 'Give', 'Bintang', 'hooked', 'telponan', 'Need' , 'internet', 'products',' chaotic ',' typical ',' ad ',' reality ',' colliding ',' Hopefully ',' fast ',' conscious', 'ngak', 'aware', ' Sirawan ',' spiritual ',' EIT ',' Wrong ',' entered ',' home ',' sick ',' soul ', "]</v>
      </c>
      <c r="D335" s="3">
        <v>1.0</v>
      </c>
    </row>
    <row r="336" ht="15.75" customHeight="1">
      <c r="A336" s="1">
        <v>334.0</v>
      </c>
      <c r="B336" s="3" t="s">
        <v>337</v>
      </c>
      <c r="C336" s="3" t="str">
        <f>IFERROR(__xludf.DUMMYFUNCTION("GOOGLETRANSLATE(B336,""id"",""en"")"),"['bill', 'fall', 'tempo', 'knapa', 'turn', 'pay', 'error', 'quota', 'double', 'bill', 'balensak', ""]")</f>
        <v>['bill', 'fall', 'tempo', 'knapa', 'turn', 'pay', 'error', 'quota', 'double', 'bill', 'balensak', "]</v>
      </c>
      <c r="D336" s="3">
        <v>1.0</v>
      </c>
    </row>
    <row r="337" ht="15.75" customHeight="1">
      <c r="A337" s="1">
        <v>335.0</v>
      </c>
      <c r="B337" s="3" t="s">
        <v>338</v>
      </c>
      <c r="C337" s="3" t="str">
        <f>IFERROR(__xludf.DUMMYFUNCTION("GOOGLETRANSLATE(B337,""id"",""en"")"),"['Network', 'Telkomsel', 'ugly', 'Males',' Gunain ',' Telkomsel ',' Actually ',' Love ',' Star ',' Kayak ',' Gini ',' The Network ',' yaudah ',' star ',' week ',' network ',' ugly ',' draft ',' pakek ',' provider ',' please ',' Telkomsel ',' right ',' the"&amp;" network ', ""]")</f>
        <v>['Network', 'Telkomsel', 'ugly', 'Males',' Gunain ',' Telkomsel ',' Actually ',' Love ',' Star ',' Kayak ',' Gini ',' The Network ',' yaudah ',' star ',' week ',' network ',' ugly ',' draft ',' pakek ',' provider ',' please ',' Telkomsel ',' right ',' the network ', "]</v>
      </c>
      <c r="D337" s="3">
        <v>1.0</v>
      </c>
    </row>
    <row r="338" ht="15.75" customHeight="1">
      <c r="A338" s="1">
        <v>336.0</v>
      </c>
      <c r="B338" s="3" t="s">
        <v>339</v>
      </c>
      <c r="C338" s="3" t="str">
        <f>IFERROR(__xludf.DUMMYFUNCTION("GOOGLETRANSLATE(B338,""id"",""en"")"),"['Provider', 'BANGJE', 'ISI', 'Credit', 'Gocap', 'already', 'Cut', 'Silver', 'right', 'fill', 'Provider', 'Ngangin', ' ']")</f>
        <v>['Provider', 'BANGJE', 'ISI', 'Credit', 'Gocap', 'already', 'Cut', 'Silver', 'right', 'fill', 'Provider', 'Ngangin', ' ']</v>
      </c>
      <c r="D338" s="3">
        <v>2.0</v>
      </c>
    </row>
    <row r="339" ht="15.75" customHeight="1">
      <c r="A339" s="1">
        <v>337.0</v>
      </c>
      <c r="B339" s="3" t="s">
        <v>340</v>
      </c>
      <c r="C339" s="3" t="str">
        <f>IFERROR(__xludf.DUMMYFUNCTION("GOOGLETRANSLATE(B339,""id"",""en"")"),"['Telkomsel', 'No', 'Brain', 'Signal', 'Benerin', 'Indonesia', 'Napa', 'Signal', 'Disorders', 'Severe', 'Bet']")</f>
        <v>['Telkomsel', 'No', 'Brain', 'Signal', 'Benerin', 'Indonesia', 'Napa', 'Signal', 'Disorders', 'Severe', 'Bet']</v>
      </c>
      <c r="D339" s="3">
        <v>1.0</v>
      </c>
    </row>
    <row r="340" ht="15.75" customHeight="1">
      <c r="A340" s="1">
        <v>338.0</v>
      </c>
      <c r="B340" s="3" t="s">
        <v>341</v>
      </c>
      <c r="C340" s="3" t="str">
        <f>IFERROR(__xludf.DUMMYFUNCTION("GOOGLETRANSLATE(B340,""id"",""en"")"),"['APK', 'good', 'buy', 'package', 'internet', 'Come', 'Hurry', 'Download', 'APK', 'good', 'really', 'view', ' View ',' debt ',' kah ',' ']")</f>
        <v>['APK', 'good', 'buy', 'package', 'internet', 'Come', 'Hurry', 'Download', 'APK', 'good', 'really', 'view', ' View ',' debt ',' kah ',' ']</v>
      </c>
      <c r="D340" s="3">
        <v>5.0</v>
      </c>
    </row>
    <row r="341" ht="15.75" customHeight="1">
      <c r="A341" s="1">
        <v>339.0</v>
      </c>
      <c r="B341" s="3" t="s">
        <v>342</v>
      </c>
      <c r="C341" s="3" t="str">
        <f>IFERROR(__xludf.DUMMYFUNCTION("GOOGLETRANSLATE(B341,""id"",""en"")"),"['cave', 'buy', 'pulse', 'then', 'cave', 'mao', 'top', 'codashop', 'cave', 'udh', 'click', 'payment', ' Udh ',' finished ',' then ',' cave ',' login ',' game ',' blm ',' entry ',' diamond ',' game ',' codashop ',' cave ',' buy ' , 'Price', 'then', 'Sampe'"&amp;", 'BLM', 'Enter', 'Gosha', 'Telkomsel']")</f>
        <v>['cave', 'buy', 'pulse', 'then', 'cave', 'mao', 'top', 'codashop', 'cave', 'udh', 'click', 'payment', ' Udh ',' finished ',' then ',' cave ',' login ',' game ',' blm ',' entry ',' diamond ',' game ',' codashop ',' cave ',' buy ' , 'Price', 'then', 'Sampe', 'BLM', 'Enter', 'Gosha', 'Telkomsel']</v>
      </c>
      <c r="D341" s="3">
        <v>1.0</v>
      </c>
    </row>
    <row r="342" ht="15.75" customHeight="1">
      <c r="A342" s="1">
        <v>340.0</v>
      </c>
      <c r="B342" s="3" t="s">
        <v>343</v>
      </c>
      <c r="C342" s="3" t="str">
        <f>IFERROR(__xludf.DUMMYFUNCTION("GOOGLETRANSLATE(B342,""id"",""en"")"),"['Please', 'The network', 'Lined', 'Update', 'Application', 'Mulu', 'then', 'quota', 'pulse', 'Cut', ""]")</f>
        <v>['Please', 'The network', 'Lined', 'Update', 'Application', 'Mulu', 'then', 'quota', 'pulse', 'Cut', "]</v>
      </c>
      <c r="D342" s="3">
        <v>1.0</v>
      </c>
    </row>
    <row r="343" ht="15.75" customHeight="1">
      <c r="A343" s="1">
        <v>341.0</v>
      </c>
      <c r="B343" s="3" t="s">
        <v>344</v>
      </c>
      <c r="C343" s="3" t="str">
        <f>IFERROR(__xludf.DUMMYFUNCTION("GOOGLETRANSLATE(B343,""id"",""en"")"),"['Signal', 'Please', 'Increase', 'Network', 'Error', 'Location', 'Natar', 'Lampung', 'South']")</f>
        <v>['Signal', 'Please', 'Increase', 'Network', 'Error', 'Location', 'Natar', 'Lampung', 'South']</v>
      </c>
      <c r="D343" s="3">
        <v>4.0</v>
      </c>
    </row>
    <row r="344" ht="15.75" customHeight="1">
      <c r="A344" s="1">
        <v>342.0</v>
      </c>
      <c r="B344" s="3" t="s">
        <v>345</v>
      </c>
      <c r="C344" s="3" t="str">
        <f>IFERROR(__xludf.DUMMYFUNCTION("GOOGLETRANSLATE(B344,""id"",""en"")"),"['friend', 'friend', 'Telkomsel', 'Telkomsel', 'Mending', 'Change', 'card', 'network', 'Telkomsel', 'already', 'no', 'as good', ' slow ',' no ', ""]")</f>
        <v>['friend', 'friend', 'Telkomsel', 'Telkomsel', 'Mending', 'Change', 'card', 'network', 'Telkomsel', 'already', 'no', 'as good', ' slow ',' no ', "]</v>
      </c>
      <c r="D344" s="3">
        <v>1.0</v>
      </c>
    </row>
    <row r="345" ht="15.75" customHeight="1">
      <c r="A345" s="1">
        <v>343.0</v>
      </c>
      <c r="B345" s="3" t="s">
        <v>346</v>
      </c>
      <c r="C345" s="3" t="str">
        <f>IFERROR(__xludf.DUMMYFUNCTION("GOOGLETRANSLATE(B345,""id"",""en"")"),"['Telkom', 'ugly', 'net', 'in the area', 'jakarta', 'ugly', 'win', 'expensive', 'blm', 'law', 'comedy', 'telkom', ' ngeluarin ',' money ',' elu ',' elu ',' ngeluarin ',' speed ',' rich ',' speed ',' internet ',' rich ',' era ',' tired ',' change ' , 'Card"&amp;"', 'BSK', 'Gunain', 'Telkom', 'Dehh', 'Bro', 'Win', 'Advertising', 'Mending', 'Select', 'Operator', 'emang', ' Comfortable ',' in the area ',' elu ',' mah ',' suggestion ',' talk ',' rich ',' gini ',' bkn ',' brt ',' errran ']")</f>
        <v>['Telkom', 'ugly', 'net', 'in the area', 'jakarta', 'ugly', 'win', 'expensive', 'blm', 'law', 'comedy', 'telkom', ' ngeluarin ',' money ',' elu ',' elu ',' ngeluarin ',' speed ',' rich ',' speed ',' internet ',' rich ',' era ',' tired ',' change ' , 'Card', 'BSK', 'Gunain', 'Telkom', 'Dehh', 'Bro', 'Win', 'Advertising', 'Mending', 'Select', 'Operator', 'emang', ' Comfortable ',' in the area ',' elu ',' mah ',' suggestion ',' talk ',' rich ',' gini ',' bkn ',' brt ',' errran ']</v>
      </c>
      <c r="D345" s="3">
        <v>1.0</v>
      </c>
    </row>
    <row r="346" ht="15.75" customHeight="1">
      <c r="A346" s="1">
        <v>344.0</v>
      </c>
      <c r="B346" s="3" t="s">
        <v>347</v>
      </c>
      <c r="C346" s="3" t="str">
        <f>IFERROR(__xludf.DUMMYFUNCTION("GOOGLETRANSLATE(B346,""id"",""en"")"),"['Network', 'Telkomsel', 'Kampung', 'Mountains',' Internet ',' Gorowong ',' Village ',' Morocco ',' Kecamatan ',' Cibalong ',' Regency ',' Garut ',' ']")</f>
        <v>['Network', 'Telkomsel', 'Kampung', 'Mountains',' Internet ',' Gorowong ',' Village ',' Morocco ',' Kecamatan ',' Cibalong ',' Regency ',' Garut ',' ']</v>
      </c>
      <c r="D346" s="3">
        <v>1.0</v>
      </c>
    </row>
    <row r="347" ht="15.75" customHeight="1">
      <c r="A347" s="1">
        <v>345.0</v>
      </c>
      <c r="B347" s="3" t="s">
        <v>348</v>
      </c>
      <c r="C347" s="3" t="str">
        <f>IFERROR(__xludf.DUMMYFUNCTION("GOOGLETRANSLATE(B347,""id"",""en"")"),"['Disappointed', 'TH', 'Family', 'Wear', 'Card', 'Telkomsel', 'Network', 'Difficult', 'Rates',' Expensive ',' Signal ',' Current ',' Current ',' burden ',' really ']")</f>
        <v>['Disappointed', 'TH', 'Family', 'Wear', 'Card', 'Telkomsel', 'Network', 'Difficult', 'Rates',' Expensive ',' Signal ',' Current ',' Current ',' burden ',' really ']</v>
      </c>
      <c r="D347" s="3">
        <v>1.0</v>
      </c>
    </row>
    <row r="348" ht="15.75" customHeight="1">
      <c r="A348" s="1">
        <v>346.0</v>
      </c>
      <c r="B348" s="3" t="s">
        <v>349</v>
      </c>
      <c r="C348" s="3" t="str">
        <f>IFERROR(__xludf.DUMMYFUNCTION("GOOGLETRANSLATE(B348,""id"",""en"")"),"['Thanks', 'Telkomsel', 'loyal', 'accompanying', 'disappointed', 'sometimes', 'good', 'sometimes', 'ugly', 'the network', 'signal', ""]")</f>
        <v>['Thanks', 'Telkomsel', 'loyal', 'accompanying', 'disappointed', 'sometimes', 'good', 'sometimes', 'ugly', 'the network', 'signal', "]</v>
      </c>
      <c r="D348" s="3">
        <v>5.0</v>
      </c>
    </row>
    <row r="349" ht="15.75" customHeight="1">
      <c r="A349" s="1">
        <v>347.0</v>
      </c>
      <c r="B349" s="3" t="s">
        <v>350</v>
      </c>
      <c r="C349" s="3" t="str">
        <f>IFERROR(__xludf.DUMMYFUNCTION("GOOGLETRANSLATE(B349,""id"",""en"")"),"['Sorry', 'Telkomsel', 'choice', 'quality', 'signal', 'bad', 'keep', 'at the time', 'provider', 'race', 'fix', 'signal', ' Quality ',' improved ',' deteriorating ',' telephone ',' broke ',' signal ',' internet ',' need ',' settlement ',' just ',' email ',"&amp;"' reply ',' automatic ' , 'thanks']")</f>
        <v>['Sorry', 'Telkomsel', 'choice', 'quality', 'signal', 'bad', 'keep', 'at the time', 'provider', 'race', 'fix', 'signal', ' Quality ',' improved ',' deteriorating ',' telephone ',' broke ',' signal ',' internet ',' need ',' settlement ',' just ',' email ',' reply ',' automatic ' , 'thanks']</v>
      </c>
      <c r="D349" s="3">
        <v>1.0</v>
      </c>
    </row>
    <row r="350" ht="15.75" customHeight="1">
      <c r="A350" s="1">
        <v>348.0</v>
      </c>
      <c r="B350" s="3" t="s">
        <v>351</v>
      </c>
      <c r="C350" s="3" t="str">
        <f>IFERROR(__xludf.DUMMYFUNCTION("GOOGLETRANSLATE(B350,""id"",""en"")"),"['quota', 'expensive', 'speed', 'internet', 'slow', 'severe', '']")</f>
        <v>['quota', 'expensive', 'speed', 'internet', 'slow', 'severe', '']</v>
      </c>
      <c r="D350" s="3">
        <v>1.0</v>
      </c>
    </row>
    <row r="351" ht="15.75" customHeight="1">
      <c r="A351" s="1">
        <v>349.0</v>
      </c>
      <c r="B351" s="3" t="s">
        <v>352</v>
      </c>
      <c r="C351" s="3" t="str">
        <f>IFERROR(__xludf.DUMMYFUNCTION("GOOGLETRANSLATE(B351,""id"",""en"")"),"['What', 'ugly', 'really', 'signal', 'package', 'expensive', 'dipake', 'mobile', 'legend', 'ping', 'red', 'Tanggerang', ' Diem ',' city ',' ugly ',' forgiveness', 'setaaaan']")</f>
        <v>['What', 'ugly', 'really', 'signal', 'package', 'expensive', 'dipake', 'mobile', 'legend', 'ping', 'red', 'Tanggerang', ' Diem ',' city ',' ugly ',' forgiveness', 'setaaaan']</v>
      </c>
      <c r="D351" s="3">
        <v>1.0</v>
      </c>
    </row>
    <row r="352" ht="15.75" customHeight="1">
      <c r="A352" s="1">
        <v>350.0</v>
      </c>
      <c r="B352" s="3" t="s">
        <v>353</v>
      </c>
      <c r="C352" s="3" t="str">
        <f>IFERROR(__xludf.DUMMYFUNCTION("GOOGLETRANSLATE(B352,""id"",""en"")"),"['choice', 'package', 'diverse', 'results', 'signal', 'evenly', 'hang', 'tmpt', ""]")</f>
        <v>['choice', 'package', 'diverse', 'results', 'signal', 'evenly', 'hang', 'tmpt', "]</v>
      </c>
      <c r="D352" s="3">
        <v>3.0</v>
      </c>
    </row>
    <row r="353" ht="15.75" customHeight="1">
      <c r="A353" s="1">
        <v>351.0</v>
      </c>
      <c r="B353" s="3" t="s">
        <v>354</v>
      </c>
      <c r="C353" s="3" t="str">
        <f>IFERROR(__xludf.DUMMYFUNCTION("GOOGLETRANSLATE(B353,""id"",""en"")"),"['network', 'internet', 'in the region', 'exact', 'Gorontalo', 'ugly', 'as',' information ',' lovers', 'Telkomsel', 'network', 'Telkomsel', ' Visit ',' Improved ',' Switch ',' Internet ',' Priority ',' Dlm ',' Activities', 'WSS']")</f>
        <v>['network', 'internet', 'in the region', 'exact', 'Gorontalo', 'ugly', 'as',' information ',' lovers', 'Telkomsel', 'network', 'Telkomsel', ' Visit ',' Improved ',' Switch ',' Internet ',' Priority ',' Dlm ',' Activities', 'WSS']</v>
      </c>
      <c r="D353" s="3">
        <v>5.0</v>
      </c>
    </row>
    <row r="354" ht="15.75" customHeight="1">
      <c r="A354" s="1">
        <v>352.0</v>
      </c>
      <c r="B354" s="3" t="s">
        <v>355</v>
      </c>
      <c r="C354" s="3" t="str">
        <f>IFERROR(__xludf.DUMMYFUNCTION("GOOGLETRANSLATE(B354,""id"",""en"")"),"['sorry', 'high', 'really', 'package', 'sometimes',' connection ',' disconnected ',' activity ',' hopefully ',' draw ',' expensive ',' smooth ',' outside ',' obstacles', 'anything', 'because', 'consumers',' pay ',' owe ',' owe ',' obstacles', 'compensatio"&amp;"n', 'because', 'owes',' owes' , 'system', 'owe', 'telkom', 'package', 'stay', 'service', 'Telkom', ""]")</f>
        <v>['sorry', 'high', 'really', 'package', 'sometimes',' connection ',' disconnected ',' activity ',' hopefully ',' draw ',' expensive ',' smooth ',' outside ',' obstacles', 'anything', 'because', 'consumers',' pay ',' owe ',' owe ',' obstacles', 'compensation', 'because', 'owes',' owes' , 'system', 'owe', 'telkom', 'package', 'stay', 'service', 'Telkom', "]</v>
      </c>
      <c r="D354" s="3">
        <v>3.0</v>
      </c>
    </row>
    <row r="355" ht="15.75" customHeight="1">
      <c r="A355" s="1">
        <v>353.0</v>
      </c>
      <c r="B355" s="3" t="s">
        <v>356</v>
      </c>
      <c r="C355" s="3" t="str">
        <f>IFERROR(__xludf.DUMMYFUNCTION("GOOGLETRANSLATE(B355,""id"",""en"")"),"['Ribett', 'See', 'Details',' Password ',' PIN ',' Screen ',' What's', 'That's',' That's', 'Kaliiiiiii', 'Banking', 'Ribet', ' Fix ',' tuuu ',' sick ',' heart ',' me ',' gini ',' password ',' password ',' otp ',' donk ',' ']")</f>
        <v>['Ribett', 'See', 'Details',' Password ',' PIN ',' Screen ',' What's', 'That's',' That's', 'Kaliiiiiii', 'Banking', 'Ribet', ' Fix ',' tuuu ',' sick ',' heart ',' me ',' gini ',' password ',' password ',' otp ',' donk ',' ']</v>
      </c>
      <c r="D355" s="3">
        <v>1.0</v>
      </c>
    </row>
    <row r="356" ht="15.75" customHeight="1">
      <c r="A356" s="1">
        <v>354.0</v>
      </c>
      <c r="B356" s="3" t="s">
        <v>357</v>
      </c>
      <c r="C356" s="3" t="str">
        <f>IFERROR(__xludf.DUMMYFUNCTION("GOOGLETRANSLATE(B356,""id"",""en"")"),"['network', 'weak', 'buy', 'quota', 'rumor', 'network', 'Telkomsel', 'problematic', 'recover', 'thank', 'love']")</f>
        <v>['network', 'weak', 'buy', 'quota', 'rumor', 'network', 'Telkomsel', 'problematic', 'recover', 'thank', 'love']</v>
      </c>
      <c r="D356" s="3">
        <v>1.0</v>
      </c>
    </row>
    <row r="357" ht="15.75" customHeight="1">
      <c r="A357" s="1">
        <v>355.0</v>
      </c>
      <c r="B357" s="3" t="s">
        <v>358</v>
      </c>
      <c r="C357" s="3" t="str">
        <f>IFERROR(__xludf.DUMMYFUNCTION("GOOGLETRANSLATE(B357,""id"",""en"")"),"['Season', 'ama', 'card', 'buy', 'package', 'enter', 'pulse', 'mah', 'reduced', 'gave', 'hope', 'fake', ' klw ',' keep ',' package ',' cheap ',' turn ',' buy ',' enter ',' php ',' mulu ',' kesellllll ']")</f>
        <v>['Season', 'ama', 'card', 'buy', 'package', 'enter', 'pulse', 'mah', 'reduced', 'gave', 'hope', 'fake', ' klw ',' keep ',' package ',' cheap ',' turn ',' buy ',' enter ',' php ',' mulu ',' kesellllll ']</v>
      </c>
      <c r="D357" s="3">
        <v>1.0</v>
      </c>
    </row>
    <row r="358" ht="15.75" customHeight="1">
      <c r="A358" s="1">
        <v>356.0</v>
      </c>
      <c r="B358" s="3" t="s">
        <v>359</v>
      </c>
      <c r="C358" s="3" t="str">
        <f>IFERROR(__xludf.DUMMYFUNCTION("GOOGLETRANSLATE(B358,""id"",""en"")"),"['', 'thousand', 'pulse', 'abis', 'loading', 'entered', 'mytelkomsel', 'usage', 'internet', 'cost', 'suggestion', 'change', 'directors' ',' Change ',' person ',' system ',' detrimental ',' rich ',' gini ',' dipake ',' Telkomsel ',' Mumpung ',' provider ',"&amp;"' favorite ',' community ', 'Fix it']")</f>
        <v>['', 'thousand', 'pulse', 'abis', 'loading', 'entered', 'mytelkomsel', 'usage', 'internet', 'cost', 'suggestion', 'change', 'directors' ',' Change ',' person ',' system ',' detrimental ',' rich ',' gini ',' dipake ',' Telkomsel ',' Mumpung ',' provider ',' favorite ',' community ', 'Fix it']</v>
      </c>
      <c r="D358" s="3">
        <v>1.0</v>
      </c>
    </row>
    <row r="359" ht="15.75" customHeight="1">
      <c r="A359" s="1">
        <v>357.0</v>
      </c>
      <c r="B359" s="3" t="s">
        <v>360</v>
      </c>
      <c r="C359" s="3" t="str">
        <f>IFERROR(__xludf.DUMMYFUNCTION("GOOGLETRANSLATE(B359,""id"",""en"")"),"['uda', 'good', 'beg', 'mercy', 'bonus', 'combo', 'unlimited', 'bonus', 'pulse', 'user']")</f>
        <v>['uda', 'good', 'beg', 'mercy', 'bonus', 'combo', 'unlimited', 'bonus', 'pulse', 'user']</v>
      </c>
      <c r="D359" s="3">
        <v>4.0</v>
      </c>
    </row>
    <row r="360" ht="15.75" customHeight="1">
      <c r="A360" s="1">
        <v>358.0</v>
      </c>
      <c r="B360" s="3" t="s">
        <v>361</v>
      </c>
      <c r="C360" s="3" t="str">
        <f>IFERROR(__xludf.DUMMYFUNCTION("GOOGLETRANSLATE(B360,""id"",""en"")"),"['Reduce', 'Tuker', 'Points',' Reasons', 'Busy', 'Mulu', 'Points',' Points', 'BNYK', 'Hangus',' Doang ',' Love ',' Points', 'Jga', '']")</f>
        <v>['Reduce', 'Tuker', 'Points',' Reasons', 'Busy', 'Mulu', 'Points',' Points', 'BNYK', 'Hangus',' Doang ',' Love ',' Points', 'Jga', '']</v>
      </c>
      <c r="D360" s="3">
        <v>1.0</v>
      </c>
    </row>
    <row r="361" ht="15.75" customHeight="1">
      <c r="A361" s="1">
        <v>359.0</v>
      </c>
      <c r="B361" s="3" t="s">
        <v>362</v>
      </c>
      <c r="C361" s="3" t="str">
        <f>IFERROR(__xludf.DUMMYFUNCTION("GOOGLETRANSLATE(B361,""id"",""en"")"),"['APK', 'UDH', 'Good', 'Network', 'depends',' TKP ',' Sometimes', 'promo', 'package', 'internet', 'just', 'min', ' Please, 'Hold', 'Vitur', 'Credit', 'Safe', 'Nealin', 'Pulse', 'List', 'Package', 'Gada', 'Direct', 'ilang', 'Loss' , 'Please', 'min', 'vitur"&amp;"', 'pulse', 'save', 'gini', 'then', 'replace', 'card', 'love', 'star', ' Developer ']")</f>
        <v>['APK', 'UDH', 'Good', 'Network', 'depends',' TKP ',' Sometimes', 'promo', 'package', 'internet', 'just', 'min', ' Please, 'Hold', 'Vitur', 'Credit', 'Safe', 'Nealin', 'Pulse', 'List', 'Package', 'Gada', 'Direct', 'ilang', 'Loss' , 'Please', 'min', 'vitur', 'pulse', 'save', 'gini', 'then', 'replace', 'card', 'love', 'star', ' Developer ']</v>
      </c>
      <c r="D361" s="3">
        <v>5.0</v>
      </c>
    </row>
    <row r="362" ht="15.75" customHeight="1">
      <c r="A362" s="1">
        <v>360.0</v>
      </c>
      <c r="B362" s="3" t="s">
        <v>363</v>
      </c>
      <c r="C362" s="3" t="str">
        <f>IFERROR(__xludf.DUMMYFUNCTION("GOOGLETRANSLATE(B362,""id"",""en"")"),"['Here', 'Satisfied', 'Telkomsel', 'Come on', 'Fix', 'Consumer', 'Move', 'Provider', ""]")</f>
        <v>['Here', 'Satisfied', 'Telkomsel', 'Come on', 'Fix', 'Consumer', 'Move', 'Provider', "]</v>
      </c>
      <c r="D362" s="3">
        <v>3.0</v>
      </c>
    </row>
    <row r="363" ht="15.75" customHeight="1">
      <c r="A363" s="1">
        <v>361.0</v>
      </c>
      <c r="B363" s="3" t="s">
        <v>364</v>
      </c>
      <c r="C363" s="3" t="str">
        <f>IFERROR(__xludf.DUMMYFUNCTION("GOOGLETRANSLATE(B363,""id"",""en"")"),"['Telkom', 'like', 'ilang', 'signal', 'kayak', 'bansos',' gapapa ',' cable ',' at sea ',' udh ',' lined ',' addin ',' Speed ​​',' Naprintin ',' Difficult ',' Gegara ',' Signal ',' Benik ',' Kek ',' Epep ',' While ',' Gini ',' Price ',' Paketan ',' Collapi"&amp;"n ' , 'Kasian', 'that's', 'people', 'that's', 'friend', 'protest', 'knp', 'price', 'expensive', 'yntkts']")</f>
        <v>['Telkom', 'like', 'ilang', 'signal', 'kayak', 'bansos',' gapapa ',' cable ',' at sea ',' udh ',' lined ',' addin ',' Speed ​​',' Naprintin ',' Difficult ',' Gegara ',' Signal ',' Benik ',' Kek ',' Epep ',' While ',' Gini ',' Price ',' Paketan ',' Collapin ' , 'Kasian', 'that's', 'people', 'that's', 'friend', 'protest', 'knp', 'price', 'expensive', 'yntkts']</v>
      </c>
      <c r="D363" s="3">
        <v>5.0</v>
      </c>
    </row>
    <row r="364" ht="15.75" customHeight="1">
      <c r="A364" s="1">
        <v>362.0</v>
      </c>
      <c r="B364" s="3" t="s">
        <v>365</v>
      </c>
      <c r="C364" s="3" t="str">
        <f>IFERROR(__xludf.DUMMYFUNCTION("GOOGLETRANSLATE(B364,""id"",""en"")"),"['Mimin', 'help', 'please', 'confirm', 'blah', 'blah', 'blah', 'knpa', 'direct', '']")</f>
        <v>['Mimin', 'help', 'please', 'confirm', 'blah', 'blah', 'blah', 'knpa', 'direct', '']</v>
      </c>
      <c r="D364" s="3">
        <v>1.0</v>
      </c>
    </row>
    <row r="365" ht="15.75" customHeight="1">
      <c r="A365" s="1">
        <v>363.0</v>
      </c>
      <c r="B365" s="3" t="s">
        <v>366</v>
      </c>
      <c r="C365" s="3" t="str">
        <f>IFERROR(__xludf.DUMMYFUNCTION("GOOGLETRANSLATE(B365,""id"",""en"")"),"['Telkomsel', 'disruption', 'internet', 'disappear', 'slow', 'package', 'all-round', 'expensive']")</f>
        <v>['Telkomsel', 'disruption', 'internet', 'disappear', 'slow', 'package', 'all-round', 'expensive']</v>
      </c>
      <c r="D365" s="3">
        <v>1.0</v>
      </c>
    </row>
    <row r="366" ht="15.75" customHeight="1">
      <c r="A366" s="1">
        <v>364.0</v>
      </c>
      <c r="B366" s="3" t="s">
        <v>367</v>
      </c>
      <c r="C366" s="3" t="str">
        <f>IFERROR(__xludf.DUMMYFUNCTION("GOOGLETRANSLATE(B366,""id"",""en"")"),"['signal', 'here', 'It's', 'Help', 'Price', 'Dinurunin', 'Poor', 'Misqueen', ""]")</f>
        <v>['signal', 'here', 'It's', 'Help', 'Price', 'Dinurunin', 'Poor', 'Misqueen', "]</v>
      </c>
      <c r="D366" s="3">
        <v>3.0</v>
      </c>
    </row>
    <row r="367" ht="15.75" customHeight="1">
      <c r="A367" s="1">
        <v>365.0</v>
      </c>
      <c r="B367" s="3" t="s">
        <v>368</v>
      </c>
      <c r="C367" s="3" t="str">
        <f>IFERROR(__xludf.DUMMYFUNCTION("GOOGLETRANSLATE(B367,""id"",""en"")"),"['complain', 'TTG', 'Package', 'used', 'keeleli', 'complaints',' package ',' origin ',' cheap ',' then ',' package ',' select ',' buy ',' then ',' package ',' the story ',' bought ',' TPI ',' whole ',' recedes', 'until', 'Abis',' use ',' use ',' wear ' , "&amp;"'Telkomsel', 'satisfied', 'one hundred', 'percent', 'comfortable', 'trim', 'mimin', ""]")</f>
        <v>['complain', 'TTG', 'Package', 'used', 'keeleli', 'complaints',' package ',' origin ',' cheap ',' then ',' package ',' select ',' buy ',' then ',' package ',' the story ',' bought ',' TPI ',' whole ',' recedes', 'until', 'Abis',' use ',' use ',' wear ' , 'Telkomsel', 'satisfied', 'one hundred', 'percent', 'comfortable', 'trim', 'mimin', "]</v>
      </c>
      <c r="D367" s="3">
        <v>1.0</v>
      </c>
    </row>
    <row r="368" ht="15.75" customHeight="1">
      <c r="A368" s="1">
        <v>366.0</v>
      </c>
      <c r="B368" s="3" t="s">
        <v>369</v>
      </c>
      <c r="C368" s="3" t="str">
        <f>IFERROR(__xludf.DUMMYFUNCTION("GOOGLETRANSLATE(B368,""id"",""en"")"),"['Practical', 'Customers',' Cards', 'Hello', 'Get', 'Karna', 'Customers',' Faithful ',' Telkomsel ',' Just ',' Gifts', 'Impressed', ' ']")</f>
        <v>['Practical', 'Customers',' Cards', 'Hello', 'Get', 'Karna', 'Customers',' Faithful ',' Telkomsel ',' Just ',' Gifts', 'Impressed', ' ']</v>
      </c>
      <c r="D368" s="3">
        <v>5.0</v>
      </c>
    </row>
    <row r="369" ht="15.75" customHeight="1">
      <c r="A369" s="1">
        <v>367.0</v>
      </c>
      <c r="B369" s="3" t="s">
        <v>370</v>
      </c>
      <c r="C369" s="3" t="str">
        <f>IFERROR(__xludf.DUMMYFUNCTION("GOOGLETRANSLATE(B369,""id"",""en"")"),"['', 'OKU', 'Sum', 'cell', 'network', 'slow', 'please', 'action', 'continue', 'thank', 'love']")</f>
        <v>['', 'OKU', 'Sum', 'cell', 'network', 'slow', 'please', 'action', 'continue', 'thank', 'love']</v>
      </c>
      <c r="D369" s="3">
        <v>4.0</v>
      </c>
    </row>
    <row r="370" ht="15.75" customHeight="1">
      <c r="A370" s="1">
        <v>368.0</v>
      </c>
      <c r="B370" s="3" t="s">
        <v>371</v>
      </c>
      <c r="C370" s="3" t="str">
        <f>IFERROR(__xludf.DUMMYFUNCTION("GOOGLETRANSLATE(B370,""id"",""en"")"),"['Cieee', 'sell', 'internet', 'expensive', 'signal', 'pulp', 'gerangan', 'signal', 'forest', 'wilderness',' forest ',' wilderness', ' signal ',' wkwkwk ',' jokes']")</f>
        <v>['Cieee', 'sell', 'internet', 'expensive', 'signal', 'pulp', 'gerangan', 'signal', 'forest', 'wilderness',' forest ',' wilderness', ' signal ',' wkwkwk ',' jokes']</v>
      </c>
      <c r="D370" s="3">
        <v>2.0</v>
      </c>
    </row>
    <row r="371" ht="15.75" customHeight="1">
      <c r="A371" s="1">
        <v>369.0</v>
      </c>
      <c r="B371" s="3" t="s">
        <v>372</v>
      </c>
      <c r="C371" s="3" t="str">
        <f>IFERROR(__xludf.DUMMYFUNCTION("GOOGLETRANSLATE(B371,""id"",""en"")"),"['Please', 'SMA', 'Telkomsel', 'Network', 'Fix', 'buy', 'package', 'internet', 'expensive', 'should', 'according to', 'speed', ' Send ',' Chat ',' Sent ',' ']")</f>
        <v>['Please', 'SMA', 'Telkomsel', 'Network', 'Fix', 'buy', 'package', 'internet', 'expensive', 'should', 'according to', 'speed', ' Send ',' Chat ',' Sent ',' ']</v>
      </c>
      <c r="D371" s="3">
        <v>5.0</v>
      </c>
    </row>
    <row r="372" ht="15.75" customHeight="1">
      <c r="A372" s="1">
        <v>370.0</v>
      </c>
      <c r="B372" s="3" t="s">
        <v>373</v>
      </c>
      <c r="C372" s="3" t="str">
        <f>IFERROR(__xludf.DUMMYFUNCTION("GOOGLETRANSLATE(B372,""id"",""en"")"),"['difficult', 'open', 'application', 'error', 'mulu', 'difficult', 'check', 'pulse', 'quota', 'buy', 'packetan', ""]")</f>
        <v>['difficult', 'open', 'application', 'error', 'mulu', 'difficult', 'check', 'pulse', 'quota', 'buy', 'packetan', "]</v>
      </c>
      <c r="D372" s="3">
        <v>2.0</v>
      </c>
    </row>
    <row r="373" ht="15.75" customHeight="1">
      <c r="A373" s="1">
        <v>371.0</v>
      </c>
      <c r="B373" s="3" t="s">
        <v>374</v>
      </c>
      <c r="C373" s="3" t="str">
        <f>IFERROR(__xludf.DUMMYFUNCTION("GOOGLETRANSLATE(B373,""id"",""en"")"),"['', 'Region', 'Sinyal', 'Good', 'Indosat', 'Price', 'Cheap', 'Promo', ""]")</f>
        <v>['', 'Region', 'Sinyal', 'Good', 'Indosat', 'Price', 'Cheap', 'Promo', "]</v>
      </c>
      <c r="D373" s="3">
        <v>5.0</v>
      </c>
    </row>
    <row r="374" ht="15.75" customHeight="1">
      <c r="A374" s="1">
        <v>372.0</v>
      </c>
      <c r="B374" s="3" t="s">
        <v>375</v>
      </c>
      <c r="C374" s="3" t="str">
        <f>IFERROR(__xludf.DUMMYFUNCTION("GOOGLETRANSLATE(B374,""id"",""en"")"),"['Bad', 'company', 'application', 'stable', '']")</f>
        <v>['Bad', 'company', 'application', 'stable', '']</v>
      </c>
      <c r="D374" s="3">
        <v>1.0</v>
      </c>
    </row>
    <row r="375" ht="15.75" customHeight="1">
      <c r="A375" s="1">
        <v>373.0</v>
      </c>
      <c r="B375" s="3" t="s">
        <v>376</v>
      </c>
      <c r="C375" s="3" t="str">
        <f>IFERROR(__xludf.DUMMYFUNCTION("GOOGLETRANSLATE(B375,""id"",""en"")"),"['Application', 'people', 'sick', 'Limit', 'lazy', 'mimin', 'please', 'delete', 'application', 'annoyed', 'limit', ""]")</f>
        <v>['Application', 'people', 'sick', 'Limit', 'lazy', 'mimin', 'please', 'delete', 'application', 'annoyed', 'limit', "]</v>
      </c>
      <c r="D375" s="3">
        <v>1.0</v>
      </c>
    </row>
    <row r="376" ht="15.75" customHeight="1">
      <c r="A376" s="1">
        <v>374.0</v>
      </c>
      <c r="B376" s="3" t="s">
        <v>377</v>
      </c>
      <c r="C376" s="3" t="str">
        <f>IFERROR(__xludf.DUMMYFUNCTION("GOOGLETRANSLATE(B376,""id"",""en"")"),"['Disappointed', 'Telkomsel', 'Karna', 'Quota', 'Game', 'Max', 'PKE', 'FreeFiree', 'Sya', 'Please', 'Package', 'Gamemax', ' Use ',' Play ',' GAM ',' Free ',' Free ',' Telkomsel ',' ASE ',' NEWS ',' LEMOT ',' Anjen ']")</f>
        <v>['Disappointed', 'Telkomsel', 'Karna', 'Quota', 'Game', 'Max', 'PKE', 'FreeFiree', 'Sya', 'Please', 'Package', 'Gamemax', ' Use ',' Play ',' GAM ',' Free ',' Free ',' Telkomsel ',' ASE ',' NEWS ',' LEMOT ',' Anjen ']</v>
      </c>
      <c r="D376" s="3">
        <v>1.0</v>
      </c>
    </row>
    <row r="377" ht="15.75" customHeight="1">
      <c r="A377" s="1">
        <v>375.0</v>
      </c>
      <c r="B377" s="3" t="s">
        <v>378</v>
      </c>
      <c r="C377" s="3" t="str">
        <f>IFERROR(__xludf.DUMMYFUNCTION("GOOGLETRANSLATE(B377,""id"",""en"")"),"['Hallo', 'Telkomsel', 'quota', 'dpi', 'access', '']")</f>
        <v>['Hallo', 'Telkomsel', 'quota', 'dpi', 'access', '']</v>
      </c>
      <c r="D377" s="3">
        <v>4.0</v>
      </c>
    </row>
    <row r="378" ht="15.75" customHeight="1">
      <c r="A378" s="1">
        <v>376.0</v>
      </c>
      <c r="B378" s="3" t="s">
        <v>379</v>
      </c>
      <c r="C378" s="3" t="str">
        <f>IFERROR(__xludf.DUMMYFUNCTION("GOOGLETRANSLATE(B378,""id"",""en"")"),"['Update', 'Notification', 'Nongol', 'just', 'annoying', ""]")</f>
        <v>['Update', 'Notification', 'Nongol', 'just', 'annoying', "]</v>
      </c>
      <c r="D378" s="3">
        <v>1.0</v>
      </c>
    </row>
    <row r="379" ht="15.75" customHeight="1">
      <c r="A379" s="1">
        <v>377.0</v>
      </c>
      <c r="B379" s="3" t="s">
        <v>380</v>
      </c>
      <c r="C379" s="3" t="str">
        <f>IFERROR(__xludf.DUMMYFUNCTION("GOOGLETRANSLATE(B379,""id"",""en"")"),"['network', 'Telkomsel', 'miss',' slow ',' keeting ',' Perawang ',' Riau ',' use ',' package ',' loading ',' continued ',' Mutah ',' Marning ',' dizzy ',' head ',' how ',' love ',' star ',' best ',' ']")</f>
        <v>['network', 'Telkomsel', 'miss',' slow ',' keeting ',' Perawang ',' Riau ',' use ',' package ',' loading ',' continued ',' Mutah ',' Marning ',' dizzy ',' head ',' how ',' love ',' star ',' best ',' ']</v>
      </c>
      <c r="D379" s="3">
        <v>1.0</v>
      </c>
    </row>
    <row r="380" ht="15.75" customHeight="1">
      <c r="A380" s="1">
        <v>378.0</v>
      </c>
      <c r="B380" s="3" t="s">
        <v>381</v>
      </c>
      <c r="C380" s="3" t="str">
        <f>IFERROR(__xludf.DUMMYFUNCTION("GOOGLETRANSLATE(B380,""id"",""en"")"),"['service', 'Telkomsel', 'good', 'increase', 'service', 'customer', '']")</f>
        <v>['service', 'Telkomsel', 'good', 'increase', 'service', 'customer', '']</v>
      </c>
      <c r="D380" s="3">
        <v>4.0</v>
      </c>
    </row>
    <row r="381" ht="15.75" customHeight="1">
      <c r="A381" s="1">
        <v>379.0</v>
      </c>
      <c r="B381" s="3" t="s">
        <v>382</v>
      </c>
      <c r="C381" s="3" t="str">
        <f>IFERROR(__xludf.DUMMYFUNCTION("GOOGLETRANSLATE(B381,""id"",""en"")"),"['quota', 'internet', 'Telkomsel', 'used', 'online', 'help', 'wifi', 'at home', 'buffering', 'expensive', 'gapapa', 'good', ' quality ',' boss', 'disappointed']")</f>
        <v>['quota', 'internet', 'Telkomsel', 'used', 'online', 'help', 'wifi', 'at home', 'buffering', 'expensive', 'gapapa', 'good', ' quality ',' boss', 'disappointed']</v>
      </c>
      <c r="D381" s="3">
        <v>1.0</v>
      </c>
    </row>
    <row r="382" ht="15.75" customHeight="1">
      <c r="A382" s="1">
        <v>380.0</v>
      </c>
      <c r="B382" s="3" t="s">
        <v>383</v>
      </c>
      <c r="C382" s="3" t="str">
        <f>IFERROR(__xludf.DUMMYFUNCTION("GOOGLETRANSLATE(B382,""id"",""en"")"),"['Disappointed', 'Packed', 'Written', 'Oaket', 'Multimedia', 'Games', 'GB', 'Login', 'Game', 'Ngaco']")</f>
        <v>['Disappointed', 'Packed', 'Written', 'Oaket', 'Multimedia', 'Games', 'GB', 'Login', 'Game', 'Ngaco']</v>
      </c>
      <c r="D382" s="3">
        <v>1.0</v>
      </c>
    </row>
    <row r="383" ht="15.75" customHeight="1">
      <c r="A383" s="1">
        <v>381.0</v>
      </c>
      <c r="B383" s="3" t="s">
        <v>384</v>
      </c>
      <c r="C383" s="3" t="str">
        <f>IFERROR(__xludf.DUMMYFUNCTION("GOOGLETRANSLATE(B383,""id"",""en"")"),"['Pay', 'Post', 'Pay', 'Quota', 'Inet', 'Out', 'BLM', 'Dipake', 'Network', 'Maximal', 'Booster', 'Fix', ' Cheat ']")</f>
        <v>['Pay', 'Post', 'Pay', 'Quota', 'Inet', 'Out', 'BLM', 'Dipake', 'Network', 'Maximal', 'Booster', 'Fix', ' Cheat ']</v>
      </c>
      <c r="D383" s="3">
        <v>1.0</v>
      </c>
    </row>
    <row r="384" ht="15.75" customHeight="1">
      <c r="A384" s="1">
        <v>382.0</v>
      </c>
      <c r="B384" s="3" t="s">
        <v>385</v>
      </c>
      <c r="C384" s="3" t="str">
        <f>IFERROR(__xludf.DUMMYFUNCTION("GOOGLETRANSLATE(B384,""id"",""en"")"),"['card', 'buy', 'package', 'expensive', 'yaa', 'pdhl', 'number', 'yrs', 'cook', 'lose', 'card', ""]")</f>
        <v>['card', 'buy', 'package', 'expensive', 'yaa', 'pdhl', 'number', 'yrs', 'cook', 'lose', 'card', "]</v>
      </c>
      <c r="D384" s="3">
        <v>1.0</v>
      </c>
    </row>
    <row r="385" ht="15.75" customHeight="1">
      <c r="A385" s="1">
        <v>383.0</v>
      </c>
      <c r="B385" s="3" t="s">
        <v>386</v>
      </c>
      <c r="C385" s="3" t="str">
        <f>IFERROR(__xludf.DUMMYFUNCTION("GOOGLETRANSLATE(B385,""id"",""en"")"),"['Network', 'Telkom', 'recover', 'detrimental', 'week', 'network', 'satisfying']")</f>
        <v>['Network', 'Telkom', 'recover', 'detrimental', 'week', 'network', 'satisfying']</v>
      </c>
      <c r="D385" s="3">
        <v>1.0</v>
      </c>
    </row>
    <row r="386" ht="15.75" customHeight="1">
      <c r="A386" s="1">
        <v>384.0</v>
      </c>
      <c r="B386" s="3" t="s">
        <v>387</v>
      </c>
      <c r="C386" s="3" t="str">
        <f>IFERROR(__xludf.DUMMYFUNCTION("GOOGLETRANSLATE(B386,""id"",""en"")"),"['Star', 'Anyway', 'Karna', 'Advantages', 'Telkomsel', 'Eat', 'Data', 'Fast']")</f>
        <v>['Star', 'Anyway', 'Karna', 'Advantages', 'Telkomsel', 'Eat', 'Data', 'Fast']</v>
      </c>
      <c r="D386" s="3">
        <v>5.0</v>
      </c>
    </row>
    <row r="387" ht="15.75" customHeight="1">
      <c r="A387" s="1">
        <v>385.0</v>
      </c>
      <c r="B387" s="3" t="s">
        <v>388</v>
      </c>
      <c r="C387" s="3" t="str">
        <f>IFERROR(__xludf.DUMMYFUNCTION("GOOGLETRANSLATE(B387,""id"",""en"")"),"['Telkomsel', 'Siknal', 'good', 'expensive', 'BUMN', 'populat', 'private', 'cheap', 'inverted', 'private', 'expensive', ""]")</f>
        <v>['Telkomsel', 'Siknal', 'good', 'expensive', 'BUMN', 'populat', 'private', 'cheap', 'inverted', 'private', 'expensive', "]</v>
      </c>
      <c r="D387" s="3">
        <v>1.0</v>
      </c>
    </row>
    <row r="388" ht="15.75" customHeight="1">
      <c r="A388" s="1">
        <v>386.0</v>
      </c>
      <c r="B388" s="3" t="s">
        <v>389</v>
      </c>
      <c r="C388" s="3" t="str">
        <f>IFERROR(__xludf.DUMMYFUNCTION("GOOGLETRANSLATE(B388,""id"",""en"")"),"['', 'Nia', 'Search', 'Network', 'Jau', 'That's',' Sakarang ',' Signal ',' Telkomeel ',' Already ',' Houses', 'Asik', 'Deh ',' Anyway ',' Card ',' Telkomsel ']")</f>
        <v>['', 'Nia', 'Search', 'Network', 'Jau', 'That's',' Sakarang ',' Signal ',' Telkomeel ',' Already ',' Houses', 'Asik', 'Deh ',' Anyway ',' Card ',' Telkomsel ']</v>
      </c>
      <c r="D388" s="3">
        <v>5.0</v>
      </c>
    </row>
    <row r="389" ht="15.75" customHeight="1">
      <c r="A389" s="1">
        <v>387.0</v>
      </c>
      <c r="B389" s="3" t="s">
        <v>390</v>
      </c>
      <c r="C389" s="3" t="str">
        <f>IFERROR(__xludf.DUMMYFUNCTION("GOOGLETRANSLATE(B389,""id"",""en"")"),"['The application', 'heavy', 'open', 'plus',' quality ',' internet ',' bad ',' application ',' opened ',' network ',' internet ',' graph ',' term ',' minutes', 'graph', 'beats',' heart ',' tool ',' medical ',' ']")</f>
        <v>['The application', 'heavy', 'open', 'plus',' quality ',' internet ',' bad ',' application ',' opened ',' network ',' internet ',' graph ',' term ',' minutes', 'graph', 'beats',' heart ',' tool ',' medical ',' ']</v>
      </c>
      <c r="D389" s="3">
        <v>2.0</v>
      </c>
    </row>
    <row r="390" ht="15.75" customHeight="1">
      <c r="A390" s="1">
        <v>388.0</v>
      </c>
      <c r="B390" s="3" t="s">
        <v>391</v>
      </c>
      <c r="C390" s="3" t="str">
        <f>IFERROR(__xludf.DUMMYFUNCTION("GOOGLETRANSLATE(B390,""id"",""en"")"),"['Contents', 'quota', 'Telkomsel', 'enter', 'enter', 'response', 'customer', 'services', 'sanagat', 'slow', 'solution']")</f>
        <v>['Contents', 'quota', 'Telkomsel', 'enter', 'enter', 'response', 'customer', 'services', 'sanagat', 'slow', 'solution']</v>
      </c>
      <c r="D390" s="3">
        <v>1.0</v>
      </c>
    </row>
    <row r="391" ht="15.75" customHeight="1">
      <c r="A391" s="1">
        <v>389.0</v>
      </c>
      <c r="B391" s="3" t="s">
        <v>392</v>
      </c>
      <c r="C391" s="3" t="str">
        <f>IFERROR(__xludf.DUMMYFUNCTION("GOOGLETRANSLATE(B391,""id"",""en"")"),"['Huftttt', 'network', 'Telkomsel', 'emotion', 'ngelegnya', 'yaa', 'ampunn', 'severe', 'bgtt', 'price', 'Mahall']")</f>
        <v>['Huftttt', 'network', 'Telkomsel', 'emotion', 'ngelegnya', 'yaa', 'ampunn', 'severe', 'bgtt', 'price', 'Mahall']</v>
      </c>
      <c r="D391" s="3">
        <v>1.0</v>
      </c>
    </row>
    <row r="392" ht="15.75" customHeight="1">
      <c r="A392" s="1">
        <v>390.0</v>
      </c>
      <c r="B392" s="3" t="s">
        <v>393</v>
      </c>
      <c r="C392" s="3" t="str">
        <f>IFERROR(__xludf.DUMMYFUNCTION("GOOGLETRANSLATE(B392,""id"",""en"")"),"['Deceived', 'credit', 'Ludes',' Read ',' News', 'Facebook', 'appears',' offer ',' package ',' there ',' annoying ',' right ',' Cancel ',' Activation ',' Fast ',' Click ',' Notif ',' Loss', 'Credit']")</f>
        <v>['Deceived', 'credit', 'Ludes',' Read ',' News', 'Facebook', 'appears',' offer ',' package ',' there ',' annoying ',' right ',' Cancel ',' Activation ',' Fast ',' Click ',' Notif ',' Loss', 'Credit']</v>
      </c>
      <c r="D392" s="3">
        <v>1.0</v>
      </c>
    </row>
    <row r="393" ht="15.75" customHeight="1">
      <c r="A393" s="1">
        <v>391.0</v>
      </c>
      <c r="B393" s="3" t="s">
        <v>394</v>
      </c>
      <c r="C393" s="3" t="str">
        <f>IFERROR(__xludf.DUMMYFUNCTION("GOOGLETRANSLATE(B393,""id"",""en"")"),"['Telkomsel', 'suggestion', 'input', 'Try', 'Addin', 'Features',' Application ',' Telkomsel ',' pulses', 'exchanged', 'money', 'number', ' Account ',' ewalet ',' that's', '']")</f>
        <v>['Telkomsel', 'suggestion', 'input', 'Try', 'Addin', 'Features',' Application ',' Telkomsel ',' pulses', 'exchanged', 'money', 'number', ' Account ',' ewalet ',' that's', '']</v>
      </c>
      <c r="D393" s="3">
        <v>4.0</v>
      </c>
    </row>
    <row r="394" ht="15.75" customHeight="1">
      <c r="A394" s="1">
        <v>392.0</v>
      </c>
      <c r="B394" s="3" t="s">
        <v>395</v>
      </c>
      <c r="C394" s="3" t="str">
        <f>IFERROR(__xludf.DUMMYFUNCTION("GOOGLETRANSLATE(B394,""id"",""en"")"),"['network', 'smakin', 'smooth', 'quota', 'network', 'signal', 'full', 'tpi', 'slow', 'sometimes',' internet ',' road ',' ']")</f>
        <v>['network', 'smakin', 'smooth', 'quota', 'network', 'signal', 'full', 'tpi', 'slow', 'sometimes',' internet ',' road ',' ']</v>
      </c>
      <c r="D394" s="3">
        <v>1.0</v>
      </c>
    </row>
    <row r="395" ht="15.75" customHeight="1">
      <c r="A395" s="1">
        <v>393.0</v>
      </c>
      <c r="B395" s="3" t="s">
        <v>396</v>
      </c>
      <c r="C395" s="3" t="str">
        <f>IFERROR(__xludf.DUMMYFUNCTION("GOOGLETRANSLATE(B395,""id"",""en"")"),"['Tissue', 'Telkomsel', 'Severe', 'Exact', 'Date', 'September', 'Stay', 'City', 'Medan', 'Severe', 'Network', 'Telkomsel', ' Switch ',' Change ',' card ',' ']")</f>
        <v>['Tissue', 'Telkomsel', 'Severe', 'Exact', 'Date', 'September', 'Stay', 'City', 'Medan', 'Severe', 'Network', 'Telkomsel', ' Switch ',' Change ',' card ',' ']</v>
      </c>
      <c r="D395" s="3">
        <v>1.0</v>
      </c>
    </row>
    <row r="396" ht="15.75" customHeight="1">
      <c r="A396" s="1">
        <v>394.0</v>
      </c>
      <c r="B396" s="3" t="s">
        <v>397</v>
      </c>
      <c r="C396" s="3" t="str">
        <f>IFERROR(__xludf.DUMMYFUNCTION("GOOGLETRANSLATE(B396,""id"",""en"")"),"['Satisfied', 'card', 'Hello', 'pulse', 'run out', 'Need', 'contents', 'pulse', ""]")</f>
        <v>['Satisfied', 'card', 'Hello', 'pulse', 'run out', 'Need', 'contents', 'pulse', "]</v>
      </c>
      <c r="D396" s="3">
        <v>3.0</v>
      </c>
    </row>
    <row r="397" ht="15.75" customHeight="1">
      <c r="A397" s="1">
        <v>395.0</v>
      </c>
      <c r="B397" s="3" t="s">
        <v>398</v>
      </c>
      <c r="C397" s="3" t="str">
        <f>IFERROR(__xludf.DUMMYFUNCTION("GOOGLETRANSLATE(B397,""id"",""en"")"),"['', 'network', 'down', 'pulse', 'consumed', 'sms', 'telephone', 'internet', '']")</f>
        <v>['', 'network', 'down', 'pulse', 'consumed', 'sms', 'telephone', 'internet', '']</v>
      </c>
      <c r="D397" s="3">
        <v>1.0</v>
      </c>
    </row>
    <row r="398" ht="15.75" customHeight="1">
      <c r="A398" s="1">
        <v>396.0</v>
      </c>
      <c r="B398" s="3" t="s">
        <v>399</v>
      </c>
      <c r="C398" s="3" t="str">
        <f>IFERROR(__xludf.DUMMYFUNCTION("GOOGLETRANSLATE(B398,""id"",""en"")"),"['Please', 'Telkomsel', 'Nge', 'Nawarin', 'User', 'Disturbed', '']")</f>
        <v>['Please', 'Telkomsel', 'Nge', 'Nawarin', 'User', 'Disturbed', '']</v>
      </c>
      <c r="D398" s="3">
        <v>1.0</v>
      </c>
    </row>
    <row r="399" ht="15.75" customHeight="1">
      <c r="A399" s="1">
        <v>397.0</v>
      </c>
      <c r="B399" s="3" t="s">
        <v>400</v>
      </c>
      <c r="C399" s="3" t="str">
        <f>IFERROR(__xludf.DUMMYFUNCTION("GOOGLETRANSLATE(B399,""id"",""en"")"),"['Cave', 'confused', 'deh', 'cave', 'already', 'buy', 'quota', 'price', 'quota', 'mulu', 'rise', 'hmm']")</f>
        <v>['Cave', 'confused', 'deh', 'cave', 'already', 'buy', 'quota', 'price', 'quota', 'mulu', 'rise', 'hmm']</v>
      </c>
      <c r="D399" s="3">
        <v>2.0</v>
      </c>
    </row>
    <row r="400" ht="15.75" customHeight="1">
      <c r="A400" s="1">
        <v>398.0</v>
      </c>
      <c r="B400" s="3" t="s">
        <v>401</v>
      </c>
      <c r="C400" s="3" t="str">
        <f>IFERROR(__xludf.DUMMYFUNCTION("GOOGLETRANSLATE(B400,""id"",""en"")"),"['Sometimes', 'Ngelag', 'Please', 'Improvement', 'Min', 'Thank you', 'Credit', 'Reduced', 'Min', ""]")</f>
        <v>['Sometimes', 'Ngelag', 'Please', 'Improvement', 'Min', 'Thank you', 'Credit', 'Reduced', 'Min', "]</v>
      </c>
      <c r="D400" s="3">
        <v>2.0</v>
      </c>
    </row>
    <row r="401" ht="15.75" customHeight="1">
      <c r="A401" s="1">
        <v>399.0</v>
      </c>
      <c r="B401" s="3" t="s">
        <v>402</v>
      </c>
      <c r="C401" s="3" t="str">
        <f>IFERROR(__xludf.DUMMYFUNCTION("GOOGLETRANSLATE(B401,""id"",""en"")"),"['', 'telephone', 'marketing', 'told', 'move', 'post', 'pay', 'agree', 'note', 'bln', 'pre', 'pay', 'month ',' usage ',' stop ',' subscribe ',' card ',' scorched ',' koq ',' telkomsel ']")</f>
        <v>['', 'telephone', 'marketing', 'told', 'move', 'post', 'pay', 'agree', 'note', 'bln', 'pre', 'pay', 'month ',' usage ',' stop ',' subscribe ',' card ',' scorched ',' koq ',' telkomsel ']</v>
      </c>
      <c r="D401" s="3">
        <v>1.0</v>
      </c>
    </row>
    <row r="402" ht="15.75" customHeight="1">
      <c r="A402" s="1">
        <v>400.0</v>
      </c>
      <c r="B402" s="3" t="s">
        <v>403</v>
      </c>
      <c r="C402" s="3" t="str">
        <f>IFERROR(__xludf.DUMMYFUNCTION("GOOGLETRANSLATE(B402,""id"",""en"")"),"['signal', 'ugly', 'ugly', 'buy', 'quota', 'price', 'can', 'signal', 'sgt', 'slow', 'send', 'chat', ' WhatsApp ',' Leet ',' Please ',' Read ',' Help ',' How ',' Completion ',' City ',' Tanjung ',' Pura ',' North ',' North ']")</f>
        <v>['signal', 'ugly', 'ugly', 'buy', 'quota', 'price', 'can', 'signal', 'sgt', 'slow', 'send', 'chat', ' WhatsApp ',' Leet ',' Please ',' Read ',' Help ',' How ',' Completion ',' City ',' Tanjung ',' Pura ',' North ',' North ']</v>
      </c>
      <c r="D402" s="3">
        <v>1.0</v>
      </c>
    </row>
    <row r="403" ht="15.75" customHeight="1">
      <c r="A403" s="1">
        <v>401.0</v>
      </c>
      <c r="B403" s="3" t="s">
        <v>404</v>
      </c>
      <c r="C403" s="3" t="str">
        <f>IFERROR(__xludf.DUMMYFUNCTION("GOOGLETRANSLATE(B403,""id"",""en"")"),"['signal', 'data', 'slow', 'slow', 'make', 'Telkomsel', 'improvement', 'speed', 'data', '']")</f>
        <v>['signal', 'data', 'slow', 'slow', 'make', 'Telkomsel', 'improvement', 'speed', 'data', '']</v>
      </c>
      <c r="D403" s="3">
        <v>1.0</v>
      </c>
    </row>
    <row r="404" ht="15.75" customHeight="1">
      <c r="A404" s="1">
        <v>402.0</v>
      </c>
      <c r="B404" s="3" t="s">
        <v>405</v>
      </c>
      <c r="C404" s="3" t="str">
        <f>IFERROR(__xludf.DUMMYFUNCTION("GOOGLETRANSLATE(B404,""id"",""en"")"),"['ugly', 'good', 'for days',' network ',' chaotic ',' access', 'internet', 'maklumi', 'indeed', 'internet', 'free', 'indeed', ' package ',' internet ',' Telkomsel ',' cheap ',' customer ',' disappointed ',' responsibility ',' activity ',' work ',' disturb"&amp;"ed ',' network ',' good ',' stable ' , 'Reach', 'Area', 'Upgrade', '']")</f>
        <v>['ugly', 'good', 'for days',' network ',' chaotic ',' access', 'internet', 'maklumi', 'indeed', 'internet', 'free', 'indeed', ' package ',' internet ',' Telkomsel ',' cheap ',' customer ',' disappointed ',' responsibility ',' activity ',' work ',' disturbed ',' network ',' good ',' stable ' , 'Reach', 'Area', 'Upgrade', '']</v>
      </c>
      <c r="D404" s="3">
        <v>1.0</v>
      </c>
    </row>
    <row r="405" ht="15.75" customHeight="1">
      <c r="A405" s="1">
        <v>403.0</v>
      </c>
      <c r="B405" s="3" t="s">
        <v>406</v>
      </c>
      <c r="C405" s="3" t="str">
        <f>IFERROR(__xludf.DUMMYFUNCTION("GOOGLETRANSLATE(B405,""id"",""en"")"),"['poor', 'Telkomsel', 'star', 'UDH', 'buy', 'pulse', 'take', 'package', 'end', 'pulse', 'missing', ""]")</f>
        <v>['poor', 'Telkomsel', 'star', 'UDH', 'buy', 'pulse', 'take', 'package', 'end', 'pulse', 'missing', "]</v>
      </c>
      <c r="D405" s="3">
        <v>2.0</v>
      </c>
    </row>
    <row r="406" ht="15.75" customHeight="1">
      <c r="A406" s="1">
        <v>404.0</v>
      </c>
      <c r="B406" s="3" t="s">
        <v>407</v>
      </c>
      <c r="C406" s="3" t="str">
        <f>IFERROR(__xludf.DUMMYFUNCTION("GOOGLETRANSLATE(B406,""id"",""en"")"),"['Liked', 'AFK', 'Hnya', 'Trima', 'Love', 'Success', ""]")</f>
        <v>['Liked', 'AFK', 'Hnya', 'Trima', 'Love', 'Success', "]</v>
      </c>
      <c r="D406" s="3">
        <v>4.0</v>
      </c>
    </row>
    <row r="407" ht="15.75" customHeight="1">
      <c r="A407" s="1">
        <v>405.0</v>
      </c>
      <c r="B407" s="3" t="s">
        <v>408</v>
      </c>
      <c r="C407" s="3" t="str">
        <f>IFERROR(__xludf.DUMMYFUNCTION("GOOGLETRANSLATE(B407,""id"",""en"")"),"['signal', 'slow', 'ngalain', 'snail', 'package', 'expensive', 'lose', 'exis',' im ',' lma ',' gini ',' mending ',' Move ',' card ',' ']")</f>
        <v>['signal', 'slow', 'ngalain', 'snail', 'package', 'expensive', 'lose', 'exis',' im ',' lma ',' gini ',' mending ',' Move ',' card ',' ']</v>
      </c>
      <c r="D407" s="3">
        <v>1.0</v>
      </c>
    </row>
    <row r="408" ht="15.75" customHeight="1">
      <c r="A408" s="1">
        <v>406.0</v>
      </c>
      <c r="B408" s="3" t="s">
        <v>409</v>
      </c>
      <c r="C408" s="3" t="str">
        <f>IFERROR(__xludf.DUMMYFUNCTION("GOOGLETRANSLATE(B408,""id"",""en"")"),"['Lemot', 'Severe', 'Jakarta', 'Auto', 'Discard', 'Card', 'Change', 'Indosat', 'Telkomsel', 'Disappointing', 'Bagus',' Severe ',' Package ',' Data ',' GB ',' Open ',' Game ',' Hadehhhhh ']")</f>
        <v>['Lemot', 'Severe', 'Jakarta', 'Auto', 'Discard', 'Card', 'Change', 'Indosat', 'Telkomsel', 'Disappointing', 'Bagus',' Severe ',' Package ',' Data ',' GB ',' Open ',' Game ',' Hadehhhhh ']</v>
      </c>
      <c r="D408" s="3">
        <v>1.0</v>
      </c>
    </row>
    <row r="409" ht="15.75" customHeight="1">
      <c r="A409" s="1">
        <v>407.0</v>
      </c>
      <c r="B409" s="3" t="s">
        <v>410</v>
      </c>
      <c r="C409" s="3" t="str">
        <f>IFERROR(__xludf.DUMMYFUNCTION("GOOGLETRANSLATE(B409,""id"",""en"")"),"['Network', 'Telkomsel', 'Expanded', 'Reinforced', 'Consumer', 'Disappointed', 'Region', 'Support', 'Network', 'Telkomsel', 'Advertising', 'Network', ' The widest ',' please ',' Read ']")</f>
        <v>['Network', 'Telkomsel', 'Expanded', 'Reinforced', 'Consumer', 'Disappointed', 'Region', 'Support', 'Network', 'Telkomsel', 'Advertising', 'Network', ' The widest ',' please ',' Read ']</v>
      </c>
      <c r="D409" s="3">
        <v>1.0</v>
      </c>
    </row>
    <row r="410" ht="15.75" customHeight="1">
      <c r="A410" s="1">
        <v>408.0</v>
      </c>
      <c r="B410" s="3" t="s">
        <v>411</v>
      </c>
      <c r="C410" s="3" t="str">
        <f>IFERROR(__xludf.DUMMYFUNCTION("GOOGLETRANSLATE(B410,""id"",""en"")"),"['Dear', 'Telkomsel', 'Dear', 'gift', 'giveaway', 'Instagram', 'MLM', 'Date', 'March', 'transfer', 'balance', 'Gopay', ' php ',' giveaway ',' lose ',' pay ',' gift ',' enter ',' gift ',' visits', 'intention', 'love', 'gift', 'giveaway', 'Instagram' , '']")</f>
        <v>['Dear', 'Telkomsel', 'Dear', 'gift', 'giveaway', 'Instagram', 'MLM', 'Date', 'March', 'transfer', 'balance', 'Gopay', ' php ',' giveaway ',' lose ',' pay ',' gift ',' enter ',' gift ',' visits', 'intention', 'love', 'gift', 'giveaway', 'Instagram' , '']</v>
      </c>
      <c r="D410" s="3">
        <v>1.0</v>
      </c>
    </row>
    <row r="411" ht="15.75" customHeight="1">
      <c r="A411" s="1">
        <v>409.0</v>
      </c>
      <c r="B411" s="3" t="s">
        <v>412</v>
      </c>
      <c r="C411" s="3" t="str">
        <f>IFERROR(__xludf.DUMMYFUNCTION("GOOGLETRANSLATE(B411,""id"",""en"")"),"['Good', 'information', 'quota', 'chased', 'told', 'chat', 'ama', 'bot', ""]")</f>
        <v>['Good', 'information', 'quota', 'chased', 'told', 'chat', 'ama', 'bot', "]</v>
      </c>
      <c r="D411" s="3">
        <v>1.0</v>
      </c>
    </row>
    <row r="412" ht="15.75" customHeight="1">
      <c r="A412" s="1">
        <v>410.0</v>
      </c>
      <c r="B412" s="3" t="s">
        <v>413</v>
      </c>
      <c r="C412" s="3" t="str">
        <f>IFERROR(__xludf.DUMMYFUNCTION("GOOGLETRANSLATE(B412,""id"",""en"")"),"['Network', 'destroyed', 'work', 'work', 'backward']")</f>
        <v>['Network', 'destroyed', 'work', 'work', 'backward']</v>
      </c>
      <c r="D412" s="3">
        <v>1.0</v>
      </c>
    </row>
    <row r="413" ht="15.75" customHeight="1">
      <c r="A413" s="1">
        <v>411.0</v>
      </c>
      <c r="B413" s="3" t="s">
        <v>414</v>
      </c>
      <c r="C413" s="3" t="str">
        <f>IFERROR(__xludf.DUMMYFUNCTION("GOOGLETRANSLATE(B413,""id"",""en"")"),"['The package', 'cheap', 'it's network', 'down', 'incomer', 'gini', 'no', 'kek', 'gini']")</f>
        <v>['The package', 'cheap', 'it's network', 'down', 'incomer', 'gini', 'no', 'kek', 'gini']</v>
      </c>
      <c r="D413" s="3">
        <v>5.0</v>
      </c>
    </row>
    <row r="414" ht="15.75" customHeight="1">
      <c r="A414" s="1">
        <v>412.0</v>
      </c>
      <c r="B414" s="3" t="s">
        <v>415</v>
      </c>
      <c r="C414" s="3" t="str">
        <f>IFERROR(__xludf.DUMMYFUNCTION("GOOGLETRANSLATE(B414,""id"",""en"")"),"['APK', 'Points',' Win ',' People ',' Dlam ',' Sya ',' already ',' Undinag ',' Points', 'pulse', 'PDAH', 'Points',' Exchange ',' fraud ',' cunning ',' package ',' expensive ',' signalny ',' slalu ',' error ',' APK ',' pulse ',' truncated ',' spent ',' foo"&amp;"ling ' , '']")</f>
        <v>['APK', 'Points',' Win ',' People ',' Dlam ',' Sya ',' already ',' Undinag ',' Points', 'pulse', 'PDAH', 'Points',' Exchange ',' fraud ',' cunning ',' package ',' expensive ',' signalny ',' slalu ',' error ',' APK ',' pulse ',' truncated ',' spent ',' fooling ' , '']</v>
      </c>
      <c r="D414" s="3">
        <v>1.0</v>
      </c>
    </row>
    <row r="415" ht="15.75" customHeight="1">
      <c r="A415" s="1">
        <v>413.0</v>
      </c>
      <c r="B415" s="3" t="s">
        <v>416</v>
      </c>
      <c r="C415" s="3" t="str">
        <f>IFERROR(__xludf.DUMMYFUNCTION("GOOGLETRANSLATE(B415,""id"",""en"")"),"['Costumer', 'Service', 'Bot', 'Gaada', 'Live', 'Promo', 'Shopeepay', 'already', 'apply', 'Period', ""]")</f>
        <v>['Costumer', 'Service', 'Bot', 'Gaada', 'Live', 'Promo', 'Shopeepay', 'already', 'apply', 'Period', "]</v>
      </c>
      <c r="D415" s="3">
        <v>1.0</v>
      </c>
    </row>
    <row r="416" ht="15.75" customHeight="1">
      <c r="A416" s="1">
        <v>414.0</v>
      </c>
      <c r="B416" s="3" t="s">
        <v>417</v>
      </c>
      <c r="C416" s="3" t="str">
        <f>IFERROR(__xludf.DUMMYFUNCTION("GOOGLETRANSLATE(B416,""id"",""en"")"),"['pulse', 'sucked', 'reason', 'call', 'so', 'minutes',' call ',' check ',' call ',' please ',' pay attention ',' complaint ',' Consumers', 'as' as' cards',' Telkomsel ',' already ',' hmpir ',' ten ',' use ',' please ',' check ',' imptive ']")</f>
        <v>['pulse', 'sucked', 'reason', 'call', 'so', 'minutes',' call ',' check ',' call ',' please ',' pay attention ',' complaint ',' Consumers', 'as' as' cards',' Telkomsel ',' already ',' hmpir ',' ten ',' use ',' please ',' check ',' imptive ']</v>
      </c>
      <c r="D416" s="3">
        <v>3.0</v>
      </c>
    </row>
    <row r="417" ht="15.75" customHeight="1">
      <c r="A417" s="1">
        <v>415.0</v>
      </c>
      <c r="B417" s="3" t="s">
        <v>418</v>
      </c>
      <c r="C417" s="3" t="str">
        <f>IFERROR(__xludf.DUMMYFUNCTION("GOOGLETRANSLATE(B417,""id"",""en"")"),"['Please', 'min', 'connection', 'network', 'fixed', 'gada', 'ujan', 'meek', 'weather', 'bright', 'no', 'dlu', ' good ',' signal ',' we ',' need ',' konseski ',' min ',' repaired ',' again ',' thank you ', ""]")</f>
        <v>['Please', 'min', 'connection', 'network', 'fixed', 'gada', 'ujan', 'meek', 'weather', 'bright', 'no', 'dlu', ' good ',' signal ',' we ',' need ',' konseski ',' min ',' repaired ',' again ',' thank you ', "]</v>
      </c>
      <c r="D417" s="3">
        <v>5.0</v>
      </c>
    </row>
    <row r="418" ht="15.75" customHeight="1">
      <c r="A418" s="1">
        <v>416.0</v>
      </c>
      <c r="B418" s="3" t="s">
        <v>419</v>
      </c>
      <c r="C418" s="3" t="str">
        <f>IFERROR(__xludf.DUMMYFUNCTION("GOOGLETRANSLATE(B418,""id"",""en"")"),"['users',' Telkomsel ',' Offer ',' Switch ',' Card ',' Hello ',' Telkomsel ',' Network ',' ugly ',' Lost ',' The network ',' card ',' "", 'Network', 'Telkomsel', 'Disappointed']")</f>
        <v>['users',' Telkomsel ',' Offer ',' Switch ',' Card ',' Hello ',' Telkomsel ',' Network ',' ugly ',' Lost ',' The network ',' card ',' ", 'Network', 'Telkomsel', 'Disappointed']</v>
      </c>
      <c r="D418" s="3">
        <v>1.0</v>
      </c>
    </row>
    <row r="419" ht="15.75" customHeight="1">
      <c r="A419" s="1">
        <v>417.0</v>
      </c>
      <c r="B419" s="3" t="s">
        <v>420</v>
      </c>
      <c r="C419" s="3" t="str">
        <f>IFERROR(__xludf.DUMMYFUNCTION("GOOGLETRANSLATE(B419,""id"",""en"")"),"['list', 'package', 'promo', 'internet', 'price', 'quota', 'quota', 'internet', 'local', 'quota', 'internet', 'quota', ' Conference ',' Dipake ',' Lossii ',' Aing ']")</f>
        <v>['list', 'package', 'promo', 'internet', 'price', 'quota', 'quota', 'internet', 'local', 'quota', 'internet', 'quota', ' Conference ',' Dipake ',' Lossii ',' Aing ']</v>
      </c>
      <c r="D419" s="3">
        <v>1.0</v>
      </c>
    </row>
    <row r="420" ht="15.75" customHeight="1">
      <c r="A420" s="1">
        <v>418.0</v>
      </c>
      <c r="B420" s="3" t="s">
        <v>421</v>
      </c>
      <c r="C420" s="3" t="str">
        <f>IFERROR(__xludf.DUMMYFUNCTION("GOOGLETRANSLATE(B420,""id"",""en"")"),"['Internet', 'expensive', 'network', 'regret', 'Make', 'Telkomsel', 'Dual', 'Dual', 'SIM', 'Provider', 'Next to', '']")</f>
        <v>['Internet', 'expensive', 'network', 'regret', 'Make', 'Telkomsel', 'Dual', 'Dual', 'SIM', 'Provider', 'Next to', '']</v>
      </c>
      <c r="D420" s="3">
        <v>1.0</v>
      </c>
    </row>
    <row r="421" ht="15.75" customHeight="1">
      <c r="A421" s="1">
        <v>419.0</v>
      </c>
      <c r="B421" s="3" t="s">
        <v>422</v>
      </c>
      <c r="C421" s="3" t="str">
        <f>IFERROR(__xludf.DUMMYFUNCTION("GOOGLETRANSLATE(B421,""id"",""en"")"),"['check', 'pulse', 'quota', 'product', 'offered', 'easy', 'complicated', 'stay', 'click', 'directly', 'open']")</f>
        <v>['check', 'pulse', 'quota', 'product', 'offered', 'easy', 'complicated', 'stay', 'click', 'directly', 'open']</v>
      </c>
      <c r="D421" s="3">
        <v>5.0</v>
      </c>
    </row>
    <row r="422" ht="15.75" customHeight="1">
      <c r="A422" s="1">
        <v>420.0</v>
      </c>
      <c r="B422" s="3" t="s">
        <v>423</v>
      </c>
      <c r="C422" s="3" t="str">
        <f>IFERROR(__xludf.DUMMYFUNCTION("GOOGLETRANSLATE(B422,""id"",""en"")"),"['User', 'TLKMSEL', 'PERNA', 'Change', 'Card', 'Jam', 'Telkomsel', 'The Network', 'Hard', 'Leet']")</f>
        <v>['User', 'TLKMSEL', 'PERNA', 'Change', 'Card', 'Jam', 'Telkomsel', 'The Network', 'Hard', 'Leet']</v>
      </c>
      <c r="D422" s="3">
        <v>4.0</v>
      </c>
    </row>
    <row r="423" ht="15.75" customHeight="1">
      <c r="A423" s="1">
        <v>421.0</v>
      </c>
      <c r="B423" s="3" t="s">
        <v>424</v>
      </c>
      <c r="C423" s="3" t="str">
        <f>IFERROR(__xludf.DUMMYFUNCTION("GOOGLETRANSLATE(B423,""id"",""en"")"),"['Disappointed', 'Telkomsel', 'Week', 'Package', 'Buy', 'BLN', 'Out', 'Hangus',' Used ',' Qeatured ',' Network ',' Error ',' TRS ',' Request ',' Change ',' Loss', 'Extension', 'On', 'Package', ""]")</f>
        <v>['Disappointed', 'Telkomsel', 'Week', 'Package', 'Buy', 'BLN', 'Out', 'Hangus',' Used ',' Qeatured ',' Network ',' Error ',' TRS ',' Request ',' Change ',' Loss', 'Extension', 'On', 'Package', "]</v>
      </c>
      <c r="D423" s="3">
        <v>1.0</v>
      </c>
    </row>
    <row r="424" ht="15.75" customHeight="1">
      <c r="A424" s="1">
        <v>422.0</v>
      </c>
      <c r="B424" s="3" t="s">
        <v>425</v>
      </c>
      <c r="C424" s="3" t="str">
        <f>IFERROR(__xludf.DUMMYFUNCTION("GOOGLETRANSLATE(B424,""id"",""en"")"),"['package', 'internet', 'expensive', 'package', 'special', 'internet', 'network', 'Telkomsel', 'downhill', 'good', 'network', '']")</f>
        <v>['package', 'internet', 'expensive', 'package', 'special', 'internet', 'network', 'Telkomsel', 'downhill', 'good', 'network', '']</v>
      </c>
      <c r="D424" s="3">
        <v>1.0</v>
      </c>
    </row>
    <row r="425" ht="15.75" customHeight="1">
      <c r="A425" s="1">
        <v>423.0</v>
      </c>
      <c r="B425" s="3" t="s">
        <v>426</v>
      </c>
      <c r="C425" s="3" t="str">
        <f>IFERROR(__xludf.DUMMYFUNCTION("GOOGLETRANSLATE(B425,""id"",""en"")"),"['quality', 'signal', 'ugly', 'stable', 'application', 'loading', 'heavy', 'aka', 'package', 'like', 'cut', 'package', ' Main ',' Haiyaaaaa ',' ']")</f>
        <v>['quality', 'signal', 'ugly', 'stable', 'application', 'loading', 'heavy', 'aka', 'package', 'like', 'cut', 'package', ' Main ',' Haiyaaaaa ',' ']</v>
      </c>
      <c r="D425" s="3">
        <v>1.0</v>
      </c>
    </row>
    <row r="426" ht="15.75" customHeight="1">
      <c r="A426" s="1">
        <v>424.0</v>
      </c>
      <c r="B426" s="3" t="s">
        <v>427</v>
      </c>
      <c r="C426" s="3" t="str">
        <f>IFERROR(__xludf.DUMMYFUNCTION("GOOGLETRANSLATE(B426,""id"",""en"")"),"['Alhamdulillah', 'service', 'Telkomsel', 'satisfying', 'hope', 'in the future', 'enhanced', ""]")</f>
        <v>['Alhamdulillah', 'service', 'Telkomsel', 'satisfying', 'hope', 'in the future', 'enhanced', "]</v>
      </c>
      <c r="D426" s="3">
        <v>3.0</v>
      </c>
    </row>
    <row r="427" ht="15.75" customHeight="1">
      <c r="A427" s="1">
        <v>425.0</v>
      </c>
      <c r="B427" s="3" t="s">
        <v>428</v>
      </c>
      <c r="C427" s="3" t="str">
        <f>IFERROR(__xludf.DUMMYFUNCTION("GOOGLETRANSLATE(B427,""id"",""en"")"),"['Telkomsel', 'wanted', 'rich', 'price', 'quota', 'internet', 'Telkomsel', 'expensive', 'network', 'slow', 'severe', 'base', ' Telkomsel ',' Bangsata ']")</f>
        <v>['Telkomsel', 'wanted', 'rich', 'price', 'quota', 'internet', 'Telkomsel', 'expensive', 'network', 'slow', 'severe', 'base', ' Telkomsel ',' Bangsata ']</v>
      </c>
      <c r="D427" s="3">
        <v>1.0</v>
      </c>
    </row>
    <row r="428" ht="15.75" customHeight="1">
      <c r="A428" s="1">
        <v>426.0</v>
      </c>
      <c r="B428" s="3" t="s">
        <v>429</v>
      </c>
      <c r="C428" s="3" t="str">
        <f>IFERROR(__xludf.DUMMYFUNCTION("GOOGLETRANSLATE(B428,""id"",""en"")"),"['likes',' error ',' road ',' reset ',' reset ',' open ',' application ',' access', 'application', 'paid', 'stingy', 'Telkomsel', ' ']")</f>
        <v>['likes',' error ',' road ',' reset ',' reset ',' open ',' application ',' access', 'application', 'paid', 'stingy', 'Telkomsel', ' ']</v>
      </c>
      <c r="D428" s="3">
        <v>1.0</v>
      </c>
    </row>
    <row r="429" ht="15.75" customHeight="1">
      <c r="A429" s="1">
        <v>427.0</v>
      </c>
      <c r="B429" s="3" t="s">
        <v>430</v>
      </c>
      <c r="C429" s="3" t="str">
        <f>IFERROR(__xludf.DUMMYFUNCTION("GOOGLETRANSLATE(B429,""id"",""en"")"),"['Helpful', 'Easy', 'Equipped', 'Promo', 'Discount', 'Package', 'Data']")</f>
        <v>['Helpful', 'Easy', 'Equipped', 'Promo', 'Discount', 'Package', 'Data']</v>
      </c>
      <c r="D429" s="3">
        <v>5.0</v>
      </c>
    </row>
    <row r="430" ht="15.75" customHeight="1">
      <c r="A430" s="1">
        <v>428.0</v>
      </c>
      <c r="B430" s="3" t="s">
        <v>431</v>
      </c>
      <c r="C430" s="3" t="str">
        <f>IFERROR(__xludf.DUMMYFUNCTION("GOOGLETRANSLATE(B430,""id"",""en"")"),"['update', 'update', 'repeat', 'times',' request ',' quota ',' update ',' mytelkomsel ',' treated ',' please ',' help ',' Telkomsel ',' thank you']")</f>
        <v>['update', 'update', 'repeat', 'times',' request ',' quota ',' update ',' mytelkomsel ',' treated ',' please ',' help ',' Telkomsel ',' thank you']</v>
      </c>
      <c r="D430" s="3">
        <v>5.0</v>
      </c>
    </row>
    <row r="431" ht="15.75" customHeight="1">
      <c r="A431" s="1">
        <v>429.0</v>
      </c>
      <c r="B431" s="3" t="s">
        <v>432</v>
      </c>
      <c r="C431" s="3" t="str">
        <f>IFERROR(__xludf.DUMMYFUNCTION("GOOGLETRANSLATE(B431,""id"",""en"")"),"['Glad', 'restore', 'number', 'blocked', 'response', 'fast', 'friendly', 'thank', 'love', 'Telkomsel']")</f>
        <v>['Glad', 'restore', 'number', 'blocked', 'response', 'fast', 'friendly', 'thank', 'love', 'Telkomsel']</v>
      </c>
      <c r="D431" s="3">
        <v>5.0</v>
      </c>
    </row>
    <row r="432" ht="15.75" customHeight="1">
      <c r="A432" s="1">
        <v>430.0</v>
      </c>
      <c r="B432" s="3" t="s">
        <v>433</v>
      </c>
      <c r="C432" s="3" t="str">
        <f>IFERROR(__xludf.DUMMYFUNCTION("GOOGLETRANSLATE(B432,""id"",""en"")"),"['BGS', 'Cool', 'KNP', 'Network', 'Lost', 'Embossed', 'Sembat', 'Slidout', 'Telkom', 'SPRTI', 'SKRG', 'Network', ' After ',' Enter ',' Network ',' Severe ',' UDH ',' Paketan ',' Network ',' Lemot ',' Sembat ',' Sendut ',' Eastern ',' Telkom ',' skrg ' , '"&amp;"Lose', 'network', 'card', 'fix', 'ride', 'price', 'expensive', 'fat', 'telkom', 'customer', 'loyal', 'telkom', ' SNGT ',' Disappointed ',' ']")</f>
        <v>['BGS', 'Cool', 'KNP', 'Network', 'Lost', 'Embossed', 'Sembat', 'Slidout', 'Telkom', 'SPRTI', 'SKRG', 'Network', ' After ',' Enter ',' Network ',' Severe ',' UDH ',' Paketan ',' Network ',' Lemot ',' Sembat ',' Sendut ',' Eastern ',' Telkom ',' skrg ' , 'Lose', 'network', 'card', 'fix', 'ride', 'price', 'expensive', 'fat', 'telkom', 'customer', 'loyal', 'telkom', ' SNGT ',' Disappointed ',' ']</v>
      </c>
      <c r="D432" s="3">
        <v>1.0</v>
      </c>
    </row>
    <row r="433" ht="15.75" customHeight="1">
      <c r="A433" s="1">
        <v>431.0</v>
      </c>
      <c r="B433" s="3" t="s">
        <v>434</v>
      </c>
      <c r="C433" s="3" t="str">
        <f>IFERROR(__xludf.DUMMYFUNCTION("GOOGLETRANSLATE(B433,""id"",""en"")"),"['Moving', 'Indosat', 'Network', 'Not bad', 'smooth', 'Telkomsel', 'Over', 'Thank you']")</f>
        <v>['Moving', 'Indosat', 'Network', 'Not bad', 'smooth', 'Telkomsel', 'Over', 'Thank you']</v>
      </c>
      <c r="D433" s="3">
        <v>1.0</v>
      </c>
    </row>
    <row r="434" ht="15.75" customHeight="1">
      <c r="A434" s="1">
        <v>432.0</v>
      </c>
      <c r="B434" s="3" t="s">
        <v>435</v>
      </c>
      <c r="C434" s="3" t="str">
        <f>IFERROR(__xludf.DUMMYFUNCTION("GOOGLETRANSLATE(B434,""id"",""en"")"),"['Sayangkan', 'Management', 'SIM', 'Card', 'Lost', 'GraPARI', 'Busy', 'Stitch', 'Subscribe', 'Change', 'Number', 'Telkomsel', ' Requirements', 'KTP', 'Original', 'mind', 'bring', 'Persulit', 'Please', 'Review', 'Procedure', ""]")</f>
        <v>['Sayangkan', 'Management', 'SIM', 'Card', 'Lost', 'GraPARI', 'Busy', 'Stitch', 'Subscribe', 'Change', 'Number', 'Telkomsel', ' Requirements', 'KTP', 'Original', 'mind', 'bring', 'Persulit', 'Please', 'Review', 'Procedure', "]</v>
      </c>
      <c r="D434" s="3">
        <v>1.0</v>
      </c>
    </row>
    <row r="435" ht="15.75" customHeight="1">
      <c r="A435" s="1">
        <v>433.0</v>
      </c>
      <c r="B435" s="3" t="s">
        <v>436</v>
      </c>
      <c r="C435" s="3" t="str">
        <f>IFERROR(__xludf.DUMMYFUNCTION("GOOGLETRANSLATE(B435,""id"",""en"")"),"['sinyaallnnnya', 'kyk', 'am', 'wind', 'signal', 'ilang', 'Sayq', 'Bela', 'Belain', 'buy', 'sympathy', 'signal', ' Stable ',' Severe ',' Watch ',' YouTube ',' Quality ',' Ngelag ',' Istigfar ']")</f>
        <v>['sinyaallnnnya', 'kyk', 'am', 'wind', 'signal', 'ilang', 'Sayq', 'Bela', 'Belain', 'buy', 'sympathy', 'signal', ' Stable ',' Severe ',' Watch ',' YouTube ',' Quality ',' Ngelag ',' Istigfar ']</v>
      </c>
      <c r="D435" s="3">
        <v>1.0</v>
      </c>
    </row>
    <row r="436" ht="15.75" customHeight="1">
      <c r="A436" s="1">
        <v>434.0</v>
      </c>
      <c r="B436" s="3" t="s">
        <v>437</v>
      </c>
      <c r="C436" s="3" t="str">
        <f>IFERROR(__xludf.DUMMYFUNCTION("GOOGLETRANSLATE(B436,""id"",""en"")"),"['Telkomsel', 'like', 'Telkomsel', 'signal', 'remote', 'network', 'Telkomsel', 'already', 'stable', 'city', 'price', 'package', ' hope ',' price ',' package ']")</f>
        <v>['Telkomsel', 'like', 'Telkomsel', 'signal', 'remote', 'network', 'Telkomsel', 'already', 'stable', 'city', 'price', 'package', ' hope ',' price ',' package ']</v>
      </c>
      <c r="D436" s="3">
        <v>3.0</v>
      </c>
    </row>
    <row r="437" ht="15.75" customHeight="1">
      <c r="A437" s="1">
        <v>435.0</v>
      </c>
      <c r="B437" s="3" t="s">
        <v>438</v>
      </c>
      <c r="C437" s="3" t="str">
        <f>IFERROR(__xludf.DUMMYFUNCTION("GOOGLETRANSLATE(B437,""id"",""en"")"),"['signal', 'Telkomsel', 'slow', 'kmr', 'signal', 'frequency', 'pdhl', 'expensive', 'signal', 'rotten', 'pdhl', 'amid', ' City ',' Dipepay ',' ']")</f>
        <v>['signal', 'Telkomsel', 'slow', 'kmr', 'signal', 'frequency', 'pdhl', 'expensive', 'signal', 'rotten', 'pdhl', 'amid', ' City ',' Dipepay ',' ']</v>
      </c>
      <c r="D437" s="3">
        <v>1.0</v>
      </c>
    </row>
    <row r="438" ht="15.75" customHeight="1">
      <c r="A438" s="1">
        <v>436.0</v>
      </c>
      <c r="B438" s="3" t="s">
        <v>439</v>
      </c>
      <c r="C438" s="3" t="str">
        <f>IFERROR(__xludf.DUMMYFUNCTION("GOOGLETRANSLATE(B438,""id"",""en"")"),"['Signal', 'Telkomsel', 'Severe', 'Lost', 'High School', 'Card', 'Cheap', 'Gue', 'User', 'Telkomsel', 'Signal', 'Severe', ' package ',' expensive ',' signal ',' bad ',' play ',' game ',' internet ',' social ',' media ',' slow ',' ']")</f>
        <v>['Signal', 'Telkomsel', 'Severe', 'Lost', 'High School', 'Card', 'Cheap', 'Gue', 'User', 'Telkomsel', 'Signal', 'Severe', ' package ',' expensive ',' signal ',' bad ',' play ',' game ',' internet ',' social ',' media ',' slow ',' ']</v>
      </c>
      <c r="D438" s="3">
        <v>1.0</v>
      </c>
    </row>
    <row r="439" ht="15.75" customHeight="1">
      <c r="A439" s="1">
        <v>437.0</v>
      </c>
      <c r="B439" s="3" t="s">
        <v>440</v>
      </c>
      <c r="C439" s="3" t="str">
        <f>IFERROR(__xludf.DUMMYFUNCTION("GOOGLETRANSLATE(B439,""id"",""en"")"),"['Disappointed', 'Telkomsel', 'missing', 'pulse', 'package', 'quota', 'active', 'transaction', 'anything', 'number', 'please', 'fix', ' System ',' Safe ',' Customer ',' Disappointed ',' Disappointed ',' Very ']")</f>
        <v>['Disappointed', 'Telkomsel', 'missing', 'pulse', 'package', 'quota', 'active', 'transaction', 'anything', 'number', 'please', 'fix', ' System ',' Safe ',' Customer ',' Disappointed ',' Disappointed ',' Very ']</v>
      </c>
      <c r="D439" s="3">
        <v>1.0</v>
      </c>
    </row>
    <row r="440" ht="15.75" customHeight="1">
      <c r="A440" s="1">
        <v>438.0</v>
      </c>
      <c r="B440" s="3" t="s">
        <v>441</v>
      </c>
      <c r="C440" s="3" t="str">
        <f>IFERROR(__xludf.DUMMYFUNCTION("GOOGLETRANSLATE(B440,""id"",""en"")"),"['Network', 'Masang', 'Indihome', 'Lost', 'Signal', 'Card', 'Network', 'Alesan', 'Cable', 'Sea', 'Bitten', 'Shark', ' Skrg ',' Alesan ',' ']")</f>
        <v>['Network', 'Masang', 'Indihome', 'Lost', 'Signal', 'Card', 'Network', 'Alesan', 'Cable', 'Sea', 'Bitten', 'Shark', ' Skrg ',' Alesan ',' ']</v>
      </c>
      <c r="D440" s="3">
        <v>1.0</v>
      </c>
    </row>
    <row r="441" ht="15.75" customHeight="1">
      <c r="A441" s="1">
        <v>439.0</v>
      </c>
      <c r="B441" s="3" t="s">
        <v>442</v>
      </c>
      <c r="C441" s="3" t="str">
        <f>IFERROR(__xludf.DUMMYFUNCTION("GOOGLETRANSLATE(B441,""id"",""en"")"),"['top', 'quota', 'error', 'until', 'log', 'out', 'sndri', 'point', 'point', 'tuker', 'voucher', 'quota', ' BSA ',' then ',' Collecting ',' Point ',' BSA ',' Hangus', 'JD', '']")</f>
        <v>['top', 'quota', 'error', 'until', 'log', 'out', 'sndri', 'point', 'point', 'tuker', 'voucher', 'quota', ' BSA ',' then ',' Collecting ',' Point ',' BSA ',' Hangus', 'JD', '']</v>
      </c>
      <c r="D441" s="3">
        <v>2.0</v>
      </c>
    </row>
    <row r="442" ht="15.75" customHeight="1">
      <c r="A442" s="1">
        <v>440.0</v>
      </c>
      <c r="B442" s="3" t="s">
        <v>443</v>
      </c>
      <c r="C442" s="3" t="str">
        <f>IFERROR(__xludf.DUMMYFUNCTION("GOOGLETRANSLATE(B442,""id"",""en"")"),"['application', 'profitable', 'ber', 'fortune', 'fortunate', 'fortune', 'God', 'set', 'human', 'try', 'hope', ' Telkomsel ',' Protection ',' Allah ',' SWT ',' Amin ',' Rabb ', ""]")</f>
        <v>['application', 'profitable', 'ber', 'fortune', 'fortunate', 'fortune', 'God', 'set', 'human', 'try', 'hope', ' Telkomsel ',' Protection ',' Allah ',' SWT ',' Amin ',' Rabb ', "]</v>
      </c>
      <c r="D442" s="3">
        <v>5.0</v>
      </c>
    </row>
    <row r="443" ht="15.75" customHeight="1">
      <c r="A443" s="1">
        <v>441.0</v>
      </c>
      <c r="B443" s="3" t="s">
        <v>444</v>
      </c>
      <c r="C443" s="3" t="str">
        <f>IFERROR(__xludf.DUMMYFUNCTION("GOOGLETRANSLATE(B443,""id"",""en"")"),"['Signal', 'Not', 'Good', 'Lost', 'Ama', 'Sikuning', 'Event', 'Naturally', 'Credit', 'Adequate', 'Buy', 'Quota', ' package ',' ojol ',' already ',' tried ',' failed ',' until ',' Rolled ',' cellphone ',' failed ',' until ',' pulses', 'Cut', 'Rb' , 'udeh',"&amp;" 'that's',' sms', 'access',' internet ',' non ',' package ',' try ',' package ',' kaga ',' pulse ',' blessed ',' ']")</f>
        <v>['Signal', 'Not', 'Good', 'Lost', 'Ama', 'Sikuning', 'Event', 'Naturally', 'Credit', 'Adequate', 'Buy', 'Quota', ' package ',' ojol ',' already ',' tried ',' failed ',' until ',' Rolled ',' cellphone ',' failed ',' until ',' pulses', 'Cut', 'Rb' , 'udeh', 'that's',' sms', 'access',' internet ',' non ',' package ',' try ',' package ',' kaga ',' pulse ',' blessed ',' ']</v>
      </c>
      <c r="D443" s="3">
        <v>1.0</v>
      </c>
    </row>
    <row r="444" ht="15.75" customHeight="1">
      <c r="A444" s="1">
        <v>442.0</v>
      </c>
      <c r="B444" s="3" t="s">
        <v>445</v>
      </c>
      <c r="C444" s="3" t="str">
        <f>IFERROR(__xludf.DUMMYFUNCTION("GOOGLETRANSLATE(B444,""id"",""en"")"),"['Please', 'system', 'taking', 'pulse', 'deleted', 'times',' conscious', 'credit', 'direct', 'run out', 'bought', 'package', ' Internet ',' applied ',' package ',' internet ',' bought ',' notification ',' credit ',' reduced ',' gara ',' data ',' active ',"&amp;"' before ',' package ' , 'On', 'Disappointed', 'System', '']")</f>
        <v>['Please', 'system', 'taking', 'pulse', 'deleted', 'times',' conscious', 'credit', 'direct', 'run out', 'bought', 'package', ' Internet ',' applied ',' package ',' internet ',' bought ',' notification ',' credit ',' reduced ',' gara ',' data ',' active ',' before ',' package ' , 'On', 'Disappointed', 'System', '']</v>
      </c>
      <c r="D444" s="3">
        <v>1.0</v>
      </c>
    </row>
    <row r="445" ht="15.75" customHeight="1">
      <c r="A445" s="1">
        <v>443.0</v>
      </c>
      <c r="B445" s="3" t="s">
        <v>446</v>
      </c>
      <c r="C445" s="3" t="str">
        <f>IFERROR(__xludf.DUMMYFUNCTION("GOOGLETRANSLATE(B445,""id"",""en"")"),"['Credit', 'Transfer', 'Credit', 'FAILURE', 'Credit', 'Cutting', 'Confirm', 'Complete', 'Chronology', 'Credit', ""]")</f>
        <v>['Credit', 'Transfer', 'Credit', 'FAILURE', 'Credit', 'Cutting', 'Confirm', 'Complete', 'Chronology', 'Credit', "]</v>
      </c>
      <c r="D445" s="3">
        <v>1.0</v>
      </c>
    </row>
    <row r="446" ht="15.75" customHeight="1">
      <c r="A446" s="1">
        <v>444.0</v>
      </c>
      <c r="B446" s="3" t="s">
        <v>447</v>
      </c>
      <c r="C446" s="3" t="str">
        <f>IFERROR(__xludf.DUMMYFUNCTION("GOOGLETRANSLATE(B446,""id"",""en"")"),"['', 'Allah', 'AMULD', 'Signal', 'Signal', 'Cell', 'Leet', 'Let', 'Let', 'Ampuunnm', 'Fill', 'Paketan', 'Used ',' solution ',' min ']")</f>
        <v>['', 'Allah', 'AMULD', 'Signal', 'Signal', 'Cell', 'Leet', 'Let', 'Let', 'Ampuunnm', 'Fill', 'Paketan', 'Used ',' solution ',' min ']</v>
      </c>
      <c r="D446" s="3">
        <v>2.0</v>
      </c>
    </row>
    <row r="447" ht="15.75" customHeight="1">
      <c r="A447" s="1">
        <v>445.0</v>
      </c>
      <c r="B447" s="3" t="s">
        <v>448</v>
      </c>
      <c r="C447" s="3" t="str">
        <f>IFERROR(__xludf.DUMMYFUNCTION("GOOGLETRANSLATE(B447,""id"",""en"")"),"['', 'smooth', 'Maen', 'game', 'lag', 'bet', 'ping', 'emang', 'soughool', 'lose', 'gegara', 'diem', 'doang ',' AFK ',' Mulu ',' Amjing ',' quota ',' expensive ',' get ',' ping ',' ashu ', ""]")</f>
        <v>['', 'smooth', 'Maen', 'game', 'lag', 'bet', 'ping', 'emang', 'soughool', 'lose', 'gegara', 'diem', 'doang ',' AFK ',' Mulu ',' Amjing ',' quota ',' expensive ',' get ',' ping ',' ashu ', "]</v>
      </c>
      <c r="D447" s="3">
        <v>1.0</v>
      </c>
    </row>
    <row r="448" ht="15.75" customHeight="1">
      <c r="A448" s="1">
        <v>446.0</v>
      </c>
      <c r="B448" s="3" t="s">
        <v>449</v>
      </c>
      <c r="C448" s="3" t="str">
        <f>IFERROR(__xludf.DUMMYFUNCTION("GOOGLETRANSLATE(B448,""id"",""en"")"),"['Hello', 'Sis', 'Sis', 'KNPA', 'Upgrade', 'TPI', 'Mntak', 'Update', 'Pdhal', 'Upgrade', 'Hmmm']")</f>
        <v>['Hello', 'Sis', 'Sis', 'KNPA', 'Upgrade', 'TPI', 'Mntak', 'Update', 'Pdhal', 'Upgrade', 'Hmmm']</v>
      </c>
      <c r="D448" s="3">
        <v>5.0</v>
      </c>
    </row>
    <row r="449" ht="15.75" customHeight="1">
      <c r="A449" s="1">
        <v>447.0</v>
      </c>
      <c r="B449" s="3" t="s">
        <v>450</v>
      </c>
      <c r="C449" s="3" t="str">
        <f>IFERROR(__xludf.DUMMYFUNCTION("GOOGLETRANSLATE(B449,""id"",""en"")"),"['bought', 'ANLIMITED', 'Data', 'right', 'make', 'data', 'Anlimited', 'slow', 'really', 'watch', 'YouTube', 'please', ' Perbagi ',' LGI ',' ']")</f>
        <v>['bought', 'ANLIMITED', 'Data', 'right', 'make', 'data', 'Anlimited', 'slow', 'really', 'watch', 'YouTube', 'please', ' Perbagi ',' LGI ',' ']</v>
      </c>
      <c r="D449" s="3">
        <v>3.0</v>
      </c>
    </row>
    <row r="450" ht="15.75" customHeight="1">
      <c r="A450" s="1">
        <v>448.0</v>
      </c>
      <c r="B450" s="3" t="s">
        <v>451</v>
      </c>
      <c r="C450" s="3" t="str">
        <f>IFERROR(__xludf.DUMMYFUNCTION("GOOGLETRANSLATE(B450,""id"",""en"")"),"['buy', 'package', 'expensive', 'network', 'equivalent', 'price', 'package', 'tomorrow', 'sell', 'package', 'expensive', 'network', ' Jagan ',' slow ',' network ',' slow ',' Bangat ',' Kayak ',' Snail ',' Ajg ', ""]")</f>
        <v>['buy', 'package', 'expensive', 'network', 'equivalent', 'price', 'package', 'tomorrow', 'sell', 'package', 'expensive', 'network', ' Jagan ',' slow ',' network ',' slow ',' Bangat ',' Kayak ',' Snail ',' Ajg ', "]</v>
      </c>
      <c r="D450" s="3">
        <v>1.0</v>
      </c>
    </row>
    <row r="451" ht="15.75" customHeight="1">
      <c r="A451" s="1">
        <v>449.0</v>
      </c>
      <c r="B451" s="3" t="s">
        <v>452</v>
      </c>
      <c r="C451" s="3" t="str">
        <f>IFERROR(__xludf.DUMMYFUNCTION("GOOGLETRANSLATE(B451,""id"",""en"")"),"['Help', 'melk', 'quota', ""]")</f>
        <v>['Help', 'melk', 'quota', "]</v>
      </c>
      <c r="D451" s="3">
        <v>5.0</v>
      </c>
    </row>
    <row r="452" ht="15.75" customHeight="1">
      <c r="A452" s="1">
        <v>450.0</v>
      </c>
      <c r="B452" s="3" t="s">
        <v>453</v>
      </c>
      <c r="C452" s="3" t="str">
        <f>IFERROR(__xludf.DUMMYFUNCTION("GOOGLETRANSLATE(B452,""id"",""en"")"),"['signal', 'Kek', 'Taiii', 'lag', 'Severe', 'Fix', 'Rating', 'Good']")</f>
        <v>['signal', 'Kek', 'Taiii', 'lag', 'Severe', 'Fix', 'Rating', 'Good']</v>
      </c>
      <c r="D452" s="3">
        <v>1.0</v>
      </c>
    </row>
    <row r="453" ht="15.75" customHeight="1">
      <c r="A453" s="1">
        <v>451.0</v>
      </c>
      <c r="B453" s="3" t="s">
        <v>454</v>
      </c>
      <c r="C453" s="3" t="str">
        <f>IFERROR(__xludf.DUMMYFUNCTION("GOOGLETRANSLATE(B453,""id"",""en"")"),"['Ingetin', 'Jngan', 'Telkomsel', 'Guys',' Sia ',' Sia ',' Buy ',' Package ',' RB ',' Network ',' Quality ',' lag ',' Severe ',' Mending ',' tri ',' cheap ',' quality ',' cheap ',' already ',' expensive ',' quality ',' cheap ', ""]")</f>
        <v>['Ingetin', 'Jngan', 'Telkomsel', 'Guys',' Sia ',' Sia ',' Buy ',' Package ',' RB ',' Network ',' Quality ',' lag ',' Severe ',' Mending ',' tri ',' cheap ',' quality ',' cheap ',' already ',' expensive ',' quality ',' cheap ', "]</v>
      </c>
      <c r="D453" s="3">
        <v>1.0</v>
      </c>
    </row>
    <row r="454" ht="15.75" customHeight="1">
      <c r="A454" s="1">
        <v>452.0</v>
      </c>
      <c r="B454" s="3" t="s">
        <v>455</v>
      </c>
      <c r="C454" s="3" t="str">
        <f>IFERROR(__xludf.DUMMYFUNCTION("GOOGLETRANSLATE(B454,""id"",""en"")"),"['Package', 'Learning', 'Turn', 'Check', 'Data', 'Reduced', 'How', 'Wrong', 'Telkomsel', 'Raying', 'Cave', 'Buy', ' package ',' uda ',' expensive ',' tpi ',' bsa ']")</f>
        <v>['Package', 'Learning', 'Turn', 'Check', 'Data', 'Reduced', 'How', 'Wrong', 'Telkomsel', 'Raying', 'Cave', 'Buy', ' package ',' uda ',' expensive ',' tpi ',' bsa ']</v>
      </c>
      <c r="D454" s="3">
        <v>1.0</v>
      </c>
    </row>
    <row r="455" ht="15.75" customHeight="1">
      <c r="A455" s="1">
        <v>453.0</v>
      </c>
      <c r="B455" s="3" t="s">
        <v>456</v>
      </c>
      <c r="C455" s="3" t="str">
        <f>IFERROR(__xludf.DUMMYFUNCTION("GOOGLETRANSLATE(B455,""id"",""en"")"),"['right', 'upgrade', 'ugly', 'signal', 'amit', 'koq', 'here', 'ugly', 'already', 'expensive', 'signal', 'kyk', ' Cards', 'Gakin', '']")</f>
        <v>['right', 'upgrade', 'ugly', 'signal', 'amit', 'koq', 'here', 'ugly', 'already', 'expensive', 'signal', 'kyk', ' Cards', 'Gakin', '']</v>
      </c>
      <c r="D455" s="3">
        <v>1.0</v>
      </c>
    </row>
    <row r="456" ht="15.75" customHeight="1">
      <c r="A456" s="1">
        <v>454.0</v>
      </c>
      <c r="B456" s="3" t="s">
        <v>457</v>
      </c>
      <c r="C456" s="3" t="str">
        <f>IFERROR(__xludf.DUMMYFUNCTION("GOOGLETRANSLATE(B456,""id"",""en"")"),"['network', 'Telkomsel', 'forgive', 'September', 'Customer', 'loyal', 'disappointed', 'because' signal ',' network ',' data ',' Redmi ',' Not ',' Pro ',' Rotten ',' Feel ',' Papua ',' Java ',' Kalimantan ',' Please ',' As soon as', 'Fix', 'convenience', '"&amp;"Signal', ""]")</f>
        <v>['network', 'Telkomsel', 'forgive', 'September', 'Customer', 'loyal', 'disappointed', 'because' signal ',' network ',' data ',' Redmi ',' Not ',' Pro ',' Rotten ',' Feel ',' Papua ',' Java ',' Kalimantan ',' Please ',' As soon as', 'Fix', 'convenience', 'Signal', "]</v>
      </c>
      <c r="D456" s="3">
        <v>1.0</v>
      </c>
    </row>
    <row r="457" ht="15.75" customHeight="1">
      <c r="A457" s="1">
        <v>455.0</v>
      </c>
      <c r="B457" s="3" t="s">
        <v>458</v>
      </c>
      <c r="C457" s="3" t="str">
        <f>IFERROR(__xludf.DUMMYFUNCTION("GOOGLETRANSLATE(B457,""id"",""en"")"),"['Honest', 'Kcewa', 'BNGET', 'Points',' Telkomsel ',' Skali ',' Use ',' Tlong ',' Points', 'Telkomsel', 'Useful', 'Mna', ' BSA ',' Dipake ',' pressed ']")</f>
        <v>['Honest', 'Kcewa', 'BNGET', 'Points',' Telkomsel ',' Skali ',' Use ',' Tlong ',' Points', 'Telkomsel', 'Useful', 'Mna', ' BSA ',' Dipake ',' pressed ']</v>
      </c>
      <c r="D457" s="3">
        <v>1.0</v>
      </c>
    </row>
    <row r="458" ht="15.75" customHeight="1">
      <c r="A458" s="1">
        <v>456.0</v>
      </c>
      <c r="B458" s="3" t="s">
        <v>459</v>
      </c>
      <c r="C458" s="3" t="str">
        <f>IFERROR(__xludf.DUMMYFUNCTION("GOOGLETRANSLATE(B458,""id"",""en"")"),"['Provider', 'GBLK', 'price', 'quota', 'expensive', 'ngeta', 'in', 'lag', 'ajg', 'mending', 'selling', 'pecel', ' catfish ',' expensive ',' doang ',' quality ',' potatoes']")</f>
        <v>['Provider', 'GBLK', 'price', 'quota', 'expensive', 'ngeta', 'in', 'lag', 'ajg', 'mending', 'selling', 'pecel', ' catfish ',' expensive ',' doang ',' quality ',' potatoes']</v>
      </c>
      <c r="D458" s="3">
        <v>1.0</v>
      </c>
    </row>
    <row r="459" ht="15.75" customHeight="1">
      <c r="A459" s="1">
        <v>457.0</v>
      </c>
      <c r="B459" s="3" t="s">
        <v>460</v>
      </c>
      <c r="C459" s="3" t="str">
        <f>IFERROR(__xludf.DUMMYFUNCTION("GOOGLETRANSLATE(B459,""id"",""en"")"),"['MONMAAF', 'Tuker', 'Points',' Lottery ',' Credit ',' Like ',' TPI ',' Waiting ',' News', 'Notif', 'Harm', 'The customer', ' Tuker ',' Point ',' ']")</f>
        <v>['MONMAAF', 'Tuker', 'Points',' Lottery ',' Credit ',' Like ',' TPI ',' Waiting ',' News', 'Notif', 'Harm', 'The customer', ' Tuker ',' Point ',' ']</v>
      </c>
      <c r="D459" s="3">
        <v>2.0</v>
      </c>
    </row>
    <row r="460" ht="15.75" customHeight="1">
      <c r="A460" s="1">
        <v>458.0</v>
      </c>
      <c r="B460" s="3" t="s">
        <v>461</v>
      </c>
      <c r="C460" s="3" t="str">
        <f>IFERROR(__xludf.DUMMYFUNCTION("GOOGLETRANSLATE(B460,""id"",""en"")"),"['expensive', 'operator', 'quality', 'signal', 'quality', 'network', 'bad', 'wrapon', 'doang', 'good', 'cave', 'willing', ' expensive ',' according to ',' dngn ',' quality ',' network ',' signal ']")</f>
        <v>['expensive', 'operator', 'quality', 'signal', 'quality', 'network', 'bad', 'wrapon', 'doang', 'good', 'cave', 'willing', ' expensive ',' according to ',' dngn ',' quality ',' network ',' signal ']</v>
      </c>
      <c r="D460" s="3">
        <v>1.0</v>
      </c>
    </row>
    <row r="461" ht="15.75" customHeight="1">
      <c r="A461" s="1">
        <v>459.0</v>
      </c>
      <c r="B461" s="3" t="s">
        <v>462</v>
      </c>
      <c r="C461" s="3" t="str">
        <f>IFERROR(__xludf.DUMMYFUNCTION("GOOGLETRANSLATE(B461,""id"",""en"")"),"['Quality', 'downhill', 'keep', 'sustainability', 'Mimin', 'solution', 'body', 'business',' anything ',' collaps', 'innovativ', ' Presenting ',' products', 'according to', 'needs',' consumers', '']")</f>
        <v>['Quality', 'downhill', 'keep', 'sustainability', 'Mimin', 'solution', 'body', 'business',' anything ',' collaps', 'innovativ', ' Presenting ',' products', 'according to', 'needs',' consumers', '']</v>
      </c>
      <c r="D461" s="3">
        <v>2.0</v>
      </c>
    </row>
    <row r="462" ht="15.75" customHeight="1">
      <c r="A462" s="1">
        <v>460.0</v>
      </c>
      <c r="B462" s="3" t="s">
        <v>463</v>
      </c>
      <c r="C462" s="3" t="str">
        <f>IFERROR(__xludf.DUMMYFUNCTION("GOOGLETRANSLATE(B462,""id"",""en"")"),"['Disappointed', 'buy', 'package', 'failed', 'connection', 'connection', 'good']")</f>
        <v>['Disappointed', 'buy', 'package', 'failed', 'connection', 'connection', 'good']</v>
      </c>
      <c r="D462" s="3">
        <v>3.0</v>
      </c>
    </row>
    <row r="463" ht="15.75" customHeight="1">
      <c r="A463" s="1">
        <v>461.0</v>
      </c>
      <c r="B463" s="3" t="s">
        <v>464</v>
      </c>
      <c r="C463" s="3" t="str">
        <f>IFERROR(__xludf.DUMMYFUNCTION("GOOGLETRANSLATE(B463,""id"",""en"")"),"['Valuable', 'perfect', 'exact', 'valuable', 'need it', 'valuable', 'need']")</f>
        <v>['Valuable', 'perfect', 'exact', 'valuable', 'need it', 'valuable', 'need']</v>
      </c>
      <c r="D463" s="3">
        <v>3.0</v>
      </c>
    </row>
    <row r="464" ht="15.75" customHeight="1">
      <c r="A464" s="1">
        <v>462.0</v>
      </c>
      <c r="B464" s="3" t="s">
        <v>465</v>
      </c>
      <c r="C464" s="3" t="str">
        <f>IFERROR(__xludf.DUMMYFUNCTION("GOOGLETRANSLATE(B464,""id"",""en"")"),"['Threat', 'Sinyal', 'Quota', 'Maen', 'Game', 'Motion', 'Buffering', 'Mulu', 'Game', 'Please', 'Repaired']")</f>
        <v>['Threat', 'Sinyal', 'Quota', 'Maen', 'Game', 'Motion', 'Buffering', 'Mulu', 'Game', 'Please', 'Repaired']</v>
      </c>
      <c r="D464" s="3">
        <v>1.0</v>
      </c>
    </row>
    <row r="465" ht="15.75" customHeight="1">
      <c r="A465" s="1">
        <v>463.0</v>
      </c>
      <c r="B465" s="3" t="s">
        <v>466</v>
      </c>
      <c r="C465" s="3" t="str">
        <f>IFERROR(__xludf.DUMMYFUNCTION("GOOGLETRANSLATE(B465,""id"",""en"")"),"['Please', 'owe', 'pulse', 'contents',' credit ',' automatic ',' Cut ',' stay ',' buy ',' package ',' for ',' a week ',' quota ',' pulse ',' stay ',' pulse ',' run out ',' where ',' disappear ',' pulse ',' note ',' call ',' operator ',' get ',' sms' , 'no"&amp;"tification', 'usage', 'data', 'package', 'quota', 'quota', 'internet', 'narging', 'pulse', ""]")</f>
        <v>['Please', 'owe', 'pulse', 'contents',' credit ',' automatic ',' Cut ',' stay ',' buy ',' package ',' for ',' a week ',' quota ',' pulse ',' stay ',' pulse ',' run out ',' where ',' disappear ',' pulse ',' note ',' call ',' operator ',' get ',' sms' , 'notification', 'usage', 'data', 'package', 'quota', 'quota', 'internet', 'narging', 'pulse', "]</v>
      </c>
      <c r="D465" s="3">
        <v>1.0</v>
      </c>
    </row>
    <row r="466" ht="15.75" customHeight="1">
      <c r="A466" s="1">
        <v>464.0</v>
      </c>
      <c r="B466" s="3" t="s">
        <v>467</v>
      </c>
      <c r="C466" s="3" t="str">
        <f>IFERROR(__xludf.DUMMYFUNCTION("GOOGLETRANSLATE(B466,""id"",""en"")"),"['Sorry', 'love', 'star', 'confused', 'purchase', 'package', 'pulse', 'buy', 'package', 'quota', 'reply', 'sms',' Credit ',' sufficient ',' fees', 'additional', 'please', 'Include', 'alternating', 'buy', 'pulse', 'thank', 'love', ""]")</f>
        <v>['Sorry', 'love', 'star', 'confused', 'purchase', 'package', 'pulse', 'buy', 'package', 'quota', 'reply', 'sms',' Credit ',' sufficient ',' fees', 'additional', 'please', 'Include', 'alternating', 'buy', 'pulse', 'thank', 'love', "]</v>
      </c>
      <c r="D466" s="3">
        <v>2.0</v>
      </c>
    </row>
    <row r="467" ht="15.75" customHeight="1">
      <c r="A467" s="1">
        <v>465.0</v>
      </c>
      <c r="B467" s="3" t="s">
        <v>468</v>
      </c>
      <c r="C467" s="3" t="str">
        <f>IFERROR(__xludf.DUMMYFUNCTION("GOOGLETRANSLATE(B467,""id"",""en"")"),"['', 'Wonder', 'Ama', 'Telkomsel', 'Package', 'Credit', 'Shower', 'Credit', 'Saved', 'Untk', 'Dipake', 'Ehh', 'check ',' leftover ',' how ',' Telkomsel ',' NDK ',' Kayak ',' Rada ',' Erri ']")</f>
        <v>['', 'Wonder', 'Ama', 'Telkomsel', 'Package', 'Credit', 'Shower', 'Credit', 'Saved', 'Untk', 'Dipake', 'Ehh', 'check ',' leftover ',' how ',' Telkomsel ',' NDK ',' Kayak ',' Rada ',' Erri ']</v>
      </c>
      <c r="D467" s="3">
        <v>2.0</v>
      </c>
    </row>
    <row r="468" ht="15.75" customHeight="1">
      <c r="A468" s="1">
        <v>466.0</v>
      </c>
      <c r="B468" s="3" t="s">
        <v>469</v>
      </c>
      <c r="C468" s="3" t="str">
        <f>IFERROR(__xludf.DUMMYFUNCTION("GOOGLETRANSLATE(B468,""id"",""en"")"),"['comment', 'ugly', 'grateful', 'donk', 'mending', 'ugly', 'quota', 'price', 'base', 'shy', 'datengin', 'center', ' Telkom ',' talking ',' manner ',' thankful ',' network ',' ugly ',' ugly ',' network ',' tetep ',' grateful ',' price ',' love ',' star ' ,"&amp;" 'Telkomsel', 'best', '']")</f>
        <v>['comment', 'ugly', 'grateful', 'donk', 'mending', 'ugly', 'quota', 'price', 'base', 'shy', 'datengin', 'center', ' Telkom ',' talking ',' manner ',' thankful ',' network ',' ugly ',' ugly ',' network ',' tetep ',' grateful ',' price ',' love ',' star ' , 'Telkomsel', 'best', '']</v>
      </c>
      <c r="D468" s="3">
        <v>5.0</v>
      </c>
    </row>
    <row r="469" ht="15.75" customHeight="1">
      <c r="A469" s="1">
        <v>467.0</v>
      </c>
      <c r="B469" s="3" t="s">
        <v>470</v>
      </c>
      <c r="C469" s="3" t="str">
        <f>IFERROR(__xludf.DUMMYFUNCTION("GOOGLETRANSLATE(B469,""id"",""en"")"),"['Type', 'Network', 'Telkomsel', 'Pali', 'Fire', 'Cable', 'Gigyl', 'Fish', 'Shark', 'Etc.', 'Tomorrow', 'Telkomsel', ' Price ',' expensive ',' network ',' taste ', ""]")</f>
        <v>['Type', 'Network', 'Telkomsel', 'Pali', 'Fire', 'Cable', 'Gigyl', 'Fish', 'Shark', 'Etc.', 'Tomorrow', 'Telkomsel', ' Price ',' expensive ',' network ',' taste ', "]</v>
      </c>
      <c r="D469" s="3">
        <v>1.0</v>
      </c>
    </row>
    <row r="470" ht="15.75" customHeight="1">
      <c r="A470" s="1">
        <v>468.0</v>
      </c>
      <c r="B470" s="3" t="s">
        <v>471</v>
      </c>
      <c r="C470" s="3" t="str">
        <f>IFERROR(__xludf.DUMMYFUNCTION("GOOGLETRANSLATE(B470,""id"",""en"")"),"['Network', 'Kek', 'Snail', 'Stay', 'City', 'Pekanbaru', 'Buy', 'Package', 'GB', 'Darling', 'I use', ' ']")</f>
        <v>['Network', 'Kek', 'Snail', 'Stay', 'City', 'Pekanbaru', 'Buy', 'Package', 'GB', 'Darling', 'I use', ' ']</v>
      </c>
      <c r="D470" s="3">
        <v>1.0</v>
      </c>
    </row>
    <row r="471" ht="15.75" customHeight="1">
      <c r="A471" s="1">
        <v>469.0</v>
      </c>
      <c r="B471" s="3" t="s">
        <v>472</v>
      </c>
      <c r="C471" s="3" t="str">
        <f>IFERROR(__xludf.DUMMYFUNCTION("GOOGLETRANSLATE(B471,""id"",""en"")"),"['', 'West Sumatra', 'Dead', 'Lights',' Bentar ',' Network ',' Direct ',' ugly ',' Anji ',' Lost ',' Match ',' Cave ',' Gara ',' Network ',' ngontet ',' wkwkwkwkwkwkwkwkwkwkwkwwkwkkwkwkwkwkwkwkwk ']")</f>
        <v>['', 'West Sumatra', 'Dead', 'Lights',' Bentar ',' Network ',' Direct ',' ugly ',' Anji ',' Lost ',' Match ',' Cave ',' Gara ',' Network ',' ngontet ',' wkwkwkwkwkwkwkwkwkwkwkwwkwkkwkwkwkwkwkwkwk ']</v>
      </c>
      <c r="D471" s="3">
        <v>5.0</v>
      </c>
    </row>
    <row r="472" ht="15.75" customHeight="1">
      <c r="A472" s="1">
        <v>470.0</v>
      </c>
      <c r="B472" s="3" t="s">
        <v>473</v>
      </c>
      <c r="C472" s="3" t="str">
        <f>IFERROR(__xludf.DUMMYFUNCTION("GOOGLETRANSLATE(B472,""id"",""en"")"),"['woi', 'Telkomsel', 'bangse', 'bagusi', 'you', 'network', 'area', 'price', 'quota', 'expensive', 'network', 'you', ' Kayak ',' garbage ',' bangse ']")</f>
        <v>['woi', 'Telkomsel', 'bangse', 'bagusi', 'you', 'network', 'area', 'price', 'quota', 'expensive', 'network', 'you', ' Kayak ',' garbage ',' bangse ']</v>
      </c>
      <c r="D472" s="3">
        <v>1.0</v>
      </c>
    </row>
    <row r="473" ht="15.75" customHeight="1">
      <c r="A473" s="1">
        <v>471.0</v>
      </c>
      <c r="B473" s="3" t="s">
        <v>474</v>
      </c>
      <c r="C473" s="3" t="str">
        <f>IFERROR(__xludf.DUMMYFUNCTION("GOOGLETRANSLATE(B473,""id"",""en"")"),"['Say', 'exchanges',' Points', 'Package', 'GB', 'Write it', 'System', 'Busy', 'Contact', 'Veronika', 'Responya', 'Company', ' His servant ',' bad ',' ']")</f>
        <v>['Say', 'exchanges',' Points', 'Package', 'GB', 'Write it', 'System', 'Busy', 'Contact', 'Veronika', 'Responya', 'Company', ' His servant ',' bad ',' ']</v>
      </c>
      <c r="D473" s="3">
        <v>2.0</v>
      </c>
    </row>
    <row r="474" ht="15.75" customHeight="1">
      <c r="A474" s="1">
        <v>472.0</v>
      </c>
      <c r="B474" s="3" t="s">
        <v>475</v>
      </c>
      <c r="C474" s="3" t="str">
        <f>IFERROR(__xludf.DUMMYFUNCTION("GOOGLETRANSLATE(B474,""id"",""en"")"),"['application', 'its network', 'bad']")</f>
        <v>['application', 'its network', 'bad']</v>
      </c>
      <c r="D474" s="3">
        <v>1.0</v>
      </c>
    </row>
    <row r="475" ht="15.75" customHeight="1">
      <c r="A475" s="1">
        <v>473.0</v>
      </c>
      <c r="B475" s="3" t="s">
        <v>476</v>
      </c>
      <c r="C475" s="3" t="str">
        <f>IFERROR(__xludf.DUMMYFUNCTION("GOOGLETRANSLATE(B475,""id"",""en"")"),"['Telkomsel', 'card', 'prime', 'worst', 'price', 'package', 'data', 'squeezed', 'signal', 'kayak', 'Telkomsel', 'fix', ' instability ',' signal ',' trending ',' cable ',' signal ',' internet ',' Telkomsel ',' sea ',' bitten ',' high school ',' fish ',' sh"&amp;"ark ',' Please ' , 'Clarification', 'Sorry', 'as', 'Customer', 'blasphemy', 'Thank', 'Love', ""]")</f>
        <v>['Telkomsel', 'card', 'prime', 'worst', 'price', 'package', 'data', 'squeezed', 'signal', 'kayak', 'Telkomsel', 'fix', ' instability ',' signal ',' trending ',' cable ',' signal ',' internet ',' Telkomsel ',' sea ',' bitten ',' high school ',' fish ',' shark ',' Please ' , 'Clarification', 'Sorry', 'as', 'Customer', 'blasphemy', 'Thank', 'Love', "]</v>
      </c>
      <c r="D475" s="3">
        <v>1.0</v>
      </c>
    </row>
    <row r="476" ht="15.75" customHeight="1">
      <c r="A476" s="1">
        <v>474.0</v>
      </c>
      <c r="B476" s="3" t="s">
        <v>477</v>
      </c>
      <c r="C476" s="3" t="str">
        <f>IFERROR(__xludf.DUMMYFUNCTION("GOOGLETRANSLATE(B476,""id"",""en"")"),"['Application', 'experience', 'Force', 'Close', 'payment', 'Ovo', 'Gopay', 'Application', 'Crash', 'responding', 'Please', 'repaired', ' buy ',' package ',' data ',' difficult ']")</f>
        <v>['Application', 'experience', 'Force', 'Close', 'payment', 'Ovo', 'Gopay', 'Application', 'Crash', 'responding', 'Please', 'repaired', ' buy ',' package ',' data ',' difficult ']</v>
      </c>
      <c r="D476" s="3">
        <v>1.0</v>
      </c>
    </row>
    <row r="477" ht="15.75" customHeight="1">
      <c r="A477" s="1">
        <v>475.0</v>
      </c>
      <c r="B477" s="3" t="s">
        <v>478</v>
      </c>
      <c r="C477" s="3" t="str">
        <f>IFERROR(__xludf.DUMMYFUNCTION("GOOGLETRANSLATE(B477,""id"",""en"")"),"['', 'Star', 'already', 'describes', 'how good', 'price', 'quota', 'comparable', 'quality', 'network', ""]")</f>
        <v>['', 'Star', 'already', 'describes', 'how good', 'price', 'quota', 'comparable', 'quality', 'network', "]</v>
      </c>
      <c r="D477" s="3">
        <v>2.0</v>
      </c>
    </row>
    <row r="478" ht="15.75" customHeight="1">
      <c r="A478" s="1">
        <v>476.0</v>
      </c>
      <c r="B478" s="3" t="s">
        <v>479</v>
      </c>
      <c r="C478" s="3" t="str">
        <f>IFERROR(__xludf.DUMMYFUNCTION("GOOGLETRANSLATE(B478,""id"",""en"")"),"['Network', 'Telkomsel', 'Severe', 'Min', 'BGS', 'Network', 'Skrg', 'Severe', 'Dri', 'BLN', 'Jringgan', 'PRH', ' Min ',' please ',' fix ',' min ',' ']")</f>
        <v>['Network', 'Telkomsel', 'Severe', 'Min', 'BGS', 'Network', 'Skrg', 'Severe', 'Dri', 'BLN', 'Jringgan', 'PRH', ' Min ',' please ',' fix ',' min ',' ']</v>
      </c>
      <c r="D478" s="3">
        <v>1.0</v>
      </c>
    </row>
    <row r="479" ht="15.75" customHeight="1">
      <c r="A479" s="1">
        <v>477.0</v>
      </c>
      <c r="B479" s="3" t="s">
        <v>480</v>
      </c>
      <c r="C479" s="3" t="str">
        <f>IFERROR(__xludf.DUMMYFUNCTION("GOOGLETRANSLATE(B479,""id"",""en"")"),"['Telkomsel', 'pulse', 'sucked', 'loss', 'kek', 'gini', 'good', 'replace', 'card']")</f>
        <v>['Telkomsel', 'pulse', 'sucked', 'loss', 'kek', 'gini', 'good', 'replace', 'card']</v>
      </c>
      <c r="D479" s="3">
        <v>1.0</v>
      </c>
    </row>
    <row r="480" ht="15.75" customHeight="1">
      <c r="A480" s="1">
        <v>478.0</v>
      </c>
      <c r="B480" s="3" t="s">
        <v>481</v>
      </c>
      <c r="C480" s="3" t="str">
        <f>IFERROR(__xludf.DUMMYFUNCTION("GOOGLETRANSLATE(B480,""id"",""en"")"),"['Kaga', 'MyTelkomsel', 'buy', 'package', 'anything', 'MyTelkomsel', 'Payment', 'Method', 'credit', 'bald']")</f>
        <v>['Kaga', 'MyTelkomsel', 'buy', 'package', 'anything', 'MyTelkomsel', 'Payment', 'Method', 'credit', 'bald']</v>
      </c>
      <c r="D480" s="3">
        <v>1.0</v>
      </c>
    </row>
    <row r="481" ht="15.75" customHeight="1">
      <c r="A481" s="1">
        <v>479.0</v>
      </c>
      <c r="B481" s="3" t="s">
        <v>482</v>
      </c>
      <c r="C481" s="3" t="str">
        <f>IFERROR(__xludf.DUMMYFUNCTION("GOOGLETRANSLATE(B481,""id"",""en"")"),"['Benerin', 'Quality', 'Network', 'Code', 'Post', ""]")</f>
        <v>['Benerin', 'Quality', 'Network', 'Code', 'Post', "]</v>
      </c>
      <c r="D481" s="3">
        <v>1.0</v>
      </c>
    </row>
    <row r="482" ht="15.75" customHeight="1">
      <c r="A482" s="1">
        <v>480.0</v>
      </c>
      <c r="B482" s="3" t="s">
        <v>483</v>
      </c>
      <c r="C482" s="3" t="str">
        <f>IFERROR(__xludf.DUMMYFUNCTION("GOOGLETRANSLATE(B482,""id"",""en"")"),"['Network', 'ugly', 'city', 'jakarta', 'west', 'disappointing', 'Telkomsel', 'suits', 'tariff', 'expensive']")</f>
        <v>['Network', 'ugly', 'city', 'jakarta', 'west', 'disappointing', 'Telkomsel', 'suits', 'tariff', 'expensive']</v>
      </c>
      <c r="D482" s="3">
        <v>1.0</v>
      </c>
    </row>
    <row r="483" ht="15.75" customHeight="1">
      <c r="A483" s="1">
        <v>481.0</v>
      </c>
      <c r="B483" s="3" t="s">
        <v>484</v>
      </c>
      <c r="C483" s="3" t="str">
        <f>IFERROR(__xludf.DUMMYFUNCTION("GOOGLETRANSLATE(B483,""id"",""en"")"),"['buy', 'package', 'credit', 'failed', 'package', 'sometimes', 'cheap', 'sometimes', 'soar', 'severe', ""]")</f>
        <v>['buy', 'package', 'credit', 'failed', 'package', 'sometimes', 'cheap', 'sometimes', 'soar', 'severe', "]</v>
      </c>
      <c r="D483" s="3">
        <v>2.0</v>
      </c>
    </row>
    <row r="484" ht="15.75" customHeight="1">
      <c r="A484" s="1">
        <v>482.0</v>
      </c>
      <c r="B484" s="3" t="s">
        <v>485</v>
      </c>
      <c r="C484" s="3" t="str">
        <f>IFERROR(__xludf.DUMMYFUNCTION("GOOGLETRANSLATE(B484,""id"",""en"")"),"['Congratulations', 'night', 'ask', 'wear', 'package', 'internet', 'sucked', 'package', 'tomorrow', 'sucked', ""]")</f>
        <v>['Congratulations', 'night', 'ask', 'wear', 'package', 'internet', 'sucked', 'package', 'tomorrow', 'sucked', "]</v>
      </c>
      <c r="D484" s="3">
        <v>3.0</v>
      </c>
    </row>
    <row r="485" ht="15.75" customHeight="1">
      <c r="A485" s="1">
        <v>483.0</v>
      </c>
      <c r="B485" s="3" t="s">
        <v>486</v>
      </c>
      <c r="C485" s="3" t="str">
        <f>IFERROR(__xludf.DUMMYFUNCTION("GOOGLETRANSLATE(B485,""id"",""en"")"),"['card', 'Hallo', 'required', 'has', 'package', 'monthly', 'already', 'card', 'Hello', 'change', 'card', ""]")</f>
        <v>['card', 'Hallo', 'required', 'has', 'package', 'monthly', 'already', 'card', 'Hello', 'change', 'card', "]</v>
      </c>
      <c r="D485" s="3">
        <v>1.0</v>
      </c>
    </row>
    <row r="486" ht="15.75" customHeight="1">
      <c r="A486" s="1">
        <v>484.0</v>
      </c>
      <c r="B486" s="3" t="s">
        <v>487</v>
      </c>
      <c r="C486" s="3" t="str">
        <f>IFERROR(__xludf.DUMMYFUNCTION("GOOGLETRANSLATE(B486,""id"",""en"")"),"['Application', 'times',' getting ',' prank ',' turn ',' claim ',' voucher ',' check ',' slalu ',' disorder ',' intention ',' love ',' Vouchers', 'ngeapain', 'love', 'features',' check ',' sgala ',' ']")</f>
        <v>['Application', 'times',' getting ',' prank ',' turn ',' claim ',' voucher ',' check ',' slalu ',' disorder ',' intention ',' love ',' Vouchers', 'ngeapain', 'love', 'features',' check ',' sgala ',' ']</v>
      </c>
      <c r="D486" s="3">
        <v>1.0</v>
      </c>
    </row>
    <row r="487" ht="15.75" customHeight="1">
      <c r="A487" s="1">
        <v>485.0</v>
      </c>
      <c r="B487" s="3" t="s">
        <v>488</v>
      </c>
      <c r="C487" s="3" t="str">
        <f>IFERROR(__xludf.DUMMYFUNCTION("GOOGLETRANSLATE(B487,""id"",""en"")"),"['quota', 'game', 'play', 'game', 'loss', 'buy']")</f>
        <v>['quota', 'game', 'play', 'game', 'loss', 'buy']</v>
      </c>
      <c r="D487" s="3">
        <v>3.0</v>
      </c>
    </row>
    <row r="488" ht="15.75" customHeight="1">
      <c r="A488" s="1">
        <v>486.0</v>
      </c>
      <c r="B488" s="3" t="s">
        <v>489</v>
      </c>
      <c r="C488" s="3" t="str">
        <f>IFERROR(__xludf.DUMMYFUNCTION("GOOGLETRANSLATE(B488,""id"",""en"")"),"['Disappointed', 'Telkomsel', 'signal', 'slow', 'use', 'really', 'ngepain', 'out', 'program', 'signal', 'slow', 'ceck', ' Region ',' Kec ',' darangdan ',' kab ',' purwakarta ',' signal ',' evenly ',' disappointed ',' ']")</f>
        <v>['Disappointed', 'Telkomsel', 'signal', 'slow', 'use', 'really', 'ngepain', 'out', 'program', 'signal', 'slow', 'ceck', ' Region ',' Kec ',' darangdan ',' kab ',' purwakarta ',' signal ',' evenly ',' disappointed ',' ']</v>
      </c>
      <c r="D488" s="3">
        <v>1.0</v>
      </c>
    </row>
    <row r="489" ht="15.75" customHeight="1">
      <c r="A489" s="1">
        <v>487.0</v>
      </c>
      <c r="B489" s="3" t="s">
        <v>490</v>
      </c>
      <c r="C489" s="3" t="str">
        <f>IFERROR(__xludf.DUMMYFUNCTION("GOOGLETRANSLATE(B489,""id"",""en"")"),"['Telkomsel', 'slow', 'forgiveness',' counts', 'Musti', 'double', 'card', 'dngn', 'operator', 'next door', 'pdhl', 'ngandelin', ' Telkomsel ',' ']")</f>
        <v>['Telkomsel', 'slow', 'forgiveness',' counts', 'Musti', 'double', 'card', 'dngn', 'operator', 'next door', 'pdhl', 'ngandelin', ' Telkomsel ',' ']</v>
      </c>
      <c r="D489" s="3">
        <v>1.0</v>
      </c>
    </row>
    <row r="490" ht="15.75" customHeight="1">
      <c r="A490" s="1">
        <v>488.0</v>
      </c>
      <c r="B490" s="3" t="s">
        <v>491</v>
      </c>
      <c r="C490" s="3" t="str">
        <f>IFERROR(__xludf.DUMMYFUNCTION("GOOGLETRANSLATE(B490,""id"",""en"")"),"['signal', 'slow', 'expensive', 'please', 'fix', 'emotion', 'signal', 'slow', 'lag', 'please', 'fix', 'telkom', ' hate']")</f>
        <v>['signal', 'slow', 'expensive', 'please', 'fix', 'emotion', 'signal', 'slow', 'lag', 'please', 'fix', 'telkom', ' hate']</v>
      </c>
      <c r="D490" s="3">
        <v>1.0</v>
      </c>
    </row>
    <row r="491" ht="15.75" customHeight="1">
      <c r="A491" s="1">
        <v>489.0</v>
      </c>
      <c r="B491" s="3" t="s">
        <v>492</v>
      </c>
      <c r="C491" s="3" t="str">
        <f>IFERROR(__xludf.DUMMYFUNCTION("GOOGLETRANSLATE(B491,""id"",""en"")"),"['good', 'price', 'expensive', 'please', 'reviewed', 'community', 'feel', 'internet', 'class', 'Telkomsel', 'thank you', ""]")</f>
        <v>['good', 'price', 'expensive', 'please', 'reviewed', 'community', 'feel', 'internet', 'class', 'Telkomsel', 'thank you', "]</v>
      </c>
      <c r="D491" s="3">
        <v>5.0</v>
      </c>
    </row>
    <row r="492" ht="15.75" customHeight="1">
      <c r="A492" s="1">
        <v>490.0</v>
      </c>
      <c r="B492" s="3" t="s">
        <v>493</v>
      </c>
      <c r="C492" s="3" t="str">
        <f>IFERROR(__xludf.DUMMYFUNCTION("GOOGLETRANSLATE(B492,""id"",""en"")"),"['Times',' Telkomsel ',' Kirain ',' Good ',' Price ',' Expensive ',' Signal ',' Severe ',' Please ',' Repaired ',' Left ',' Customer ',' ']")</f>
        <v>['Times',' Telkomsel ',' Kirain ',' Good ',' Price ',' Expensive ',' Signal ',' Severe ',' Please ',' Repaired ',' Left ',' Customer ',' ']</v>
      </c>
      <c r="D492" s="3">
        <v>1.0</v>
      </c>
    </row>
    <row r="493" ht="15.75" customHeight="1">
      <c r="A493" s="1">
        <v>491.0</v>
      </c>
      <c r="B493" s="3" t="s">
        <v>494</v>
      </c>
      <c r="C493" s="3" t="str">
        <f>IFERROR(__xludf.DUMMYFUNCTION("GOOGLETRANSLATE(B493,""id"",""en"")"),"['application', 'package', 'expensive', 'package', 'run out', 'direct', 'pulses',' pulse ',' main ',' kayak ',' people ',' eat ',' greedy ',' late ',' checked ',' package ',' kecan ', ""]")</f>
        <v>['application', 'package', 'expensive', 'package', 'run out', 'direct', 'pulses',' pulse ',' main ',' kayak ',' people ',' eat ',' greedy ',' late ',' checked ',' package ',' kecan ', "]</v>
      </c>
      <c r="D493" s="3">
        <v>1.0</v>
      </c>
    </row>
    <row r="494" ht="15.75" customHeight="1">
      <c r="A494" s="1">
        <v>492.0</v>
      </c>
      <c r="B494" s="3" t="s">
        <v>495</v>
      </c>
      <c r="C494" s="3" t="str">
        <f>IFERROR(__xludf.DUMMYFUNCTION("GOOGLETRANSLATE(B494,""id"",""en"")"),"['Please', 'sucked', 'pulse', 'sequence', 'quota', 'run out', 'pulse', 'tens',' run out ',' sucked ',' count ',' second ',' NOTIF ',' SMS ',' slow ',' pulse ',' already ',' run out ',' given ',' notif ',' quota ',' run out ',' trick ',' marketing ',' ']")</f>
        <v>['Please', 'sucked', 'pulse', 'sequence', 'quota', 'run out', 'pulse', 'tens',' run out ',' sucked ',' count ',' second ',' NOTIF ',' SMS ',' slow ',' pulse ',' already ',' run out ',' given ',' notif ',' quota ',' run out ',' trick ',' marketing ',' ']</v>
      </c>
      <c r="D494" s="3">
        <v>1.0</v>
      </c>
    </row>
    <row r="495" ht="15.75" customHeight="1">
      <c r="A495" s="1">
        <v>493.0</v>
      </c>
      <c r="B495" s="3" t="s">
        <v>496</v>
      </c>
      <c r="C495" s="3" t="str">
        <f>IFERROR(__xludf.DUMMYFUNCTION("GOOGLETRANSLATE(B495,""id"",""en"")"),"['Telkomsel', 'Sousal', 'Cool', 'Likes', 'Thank you', 'Telkomsel']")</f>
        <v>['Telkomsel', 'Sousal', 'Cool', 'Likes', 'Thank you', 'Telkomsel']</v>
      </c>
      <c r="D495" s="3">
        <v>5.0</v>
      </c>
    </row>
    <row r="496" ht="15.75" customHeight="1">
      <c r="A496" s="1">
        <v>494.0</v>
      </c>
      <c r="B496" s="3" t="s">
        <v>497</v>
      </c>
      <c r="C496" s="3" t="str">
        <f>IFERROR(__xludf.DUMMYFUNCTION("GOOGLETRANSLATE(B496,""id"",""en"")"),"['Points', 'Function', 'Provides', 'Exchange', 'Trash']")</f>
        <v>['Points', 'Function', 'Provides', 'Exchange', 'Trash']</v>
      </c>
      <c r="D496" s="3">
        <v>1.0</v>
      </c>
    </row>
    <row r="497" ht="15.75" customHeight="1">
      <c r="A497" s="1">
        <v>495.0</v>
      </c>
      <c r="B497" s="3" t="s">
        <v>498</v>
      </c>
      <c r="C497" s="3" t="str">
        <f>IFERROR(__xludf.DUMMYFUNCTION("GOOGLETRANSLATE(B497,""id"",""en"")"),"['price', 'application', 'cheap', 'dikonter', 'pulse', 'package', 'run out', 'cut', 'pulse', ""]")</f>
        <v>['price', 'application', 'cheap', 'dikonter', 'pulse', 'package', 'run out', 'cut', 'pulse', "]</v>
      </c>
      <c r="D497" s="3">
        <v>3.0</v>
      </c>
    </row>
    <row r="498" ht="15.75" customHeight="1">
      <c r="A498" s="1">
        <v>496.0</v>
      </c>
      <c r="B498" s="3" t="s">
        <v>499</v>
      </c>
      <c r="C498" s="3" t="str">
        <f>IFERROR(__xludf.DUMMYFUNCTION("GOOGLETRANSLATE(B498,""id"",""en"")"),"['Dolong', 'update', 'version', 'dark', 'because', 'version', 'dark', 'good', 'no', 'Addin', 'theme', 'opinion', ' People ',' Different ',' Different ',' Bank ',' Love ']")</f>
        <v>['Dolong', 'update', 'version', 'dark', 'because', 'version', 'dark', 'good', 'no', 'Addin', 'theme', 'opinion', ' People ',' Different ',' Different ',' Bank ',' Love ']</v>
      </c>
      <c r="D498" s="3">
        <v>1.0</v>
      </c>
    </row>
    <row r="499" ht="15.75" customHeight="1">
      <c r="A499" s="1">
        <v>497.0</v>
      </c>
      <c r="B499" s="3" t="s">
        <v>500</v>
      </c>
      <c r="C499" s="3" t="str">
        <f>IFERROR(__xludf.DUMMYFUNCTION("GOOGLETRANSLATE(B499,""id"",""en"")"),"['Telkomsel', 'Telkomsel', 'Network', 'fast', 'in my opinion', 'slow', 'me', 'play', 'kagak', 'lag', 'please', 'really', ' Continued ',' quota ',' please ',' sustain ',' quota ',' games', 'telkomsel', 'guw', 'play', 'use', 'quota', 'difficult', 'entered' "&amp;", 'Game', 'Game', 'quota', 'game', 'Agriculture', 'Kayak', 'quota', 'internet', 'play', 'disorder', 'that's',' quota ',' Games', 'Not bad', 'cheap']")</f>
        <v>['Telkomsel', 'Telkomsel', 'Network', 'fast', 'in my opinion', 'slow', 'me', 'play', 'kagak', 'lag', 'please', 'really', ' Continued ',' quota ',' please ',' sustain ',' quota ',' games', 'telkomsel', 'guw', 'play', 'use', 'quota', 'difficult', 'entered' , 'Game', 'Game', 'quota', 'game', 'Agriculture', 'Kayak', 'quota', 'internet', 'play', 'disorder', 'that's',' quota ',' Games', 'Not bad', 'cheap']</v>
      </c>
      <c r="D499" s="3">
        <v>1.0</v>
      </c>
    </row>
    <row r="500" ht="15.75" customHeight="1">
      <c r="A500" s="1">
        <v>498.0</v>
      </c>
      <c r="B500" s="3" t="s">
        <v>501</v>
      </c>
      <c r="C500" s="3" t="str">
        <f>IFERROR(__xludf.DUMMYFUNCTION("GOOGLETRANSLATE(B500,""id"",""en"")"),"['Good', 'Network', 'Stable', 'then', 'Update', 'Dam', 'Increase', 'Network', 'Region', 'Indonesia', 'Telkomsel', 'The', ' Best ']")</f>
        <v>['Good', 'Network', 'Stable', 'then', 'Update', 'Dam', 'Increase', 'Network', 'Region', 'Indonesia', 'Telkomsel', 'The', ' Best ']</v>
      </c>
      <c r="D500" s="3">
        <v>5.0</v>
      </c>
    </row>
    <row r="501" ht="15.75" customHeight="1">
      <c r="A501" s="1">
        <v>499.0</v>
      </c>
      <c r="B501" s="3" t="s">
        <v>502</v>
      </c>
      <c r="C501" s="3" t="str">
        <f>IFERROR(__xludf.DUMMYFUNCTION("GOOGLETRANSLATE(B501,""id"",""en"")"),"['Kalogini', 'Muluk', 'signal', 'slow', 'Mending', 'Move', 'Operator', 'Kenceng', '']")</f>
        <v>['Kalogini', 'Muluk', 'signal', 'slow', 'Mending', 'Move', 'Operator', 'Kenceng', '']</v>
      </c>
      <c r="D501" s="3">
        <v>2.0</v>
      </c>
    </row>
    <row r="502" ht="15.75" customHeight="1">
      <c r="A502" s="1">
        <v>500.0</v>
      </c>
      <c r="B502" s="3" t="s">
        <v>503</v>
      </c>
      <c r="C502" s="3" t="str">
        <f>IFERROR(__xludf.DUMMYFUNCTION("GOOGLETRANSLATE(B502,""id"",""en"")"),"['already', 'subscription', 'many years',' already ',' gontain ',' replace ',' card ',' times', 'search', 'cheap', 'tip', 'end', ' expensive ',' already ',' unlimited ',' slow ',' already ',' expensive ',' really ',' please ',' Telkomsel ',' cheap ',' a l"&amp;"ittle ',' quota ',' no ' , 'rich', 'compete', 'signal', 'unlimited', 'slow', 'ngandelin', 'quota', 'main', 'buy', 'quota', 'expensive', 'no', ' PHOATIC ',' already ',' subscribe ',' Lho ',' cheap ',' little ']")</f>
        <v>['already', 'subscription', 'many years',' already ',' gontain ',' replace ',' card ',' times', 'search', 'cheap', 'tip', 'end', ' expensive ',' already ',' unlimited ',' slow ',' already ',' expensive ',' really ',' please ',' Telkomsel ',' cheap ',' a little ',' quota ',' no ' , 'rich', 'compete', 'signal', 'unlimited', 'slow', 'ngandelin', 'quota', 'main', 'buy', 'quota', 'expensive', 'no', ' PHOATIC ',' already ',' subscribe ',' Lho ',' cheap ',' little ']</v>
      </c>
      <c r="D502" s="3">
        <v>4.0</v>
      </c>
    </row>
    <row r="503" ht="15.75" customHeight="1">
      <c r="A503" s="1">
        <v>501.0</v>
      </c>
      <c r="B503" s="3" t="s">
        <v>504</v>
      </c>
      <c r="C503" s="3" t="str">
        <f>IFERROR(__xludf.DUMMYFUNCTION("GOOGLETRANSLATE(B503,""id"",""en"")"),"['steady', 'times', 'application', 'perman', 'purchase', 'Telkomsel', 'hope', 'success', '']")</f>
        <v>['steady', 'times', 'application', 'perman', 'purchase', 'Telkomsel', 'hope', 'success', '']</v>
      </c>
      <c r="D503" s="3">
        <v>5.0</v>
      </c>
    </row>
    <row r="504" ht="15.75" customHeight="1">
      <c r="A504" s="1">
        <v>502.0</v>
      </c>
      <c r="B504" s="3" t="s">
        <v>505</v>
      </c>
      <c r="C504" s="3" t="str">
        <f>IFERROR(__xludf.DUMMYFUNCTION("GOOGLETRANSLATE(B504,""id"",""en"")"),"['steady', 'struggle', 'Telkomsel', 'fix', 'cable', 'eaten', 'shark']")</f>
        <v>['steady', 'struggle', 'Telkomsel', 'fix', 'cable', 'eaten', 'shark']</v>
      </c>
      <c r="D504" s="3">
        <v>5.0</v>
      </c>
    </row>
    <row r="505" ht="15.75" customHeight="1">
      <c r="A505" s="1">
        <v>503.0</v>
      </c>
      <c r="B505" s="3" t="s">
        <v>506</v>
      </c>
      <c r="C505" s="3" t="str">
        <f>IFERROR(__xludf.DUMMYFUNCTION("GOOGLETRANSLATE(B505,""id"",""en"")"),"['Thank "",' Kasih ',' Respo ',' Telkomsel ',' Please ',' Petin ',' Activein ',' Package ',' Forever ',' Greb ',' Rb ',' a month ',' Thank you ',' kaka ',' mimin ']")</f>
        <v>['Thank ",' Kasih ',' Respo ',' Telkomsel ',' Please ',' Petin ',' Activein ',' Package ',' Forever ',' Greb ',' Rb ',' a month ',' Thank you ',' kaka ',' mimin ']</v>
      </c>
      <c r="D505" s="3">
        <v>5.0</v>
      </c>
    </row>
    <row r="506" ht="15.75" customHeight="1">
      <c r="A506" s="1">
        <v>504.0</v>
      </c>
      <c r="B506" s="3" t="s">
        <v>507</v>
      </c>
      <c r="C506" s="3" t="str">
        <f>IFERROR(__xludf.DUMMYFUNCTION("GOOGLETRANSLATE(B506,""id"",""en"")"),"['Telkomsel', 'good', 'really', 'package', 'quota', 'pretty', 'active', 'bln', 'trs']")</f>
        <v>['Telkomsel', 'good', 'really', 'package', 'quota', 'pretty', 'active', 'bln', 'trs']</v>
      </c>
      <c r="D506" s="3">
        <v>5.0</v>
      </c>
    </row>
    <row r="507" ht="15.75" customHeight="1">
      <c r="A507" s="1">
        <v>505.0</v>
      </c>
      <c r="B507" s="3" t="s">
        <v>508</v>
      </c>
      <c r="C507" s="3" t="str">
        <f>IFERROR(__xludf.DUMMYFUNCTION("GOOGLETRANSLATE(B507,""id"",""en"")"),"['eth', 'feeling', 'signal', 'play', 'game', 'signal', 'good', 'signal', 'color', 'green', 'commented', 'rude', ' ']")</f>
        <v>['eth', 'feeling', 'signal', 'play', 'game', 'signal', 'good', 'signal', 'color', 'green', 'commented', 'rude', ' ']</v>
      </c>
      <c r="D507" s="3">
        <v>5.0</v>
      </c>
    </row>
    <row r="508" ht="15.75" customHeight="1">
      <c r="A508" s="1">
        <v>506.0</v>
      </c>
      <c r="B508" s="3" t="s">
        <v>509</v>
      </c>
      <c r="C508" s="3" t="str">
        <f>IFERROR(__xludf.DUMMYFUNCTION("GOOGLETRANSLATE(B508,""id"",""en"")"),"['Sorry', 'developer', 'pulse', 'run out', 'no', 'call', 'pulses', 'no', 'pulse', 'thousand', ""]")</f>
        <v>['Sorry', 'developer', 'pulse', 'run out', 'no', 'call', 'pulses', 'no', 'pulse', 'thousand', "]</v>
      </c>
      <c r="D508" s="3">
        <v>1.0</v>
      </c>
    </row>
    <row r="509" ht="15.75" customHeight="1">
      <c r="A509" s="1">
        <v>507.0</v>
      </c>
      <c r="B509" s="3" t="s">
        <v>510</v>
      </c>
      <c r="C509" s="3" t="str">
        <f>IFERROR(__xludf.DUMMYFUNCTION("GOOGLETRANSLATE(B509,""id"",""en"")"),"['Koita', 'expensive', 'network', 'slow', 'really', 'kek', 'snail', 'ajg', 'Telkomsel']")</f>
        <v>['Koita', 'expensive', 'network', 'slow', 'really', 'kek', 'snail', 'ajg', 'Telkomsel']</v>
      </c>
      <c r="D509" s="3">
        <v>1.0</v>
      </c>
    </row>
    <row r="510" ht="15.75" customHeight="1">
      <c r="A510" s="1">
        <v>508.0</v>
      </c>
      <c r="B510" s="3" t="s">
        <v>511</v>
      </c>
      <c r="C510" s="3" t="str">
        <f>IFERROR(__xludf.DUMMYFUNCTION("GOOGLETRANSLATE(B510,""id"",""en"")"),"['Disappointed', 'Message', 'Enter', 'Event', 'Download', 'Telkomsel', 'Pulse', 'TPI', 'PAS', 'Download', 'checked', 'pulses',' enter', '']")</f>
        <v>['Disappointed', 'Message', 'Enter', 'Event', 'Download', 'Telkomsel', 'Pulse', 'TPI', 'PAS', 'Download', 'checked', 'pulses',' enter', '']</v>
      </c>
      <c r="D510" s="3">
        <v>1.0</v>
      </c>
    </row>
    <row r="511" ht="15.75" customHeight="1">
      <c r="A511" s="1">
        <v>509.0</v>
      </c>
      <c r="B511" s="3" t="s">
        <v>512</v>
      </c>
      <c r="C511" s="3" t="str">
        <f>IFERROR(__xludf.DUMMYFUNCTION("GOOGLETRANSLATE(B511,""id"",""en"")"),"['maza', 'pulse', 'abis',' pdhl ',' still ',' apply ',' bely ',' cave ',' ngisiny ',' patient ',' Lan ',' Jan ',' Toxice ',' Wee ',' Wee ',' Talikin ',' Credit ', ""]")</f>
        <v>['maza', 'pulse', 'abis',' pdhl ',' still ',' apply ',' bely ',' cave ',' ngisiny ',' patient ',' Lan ',' Jan ',' Toxice ',' Wee ',' Wee ',' Talikin ',' Credit ', "]</v>
      </c>
      <c r="D511" s="3">
        <v>1.0</v>
      </c>
    </row>
    <row r="512" ht="15.75" customHeight="1">
      <c r="A512" s="1">
        <v>510.0</v>
      </c>
      <c r="B512" s="3" t="s">
        <v>513</v>
      </c>
      <c r="C512" s="3" t="str">
        <f>IFERROR(__xludf.DUMMYFUNCTION("GOOGLETRANSLATE(B512,""id"",""en"")"),"['Telkomsel', 'promo', 'network', 'bad', 'Please', 'fix', 'signal', 'good']")</f>
        <v>['Telkomsel', 'promo', 'network', 'bad', 'Please', 'fix', 'signal', 'good']</v>
      </c>
      <c r="D512" s="3">
        <v>4.0</v>
      </c>
    </row>
    <row r="513" ht="15.75" customHeight="1">
      <c r="A513" s="1">
        <v>511.0</v>
      </c>
      <c r="B513" s="3" t="s">
        <v>514</v>
      </c>
      <c r="C513" s="3" t="str">
        <f>IFERROR(__xludf.DUMMYFUNCTION("GOOGLETRANSLATE(B513,""id"",""en"")"),"['Terbimah', 'love', 'Telkomsel', 'service', 'easy', 'hopefully', 'lottery', 'Telkomsel', 'realized', 'kept', 'indikasih', 'fraud', ' Telkomsel ',' Jaya ',' ']")</f>
        <v>['Terbimah', 'love', 'Telkomsel', 'service', 'easy', 'hopefully', 'lottery', 'Telkomsel', 'realized', 'kept', 'indikasih', 'fraud', ' Telkomsel ',' Jaya ',' ']</v>
      </c>
      <c r="D513" s="3">
        <v>5.0</v>
      </c>
    </row>
    <row r="514" ht="15.75" customHeight="1">
      <c r="A514" s="1">
        <v>512.0</v>
      </c>
      <c r="B514" s="3" t="s">
        <v>515</v>
      </c>
      <c r="C514" s="3" t="str">
        <f>IFERROR(__xludf.DUMMYFUNCTION("GOOGLETRANSLATE(B514,""id"",""en"")"),"['Cut', 'Credit', 'Loss',' Buy ',' Package ',' Cut ',' First ',' Credit ',' Begin ',' System ',' Admin ',' Love ',' manual ',' package ',' emergency ']")</f>
        <v>['Cut', 'Credit', 'Loss',' Buy ',' Package ',' Cut ',' First ',' Credit ',' Begin ',' System ',' Admin ',' Love ',' manual ',' package ',' emergency ']</v>
      </c>
      <c r="D514" s="3">
        <v>1.0</v>
      </c>
    </row>
    <row r="515" ht="15.75" customHeight="1">
      <c r="A515" s="1">
        <v>513.0</v>
      </c>
      <c r="B515" s="3" t="s">
        <v>516</v>
      </c>
      <c r="C515" s="3" t="str">
        <f>IFERROR(__xludf.DUMMYFUNCTION("GOOGLETRANSLATE(B515,""id"",""en"")"),"['KNPA', 'Coins',' Exchange ',' Package ',' Data ',' Credit ',' DPAT ',' KOUNI ',' HARD ',' IDR ',' DAPT ',' Coin ',' KNPA ',' Penukranic ',' expensive ',' Bangat ',' coin ',' Exchange ',' DGAN ',' Package ',' Data ',' Credit ',' Uda ',' Cape ',' Cape ' ,"&amp;" 'gatherin', 'nga', 'use', 'temkomsel', 'fair', 'hufff']")</f>
        <v>['KNPA', 'Coins',' Exchange ',' Package ',' Data ',' Credit ',' DPAT ',' KOUNI ',' HARD ',' IDR ',' DAPT ',' Coin ',' KNPA ',' Penukranic ',' expensive ',' Bangat ',' coin ',' Exchange ',' DGAN ',' Package ',' Data ',' Credit ',' Uda ',' Cape ',' Cape ' , 'gatherin', 'nga', 'use', 'temkomsel', 'fair', 'hufff']</v>
      </c>
      <c r="D515" s="3">
        <v>1.0</v>
      </c>
    </row>
    <row r="516" ht="15.75" customHeight="1">
      <c r="A516" s="1">
        <v>514.0</v>
      </c>
      <c r="B516" s="3" t="s">
        <v>517</v>
      </c>
      <c r="C516" s="3" t="str">
        <f>IFERROR(__xludf.DUMMYFUNCTION("GOOGLETRANSLATE(B516,""id"",""en"")"),"['right', 'buy', 'quota', 'to', 'learn', 'watch', 'Live', 'Zenius',' reduced ',' quota ',' main ',' buy ',' quota ',' ilmupedia ',' reduced ',' quota ',' main ',' how ',' settlement ',' reduced ',' quota ',' lap ',' learning ',' ilmupedia ',' quota ' , 'm"&amp;"ain', 'reduced']")</f>
        <v>['right', 'buy', 'quota', 'to', 'learn', 'watch', 'Live', 'Zenius',' reduced ',' quota ',' main ',' buy ',' quota ',' ilmupedia ',' reduced ',' quota ',' main ',' how ',' settlement ',' reduced ',' quota ',' lap ',' learning ',' ilmupedia ',' quota ' , 'main', 'reduced']</v>
      </c>
      <c r="D516" s="3">
        <v>5.0</v>
      </c>
    </row>
    <row r="517" ht="15.75" customHeight="1">
      <c r="A517" s="1">
        <v>515.0</v>
      </c>
      <c r="B517" s="3" t="s">
        <v>518</v>
      </c>
      <c r="C517" s="3" t="str">
        <f>IFERROR(__xludf.DUMMYFUNCTION("GOOGLETRANSLATE(B517,""id"",""en"")"),"['Kasi', 'star', 'KNPA', 'Network', 'Telkomsel', 'difficult']")</f>
        <v>['Kasi', 'star', 'KNPA', 'Network', 'Telkomsel', 'difficult']</v>
      </c>
      <c r="D517" s="3">
        <v>1.0</v>
      </c>
    </row>
    <row r="518" ht="15.75" customHeight="1">
      <c r="A518" s="1">
        <v>516.0</v>
      </c>
      <c r="B518" s="3" t="s">
        <v>519</v>
      </c>
      <c r="C518" s="3" t="str">
        <f>IFERROR(__xludf.DUMMYFUNCTION("GOOGLETRANSLATE(B518,""id"",""en"")"),"['Please', 'Lined', 'Buy', 'Package', 'Nii', 'Ganguan', 'Application']")</f>
        <v>['Please', 'Lined', 'Buy', 'Package', 'Nii', 'Ganguan', 'Application']</v>
      </c>
      <c r="D518" s="3">
        <v>3.0</v>
      </c>
    </row>
    <row r="519" ht="15.75" customHeight="1">
      <c r="A519" s="1">
        <v>517.0</v>
      </c>
      <c r="B519" s="3" t="s">
        <v>520</v>
      </c>
      <c r="C519" s="3" t="str">
        <f>IFERROR(__xludf.DUMMYFUNCTION("GOOGLETRANSLATE(B519,""id"",""en"")"),"['Huuuu', 'Buriq', 'network', 'good', 'buy', 'package', 'intention', 'company', 'gosa', 'meapa', 'ngimcer', 'duid', ' People ',' work ',' GBener ',' ']")</f>
        <v>['Huuuu', 'Buriq', 'network', 'good', 'buy', 'package', 'intention', 'company', 'gosa', 'meapa', 'ngimcer', 'duid', ' People ',' work ',' GBener ',' ']</v>
      </c>
      <c r="D519" s="3">
        <v>1.0</v>
      </c>
    </row>
    <row r="520" ht="15.75" customHeight="1">
      <c r="A520" s="1">
        <v>518.0</v>
      </c>
      <c r="B520" s="3" t="s">
        <v>521</v>
      </c>
      <c r="C520" s="3" t="str">
        <f>IFERROR(__xludf.DUMMYFUNCTION("GOOGLETRANSLATE(B520,""id"",""en"")"),"['', 'Region', 'Agronusa', 'Investama', 'Kumpai', 'Kumpai', 'Semanga', 'Sarung', 'District', 'Sambas',' Kalimantan ',' West ',' Sinyal ',' missing ',' lost ',' connection ',' ugly ',' tower ']")</f>
        <v>['', 'Region', 'Agronusa', 'Investama', 'Kumpai', 'Kumpai', 'Semanga', 'Sarung', 'District', 'Sambas',' Kalimantan ',' West ',' Sinyal ',' missing ',' lost ',' connection ',' ugly ',' tower ']</v>
      </c>
      <c r="D520" s="3">
        <v>1.0</v>
      </c>
    </row>
    <row r="521" ht="15.75" customHeight="1">
      <c r="A521" s="1">
        <v>519.0</v>
      </c>
      <c r="B521" s="3" t="s">
        <v>522</v>
      </c>
      <c r="C521" s="3" t="str">
        <f>IFERROR(__xludf.DUMMYFUNCTION("GOOGLETRANSLATE(B521,""id"",""en"")"),"['Business',' Change ',' Jaringgan ',' Grapari ',' Lazy ',' GraPARI ',' JAUAH ',' GRAPARI ',' NGK ',' Served ',' already ',' off ',' Reasons', 'employees',' Jaringgan ',' Error ',' Upset ',' Served ',' Telkomsel ',' Family ',' Telkomsel ', ""]")</f>
        <v>['Business',' Change ',' Jaringgan ',' Grapari ',' Lazy ',' GraPARI ',' JAUAH ',' GRAPARI ',' NGK ',' Served ',' already ',' off ',' Reasons', 'employees',' Jaringgan ',' Error ',' Upset ',' Served ',' Telkomsel ',' Family ',' Telkomsel ', "]</v>
      </c>
      <c r="D521" s="3">
        <v>2.0</v>
      </c>
    </row>
    <row r="522" ht="15.75" customHeight="1">
      <c r="A522" s="1">
        <v>520.0</v>
      </c>
      <c r="B522" s="3" t="s">
        <v>523</v>
      </c>
      <c r="C522" s="3" t="str">
        <f>IFERROR(__xludf.DUMMYFUNCTION("GOOGLETRANSLATE(B522,""id"",""en"")"),"['', 'love', 'star', 'quality', 'internet', 'a week', 'network', 'ugly', 'slow', 'Telkomsel', ""]")</f>
        <v>['', 'love', 'star', 'quality', 'internet', 'a week', 'network', 'ugly', 'slow', 'Telkomsel', "]</v>
      </c>
      <c r="D522" s="3">
        <v>1.0</v>
      </c>
    </row>
    <row r="523" ht="15.75" customHeight="1">
      <c r="A523" s="1">
        <v>521.0</v>
      </c>
      <c r="B523" s="3" t="s">
        <v>524</v>
      </c>
      <c r="C523" s="3" t="str">
        <f>IFERROR(__xludf.DUMMYFUNCTION("GOOGLETRANSLATE(B523,""id"",""en"")"),"['level', 'signal', 'area', 'paperinduarrow', 'Jatibarang', 'Brebes',' area ',' Jatibarang ',' kidul ',' network ',' stable ',' vulnerable ',' Lost ',' network ']")</f>
        <v>['level', 'signal', 'area', 'paperinduarrow', 'Jatibarang', 'Brebes',' area ',' Jatibarang ',' kidul ',' network ',' stable ',' vulnerable ',' Lost ',' network ']</v>
      </c>
      <c r="D523" s="3">
        <v>5.0</v>
      </c>
    </row>
    <row r="524" ht="15.75" customHeight="1">
      <c r="A524" s="1">
        <v>522.0</v>
      </c>
      <c r="B524" s="3" t="s">
        <v>525</v>
      </c>
      <c r="C524" s="3" t="str">
        <f>IFERROR(__xludf.DUMMYFUNCTION("GOOGLETRANSLATE(B524,""id"",""en"")"),"['signal', 'internet', 'slow', 'noon', 'tlng', 'fix', 'signal', 'internet', '']")</f>
        <v>['signal', 'internet', 'slow', 'noon', 'tlng', 'fix', 'signal', 'internet', '']</v>
      </c>
      <c r="D524" s="3">
        <v>1.0</v>
      </c>
    </row>
    <row r="525" ht="15.75" customHeight="1">
      <c r="A525" s="1">
        <v>523.0</v>
      </c>
      <c r="B525" s="3" t="s">
        <v>526</v>
      </c>
      <c r="C525" s="3" t="str">
        <f>IFERROR(__xludf.DUMMYFUNCTION("GOOGLETRANSLATE(B525,""id"",""en"")"),"['Package', 'Unlimited', 'Bangt', 'Disappointed', 'PDHL', 'pls',' right ',' buy ',' package ',' Tetep ',' buy ',' The reason ',' pulse ',' package ',' printed ',' price ',' right ',' times', 'buy', 'package', 'post', 'so', '']")</f>
        <v>['Package', 'Unlimited', 'Bangt', 'Disappointed', 'PDHL', 'pls',' right ',' buy ',' package ',' Tetep ',' buy ',' The reason ',' pulse ',' package ',' printed ',' price ',' right ',' times', 'buy', 'package', 'post', 'so', '']</v>
      </c>
      <c r="D525" s="3">
        <v>1.0</v>
      </c>
    </row>
    <row r="526" ht="15.75" customHeight="1">
      <c r="A526" s="1">
        <v>524.0</v>
      </c>
      <c r="B526" s="3" t="s">
        <v>527</v>
      </c>
      <c r="C526" s="3" t="str">
        <f>IFERROR(__xludf.DUMMYFUNCTION("GOOGLETRANSLATE(B526,""id"",""en"")"),"['Gosh', 'apk', 'error', 'how', 'told', 'update', 'already', 'update', 'Tetep', 'Bukak', 'Take', 'told', ' Update ',' Please ',' Want ',' Have ',' ']")</f>
        <v>['Gosh', 'apk', 'error', 'how', 'told', 'update', 'already', 'update', 'Tetep', 'Bukak', 'Take', 'told', ' Update ',' Please ',' Want ',' Have ',' ']</v>
      </c>
      <c r="D526" s="3">
        <v>4.0</v>
      </c>
    </row>
    <row r="527" ht="15.75" customHeight="1">
      <c r="A527" s="1">
        <v>525.0</v>
      </c>
      <c r="B527" s="3" t="s">
        <v>528</v>
      </c>
      <c r="C527" s="3" t="str">
        <f>IFERROR(__xludf.DUMMYFUNCTION("GOOGLETRANSLATE(B527,""id"",""en"")"),"['Telkomsel', 'skrang', 'kyk', 'network', 'garbage', 'dead', 'lights', 'network', '']")</f>
        <v>['Telkomsel', 'skrang', 'kyk', 'network', 'garbage', 'dead', 'lights', 'network', '']</v>
      </c>
      <c r="D527" s="3">
        <v>1.0</v>
      </c>
    </row>
    <row r="528" ht="15.75" customHeight="1">
      <c r="A528" s="1">
        <v>526.0</v>
      </c>
      <c r="B528" s="3" t="s">
        <v>529</v>
      </c>
      <c r="C528" s="3" t="str">
        <f>IFERROR(__xludf.DUMMYFUNCTION("GOOGLETRANSLATE(B528,""id"",""en"")"),"['', 'Telkomsel', 'Good', 'Please', 'Increase', 'Promo', 'Customer', 'Faithful', 'Telkomsel', 'Promo', 'Super', 'Deal']")</f>
        <v>['', 'Telkomsel', 'Good', 'Please', 'Increase', 'Promo', 'Customer', 'Faithful', 'Telkomsel', 'Promo', 'Super', 'Deal']</v>
      </c>
      <c r="D528" s="3">
        <v>5.0</v>
      </c>
    </row>
    <row r="529" ht="15.75" customHeight="1">
      <c r="A529" s="1">
        <v>527.0</v>
      </c>
      <c r="B529" s="3" t="s">
        <v>530</v>
      </c>
      <c r="C529" s="3" t="str">
        <f>IFERROR(__xludf.DUMMYFUNCTION("GOOGLETRANSLATE(B529,""id"",""en"")"),"['Application', 'stop', 'SNDR', 'Extend', 'Quota', 'NGSH', 'Quota', 'Child', 'Delete', 'Application', 'Install', 'Easy', ' opened ',' stopped ',' SKR ',' Signal ',' Difficult ',' Nmrsydua ',' Telkomsel ',' Ill ',' Feel ',' Telkomsel ']")</f>
        <v>['Application', 'stop', 'SNDR', 'Extend', 'Quota', 'NGSH', 'Quota', 'Child', 'Delete', 'Application', 'Install', 'Easy', ' opened ',' stopped ',' SKR ',' Signal ',' Difficult ',' Nmrsydua ',' Telkomsel ',' Ill ',' Feel ',' Telkomsel ']</v>
      </c>
      <c r="D529" s="3">
        <v>1.0</v>
      </c>
    </row>
    <row r="530" ht="15.75" customHeight="1">
      <c r="A530" s="1">
        <v>528.0</v>
      </c>
      <c r="B530" s="3" t="s">
        <v>531</v>
      </c>
      <c r="C530" s="3" t="str">
        <f>IFERROR(__xludf.DUMMYFUNCTION("GOOGLETRANSLATE(B530,""id"",""en"")"),"['likes',' error ',' network ',' ngeselin ',' lgi ',' PTS ',' UTS ',' signal ',' ugly ',' late ',' gather ',' deh ',' The teacher ',' Thank "", 'Reason', 'Please', 'Repaired', 'Sia', 'bljr',""]")</f>
        <v>['likes',' error ',' network ',' ngeselin ',' lgi ',' PTS ',' UTS ',' signal ',' ugly ',' late ',' gather ',' deh ',' The teacher ',' Thank ", 'Reason', 'Please', 'Repaired', 'Sia', 'bljr',"]</v>
      </c>
      <c r="D530" s="3">
        <v>1.0</v>
      </c>
    </row>
    <row r="531" ht="15.75" customHeight="1">
      <c r="A531" s="1">
        <v>529.0</v>
      </c>
      <c r="B531" s="3" t="s">
        <v>532</v>
      </c>
      <c r="C531" s="3" t="str">
        <f>IFERROR(__xludf.DUMMYFUNCTION("GOOGLETRANSLATE(B531,""id"",""en"")"),"['Dear', 'Telkomsel', 'Please', 'Keep', 'My Trust', 'Smkin', 'Getting to Know You', 'Slow', 'Please', 'in front', 'smay', 'go back', ' Yaaa ',' sya ',' need ',' network ',' consistent ',' can ',' worry ',' price ',' comparable ',' quality ',' ']")</f>
        <v>['Dear', 'Telkomsel', 'Please', 'Keep', 'My Trust', 'Smkin', 'Getting to Know You', 'Slow', 'Please', 'in front', 'smay', 'go back', ' Yaaa ',' sya ',' need ',' network ',' consistent ',' can ',' worry ',' price ',' comparable ',' quality ',' ']</v>
      </c>
      <c r="D531" s="3">
        <v>2.0</v>
      </c>
    </row>
    <row r="532" ht="15.75" customHeight="1">
      <c r="A532" s="1">
        <v>530.0</v>
      </c>
      <c r="B532" s="3" t="s">
        <v>533</v>
      </c>
      <c r="C532" s="3" t="str">
        <f>IFERROR(__xludf.DUMMYFUNCTION("GOOGLETRANSLATE(B532,""id"",""en"")"),"['', 'intention', 'gave', 'signal', 'buy', 'expensive', 'signal', 'garbage', ""]")</f>
        <v>['', 'intention', 'gave', 'signal', 'buy', 'expensive', 'signal', 'garbage', "]</v>
      </c>
      <c r="D532" s="3">
        <v>1.0</v>
      </c>
    </row>
    <row r="533" ht="15.75" customHeight="1">
      <c r="A533" s="1">
        <v>531.0</v>
      </c>
      <c r="B533" s="3" t="s">
        <v>534</v>
      </c>
      <c r="C533" s="3" t="str">
        <f>IFERROR(__xludf.DUMMYFUNCTION("GOOGLETRANSLATE(B533,""id"",""en"")"),"['makes it easier', 'purchase', 'quota', 'pulse', 'useful', 'leftover', 'quota', 'internet']")</f>
        <v>['makes it easier', 'purchase', 'quota', 'pulse', 'useful', 'leftover', 'quota', 'internet']</v>
      </c>
      <c r="D533" s="3">
        <v>5.0</v>
      </c>
    </row>
    <row r="534" ht="15.75" customHeight="1">
      <c r="A534" s="1">
        <v>532.0</v>
      </c>
      <c r="B534" s="3" t="s">
        <v>535</v>
      </c>
      <c r="C534" s="3" t="str">
        <f>IFERROR(__xludf.DUMMYFUNCTION("GOOGLETRANSLATE(B534,""id"",""en"")"),"['Add', 'details',' usage ',' a month ',' rules', 'pulses',' save ',' pulses', 'scorched', 'use', 'deliberate', 'provider', ' axis', 'implement', 'pulse', 'save', 'application', 'package', 'run out', 'pulse', 'safe']")</f>
        <v>['Add', 'details',' usage ',' a month ',' rules', 'pulses',' save ',' pulses', 'scorched', 'use', 'deliberate', 'provider', ' axis', 'implement', 'pulse', 'save', 'application', 'package', 'run out', 'pulse', 'safe']</v>
      </c>
      <c r="D534" s="3">
        <v>4.0</v>
      </c>
    </row>
    <row r="535" ht="15.75" customHeight="1">
      <c r="A535" s="1">
        <v>533.0</v>
      </c>
      <c r="B535" s="3" t="s">
        <v>536</v>
      </c>
      <c r="C535" s="3" t="str">
        <f>IFERROR(__xludf.DUMMYFUNCTION("GOOGLETRANSLATE(B535,""id"",""en"")"),"['usage', 'quota', 'wasteful', 'run out', 'week', 'just', 'watch', 'youtube', 'tiktok', 'and then', 'mlm', 'run out', ' Kayak ',' Corruption ',' ']")</f>
        <v>['usage', 'quota', 'wasteful', 'run out', 'week', 'just', 'watch', 'youtube', 'tiktok', 'and then', 'mlm', 'run out', ' Kayak ',' Corruption ',' ']</v>
      </c>
      <c r="D535" s="3">
        <v>5.0</v>
      </c>
    </row>
    <row r="536" ht="15.75" customHeight="1">
      <c r="A536" s="1">
        <v>534.0</v>
      </c>
      <c r="B536" s="3" t="s">
        <v>537</v>
      </c>
      <c r="C536" s="3" t="str">
        <f>IFERROR(__xludf.DUMMYFUNCTION("GOOGLETRANSLATE(B536,""id"",""en"")"),"['Love', 'as' as' already', 'use', 'Telkomsel', 'obstacles',' smooth ',' price ',' package ',' data ',' ngeluuu ',' gaaaan ',' ']")</f>
        <v>['Love', 'as' as' already', 'use', 'Telkomsel', 'obstacles',' smooth ',' price ',' package ',' data ',' ngeluuu ',' gaaaan ',' ']</v>
      </c>
      <c r="D536" s="3">
        <v>5.0</v>
      </c>
    </row>
    <row r="537" ht="15.75" customHeight="1">
      <c r="A537" s="1">
        <v>535.0</v>
      </c>
      <c r="B537" s="3" t="s">
        <v>538</v>
      </c>
      <c r="C537" s="3" t="str">
        <f>IFERROR(__xludf.DUMMYFUNCTION("GOOGLETRANSLATE(B537,""id"",""en"")"),"['Open', 'apk', 'Telkomsel', 'gabisa', 'entry', 'uninstall', 'trs', 'download', 'sriras', 'quota', ""]")</f>
        <v>['Open', 'apk', 'Telkomsel', 'gabisa', 'entry', 'uninstall', 'trs', 'download', 'sriras', 'quota', "]</v>
      </c>
      <c r="D537" s="3">
        <v>2.0</v>
      </c>
    </row>
    <row r="538" ht="15.75" customHeight="1">
      <c r="A538" s="1">
        <v>536.0</v>
      </c>
      <c r="B538" s="3" t="s">
        <v>539</v>
      </c>
      <c r="C538" s="3" t="str">
        <f>IFERROR(__xludf.DUMMYFUNCTION("GOOGLETRANSLATE(B538,""id"",""en"")"),"['Disappointed', 'really', 'sympathy', 'signal', 'severe', 'really', 'want', 'really', 'kupuang', 'card', 'parahh', 'severe', ' Super ',' Severe ',' ']")</f>
        <v>['Disappointed', 'really', 'sympathy', 'signal', 'severe', 'really', 'want', 'really', 'kupuang', 'card', 'parahh', 'severe', ' Super ',' Severe ',' ']</v>
      </c>
      <c r="D538" s="3">
        <v>1.0</v>
      </c>
    </row>
    <row r="539" ht="15.75" customHeight="1">
      <c r="A539" s="1">
        <v>537.0</v>
      </c>
      <c r="B539" s="3" t="s">
        <v>540</v>
      </c>
      <c r="C539" s="3" t="str">
        <f>IFERROR(__xludf.DUMMYFUNCTION("GOOGLETRANSLATE(B539,""id"",""en"")"),"['weve', 'quota', 'sosmed', 'disconet', 'direct', 'diverted', 'credit', 'loss',' notification ',' appears', 'lost', 'appan', ' Internet ',' Non ',' Package ']")</f>
        <v>['weve', 'quota', 'sosmed', 'disconet', 'direct', 'diverted', 'credit', 'loss',' notification ',' appears', 'lost', 'appan', ' Internet ',' Non ',' Package ']</v>
      </c>
      <c r="D539" s="3">
        <v>1.0</v>
      </c>
    </row>
    <row r="540" ht="15.75" customHeight="1">
      <c r="A540" s="1">
        <v>538.0</v>
      </c>
      <c r="B540" s="3" t="s">
        <v>541</v>
      </c>
      <c r="C540" s="3" t="str">
        <f>IFERROR(__xludf.DUMMYFUNCTION("GOOGLETRANSLATE(B540,""id"",""en"")"),"['gymna', 'pulse', 'sya', 'cut', 'cut', 'staple', 'change', 'loss',' pulse ',' ilang ',' rb ',' cut ',' Gimna ',' ']")</f>
        <v>['gymna', 'pulse', 'sya', 'cut', 'cut', 'staple', 'change', 'loss',' pulse ',' ilang ',' rb ',' cut ',' Gimna ',' ']</v>
      </c>
      <c r="D540" s="3">
        <v>2.0</v>
      </c>
    </row>
    <row r="541" ht="15.75" customHeight="1">
      <c r="A541" s="1">
        <v>539.0</v>
      </c>
      <c r="B541" s="3" t="s">
        <v>542</v>
      </c>
      <c r="C541" s="3" t="str">
        <f>IFERROR(__xludf.DUMMYFUNCTION("GOOGLETRANSLATE(B541,""id"",""en"")"),"['Telkomsel', 'please', 'fix', 'signal', 'signal', 'full', 'like', 'ngeleg', 'tasty', 'play', 'game', 'signal', ' Emotions', 'Telkomsel', 'cards',' expensive ',' TPI ',' rich ',' gini ',' equalized ',' card ',' cheap ',' ']")</f>
        <v>['Telkomsel', 'please', 'fix', 'signal', 'signal', 'full', 'like', 'ngeleg', 'tasty', 'play', 'game', 'signal', ' Emotions', 'Telkomsel', 'cards',' expensive ',' TPI ',' rich ',' gini ',' equalized ',' card ',' cheap ',' ']</v>
      </c>
      <c r="D541" s="3">
        <v>1.0</v>
      </c>
    </row>
    <row r="542" ht="15.75" customHeight="1">
      <c r="A542" s="1">
        <v>540.0</v>
      </c>
      <c r="B542" s="3" t="s">
        <v>543</v>
      </c>
      <c r="C542" s="3" t="str">
        <f>IFERROR(__xludf.DUMMYFUNCTION("GOOGLETRANSLATE(B542,""id"",""en"")"),"['Telkomsel', 'Kek', 'Gini', 'cave', 'buy', 'package', 'data', 'me', 'check', 'package', 'data', 'me', ' Cobak ',' play ',' game ',' please ',' cooperation ',' package ',' expensive ',' ugly ',' ']")</f>
        <v>['Telkomsel', 'Kek', 'Gini', 'cave', 'buy', 'package', 'data', 'me', 'check', 'package', 'data', 'me', ' Cobak ',' play ',' game ',' please ',' cooperation ',' package ',' expensive ',' ugly ',' ']</v>
      </c>
      <c r="D542" s="3">
        <v>2.0</v>
      </c>
    </row>
    <row r="543" ht="15.75" customHeight="1">
      <c r="A543" s="1">
        <v>541.0</v>
      </c>
      <c r="B543" s="3" t="s">
        <v>544</v>
      </c>
      <c r="C543" s="3" t="str">
        <f>IFERROR(__xludf.DUMMYFUNCTION("GOOGLETRANSLATE(B543,""id"",""en"")"),"['Please', 'people', 'already', 'believe', 'provider', 'abis', 'abisnya', 'comment', 'network', '']")</f>
        <v>['Please', 'people', 'already', 'believe', 'provider', 'abis', 'abisnya', 'comment', 'network', '']</v>
      </c>
      <c r="D543" s="3">
        <v>1.0</v>
      </c>
    </row>
    <row r="544" ht="15.75" customHeight="1">
      <c r="A544" s="1">
        <v>542.0</v>
      </c>
      <c r="B544" s="3" t="s">
        <v>545</v>
      </c>
      <c r="C544" s="3" t="str">
        <f>IFERROR(__xludf.DUMMYFUNCTION("GOOGLETRANSLATE(B544,""id"",""en"")"),"['Open', 'Application', 'Try', 'Delete', 'Donlod', 'Open', 'Error', 'Open', 'Content', 'Credit', 'Quota', 'Musti', ' Delete ',' application ',' donlod ',' Empor ',' bgtu ',' all-round ',' exhaust ',' quota ',' telkomsel ',' strange ',' please ',' explanat"&amp;"ion ',' terimacas' ]")</f>
        <v>['Open', 'Application', 'Try', 'Delete', 'Donlod', 'Open', 'Error', 'Open', 'Content', 'Credit', 'Quota', 'Musti', ' Delete ',' application ',' donlod ',' Empor ',' bgtu ',' all-round ',' exhaust ',' quota ',' telkomsel ',' strange ',' please ',' explanation ',' terimacas' ]</v>
      </c>
      <c r="D544" s="3">
        <v>3.0</v>
      </c>
    </row>
    <row r="545" ht="15.75" customHeight="1">
      <c r="A545" s="1">
        <v>543.0</v>
      </c>
      <c r="B545" s="3" t="s">
        <v>546</v>
      </c>
      <c r="C545" s="3" t="str">
        <f>IFERROR(__xludf.DUMMYFUNCTION("GOOGLETRANSLATE(B545,""id"",""en"")"),"['Package', 'combo', 'unlimited', 'please', 'extended', 'get', 'quota', 'internet', 'customer', 'telkomsel', 'decade', 'lho', ' Thanks', 'Before', '']")</f>
        <v>['Package', 'combo', 'unlimited', 'please', 'extended', 'get', 'quota', 'internet', 'customer', 'telkomsel', 'decade', 'lho', ' Thanks', 'Before', '']</v>
      </c>
      <c r="D545" s="3">
        <v>5.0</v>
      </c>
    </row>
    <row r="546" ht="15.75" customHeight="1">
      <c r="A546" s="1">
        <v>544.0</v>
      </c>
      <c r="B546" s="3" t="s">
        <v>547</v>
      </c>
      <c r="C546" s="3" t="str">
        <f>IFERROR(__xludf.DUMMYFUNCTION("GOOGLETRANSLATE(B546,""id"",""en"")"),"['KRTU', 'Telkomsel', 'steady', 'Network', 'Nyaa', 'poor', 'Since', 'Getting to', 'Slalu', 'Use', 'Telkomsel', 'knp', ' DPT ',' Gift ',' Telkomsel ',' Yaa ', ""]")</f>
        <v>['KRTU', 'Telkomsel', 'steady', 'Network', 'Nyaa', 'poor', 'Since', 'Getting to', 'Slalu', 'Use', 'Telkomsel', 'knp', ' DPT ',' Gift ',' Telkomsel ',' Yaa ', "]</v>
      </c>
      <c r="D546" s="3">
        <v>5.0</v>
      </c>
    </row>
    <row r="547" ht="15.75" customHeight="1">
      <c r="A547" s="1">
        <v>545.0</v>
      </c>
      <c r="B547" s="3" t="s">
        <v>548</v>
      </c>
      <c r="C547" s="3" t="str">
        <f>IFERROR(__xludf.DUMMYFUNCTION("GOOGLETRANSLATE(B547,""id"",""en"")"),"['Open', 'Application', 'Telkomsel', 'Tampa', 'Package', 'Data', 'Bru', 'Pulse', 'Register', 'Package', 'TPI', 'Package', ' Bru ',' Open ',' Application ']")</f>
        <v>['Open', 'Application', 'Telkomsel', 'Tampa', 'Package', 'Data', 'Bru', 'Pulse', 'Register', 'Package', 'TPI', 'Package', ' Bru ',' Open ',' Application ']</v>
      </c>
      <c r="D547" s="3">
        <v>4.0</v>
      </c>
    </row>
    <row r="548" ht="15.75" customHeight="1">
      <c r="A548" s="1">
        <v>546.0</v>
      </c>
      <c r="B548" s="3" t="s">
        <v>549</v>
      </c>
      <c r="C548" s="3" t="str">
        <f>IFERROR(__xludf.DUMMYFUNCTION("GOOGLETRANSLATE(B548,""id"",""en"")"),"['Missing', 'Purchase', 'Package', 'Internet', 'Come', 'Download', 'Application', 'INII', '']")</f>
        <v>['Missing', 'Purchase', 'Package', 'Internet', 'Come', 'Download', 'Application', 'INII', '']</v>
      </c>
      <c r="D548" s="3">
        <v>5.0</v>
      </c>
    </row>
    <row r="549" ht="15.75" customHeight="1">
      <c r="A549" s="1">
        <v>547.0</v>
      </c>
      <c r="B549" s="3" t="s">
        <v>550</v>
      </c>
      <c r="C549" s="3" t="str">
        <f>IFERROR(__xludf.DUMMYFUNCTION("GOOGLETRANSLATE(B549,""id"",""en"")"),"['expensive', 'network', 'disorder', 'unclean', 'make', 'provider', 'capitalist', 'spit']")</f>
        <v>['expensive', 'network', 'disorder', 'unclean', 'make', 'provider', 'capitalist', 'spit']</v>
      </c>
      <c r="D549" s="3">
        <v>1.0</v>
      </c>
    </row>
    <row r="550" ht="15.75" customHeight="1">
      <c r="A550" s="1">
        <v>548.0</v>
      </c>
      <c r="B550" s="3" t="s">
        <v>551</v>
      </c>
      <c r="C550" s="3" t="str">
        <f>IFERROR(__xludf.DUMMYFUNCTION("GOOGLETRANSLATE(B550,""id"",""en"")"),"['Telkomsel', 'bad', 'already', 'bring', 'data', 'complete', 'complicated', 'take care', 'card']")</f>
        <v>['Telkomsel', 'bad', 'already', 'bring', 'data', 'complete', 'complicated', 'take care', 'card']</v>
      </c>
      <c r="D550" s="3">
        <v>1.0</v>
      </c>
    </row>
    <row r="551" ht="15.75" customHeight="1">
      <c r="A551" s="1">
        <v>549.0</v>
      </c>
      <c r="B551" s="3" t="s">
        <v>552</v>
      </c>
      <c r="C551" s="3" t="str">
        <f>IFERROR(__xludf.DUMMYFUNCTION("GOOGLETRANSLATE(B551,""id"",""en"")"),"['', 'Telkomsel', 'help', 'in', 'process', 'purchase', 'pulse', 'package', 'internet']")</f>
        <v>['', 'Telkomsel', 'help', 'in', 'process', 'purchase', 'pulse', 'package', 'internet']</v>
      </c>
      <c r="D551" s="3">
        <v>5.0</v>
      </c>
    </row>
    <row r="552" ht="15.75" customHeight="1">
      <c r="A552" s="1">
        <v>550.0</v>
      </c>
      <c r="B552" s="3" t="s">
        <v>553</v>
      </c>
      <c r="C552" s="3" t="str">
        <f>IFERROR(__xludf.DUMMYFUNCTION("GOOGLETRANSLATE(B552,""id"",""en"")"),"['service', 'Telkomsel', 'in', 'facing', 'development', 'knowledge', 'knowledge', 'tech', 'dlm', 'service', 'all', ' side ',' personal ',' personal ',' family ',' life ',' social ',' sameful ',' world ',' government ',' world ',' politics', 'in', 'country"&amp;"' , 'As if', 'barrier', 'distance', 'service', 'Telkomsel', 'impact', 'in', 'face', 'condition', 'RIL', 'Hopefully', 'Telkomsel', ' Faithful ',' Serve ',' Jaya ',' Telkomsel ',' NTK ',' ']")</f>
        <v>['service', 'Telkomsel', 'in', 'facing', 'development', 'knowledge', 'knowledge', 'tech', 'dlm', 'service', 'all', ' side ',' personal ',' personal ',' family ',' life ',' social ',' sameful ',' world ',' government ',' world ',' politics', 'in', 'country' , 'As if', 'barrier', 'distance', 'service', 'Telkomsel', 'impact', 'in', 'face', 'condition', 'RIL', 'Hopefully', 'Telkomsel', ' Faithful ',' Serve ',' Jaya ',' Telkomsel ',' NTK ',' ']</v>
      </c>
      <c r="D552" s="3">
        <v>5.0</v>
      </c>
    </row>
    <row r="553" ht="15.75" customHeight="1">
      <c r="A553" s="1">
        <v>551.0</v>
      </c>
      <c r="B553" s="3" t="s">
        <v>554</v>
      </c>
      <c r="C553" s="3" t="str">
        <f>IFERROR(__xludf.DUMMYFUNCTION("GOOGLETRANSLATE(B553,""id"",""en"")"),"['service', 'operator', 'communicative', 'customers', 'loyal', 'Telkomsel', 'thank', 'love', ""]")</f>
        <v>['service', 'operator', 'communicative', 'customers', 'loyal', 'Telkomsel', 'thank', 'love', "]</v>
      </c>
      <c r="D553" s="3">
        <v>5.0</v>
      </c>
    </row>
    <row r="554" ht="15.75" customHeight="1">
      <c r="A554" s="1">
        <v>552.0</v>
      </c>
      <c r="B554" s="3" t="s">
        <v>555</v>
      </c>
      <c r="C554" s="3" t="str">
        <f>IFERROR(__xludf.DUMMYFUNCTION("GOOGLETRANSLATE(B554,""id"",""en"")"),"['Disorders', 'Kah', 'buy', 'Package', 'Combo', 'Sakti', '']")</f>
        <v>['Disorders', 'Kah', 'buy', 'Package', 'Combo', 'Sakti', '']</v>
      </c>
      <c r="D554" s="3">
        <v>3.0</v>
      </c>
    </row>
    <row r="555" ht="15.75" customHeight="1">
      <c r="A555" s="1">
        <v>553.0</v>
      </c>
      <c r="B555" s="3" t="s">
        <v>556</v>
      </c>
      <c r="C555" s="3" t="str">
        <f>IFERROR(__xludf.DUMMYFUNCTION("GOOGLETRANSLATE(B555,""id"",""en"")"),"['slow', 'loading', 'Wait', 'minutes', 'open', 'pulseku', 'run out', 'coakes']")</f>
        <v>['slow', 'loading', 'Wait', 'minutes', 'open', 'pulseku', 'run out', 'coakes']</v>
      </c>
      <c r="D555" s="3">
        <v>1.0</v>
      </c>
    </row>
    <row r="556" ht="15.75" customHeight="1">
      <c r="A556" s="1">
        <v>554.0</v>
      </c>
      <c r="B556" s="3" t="s">
        <v>557</v>
      </c>
      <c r="C556" s="3" t="str">
        <f>IFERROR(__xludf.DUMMYFUNCTION("GOOGLETRANSLATE(B556,""id"",""en"")"),"['Signal', 'Severe', 'Like', 'Down', 'Parahhh', 'Class',' Telkomsel ',' Network ',' Rich ',' GTU ',' Fix ',' Seh ',' ']")</f>
        <v>['Signal', 'Severe', 'Like', 'Down', 'Parahhh', 'Class',' Telkomsel ',' Network ',' Rich ',' GTU ',' Fix ',' Seh ',' ']</v>
      </c>
      <c r="D556" s="3">
        <v>2.0</v>
      </c>
    </row>
    <row r="557" ht="15.75" customHeight="1">
      <c r="A557" s="1">
        <v>555.0</v>
      </c>
      <c r="B557" s="3" t="s">
        <v>558</v>
      </c>
      <c r="C557" s="3" t="str">
        <f>IFERROR(__xludf.DUMMYFUNCTION("GOOGLETRANSLATE(B557,""id"",""en"")"),"['Come', 'Telkomsel', 'Gajelas',' Oadahal ',' already ',' Dri ',' Make ',' Telkomsel ',' TPI ',' Signal ',' Karuan ',' Disappointed ',' Telkomsel ',' price ',' quota ',' expensive ',' GTU ',' Hopefully ',' fast ',' fix ',' ']")</f>
        <v>['Come', 'Telkomsel', 'Gajelas',' Oadahal ',' already ',' Dri ',' Make ',' Telkomsel ',' TPI ',' Signal ',' Karuan ',' Disappointed ',' Telkomsel ',' price ',' quota ',' expensive ',' GTU ',' Hopefully ',' fast ',' fix ',' ']</v>
      </c>
      <c r="D557" s="3">
        <v>2.0</v>
      </c>
    </row>
    <row r="558" ht="15.75" customHeight="1">
      <c r="A558" s="1">
        <v>556.0</v>
      </c>
      <c r="B558" s="3" t="s">
        <v>559</v>
      </c>
      <c r="C558" s="3" t="str">
        <f>IFERROR(__xludf.DUMMYFUNCTION("GOOGLETRANSLATE(B558,""id"",""en"")"),"['Jarigan', 'Telkomsel', 'Good', 'Please', 'Improvement', 'Tida', 'Open', 'YouTub', 'Watch', 'Hard', 'Kah', 'Cuman', ' Daera ',' Disruption ',' Jarigan ',' Call ',' Good ',' Jarigan ',' Internet ',' Like ',' Hilan ',' Surprisingly ',' See ',' Jarigan ',' "&amp;"right ' , 'Open', 'youtub', 'koo', 'really', 'open', '']")</f>
        <v>['Jarigan', 'Telkomsel', 'Good', 'Please', 'Improvement', 'Tida', 'Open', 'YouTub', 'Watch', 'Hard', 'Kah', 'Cuman', ' Daera ',' Disruption ',' Jarigan ',' Call ',' Good ',' Jarigan ',' Internet ',' Like ',' Hilan ',' Surprisingly ',' See ',' Jarigan ',' right ' , 'Open', 'youtub', 'koo', 'really', 'open', '']</v>
      </c>
      <c r="D558" s="3">
        <v>1.0</v>
      </c>
    </row>
    <row r="559" ht="15.75" customHeight="1">
      <c r="A559" s="1">
        <v>557.0</v>
      </c>
      <c r="B559" s="3" t="s">
        <v>560</v>
      </c>
      <c r="C559" s="3" t="str">
        <f>IFERROR(__xludf.DUMMYFUNCTION("GOOGLETRANSLATE(B559,""id"",""en"")"),"['buy', 'package', 'internet', 'apk', 'pressure', 'many', 'times', 'enter', 'package', 'internet']")</f>
        <v>['buy', 'package', 'internet', 'apk', 'pressure', 'many', 'times', 'enter', 'package', 'internet']</v>
      </c>
      <c r="D559" s="3">
        <v>5.0</v>
      </c>
    </row>
    <row r="560" ht="15.75" customHeight="1">
      <c r="A560" s="1">
        <v>558.0</v>
      </c>
      <c r="B560" s="3" t="s">
        <v>561</v>
      </c>
      <c r="C560" s="3" t="str">
        <f>IFERROR(__xludf.DUMMYFUNCTION("GOOGLETRANSLATE(B560,""id"",""en"")"),"['', 'the application', 'difficult', 'opened', 'customers',' have ',' package ',' active ',' application ',' choice ',' dismiss', 'package', 'active ',' ']")</f>
        <v>['', 'the application', 'difficult', 'opened', 'customers',' have ',' package ',' active ',' application ',' choice ',' dismiss', 'package', 'active ',' ']</v>
      </c>
      <c r="D560" s="3">
        <v>1.0</v>
      </c>
    </row>
    <row r="561" ht="15.75" customHeight="1">
      <c r="A561" s="1">
        <v>559.0</v>
      </c>
      <c r="B561" s="3" t="s">
        <v>562</v>
      </c>
      <c r="C561" s="3" t="str">
        <f>IFERROR(__xludf.DUMMYFUNCTION("GOOGLETRANSLATE(B561,""id"",""en"")"),"['Please', 'package', 'sufficient', 'open', 'dimode', 'free', 'automatic', 'udh', 'run out', 'direct', 'dimode', 'free' Hopefully ',' considered ']")</f>
        <v>['Please', 'package', 'sufficient', 'open', 'dimode', 'free', 'automatic', 'udh', 'run out', 'direct', 'dimode', 'free' Hopefully ',' considered ']</v>
      </c>
      <c r="D561" s="3">
        <v>5.0</v>
      </c>
    </row>
    <row r="562" ht="15.75" customHeight="1">
      <c r="A562" s="1">
        <v>560.0</v>
      </c>
      <c r="B562" s="3" t="s">
        <v>563</v>
      </c>
      <c r="C562" s="3" t="str">
        <f>IFERROR(__xludf.DUMMYFUNCTION("GOOGLETRANSLATE(B562,""id"",""en"")"),"['Application', 'difficult', 'people', 'buy', 'package', 'like', 'error', 'overcome', 'error', 'complain', 'veronica', 'change', ' Sorry ',' Kasi ',' Bintang ',' ugly ',' brew ',' ']")</f>
        <v>['Application', 'difficult', 'people', 'buy', 'package', 'like', 'error', 'overcome', 'error', 'complain', 'veronica', 'change', ' Sorry ',' Kasi ',' Bintang ',' ugly ',' brew ',' ']</v>
      </c>
      <c r="D562" s="3">
        <v>1.0</v>
      </c>
    </row>
    <row r="563" ht="15.75" customHeight="1">
      <c r="A563" s="1">
        <v>561.0</v>
      </c>
      <c r="B563" s="3" t="s">
        <v>564</v>
      </c>
      <c r="C563" s="3" t="str">
        <f>IFERROR(__xludf.DUMMYFUNCTION("GOOGLETRANSLATE(B563,""id"",""en"")"),"['Overcome', 'Senyesal', 'Makai', 'Card', 'Taik', 'Offer', 'As', 'Speech', 'Marketing', 'Nyaaa', 'Hopy', 'change']")</f>
        <v>['Overcome', 'Senyesal', 'Makai', 'Card', 'Taik', 'Offer', 'As', 'Speech', 'Marketing', 'Nyaaa', 'Hopy', 'change']</v>
      </c>
      <c r="D563" s="3">
        <v>1.0</v>
      </c>
    </row>
    <row r="564" ht="15.75" customHeight="1">
      <c r="A564" s="1">
        <v>562.0</v>
      </c>
      <c r="B564" s="3" t="s">
        <v>565</v>
      </c>
      <c r="C564" s="3" t="str">
        <f>IFERROR(__xludf.DUMMYFUNCTION("GOOGLETRANSLATE(B564,""id"",""en"")"),"['ask', 'buy', 'package', 'call', 'a month', 'rb', 'card', 'the reason', 'find', 'package', 'match', 'based', ' location ',' buy ',' package ',' call ',' beg ',' admin ',' love ',' explanation ']")</f>
        <v>['ask', 'buy', 'package', 'call', 'a month', 'rb', 'card', 'the reason', 'find', 'package', 'match', 'based', ' location ',' buy ',' package ',' call ',' beg ',' admin ',' love ',' explanation ']</v>
      </c>
      <c r="D564" s="3">
        <v>5.0</v>
      </c>
    </row>
    <row r="565" ht="15.75" customHeight="1">
      <c r="A565" s="1">
        <v>563.0</v>
      </c>
      <c r="B565" s="3" t="s">
        <v>566</v>
      </c>
      <c r="C565" s="3" t="str">
        <f>IFERROR(__xludf.DUMMYFUNCTION("GOOGLETRANSLATE(B565,""id"",""en"")"),"['pulse', 'sumps', 'run out', 'quota', 'apply', 'date', 'October', '']")</f>
        <v>['pulse', 'sumps', 'run out', 'quota', 'apply', 'date', 'October', '']</v>
      </c>
      <c r="D565" s="3">
        <v>3.0</v>
      </c>
    </row>
    <row r="566" ht="15.75" customHeight="1">
      <c r="A566" s="1">
        <v>564.0</v>
      </c>
      <c r="B566" s="3" t="s">
        <v>567</v>
      </c>
      <c r="C566" s="3" t="str">
        <f>IFERROR(__xludf.DUMMYFUNCTION("GOOGLETRANSLATE(B566,""id"",""en"")"),"['regretting', 'upgraded', 'fish', 'emotions', 'signal', 'operator', 'slow', 'OMG', 'operator', 'state', ""]")</f>
        <v>['regretting', 'upgraded', 'fish', 'emotions', 'signal', 'operator', 'slow', 'OMG', 'operator', 'state', "]</v>
      </c>
      <c r="D566" s="3">
        <v>2.0</v>
      </c>
    </row>
    <row r="567" ht="15.75" customHeight="1">
      <c r="A567" s="1">
        <v>565.0</v>
      </c>
      <c r="B567" s="3" t="s">
        <v>568</v>
      </c>
      <c r="C567" s="3" t="str">
        <f>IFERROR(__xludf.DUMMYFUNCTION("GOOGLETRANSLATE(B567,""id"",""en"")"),"['Telkomsel', 'Provider', 'the biggest', 'Indonesia', 'complaint', 'Network', 'bad', 'Langung', 'Action', 'Mending', 'Change', 'Provider', ' Donk ',' Ngecewain ']")</f>
        <v>['Telkomsel', 'Provider', 'the biggest', 'Indonesia', 'complaint', 'Network', 'bad', 'Langung', 'Action', 'Mending', 'Change', 'Provider', ' Donk ',' Ngecewain ']</v>
      </c>
      <c r="D567" s="3">
        <v>2.0</v>
      </c>
    </row>
    <row r="568" ht="15.75" customHeight="1">
      <c r="A568" s="1">
        <v>566.0</v>
      </c>
      <c r="B568" s="3" t="s">
        <v>569</v>
      </c>
      <c r="C568" s="3" t="str">
        <f>IFERROR(__xludf.DUMMYFUNCTION("GOOGLETRANSLATE(B568,""id"",""en"")"),"['Notif', 'update', 'failed', 'update', 'slow', 'send', 'spam', 'min', '']")</f>
        <v>['Notif', 'update', 'failed', 'update', 'slow', 'send', 'spam', 'min', '']</v>
      </c>
      <c r="D568" s="3">
        <v>1.0</v>
      </c>
    </row>
    <row r="569" ht="15.75" customHeight="1">
      <c r="A569" s="1">
        <v>567.0</v>
      </c>
      <c r="B569" s="3" t="s">
        <v>570</v>
      </c>
      <c r="C569" s="3" t="str">
        <f>IFERROR(__xludf.DUMMYFUNCTION("GOOGLETRANSLATE(B569,""id"",""en"")"),"['Telkomsel', 'klw', 'promo', 'right', 'package', 'cheerful', 'GB', 'no', 'buy', 'pulseku', 'name', 'fooling', ' Fun ']")</f>
        <v>['Telkomsel', 'klw', 'promo', 'right', 'package', 'cheerful', 'GB', 'no', 'buy', 'pulseku', 'name', 'fooling', ' Fun ']</v>
      </c>
      <c r="D569" s="3">
        <v>1.0</v>
      </c>
    </row>
    <row r="570" ht="15.75" customHeight="1">
      <c r="A570" s="1">
        <v>568.0</v>
      </c>
      <c r="B570" s="3" t="s">
        <v>571</v>
      </c>
      <c r="C570" s="3" t="str">
        <f>IFERROR(__xludf.DUMMYFUNCTION("GOOGLETRANSLATE(B570,""id"",""en"")"),"['promo', 'save', 'help', 'pandemic', 'living', 'village', 'use', 'Telkomsel', 'Please', 'Powered', 'package', 'internet', ' ']")</f>
        <v>['promo', 'save', 'help', 'pandemic', 'living', 'village', 'use', 'Telkomsel', 'Please', 'Powered', 'package', 'internet', ' ']</v>
      </c>
      <c r="D570" s="3">
        <v>5.0</v>
      </c>
    </row>
    <row r="571" ht="15.75" customHeight="1">
      <c r="A571" s="1">
        <v>569.0</v>
      </c>
      <c r="B571" s="3" t="s">
        <v>572</v>
      </c>
      <c r="C571" s="3" t="str">
        <f>IFERROR(__xludf.DUMMYFUNCTION("GOOGLETRANSLATE(B571,""id"",""en"")"),"['Aduhhhh', 'how', 'Telkomsel', 'signal', 'stable', 'yesterday', 'smooth', 'really', 'tolonf', 'difficult', 'college', 'online' Understand ',' money ',' already ',' run out ',' contents', 'kuotaa', 'network', 'sya', ""]")</f>
        <v>['Aduhhhh', 'how', 'Telkomsel', 'signal', 'stable', 'yesterday', 'smooth', 'really', 'tolonf', 'difficult', 'college', 'online' Understand ',' money ',' already ',' run out ',' contents', 'kuotaa', 'network', 'sya', "]</v>
      </c>
      <c r="D571" s="3">
        <v>1.0</v>
      </c>
    </row>
    <row r="572" ht="15.75" customHeight="1">
      <c r="A572" s="1">
        <v>570.0</v>
      </c>
      <c r="B572" s="3" t="s">
        <v>573</v>
      </c>
      <c r="C572" s="3" t="str">
        <f>IFERROR(__xludf.DUMMYFUNCTION("GOOGLETRANSLATE(B572,""id"",""en"")"),"['thank', 'love', 'service', 'choice', 'package', 'cheap', '']")</f>
        <v>['thank', 'love', 'service', 'choice', 'package', 'cheap', '']</v>
      </c>
      <c r="D572" s="3">
        <v>5.0</v>
      </c>
    </row>
    <row r="573" ht="15.75" customHeight="1">
      <c r="A573" s="1">
        <v>571.0</v>
      </c>
      <c r="B573" s="3" t="s">
        <v>574</v>
      </c>
      <c r="C573" s="3" t="str">
        <f>IFERROR(__xludf.DUMMYFUNCTION("GOOGLETRANSLATE(B573,""id"",""en"")"),"['signal', 'good', 'best', 'Nga', 'good', 'people', 'belonging', 'people', 'price', 'package', 'data', 'the most expensive' world', '']")</f>
        <v>['signal', 'good', 'best', 'Nga', 'good', 'people', 'belonging', 'people', 'price', 'package', 'data', 'the most expensive' world', '']</v>
      </c>
      <c r="D573" s="3">
        <v>1.0</v>
      </c>
    </row>
    <row r="574" ht="15.75" customHeight="1">
      <c r="A574" s="1">
        <v>572.0</v>
      </c>
      <c r="B574" s="3" t="s">
        <v>575</v>
      </c>
      <c r="C574" s="3" t="str">
        <f>IFERROR(__xludf.DUMMYFUNCTION("GOOGLETRANSLATE(B574,""id"",""en"")"),"['Please', 'gajelas',' package ',' game ',' right ',' play ',' game ',' lose ',' pulse ',' what ',' try ',' refund ',' Help ',' dizziness', 'really', 'network', 'slow']")</f>
        <v>['Please', 'gajelas',' package ',' game ',' right ',' play ',' game ',' lose ',' pulse ',' what ',' try ',' refund ',' Help ',' dizziness', 'really', 'network', 'slow']</v>
      </c>
      <c r="D574" s="3">
        <v>1.0</v>
      </c>
    </row>
    <row r="575" ht="15.75" customHeight="1">
      <c r="A575" s="1">
        <v>573.0</v>
      </c>
      <c r="B575" s="3" t="s">
        <v>576</v>
      </c>
      <c r="C575" s="3" t="str">
        <f>IFERROR(__xludf.DUMMYFUNCTION("GOOGLETRANSLATE(B575,""id"",""en"")"),"['really', 'Exchange', 'Points',' Lottery ',' Lost ',' Points', 'Just', 'Points',' Exchange ',' Point ',' Lottery ',' Car ',' HBS ',' Point ',' intention ',' gave ',' gift ',' gpp ',' minimal ',' steal ',' right ',' customer ',' donk ',' note ',' fix ' , "&amp;"'Network', 'If', 'UDH', 'Gerus', 'Card', 'Bener', 'Move', 'Provider', 'Balikin', 'Point']")</f>
        <v>['really', 'Exchange', 'Points',' Lottery ',' Lost ',' Points', 'Just', 'Points',' Exchange ',' Point ',' Lottery ',' Car ',' HBS ',' Point ',' intention ',' gave ',' gift ',' gpp ',' minimal ',' steal ',' right ',' customer ',' donk ',' note ',' fix ' , 'Network', 'If', 'UDH', 'Gerus', 'Card', 'Bener', 'Move', 'Provider', 'Balikin', 'Point']</v>
      </c>
      <c r="D575" s="3">
        <v>1.0</v>
      </c>
    </row>
    <row r="576" ht="15.75" customHeight="1">
      <c r="A576" s="1">
        <v>574.0</v>
      </c>
      <c r="B576" s="3" t="s">
        <v>577</v>
      </c>
      <c r="C576" s="3" t="str">
        <f>IFERROR(__xludf.DUMMYFUNCTION("GOOGLETRANSLATE(B576,""id"",""en"")"),"['Telkomsel', 'please', 'buy', 'package', 'unlimited', 'GB', 'knapa', 'right', 'package', 'data', 'run out', 'package', ' unlimited ',' function ',' like ',' function ',' please ',' deleted ',' writing ',' unlimited ',' dahlah ',' disappointed ',' Telkoms"&amp;"el ',' network ',' kek ' , 'Snail', 'Package', 'expensive', 'Tipu', 'Tipu']")</f>
        <v>['Telkomsel', 'please', 'buy', 'package', 'unlimited', 'GB', 'knapa', 'right', 'package', 'data', 'run out', 'package', ' unlimited ',' function ',' like ',' function ',' please ',' deleted ',' writing ',' unlimited ',' dahlah ',' disappointed ',' Telkomsel ',' network ',' kek ' , 'Snail', 'Package', 'expensive', 'Tipu', 'Tipu']</v>
      </c>
      <c r="D576" s="3">
        <v>1.0</v>
      </c>
    </row>
    <row r="577" ht="15.75" customHeight="1">
      <c r="A577" s="1">
        <v>575.0</v>
      </c>
      <c r="B577" s="3" t="s">
        <v>578</v>
      </c>
      <c r="C577" s="3" t="str">
        <f>IFERROR(__xludf.DUMMYFUNCTION("GOOGLETRANSLATE(B577,""id"",""en"")"),"['sucks',' Telkomsel ',' run out ',' quota ',' aware ',' pulse ',' direct ',' tacking ',' complaints', 'main', 'most', 'people', ' Telkomsel ',' Bintang ',' Min ',' Please ',' Update ',' ']")</f>
        <v>['sucks',' Telkomsel ',' run out ',' quota ',' aware ',' pulse ',' direct ',' tacking ',' complaints', 'main', 'most', 'people', ' Telkomsel ',' Bintang ',' Min ',' Please ',' Update ',' ']</v>
      </c>
      <c r="D577" s="3">
        <v>1.0</v>
      </c>
    </row>
    <row r="578" ht="15.75" customHeight="1">
      <c r="A578" s="1">
        <v>576.0</v>
      </c>
      <c r="B578" s="3" t="s">
        <v>579</v>
      </c>
      <c r="C578" s="3" t="str">
        <f>IFERROR(__xludf.DUMMYFUNCTION("GOOGLETRANSLATE(B578,""id"",""en"")"),"['Good', 'application', 'help', 'user', 'lazy', 'home', 'buy', 'pulse', 'package', 'quota', 'pandemic', 'come', ' Direct ',' Friend ',' Download ',' Telkomsel ',' Play ',' Store ',' ']")</f>
        <v>['Good', 'application', 'help', 'user', 'lazy', 'home', 'buy', 'pulse', 'package', 'quota', 'pandemic', 'come', ' Direct ',' Friend ',' Download ',' Telkomsel ',' Play ',' Store ',' ']</v>
      </c>
      <c r="D578" s="3">
        <v>5.0</v>
      </c>
    </row>
    <row r="579" ht="15.75" customHeight="1">
      <c r="A579" s="1">
        <v>577.0</v>
      </c>
      <c r="B579" s="3" t="s">
        <v>580</v>
      </c>
      <c r="C579" s="3" t="str">
        <f>IFERROR(__xludf.DUMMYFUNCTION("GOOGLETRANSLATE(B579,""id"",""en"")"),"['price', 'package', 'expensive', 'quota', 'little', 'network', 'bad', 'unlimited']")</f>
        <v>['price', 'package', 'expensive', 'quota', 'little', 'network', 'bad', 'unlimited']</v>
      </c>
      <c r="D579" s="3">
        <v>1.0</v>
      </c>
    </row>
    <row r="580" ht="15.75" customHeight="1">
      <c r="A580" s="1">
        <v>578.0</v>
      </c>
      <c r="B580" s="3" t="s">
        <v>581</v>
      </c>
      <c r="C580" s="3" t="str">
        <f>IFERROR(__xludf.DUMMYFUNCTION("GOOGLETRANSLATE(B580,""id"",""en"")"),"['Exchange', 'Points', 'Please', 'Love', 'Choice', 'Exchange', 'spend', ""]")</f>
        <v>['Exchange', 'Points', 'Please', 'Love', 'Choice', 'Exchange', 'spend', "]</v>
      </c>
      <c r="D580" s="3">
        <v>3.0</v>
      </c>
    </row>
    <row r="581" ht="15.75" customHeight="1">
      <c r="A581" s="1">
        <v>579.0</v>
      </c>
      <c r="B581" s="3" t="s">
        <v>582</v>
      </c>
      <c r="C581" s="3" t="str">
        <f>IFERROR(__xludf.DUMMYFUNCTION("GOOGLETRANSLATE(B581,""id"",""en"")"),"['package', 'cheap', 'times', 'yak', 'signal', 'maen', 'sometimes', '']")</f>
        <v>['package', 'cheap', 'times', 'yak', 'signal', 'maen', 'sometimes', '']</v>
      </c>
      <c r="D581" s="3">
        <v>1.0</v>
      </c>
    </row>
    <row r="582" ht="15.75" customHeight="1">
      <c r="A582" s="1">
        <v>580.0</v>
      </c>
      <c r="B582" s="3" t="s">
        <v>583</v>
      </c>
      <c r="C582" s="3" t="str">
        <f>IFERROR(__xludf.DUMMYFUNCTION("GOOGLETRANSLATE(B582,""id"",""en"")"),"['Application', 'super', 'rotten', 'enter', 'application', 'slow', 'lag', 'severe', 'tranksaksi', 'jdi', 'difficult', 'severe', ' Ngellag ',' slow ',' makes it easy ',' make it difficult ',' auto ',' uninstalll ']")</f>
        <v>['Application', 'super', 'rotten', 'enter', 'application', 'slow', 'lag', 'severe', 'tranksaksi', 'jdi', 'difficult', 'severe', ' Ngellag ',' slow ',' makes it easy ',' make it difficult ',' auto ',' uninstalll ']</v>
      </c>
      <c r="D582" s="3">
        <v>1.0</v>
      </c>
    </row>
    <row r="583" ht="15.75" customHeight="1">
      <c r="A583" s="1">
        <v>581.0</v>
      </c>
      <c r="B583" s="3" t="s">
        <v>584</v>
      </c>
      <c r="C583" s="3" t="str">
        <f>IFERROR(__xludf.DUMMYFUNCTION("GOOGLETRANSLATE(B583,""id"",""en"")"),"['Severe', 'Network', 'Kenceng', 'Region', 'Jakarta', 'Leet', 'Ping', 'Maen', 'Game', 'Red', ""]")</f>
        <v>['Severe', 'Network', 'Kenceng', 'Region', 'Jakarta', 'Leet', 'Ping', 'Maen', 'Game', 'Red', "]</v>
      </c>
      <c r="D583" s="3">
        <v>1.0</v>
      </c>
    </row>
    <row r="584" ht="15.75" customHeight="1">
      <c r="A584" s="1">
        <v>582.0</v>
      </c>
      <c r="B584" s="3" t="s">
        <v>585</v>
      </c>
      <c r="C584" s="3" t="str">
        <f>IFERROR(__xludf.DUMMYFUNCTION("GOOGLETRANSLATE(B584,""id"",""en"")"),"['network', 'ugly', 'blm', 'lgi', 'klu', 'buy', 'kouta', 'expensive', 'expensive', 'please', 'fix', 'drain', ' ']")</f>
        <v>['network', 'ugly', 'blm', 'lgi', 'klu', 'buy', 'kouta', 'expensive', 'expensive', 'please', 'fix', 'drain', ' ']</v>
      </c>
      <c r="D584" s="3">
        <v>1.0</v>
      </c>
    </row>
    <row r="585" ht="15.75" customHeight="1">
      <c r="A585" s="1">
        <v>583.0</v>
      </c>
      <c r="B585" s="3" t="s">
        <v>586</v>
      </c>
      <c r="C585" s="3" t="str">
        <f>IFERROR(__xludf.DUMMYFUNCTION("GOOGLETRANSLATE(B585,""id"",""en"")"),"['In the future', 'program', 'interesting', 'consumer', 'Telkomsel', '']")</f>
        <v>['In the future', 'program', 'interesting', 'consumer', 'Telkomsel', '']</v>
      </c>
      <c r="D585" s="3">
        <v>5.0</v>
      </c>
    </row>
    <row r="586" ht="15.75" customHeight="1">
      <c r="A586" s="1">
        <v>584.0</v>
      </c>
      <c r="B586" s="3" t="s">
        <v>587</v>
      </c>
      <c r="C586" s="3" t="str">
        <f>IFERROR(__xludf.DUMMYFUNCTION("GOOGLETRANSLATE(B586,""id"",""en"")"),"['network', 'pig', 'setabilia', 'slow', 'expensive', 'feasible', 'activity', 'quota', 'disturbed', 'suggest', 'Telkomsel']")</f>
        <v>['network', 'pig', 'setabilia', 'slow', 'expensive', 'feasible', 'activity', 'quota', 'disturbed', 'suggest', 'Telkomsel']</v>
      </c>
      <c r="D586" s="3">
        <v>1.0</v>
      </c>
    </row>
    <row r="587" ht="15.75" customHeight="1">
      <c r="A587" s="1">
        <v>585.0</v>
      </c>
      <c r="B587" s="3" t="s">
        <v>588</v>
      </c>
      <c r="C587" s="3" t="str">
        <f>IFERROR(__xludf.DUMMYFUNCTION("GOOGLETRANSLATE(B587,""id"",""en"")"),"['Good', 'really', 'application', 'easy', 'login', 'the application', 'bsrguna', 'bangett', 'come on', 'spirit', 'update', 'like', ' Sometimes', 'entry', 'the application', 'like', 'Ngelaq', 'loading', 'Sometimes',' Please ',' DESTING ',' Come ',' Deh ','"&amp;" Download ',' Application ' , 'Forced', 'Download', 'Gabut', '']")</f>
        <v>['Good', 'really', 'application', 'easy', 'login', 'the application', 'bsrguna', 'bangett', 'come on', 'spirit', 'update', 'like', ' Sometimes', 'entry', 'the application', 'like', 'Ngelaq', 'loading', 'Sometimes',' Please ',' DESTING ',' Come ',' Deh ',' Download ',' Application ' , 'Forced', 'Download', 'Gabut', '']</v>
      </c>
      <c r="D587" s="3">
        <v>5.0</v>
      </c>
    </row>
    <row r="588" ht="15.75" customHeight="1">
      <c r="A588" s="1">
        <v>586.0</v>
      </c>
      <c r="B588" s="3" t="s">
        <v>589</v>
      </c>
      <c r="C588" s="3" t="str">
        <f>IFERROR(__xludf.DUMMYFUNCTION("GOOGLETRANSLATE(B588,""id"",""en"")"),"['The network', 'good', 'Kenceng', 'slow', 'controlled', 'slow', 'bangeeeeeeettttt', 'netsaaaa', 'please', 'min', 'fix', 'buy', ' package ',' expensive ',' quality ',' satisfying ']")</f>
        <v>['The network', 'good', 'Kenceng', 'slow', 'controlled', 'slow', 'bangeeeeeeettttt', 'netsaaaa', 'please', 'min', 'fix', 'buy', ' package ',' expensive ',' quality ',' satisfying ']</v>
      </c>
      <c r="D588" s="3">
        <v>1.0</v>
      </c>
    </row>
    <row r="589" ht="15.75" customHeight="1">
      <c r="A589" s="1">
        <v>587.0</v>
      </c>
      <c r="B589" s="3" t="s">
        <v>590</v>
      </c>
      <c r="C589" s="3" t="str">
        <f>IFERROR(__xludf.DUMMYFUNCTION("GOOGLETRANSLATE(B589,""id"",""en"")"),"['easy', 'error', 'uda', 'list', 'data', 'internet', 'failed', 'failed', 'mulu', 'registered', 'double', 'paraaaah', ' Telkomsel ']")</f>
        <v>['easy', 'error', 'uda', 'list', 'data', 'internet', 'failed', 'failed', 'mulu', 'registered', 'double', 'paraaaah', ' Telkomsel ']</v>
      </c>
      <c r="D589" s="3">
        <v>4.0</v>
      </c>
    </row>
    <row r="590" ht="15.75" customHeight="1">
      <c r="A590" s="1">
        <v>588.0</v>
      </c>
      <c r="B590" s="3" t="s">
        <v>591</v>
      </c>
      <c r="C590" s="3" t="str">
        <f>IFERROR(__xludf.DUMMYFUNCTION("GOOGLETRANSLATE(B590,""id"",""en"")"),"['price', 'package', 'belongs', 'BUMN', 'lighten', 'belongs', 'state', 'price', 'populat']")</f>
        <v>['price', 'package', 'belongs', 'BUMN', 'lighten', 'belongs', 'state', 'price', 'populat']</v>
      </c>
      <c r="D590" s="3">
        <v>3.0</v>
      </c>
    </row>
    <row r="591" ht="15.75" customHeight="1">
      <c r="A591" s="1">
        <v>589.0</v>
      </c>
      <c r="B591" s="3" t="s">
        <v>592</v>
      </c>
      <c r="C591" s="3" t="str">
        <f>IFERROR(__xludf.DUMMYFUNCTION("GOOGLETRANSLATE(B591,""id"",""en"")"),"['Update', 'Mulu', 'It's good', 'Ad', 'Need', 'Ada', 'Ade', 'minus', 'star', 'love', 'star']")</f>
        <v>['Update', 'Mulu', 'It's good', 'Ad', 'Need', 'Ada', 'Ade', 'minus', 'star', 'love', 'star']</v>
      </c>
      <c r="D591" s="3">
        <v>1.0</v>
      </c>
    </row>
    <row r="592" ht="15.75" customHeight="1">
      <c r="A592" s="1">
        <v>590.0</v>
      </c>
      <c r="B592" s="3" t="s">
        <v>593</v>
      </c>
      <c r="C592" s="3" t="str">
        <f>IFERROR(__xludf.DUMMYFUNCTION("GOOGLETRANSLATE(B592,""id"",""en"")"),"['Telkomsel', 'best', 'customer', 'signal', 'lag', 'quota', 'ckp', 'expensive', '']")</f>
        <v>['Telkomsel', 'best', 'customer', 'signal', 'lag', 'quota', 'ckp', 'expensive', '']</v>
      </c>
      <c r="D592" s="3">
        <v>4.0</v>
      </c>
    </row>
    <row r="593" ht="15.75" customHeight="1">
      <c r="A593" s="1">
        <v>591.0</v>
      </c>
      <c r="B593" s="3" t="s">
        <v>594</v>
      </c>
      <c r="C593" s="3" t="str">
        <f>IFERROR(__xludf.DUMMYFUNCTION("GOOGLETRANSLATE(B593,""id"",""en"")"),"['Hopefully', 'granted', 'hope', 'Aamiin', 'Jaya', 'Telkomsel', 'Points', 'Telkomsel', ""]")</f>
        <v>['Hopefully', 'granted', 'hope', 'Aamiin', 'Jaya', 'Telkomsel', 'Points', 'Telkomsel', "]</v>
      </c>
      <c r="D593" s="3">
        <v>5.0</v>
      </c>
    </row>
    <row r="594" ht="15.75" customHeight="1">
      <c r="A594" s="1">
        <v>592.0</v>
      </c>
      <c r="B594" s="3" t="s">
        <v>595</v>
      </c>
      <c r="C594" s="3" t="str">
        <f>IFERROR(__xludf.DUMMYFUNCTION("GOOGLETRANSLATE(B594,""id"",""en"")"),"['Severe', 'the application', 'sucked', 'quota', 'yes',' open ',' cell ',' road ',' onatarious', 'road', 'application', 'kb', ' seconds', 'ilang', 'application', 'knp', 'gajelas']")</f>
        <v>['Severe', 'the application', 'sucked', 'quota', 'yes',' open ',' cell ',' road ',' onatarious', 'road', 'application', 'kb', ' seconds', 'ilang', 'application', 'knp', 'gajelas']</v>
      </c>
      <c r="D594" s="3">
        <v>1.0</v>
      </c>
    </row>
    <row r="595" ht="15.75" customHeight="1">
      <c r="A595" s="1">
        <v>593.0</v>
      </c>
      <c r="B595" s="3" t="s">
        <v>596</v>
      </c>
      <c r="C595" s="3" t="str">
        <f>IFERROR(__xludf.DUMMYFUNCTION("GOOGLETRANSLATE(B595,""id"",""en"")"),"['Tibatiba', 'Telkomsel', 'choice', 'purchase', 'quota', 'expensive', 'doang', '']")</f>
        <v>['Tibatiba', 'Telkomsel', 'choice', 'purchase', 'quota', 'expensive', 'doang', '']</v>
      </c>
      <c r="D595" s="3">
        <v>3.0</v>
      </c>
    </row>
    <row r="596" ht="15.75" customHeight="1">
      <c r="A596" s="1">
        <v>594.0</v>
      </c>
      <c r="B596" s="3" t="s">
        <v>597</v>
      </c>
      <c r="C596" s="3" t="str">
        <f>IFERROR(__xludf.DUMMYFUNCTION("GOOGLETRANSLATE(B596,""id"",""en"")"),"['love', 'star', 'service', 'satisfying', 'related', 'signal', 'disorder', 'beg', 'fix', 'signal', 'signal', 'disorder', ' expensive ',' price ',' quota ',' service ',' users', 'pay attention', '']")</f>
        <v>['love', 'star', 'service', 'satisfying', 'related', 'signal', 'disorder', 'beg', 'fix', 'signal', 'signal', 'disorder', ' expensive ',' price ',' quota ',' service ',' users', 'pay attention', '']</v>
      </c>
      <c r="D596" s="3">
        <v>1.0</v>
      </c>
    </row>
    <row r="597" ht="15.75" customHeight="1">
      <c r="A597" s="1">
        <v>595.0</v>
      </c>
      <c r="B597" s="3" t="s">
        <v>598</v>
      </c>
      <c r="C597" s="3" t="str">
        <f>IFERROR(__xludf.DUMMYFUNCTION("GOOGLETRANSLATE(B597,""id"",""en"")"),"['ugly', 'quality', 'buy', 'package', 'unlimited', 'games',' quota ',' main ',' run out ',' play ',' game ',' package ',' unlimited ',' game ',' play ',' game ',' active ',' msih ',' severe ',' tricked ',' consumer ',' consumer ',' disappointed ',' moved "&amp;"',' heart ' , 'Use', 'Provider', '']")</f>
        <v>['ugly', 'quality', 'buy', 'package', 'unlimited', 'games',' quota ',' main ',' run out ',' play ',' game ',' package ',' unlimited ',' game ',' play ',' game ',' active ',' msih ',' severe ',' tricked ',' consumer ',' consumer ',' disappointed ',' moved ',' heart ' , 'Use', 'Provider', '']</v>
      </c>
      <c r="D597" s="3">
        <v>1.0</v>
      </c>
    </row>
    <row r="598" ht="15.75" customHeight="1">
      <c r="A598" s="1">
        <v>596.0</v>
      </c>
      <c r="B598" s="3" t="s">
        <v>599</v>
      </c>
      <c r="C598" s="3" t="str">
        <f>IFERROR(__xludf.DUMMYFUNCTION("GOOGLETRANSLATE(B598,""id"",""en"")"),"['Telkomsel', 'healthy', 'open', 'Telkomsel', 'update', 'update', 'option', 'update', 'choice', 'uninstall', 'open', 'click', ' Open ',' update ']")</f>
        <v>['Telkomsel', 'healthy', 'open', 'Telkomsel', 'update', 'update', 'option', 'update', 'choice', 'uninstall', 'open', 'click', ' Open ',' update ']</v>
      </c>
      <c r="D598" s="3">
        <v>1.0</v>
      </c>
    </row>
    <row r="599" ht="15.75" customHeight="1">
      <c r="A599" s="1">
        <v>597.0</v>
      </c>
      <c r="B599" s="3" t="s">
        <v>600</v>
      </c>
      <c r="C599" s="3" t="str">
        <f>IFERROR(__xludf.DUMMYFUNCTION("GOOGLETRANSLATE(B599,""id"",""en"")"),"['Telkomsel', 'essence', 'disappointed', 'bangettt', 'Telkomsel', 'signal', 'jadi', 'bother', 'quota', 'expensive', ""]")</f>
        <v>['Telkomsel', 'essence', 'disappointed', 'bangettt', 'Telkomsel', 'signal', 'jadi', 'bother', 'quota', 'expensive', "]</v>
      </c>
      <c r="D599" s="3">
        <v>1.0</v>
      </c>
    </row>
    <row r="600" ht="15.75" customHeight="1">
      <c r="A600" s="1">
        <v>598.0</v>
      </c>
      <c r="B600" s="3" t="s">
        <v>601</v>
      </c>
      <c r="C600" s="3" t="str">
        <f>IFERROR(__xludf.DUMMYFUNCTION("GOOGLETRANSLATE(B600,""id"",""en"")"),"['Aimed', 'just', 'hope', 'Package', 'Combo', 'Sakti', 'Max', 'replaced', 'Netflix', ""]")</f>
        <v>['Aimed', 'just', 'hope', 'Package', 'Combo', 'Sakti', 'Max', 'replaced', 'Netflix', "]</v>
      </c>
      <c r="D600" s="3">
        <v>5.0</v>
      </c>
    </row>
    <row r="601" ht="15.75" customHeight="1">
      <c r="A601" s="1">
        <v>599.0</v>
      </c>
      <c r="B601" s="3" t="s">
        <v>602</v>
      </c>
      <c r="C601" s="3" t="str">
        <f>IFERROR(__xludf.DUMMYFUNCTION("GOOGLETRANSLATE(B601,""id"",""en"")"),"['price', 'expensive', 'quota', 'internet', 'local', 'minimal', 'package', 'gajelas',' love ',' maxstream ',' etc. ',' star ',' suitable']")</f>
        <v>['price', 'expensive', 'quota', 'internet', 'local', 'minimal', 'package', 'gajelas',' love ',' maxstream ',' etc. ',' star ',' suitable']</v>
      </c>
      <c r="D601" s="3">
        <v>2.0</v>
      </c>
    </row>
    <row r="602" ht="15.75" customHeight="1">
      <c r="A602" s="1">
        <v>600.0</v>
      </c>
      <c r="B602" s="3" t="s">
        <v>603</v>
      </c>
      <c r="C602" s="3" t="str">
        <f>IFERROR(__xludf.DUMMYFUNCTION("GOOGLETRANSLATE(B602,""id"",""en"")"),"['Wow', 'signalnay', 'Ngilak', 'slow', 'yesterday', 'fix', 'slow', 'dizzy']")</f>
        <v>['Wow', 'signalnay', 'Ngilak', 'slow', 'yesterday', 'fix', 'slow', 'dizzy']</v>
      </c>
      <c r="D602" s="3">
        <v>1.0</v>
      </c>
    </row>
    <row r="603" ht="15.75" customHeight="1">
      <c r="A603" s="1">
        <v>601.0</v>
      </c>
      <c r="B603" s="3" t="s">
        <v>604</v>
      </c>
      <c r="C603" s="3" t="str">
        <f>IFERROR(__xludf.DUMMYFUNCTION("GOOGLETRANSLATE(B603,""id"",""en"")"),"['Telkomsel', 'strange', 'times',' contents', 'pulse', 'pulse', 'truncated', 'reason', 'activate', 'package', 'anything', 'internet', ' Please, 'Processed', 'Karna', 'Disright', 'Customer', 'Telkomsel', '']")</f>
        <v>['Telkomsel', 'strange', 'times',' contents', 'pulse', 'pulse', 'truncated', 'reason', 'activate', 'package', 'anything', 'internet', ' Please, 'Processed', 'Karna', 'Disright', 'Customer', 'Telkomsel', '']</v>
      </c>
      <c r="D603" s="3">
        <v>3.0</v>
      </c>
    </row>
    <row r="604" ht="15.75" customHeight="1">
      <c r="A604" s="1">
        <v>602.0</v>
      </c>
      <c r="B604" s="3" t="s">
        <v>605</v>
      </c>
      <c r="C604" s="3" t="str">
        <f>IFERROR(__xludf.DUMMYFUNCTION("GOOGLETRANSLATE(B604,""id"",""en"")"),"['sympathy', 'my place', 'semakun', 'here', 'signal', 'violated', 'loyal', 'tsel', 'yes', 'replace', 'provider', ""]")</f>
        <v>['sympathy', 'my place', 'semakun', 'here', 'signal', 'violated', 'loyal', 'tsel', 'yes', 'replace', 'provider', "]</v>
      </c>
      <c r="D604" s="3">
        <v>2.0</v>
      </c>
    </row>
    <row r="605" ht="15.75" customHeight="1">
      <c r="A605" s="1">
        <v>603.0</v>
      </c>
      <c r="B605" s="3" t="s">
        <v>606</v>
      </c>
      <c r="C605" s="3" t="str">
        <f>IFERROR(__xludf.DUMMYFUNCTION("GOOGLETRANSLATE(B605,""id"",""en"")"),"['skrg', 'buy', 'package', 'Telkomsel', 'try', 'system', 'error', 'install', 'uninstall', ""]")</f>
        <v>['skrg', 'buy', 'package', 'Telkomsel', 'try', 'system', 'error', 'install', 'uninstall', "]</v>
      </c>
      <c r="D605" s="3">
        <v>1.0</v>
      </c>
    </row>
    <row r="606" ht="15.75" customHeight="1">
      <c r="A606" s="1">
        <v>604.0</v>
      </c>
      <c r="B606" s="3" t="s">
        <v>607</v>
      </c>
      <c r="C606" s="3" t="str">
        <f>IFERROR(__xludf.DUMMYFUNCTION("GOOGLETRANSLATE(B606,""id"",""en"")"),"['Network', 'bad', 'removal', 'slow', 'like', 'convoluted', 'turned', 'solution', 'dizziness',' zero ',' rate ',' assessment ',' Good ',' Tsel ',' ']")</f>
        <v>['Network', 'bad', 'removal', 'slow', 'like', 'convoluted', 'turned', 'solution', 'dizziness',' zero ',' rate ',' assessment ',' Good ',' Tsel ',' ']</v>
      </c>
      <c r="D606" s="3">
        <v>1.0</v>
      </c>
    </row>
    <row r="607" ht="15.75" customHeight="1">
      <c r="A607" s="1">
        <v>605.0</v>
      </c>
      <c r="B607" s="3" t="s">
        <v>608</v>
      </c>
      <c r="C607" s="3" t="str">
        <f>IFERROR(__xludf.DUMMYFUNCTION("GOOGLETRANSLATE(B607,""id"",""en"")"),"['Sorry', 'customers',' Telkomsel ',' loyal ',' knp ',' network ',' Telkomsel ',' steady ',' steady ',' slow ',' rich ',' network ',' Telkomsel ',' customer ',' Disappointed ',' Network ',' Telkomsel ',' Disappointed ',' Try ',' Network ',' Telkomsel ',' "&amp;"What ',' Customer ',' Telkomsel ',' Disappointed ' , '']")</f>
        <v>['Sorry', 'customers',' Telkomsel ',' loyal ',' knp ',' network ',' Telkomsel ',' steady ',' steady ',' slow ',' rich ',' network ',' Telkomsel ',' customer ',' Disappointed ',' Network ',' Telkomsel ',' Disappointed ',' Try ',' Network ',' Telkomsel ',' What ',' Customer ',' Telkomsel ',' Disappointed ' , '']</v>
      </c>
      <c r="D607" s="3">
        <v>3.0</v>
      </c>
    </row>
    <row r="608" ht="15.75" customHeight="1">
      <c r="A608" s="1">
        <v>606.0</v>
      </c>
      <c r="B608" s="3" t="s">
        <v>609</v>
      </c>
      <c r="C608" s="3" t="str">
        <f>IFERROR(__xludf.DUMMYFUNCTION("GOOGLETRANSLATE(B608,""id"",""en"")"),"['application', 'makes it easy', 'business', 'cheap', 'satisfying']")</f>
        <v>['application', 'makes it easy', 'business', 'cheap', 'satisfying']</v>
      </c>
      <c r="D608" s="3">
        <v>5.0</v>
      </c>
    </row>
    <row r="609" ht="15.75" customHeight="1">
      <c r="A609" s="1">
        <v>607.0</v>
      </c>
      <c r="B609" s="3" t="s">
        <v>610</v>
      </c>
      <c r="C609" s="3" t="str">
        <f>IFERROR(__xludf.DUMMYFUNCTION("GOOGLETRANSLATE(B609,""id"",""en"")"),"['Maytelkomsel', 'taik', 'tissue', 'slow', 'really', 'already', 'pay', 'expensive', 'package', 'udh', 'buy', 'per month', ' Kagak ',' Packed ']")</f>
        <v>['Maytelkomsel', 'taik', 'tissue', 'slow', 'really', 'already', 'pay', 'expensive', 'package', 'udh', 'buy', 'per month', ' Kagak ',' Packed ']</v>
      </c>
      <c r="D609" s="3">
        <v>1.0</v>
      </c>
    </row>
    <row r="610" ht="15.75" customHeight="1">
      <c r="A610" s="1">
        <v>608.0</v>
      </c>
      <c r="B610" s="3" t="s">
        <v>611</v>
      </c>
      <c r="C610" s="3" t="str">
        <f>IFERROR(__xludf.DUMMYFUNCTION("GOOGLETRANSLATE(B610,""id"",""en"")"),"['mourning', the 'death', 'network', 'Telkomsel', 'quality', 'service', 'bad', 'hope', 'ugliness',' blasphemy ',' user ',' Amalanya ',' accepted ',' side ',' Lord ', ""]")</f>
        <v>['mourning', the 'death', 'network', 'Telkomsel', 'quality', 'service', 'bad', 'hope', 'ugliness',' blasphemy ',' user ',' Amalanya ',' accepted ',' side ',' Lord ', "]</v>
      </c>
      <c r="D610" s="3">
        <v>1.0</v>
      </c>
    </row>
    <row r="611" ht="15.75" customHeight="1">
      <c r="A611" s="1">
        <v>609.0</v>
      </c>
      <c r="B611" s="3" t="s">
        <v>612</v>
      </c>
      <c r="C611" s="3" t="str">
        <f>IFERROR(__xludf.DUMMYFUNCTION("GOOGLETRANSLATE(B611,""id"",""en"")"),"['buy', 'quota', 'unlimited', 'tiktok', 'package', 'quota', 'main', 'cut', 'please', 'repair']")</f>
        <v>['buy', 'quota', 'unlimited', 'tiktok', 'package', 'quota', 'main', 'cut', 'please', 'repair']</v>
      </c>
      <c r="D611" s="3">
        <v>1.0</v>
      </c>
    </row>
    <row r="612" ht="15.75" customHeight="1">
      <c r="A612" s="1">
        <v>610.0</v>
      </c>
      <c r="B612" s="3" t="s">
        <v>613</v>
      </c>
      <c r="C612" s="3" t="str">
        <f>IFERROR(__xludf.DUMMYFUNCTION("GOOGLETRANSLATE(B612,""id"",""en"")"),"['buy', 'Package', 'Telkomsel', 'buy', 'package', 'Please', 'help', 'Telkomsel', 'no', 'buy', 'price', 'expensive', ' Please, 'Help', 'After all', 'Network', 'Leet', 'Very', '']")</f>
        <v>['buy', 'Package', 'Telkomsel', 'buy', 'package', 'Please', 'help', 'Telkomsel', 'no', 'buy', 'price', 'expensive', ' Please, 'Help', 'After all', 'Network', 'Leet', 'Very', '']</v>
      </c>
      <c r="D612" s="3">
        <v>1.0</v>
      </c>
    </row>
    <row r="613" ht="15.75" customHeight="1">
      <c r="A613" s="1">
        <v>611.0</v>
      </c>
      <c r="B613" s="3" t="s">
        <v>614</v>
      </c>
      <c r="C613" s="3" t="str">
        <f>IFERROR(__xludf.DUMMYFUNCTION("GOOGLETRANSLATE(B613,""id"",""en"")"),"[The 'packets', 'good', 'just', 'expensive', 'network', 'understand', 'interior', 'affordable']")</f>
        <v>[The 'packets', 'good', 'just', 'expensive', 'network', 'understand', 'interior', 'affordable']</v>
      </c>
      <c r="D613" s="3">
        <v>5.0</v>
      </c>
    </row>
    <row r="614" ht="15.75" customHeight="1">
      <c r="A614" s="1">
        <v>612.0</v>
      </c>
      <c r="B614" s="3" t="s">
        <v>615</v>
      </c>
      <c r="C614" s="3" t="str">
        <f>IFERROR(__xludf.DUMMYFUNCTION("GOOGLETRANSLATE(B614,""id"",""en"")"),"['Telkomsel', 'The', 'Best', 'Since', 'Card', 'Telkomsel', 'Hopefully', 'Telkomsel', 'Jaya', ""]")</f>
        <v>['Telkomsel', 'The', 'Best', 'Since', 'Card', 'Telkomsel', 'Hopefully', 'Telkomsel', 'Jaya', "]</v>
      </c>
      <c r="D614" s="3">
        <v>5.0</v>
      </c>
    </row>
    <row r="615" ht="15.75" customHeight="1">
      <c r="A615" s="1">
        <v>613.0</v>
      </c>
      <c r="B615" s="3" t="s">
        <v>616</v>
      </c>
      <c r="C615" s="3" t="str">
        <f>IFERROR(__xludf.DUMMYFUNCTION("GOOGLETRANSLATE(B615,""id"",""en"")"),"['Severe', 'buy', 'plsa', 'enter', 'transaction', 'succeed', 'right', 'complaint', 'answer', 'muter', 'Muluk', 'Hadeh', ' Professional ',' Doong ']")</f>
        <v>['Severe', 'buy', 'plsa', 'enter', 'transaction', 'succeed', 'right', 'complaint', 'answer', 'muter', 'Muluk', 'Hadeh', ' Professional ',' Doong ']</v>
      </c>
      <c r="D615" s="3">
        <v>1.0</v>
      </c>
    </row>
    <row r="616" ht="15.75" customHeight="1">
      <c r="A616" s="1">
        <v>614.0</v>
      </c>
      <c r="B616" s="3" t="s">
        <v>617</v>
      </c>
      <c r="C616" s="3" t="str">
        <f>IFERROR(__xludf.DUMMYFUNCTION("GOOGLETRANSLATE(B616,""id"",""en"")"),"['Network', 'Telkomsel', 'Severe', 'really', 'already', 'Try', 'complaints',' already ',' account ',' Veronika ',' Tetep ',' Tampled ',' tele ',' solution ',' service ',' responsive ',' disappointed ',' Telkomsel ',' forets', 'slow', 'network', 'ugly', 'w"&amp;"ork', 'disrupted', 'access' , 'Communication', 'Dibanggins', 'Severe', 'Original', 'Severe', 'Price', 'Package', 'Cheap', '']")</f>
        <v>['Network', 'Telkomsel', 'Severe', 'really', 'already', 'Try', 'complaints',' already ',' account ',' Veronika ',' Tetep ',' Tampled ',' tele ',' solution ',' service ',' responsive ',' disappointed ',' Telkomsel ',' forets', 'slow', 'network', 'ugly', 'work', 'disrupted', 'access' , 'Communication', 'Dibanggins', 'Severe', 'Original', 'Severe', 'Price', 'Package', 'Cheap', '']</v>
      </c>
      <c r="D616" s="3">
        <v>1.0</v>
      </c>
    </row>
    <row r="617" ht="15.75" customHeight="1">
      <c r="A617" s="1">
        <v>615.0</v>
      </c>
      <c r="B617" s="3" t="s">
        <v>618</v>
      </c>
      <c r="C617" s="3" t="str">
        <f>IFERROR(__xludf.DUMMYFUNCTION("GOOGLETRANSLATE(B617,""id"",""en"")"),"['Update', 'Playstore', 'That's', 'Try', 'Many', 'Already', 'Extend', 'Package']")</f>
        <v>['Update', 'Playstore', 'That's', 'Try', 'Many', 'Already', 'Extend', 'Package']</v>
      </c>
      <c r="D617" s="3">
        <v>2.0</v>
      </c>
    </row>
    <row r="618" ht="15.75" customHeight="1">
      <c r="A618" s="1">
        <v>616.0</v>
      </c>
      <c r="B618" s="3" t="s">
        <v>619</v>
      </c>
      <c r="C618" s="3" t="str">
        <f>IFERROR(__xludf.DUMMYFUNCTION("GOOGLETRANSLATE(B618,""id"",""en"")"),"['Taik', 'network', 'error', 'card', 'expensive', 'network', 'error', 'fix', 'system', 'ngab', 'loss',' card ',' expensive ',' slow ',' internet ',' skrng ',' emang ',' slow ',' signal ',' just ',' card ',' sell ',' expensive ',' signal ',' cheap ' ]")</f>
        <v>['Taik', 'network', 'error', 'card', 'expensive', 'network', 'error', 'fix', 'system', 'ngab', 'loss',' card ',' expensive ',' slow ',' internet ',' skrng ',' emang ',' slow ',' signal ',' just ',' card ',' sell ',' expensive ',' signal ',' cheap ' ]</v>
      </c>
      <c r="D618" s="3">
        <v>1.0</v>
      </c>
    </row>
    <row r="619" ht="15.75" customHeight="1">
      <c r="A619" s="1">
        <v>617.0</v>
      </c>
      <c r="B619" s="3" t="s">
        <v>620</v>
      </c>
      <c r="C619" s="3" t="str">
        <f>IFERROR(__xludf.DUMMYFUNCTION("GOOGLETRANSLATE(B619,""id"",""en"")"),"['Star', 'contents',' APK ',' package ',' according to ',' use ',' Points', 'Pay', 'Concum', 'Exchange', 'Points',' Mending ',' Buy ',' Price ',' Lottery ',' Delete ',' Win ',' People ',' Rich ',' ']")</f>
        <v>['Star', 'contents',' APK ',' package ',' according to ',' use ',' Points', 'Pay', 'Concum', 'Exchange', 'Points',' Mending ',' Buy ',' Price ',' Lottery ',' Delete ',' Win ',' People ',' Rich ',' ']</v>
      </c>
      <c r="D619" s="3">
        <v>3.0</v>
      </c>
    </row>
    <row r="620" ht="15.75" customHeight="1">
      <c r="A620" s="1">
        <v>618.0</v>
      </c>
      <c r="B620" s="3" t="s">
        <v>621</v>
      </c>
      <c r="C620" s="3" t="str">
        <f>IFERROR(__xludf.DUMMYFUNCTION("GOOGLETRANSLATE(B620,""id"",""en"")"),"['buy', 'quota', 'skrg', 'difficult', 'really', 'buy', 'quota', 'cheap', 'persulit', 'that's',' need ',' many ',' "", 'repeated', 'reset', 'activation', 'buy', 'expensive', 'slow', 'I', 'buy', 'GMNA', 'really', 'buy', 'expensive' ]")</f>
        <v>['buy', 'quota', 'skrg', 'difficult', 'really', 'buy', 'quota', 'cheap', 'persulit', 'that's',' need ',' many ',' ", 'repeated', 'reset', 'activation', 'buy', 'expensive', 'slow', 'I', 'buy', 'GMNA', 'really', 'buy', 'expensive' ]</v>
      </c>
      <c r="D620" s="3">
        <v>1.0</v>
      </c>
    </row>
    <row r="621" ht="15.75" customHeight="1">
      <c r="A621" s="1">
        <v>619.0</v>
      </c>
      <c r="B621" s="3" t="s">
        <v>622</v>
      </c>
      <c r="C621" s="3" t="str">
        <f>IFERROR(__xludf.DUMMYFUNCTION("GOOGLETRANSLATE(B621,""id"",""en"")"),"['Customer', 'package', 'kill', 'buy', 'thousand', 'already', 'entry', 'provider', 'direct', 'replace', 'card']")</f>
        <v>['Customer', 'package', 'kill', 'buy', 'thousand', 'already', 'entry', 'provider', 'direct', 'replace', 'card']</v>
      </c>
      <c r="D621" s="3">
        <v>1.0</v>
      </c>
    </row>
    <row r="622" ht="15.75" customHeight="1">
      <c r="A622" s="1">
        <v>620.0</v>
      </c>
      <c r="B622" s="3" t="s">
        <v>623</v>
      </c>
      <c r="C622" s="3" t="str">
        <f>IFERROR(__xludf.DUMMYFUNCTION("GOOGLETRANSLATE(B622,""id"",""en"")"),"['Good', 'Network', 'fast', 'satisfying', 'Thank you', 'Telkomsel', 'Success']")</f>
        <v>['Good', 'Network', 'fast', 'satisfying', 'Thank you', 'Telkomsel', 'Success']</v>
      </c>
      <c r="D622" s="3">
        <v>5.0</v>
      </c>
    </row>
    <row r="623" ht="15.75" customHeight="1">
      <c r="A623" s="1">
        <v>621.0</v>
      </c>
      <c r="B623" s="3" t="s">
        <v>624</v>
      </c>
      <c r="C623" s="3" t="str">
        <f>IFERROR(__xludf.DUMMYFUNCTION("GOOGLETRANSLATE(B623,""id"",""en"")"),"['Provider', 'Kece', 'Price', 'Rada', 'Expensive', 'TPI', 'Alhamdulillah', 'CPET', 'LEG', 'TPI','A ',' Application ',' Telkomsel ',' loading ',' subhannallah ',' huhuhu ',' please ',' fixed ',' ']")</f>
        <v>['Provider', 'Kece', 'Price', 'Rada', 'Expensive', 'TPI', 'Alhamdulillah', 'CPET', 'LEG', 'TPI','A ',' Application ',' Telkomsel ',' loading ',' subhannallah ',' huhuhu ',' please ',' fixed ',' ']</v>
      </c>
      <c r="D623" s="3">
        <v>3.0</v>
      </c>
    </row>
    <row r="624" ht="15.75" customHeight="1">
      <c r="A624" s="1">
        <v>622.0</v>
      </c>
      <c r="B624" s="3" t="s">
        <v>625</v>
      </c>
      <c r="C624" s="3" t="str">
        <f>IFERROR(__xludf.DUMMYFUNCTION("GOOGLETRANSLATE(B624,""id"",""en"")"),"['Good', 'Telkomsel', 'Gini', 'User', 'Ngecewain']")</f>
        <v>['Good', 'Telkomsel', 'Gini', 'User', 'Ngecewain']</v>
      </c>
      <c r="D624" s="3">
        <v>1.0</v>
      </c>
    </row>
    <row r="625" ht="15.75" customHeight="1">
      <c r="A625" s="1">
        <v>623.0</v>
      </c>
      <c r="B625" s="3" t="s">
        <v>626</v>
      </c>
      <c r="C625" s="3" t="str">
        <f>IFERROR(__xludf.DUMMYFUNCTION("GOOGLETRANSLATE(B625,""id"",""en"")"),"['signal', 'bk', 'good', 'signal', 'bill', 'expensive', '']")</f>
        <v>['signal', 'bk', 'good', 'signal', 'bill', 'expensive', '']</v>
      </c>
      <c r="D625" s="3">
        <v>1.0</v>
      </c>
    </row>
    <row r="626" ht="15.75" customHeight="1">
      <c r="A626" s="1">
        <v>624.0</v>
      </c>
      <c r="B626" s="3" t="s">
        <v>627</v>
      </c>
      <c r="C626" s="3" t="str">
        <f>IFERROR(__xludf.DUMMYFUNCTION("GOOGLETRANSLATE(B626,""id"",""en"")"),"['User', 'Bru', 'Bintang', 'CRI', 'Kuntan', 'Cman', 'BSA', 'LIAT', '']")</f>
        <v>['User', 'Bru', 'Bintang', 'CRI', 'Kuntan', 'Cman', 'BSA', 'LIAT', '']</v>
      </c>
      <c r="D626" s="3">
        <v>3.0</v>
      </c>
    </row>
    <row r="627" ht="15.75" customHeight="1">
      <c r="A627" s="1">
        <v>625.0</v>
      </c>
      <c r="B627" s="3" t="s">
        <v>628</v>
      </c>
      <c r="C627" s="3" t="str">
        <f>IFERROR(__xludf.DUMMYFUNCTION("GOOGLETRANSLATE(B627,""id"",""en"")"),"['already', 'Jaringn', 'ugly', 'package', 'expensive', 'mampus',' child ',' dajal ',' udh ',' money ',' masi ',' cable ',' sea ​​',' Gunannya ',' money ',' satellite ',' special ',' shooter ',' jaringn ',' province ',' indonesia ',' child ',' dajal ']")</f>
        <v>['already', 'Jaringn', 'ugly', 'package', 'expensive', 'mampus',' child ',' dajal ',' udh ',' money ',' masi ',' cable ',' sea ​​',' Gunannya ',' money ',' satellite ',' special ',' shooter ',' jaringn ',' province ',' indonesia ',' child ',' dajal ']</v>
      </c>
      <c r="D627" s="3">
        <v>1.0</v>
      </c>
    </row>
    <row r="628" ht="15.75" customHeight="1">
      <c r="A628" s="1">
        <v>626.0</v>
      </c>
      <c r="B628" s="3" t="s">
        <v>629</v>
      </c>
      <c r="C628" s="3" t="str">
        <f>IFERROR(__xludf.DUMMYFUNCTION("GOOGLETRANSLATE(B628,""id"",""en"")"),"['buy', 'package', 'data', 'gguan', 'buy', 'package', 'data', 'smooth', 'blur', 'neighbor', '']")</f>
        <v>['buy', 'package', 'data', 'gguan', 'buy', 'package', 'data', 'smooth', 'blur', 'neighbor', '']</v>
      </c>
      <c r="D628" s="3">
        <v>1.0</v>
      </c>
    </row>
    <row r="629" ht="15.75" customHeight="1">
      <c r="A629" s="1">
        <v>627.0</v>
      </c>
      <c r="B629" s="3" t="s">
        <v>630</v>
      </c>
      <c r="C629" s="3" t="str">
        <f>IFERROR(__xludf.DUMMYFUNCTION("GOOGLETRANSLATE(B629,""id"",""en"")"),"['', 'open', 'package', 'nge', 'blank', 'then', 'writing', 'sorry', 'error', 'system', 'pdhl', 'sudh', 'uninstall ',' then ',' Install ',' rich ',' ttp ',' nge ',' blank ',' his writing ',' then ',' error ',' system ', ""]")</f>
        <v>['', 'open', 'package', 'nge', 'blank', 'then', 'writing', 'sorry', 'error', 'system', 'pdhl', 'sudh', 'uninstall ',' then ',' Install ',' rich ',' ttp ',' nge ',' blank ',' his writing ',' then ',' error ',' system ', "]</v>
      </c>
      <c r="D629" s="3">
        <v>1.0</v>
      </c>
    </row>
    <row r="630" ht="15.75" customHeight="1">
      <c r="A630" s="1">
        <v>628.0</v>
      </c>
      <c r="B630" s="3" t="s">
        <v>631</v>
      </c>
      <c r="C630" s="3" t="str">
        <f>IFERROR(__xludf.DUMMYFUNCTION("GOOGLETRANSLATE(B630,""id"",""en"")"),"['update', 'enter', 'application', 'update', 'kgk', 'comfortable']")</f>
        <v>['update', 'enter', 'application', 'update', 'kgk', 'comfortable']</v>
      </c>
      <c r="D630" s="3">
        <v>1.0</v>
      </c>
    </row>
    <row r="631" ht="15.75" customHeight="1">
      <c r="A631" s="1">
        <v>629.0</v>
      </c>
      <c r="B631" s="3" t="s">
        <v>632</v>
      </c>
      <c r="C631" s="3" t="str">
        <f>IFERROR(__xludf.DUMMYFUNCTION("GOOGLETRANSLATE(B631,""id"",""en"")"),"['network', 'Telkomsel', 'ilang', 'stable', 'please', 'fix', 'as soon as possible', 'week', 'kek', 'gini', 'buy', 'package', ' expensive ',' love ',' compensation ',' users', 'please', 'fast', 'restore', 'woiii', ""]")</f>
        <v>['network', 'Telkomsel', 'ilang', 'stable', 'please', 'fix', 'as soon as possible', 'week', 'kek', 'gini', 'buy', 'package', ' expensive ',' love ',' compensation ',' users', 'please', 'fast', 'restore', 'woiii', "]</v>
      </c>
      <c r="D631" s="3">
        <v>1.0</v>
      </c>
    </row>
    <row r="632" ht="15.75" customHeight="1">
      <c r="A632" s="1">
        <v>630.0</v>
      </c>
      <c r="B632" s="3" t="s">
        <v>633</v>
      </c>
      <c r="C632" s="3" t="str">
        <f>IFERROR(__xludf.DUMMYFUNCTION("GOOGLETRANSLATE(B632,""id"",""en"")"),"['opinion', 'Telkomsel', 'I should have', 'fix', 'network', 'customers',' Yemen ',' Satisfied ',' Taking ',' Sell ',' prodak ',' expensive ',' Quality ',' Network ',' Leet ',' Improvement ',' ']")</f>
        <v>['opinion', 'Telkomsel', 'I should have', 'fix', 'network', 'customers',' Yemen ',' Satisfied ',' Taking ',' Sell ',' prodak ',' expensive ',' Quality ',' Network ',' Leet ',' Improvement ',' ']</v>
      </c>
      <c r="D632" s="3">
        <v>2.0</v>
      </c>
    </row>
    <row r="633" ht="15.75" customHeight="1">
      <c r="A633" s="1">
        <v>631.0</v>
      </c>
      <c r="B633" s="3" t="s">
        <v>634</v>
      </c>
      <c r="C633" s="3" t="str">
        <f>IFERROR(__xludf.DUMMYFUNCTION("GOOGLETRANSLATE(B633,""id"",""en"")"),"['Card', 'Telkomsel', 'comfortable', 'use it', 'hope', 'Telkomsel', ""]")</f>
        <v>['Card', 'Telkomsel', 'comfortable', 'use it', 'hope', 'Telkomsel', "]</v>
      </c>
      <c r="D633" s="3">
        <v>4.0</v>
      </c>
    </row>
    <row r="634" ht="15.75" customHeight="1">
      <c r="A634" s="1">
        <v>632.0</v>
      </c>
      <c r="B634" s="3" t="s">
        <v>635</v>
      </c>
      <c r="C634" s="3" t="str">
        <f>IFERROR(__xludf.DUMMYFUNCTION("GOOGLETRANSLATE(B634,""id"",""en"")"),"['Subscriptions',' Telkomsel ',' Ter ',' Debest ',' Telkomsel ',' Maslaah ',' Network ',' Sampe ',' Emotion ',' Play ',' Game ',' Karna ',' The network is', 'destroyed', 'hopefully', 'fast', 'repaired', 'cable', 'below', 'sea']")</f>
        <v>['Subscriptions',' Telkomsel ',' Ter ',' Debest ',' Telkomsel ',' Maslaah ',' Network ',' Sampe ',' Emotion ',' Play ',' Game ',' Karna ',' The network is', 'destroyed', 'hopefully', 'fast', 'repaired', 'cable', 'below', 'sea']</v>
      </c>
      <c r="D634" s="3">
        <v>2.0</v>
      </c>
    </row>
    <row r="635" ht="15.75" customHeight="1">
      <c r="A635" s="1">
        <v>633.0</v>
      </c>
      <c r="B635" s="3" t="s">
        <v>636</v>
      </c>
      <c r="C635" s="3" t="str">
        <f>IFERROR(__xludf.DUMMYFUNCTION("GOOGLETRANSLATE(B635,""id"",""en"")"),"['It's', 'slow', 'really', 'hate', 'udh', 'slow', 'expensive', '']")</f>
        <v>['It's', 'slow', 'really', 'hate', 'udh', 'slow', 'expensive', '']</v>
      </c>
      <c r="D635" s="3">
        <v>1.0</v>
      </c>
    </row>
    <row r="636" ht="15.75" customHeight="1">
      <c r="A636" s="1">
        <v>634.0</v>
      </c>
      <c r="B636" s="3" t="s">
        <v>637</v>
      </c>
      <c r="C636" s="3" t="str">
        <f>IFERROR(__xludf.DUMMYFUNCTION("GOOGLETRANSLATE(B636,""id"",""en"")"),"['Loss',' Paketan ',' Post ',' Pay ',' Mean ',' Network ',' Numbers', 'Dozens',' Dear ',' Change ',' The Network ',' Group ',' Change ',' card ',' ']")</f>
        <v>['Loss',' Paketan ',' Post ',' Pay ',' Mean ',' Network ',' Numbers', 'Dozens',' Dear ',' Change ',' The Network ',' Group ',' Change ',' card ',' ']</v>
      </c>
      <c r="D636" s="3">
        <v>2.0</v>
      </c>
    </row>
    <row r="637" ht="15.75" customHeight="1">
      <c r="A637" s="1">
        <v>635.0</v>
      </c>
      <c r="B637" s="3" t="s">
        <v>638</v>
      </c>
      <c r="C637" s="3" t="str">
        <f>IFERROR(__xludf.DUMMYFUNCTION("GOOGLETRANSLATE(B637,""id"",""en"")"),"['Telkomsel', 'easy', 'help', 'signal', 'good', 'darling', 'exchange', 'point', 'gift', 'etc.', 'use', 'Telkomsel', ' ']")</f>
        <v>['Telkomsel', 'easy', 'help', 'signal', 'good', 'darling', 'exchange', 'point', 'gift', 'etc.', 'use', 'Telkomsel', ' ']</v>
      </c>
      <c r="D637" s="3">
        <v>5.0</v>
      </c>
    </row>
    <row r="638" ht="15.75" customHeight="1">
      <c r="A638" s="1">
        <v>636.0</v>
      </c>
      <c r="B638" s="3" t="s">
        <v>639</v>
      </c>
      <c r="C638" s="3" t="str">
        <f>IFERROR(__xludf.DUMMYFUNCTION("GOOGLETRANSLATE(B638,""id"",""en"")"),"['already', 'network', 'weak', 'price', 'expensive', 'update', 'haduhhhhh', 'complete', 'Telkomsel', 'Indonesia', 'advanced', ""]")</f>
        <v>['already', 'network', 'weak', 'price', 'expensive', 'update', 'haduhhhhh', 'complete', 'Telkomsel', 'Indonesia', 'advanced', "]</v>
      </c>
      <c r="D638" s="3">
        <v>1.0</v>
      </c>
    </row>
    <row r="639" ht="15.75" customHeight="1">
      <c r="A639" s="1">
        <v>637.0</v>
      </c>
      <c r="B639" s="3" t="s">
        <v>640</v>
      </c>
      <c r="C639" s="3" t="str">
        <f>IFERROR(__xludf.DUMMYFUNCTION("GOOGLETRANSLATE(B639,""id"",""en"")"),"['Thanks', 'repairs', 'package', 'internet', 'expensive', '']")</f>
        <v>['Thanks', 'repairs', 'package', 'internet', 'expensive', '']</v>
      </c>
      <c r="D639" s="3">
        <v>5.0</v>
      </c>
    </row>
    <row r="640" ht="15.75" customHeight="1">
      <c r="A640" s="1">
        <v>638.0</v>
      </c>
      <c r="B640" s="3" t="s">
        <v>641</v>
      </c>
      <c r="C640" s="3" t="str">
        <f>IFERROR(__xludf.DUMMYFUNCTION("GOOGLETRANSLATE(B640,""id"",""en"")"),"['Update', 'entry', 'update', 'updated', 'already', 'solution', 'media', 'social', 'Telkomsel', 'bot', 'offer', 'package', ' Disney ',' Hotstar ',' NJ ',' ']")</f>
        <v>['Update', 'entry', 'update', 'updated', 'already', 'solution', 'media', 'social', 'Telkomsel', 'bot', 'offer', 'package', ' Disney ',' Hotstar ',' NJ ',' ']</v>
      </c>
      <c r="D640" s="3">
        <v>1.0</v>
      </c>
    </row>
    <row r="641" ht="15.75" customHeight="1">
      <c r="A641" s="1">
        <v>639.0</v>
      </c>
      <c r="B641" s="3" t="s">
        <v>642</v>
      </c>
      <c r="C641" s="3" t="str">
        <f>IFERROR(__xludf.DUMMYFUNCTION("GOOGLETRANSLATE(B641,""id"",""en"")"),"['The price', 'expensive', 'GPP', 'emergence', 'signal', 'customize', 'price', '']")</f>
        <v>['The price', 'expensive', 'GPP', 'emergence', 'signal', 'customize', 'price', '']</v>
      </c>
      <c r="D641" s="3">
        <v>3.0</v>
      </c>
    </row>
    <row r="642" ht="15.75" customHeight="1">
      <c r="A642" s="1">
        <v>640.0</v>
      </c>
      <c r="B642" s="3" t="s">
        <v>643</v>
      </c>
      <c r="C642" s="3" t="str">
        <f>IFERROR(__xludf.DUMMYFUNCTION("GOOGLETRANSLATE(B642,""id"",""en"")"),"['SMS', 'Download', 'APK', 'Credit', 'Download', 'Deceived', 'Dataku', 'drained', ""]")</f>
        <v>['SMS', 'Download', 'APK', 'Credit', 'Download', 'Deceived', 'Dataku', 'drained', "]</v>
      </c>
      <c r="D642" s="3">
        <v>1.0</v>
      </c>
    </row>
    <row r="643" ht="15.75" customHeight="1">
      <c r="A643" s="1">
        <v>641.0</v>
      </c>
      <c r="B643" s="3" t="s">
        <v>644</v>
      </c>
      <c r="C643" s="3" t="str">
        <f>IFERROR(__xludf.DUMMYFUNCTION("GOOGLETRANSLATE(B643,""id"",""en"")"),"['base', 'artisan', 'ngibul', 'stlah', 'install', 'list', 'bonus', 'pulse', 'sampe', 'pulse', 'enter']")</f>
        <v>['base', 'artisan', 'ngibul', 'stlah', 'install', 'list', 'bonus', 'pulse', 'sampe', 'pulse', 'enter']</v>
      </c>
      <c r="D643" s="3">
        <v>1.0</v>
      </c>
    </row>
    <row r="644" ht="15.75" customHeight="1">
      <c r="A644" s="1">
        <v>642.0</v>
      </c>
      <c r="B644" s="3" t="s">
        <v>645</v>
      </c>
      <c r="C644" s="3" t="str">
        <f>IFERROR(__xludf.DUMMYFUNCTION("GOOGLETRANSLATE(B644,""id"",""en"")"),"['How', 'Package', 'Combo', 'Sakti', 'Unlimited', 'Package', 'Multimedia', 'Game', 'Application', 'Registered', 'Current', 'Already', ' On ',' please ',' fix ',' as fast ',' ']")</f>
        <v>['How', 'Package', 'Combo', 'Sakti', 'Unlimited', 'Package', 'Multimedia', 'Game', 'Application', 'Registered', 'Current', 'Already', ' On ',' please ',' fix ',' as fast ',' ']</v>
      </c>
      <c r="D644" s="3">
        <v>1.0</v>
      </c>
    </row>
    <row r="645" ht="15.75" customHeight="1">
      <c r="A645" s="1">
        <v>643.0</v>
      </c>
      <c r="B645" s="3" t="s">
        <v>646</v>
      </c>
      <c r="C645" s="3" t="str">
        <f>IFERROR(__xludf.DUMMYFUNCTION("GOOGLETRANSLATE(B645,""id"",""en"")"),"['told', 'update', 'dizziness', 'told', 'twiter', 'install', 'application', 'twitter', '']")</f>
        <v>['told', 'update', 'dizziness', 'told', 'twiter', 'install', 'application', 'twitter', '']</v>
      </c>
      <c r="D645" s="3">
        <v>1.0</v>
      </c>
    </row>
    <row r="646" ht="15.75" customHeight="1">
      <c r="A646" s="1">
        <v>644.0</v>
      </c>
      <c r="B646" s="3" t="s">
        <v>647</v>
      </c>
      <c r="C646" s="3" t="str">
        <f>IFERROR(__xludf.DUMMYFUNCTION("GOOGLETRANSLATE(B646,""id"",""en"")"),"['Disruption', 'expensive', 'doang', 'moved', 'provider', 'expensive', 'doang', 'sympathy', 'network', 'ugly', 'network', 'idiot', ' sympathy ',' move ',' provider ',' gan ',' network ',' ugly ',' expensive ',' doang ',' mending ',' provider ',' laen ',' "&amp;"gave ',' star ' , 'Smallin', 'star']")</f>
        <v>['Disruption', 'expensive', 'doang', 'moved', 'provider', 'expensive', 'doang', 'sympathy', 'network', 'ugly', 'network', 'idiot', ' sympathy ',' move ',' provider ',' gan ',' network ',' ugly ',' expensive ',' doang ',' mending ',' provider ',' laen ',' gave ',' star ' , 'Smallin', 'star']</v>
      </c>
      <c r="D646" s="3">
        <v>1.0</v>
      </c>
    </row>
    <row r="647" ht="15.75" customHeight="1">
      <c r="A647" s="1">
        <v>645.0</v>
      </c>
      <c r="B647" s="3" t="s">
        <v>648</v>
      </c>
      <c r="C647" s="3" t="str">
        <f>IFERROR(__xludf.DUMMYFUNCTION("GOOGLETRANSLATE(B647,""id"",""en"")"),"['', 'Ngilak', 'price', 'quality', 'garbage', 'price', 'doang', 'expensive', 'network', 'lag', 'mulu', 'network', 'stable ',' users', 'Telkomsel', 'protest', 'network', 'lag', 'mulu']")</f>
        <v>['', 'Ngilak', 'price', 'quality', 'garbage', 'price', 'doang', 'expensive', 'network', 'lag', 'mulu', 'network', 'stable ',' users', 'Telkomsel', 'protest', 'network', 'lag', 'mulu']</v>
      </c>
      <c r="D647" s="3">
        <v>1.0</v>
      </c>
    </row>
    <row r="648" ht="15.75" customHeight="1">
      <c r="A648" s="1">
        <v>646.0</v>
      </c>
      <c r="B648" s="3" t="s">
        <v>649</v>
      </c>
      <c r="C648" s="3" t="str">
        <f>IFERROR(__xludf.DUMMYFUNCTION("GOOGLETRANSLATE(B648,""id"",""en"")"),"['It's easy', 'buy', 'package', 'data', 'dear', 'package', 'expensive', 'quota', 'divided', 'promo', 'active', 'run out', ' LIVE ',' PULSA ',' DISEDOTTTT ',' ']")</f>
        <v>['It's easy', 'buy', 'package', 'data', 'dear', 'package', 'expensive', 'quota', 'divided', 'promo', 'active', 'run out', ' LIVE ',' PULSA ',' DISEDOTTTT ',' ']</v>
      </c>
      <c r="D648" s="3">
        <v>1.0</v>
      </c>
    </row>
    <row r="649" ht="15.75" customHeight="1">
      <c r="A649" s="1">
        <v>647.0</v>
      </c>
      <c r="B649" s="3" t="s">
        <v>650</v>
      </c>
      <c r="C649" s="3" t="str">
        <f>IFERROR(__xludf.DUMMYFUNCTION("GOOGLETRANSLATE(B649,""id"",""en"")"),"['Network', 'Taik', 'Anjeng', 'Asik', 'Promos', 'Virtue', 'Network', 'neglected', 'Matii', 'Udh', 'Telkomsel']")</f>
        <v>['Network', 'Taik', 'Anjeng', 'Asik', 'Promos', 'Virtue', 'Network', 'neglected', 'Matii', 'Udh', 'Telkomsel']</v>
      </c>
      <c r="D649" s="3">
        <v>1.0</v>
      </c>
    </row>
    <row r="650" ht="15.75" customHeight="1">
      <c r="A650" s="1">
        <v>648.0</v>
      </c>
      <c r="B650" s="3" t="s">
        <v>651</v>
      </c>
      <c r="C650" s="3" t="str">
        <f>IFERROR(__xludf.DUMMYFUNCTION("GOOGLETRANSLATE(B650,""id"",""en"")"),"['recommended', 'promo', 'network', 'obstacles', 'bnyakin', 'lgi', 'promo', 'ethen', ""]")</f>
        <v>['recommended', 'promo', 'network', 'obstacles', 'bnyakin', 'lgi', 'promo', 'ethen', "]</v>
      </c>
      <c r="D650" s="3">
        <v>4.0</v>
      </c>
    </row>
    <row r="651" ht="15.75" customHeight="1">
      <c r="A651" s="1">
        <v>649.0</v>
      </c>
      <c r="B651" s="3" t="s">
        <v>652</v>
      </c>
      <c r="C651" s="3" t="str">
        <f>IFERROR(__xludf.DUMMYFUNCTION("GOOGLETRANSLATE(B651,""id"",""en"")"),"['package', 'expensive', 'cheap', 'tree', 'please', 'cheap', 'donk', ""]")</f>
        <v>['package', 'expensive', 'cheap', 'tree', 'please', 'cheap', 'donk', "]</v>
      </c>
      <c r="D651" s="3">
        <v>1.0</v>
      </c>
    </row>
    <row r="652" ht="15.75" customHeight="1">
      <c r="A652" s="1">
        <v>650.0</v>
      </c>
      <c r="B652" s="3" t="s">
        <v>653</v>
      </c>
      <c r="C652" s="3" t="str">
        <f>IFERROR(__xludf.DUMMYFUNCTION("GOOGLETRANSLATE(B652,""id"",""en"")"),"['expensive', 'package', 'already', 'subscription', 'package', 'missing', 'package', 'already', 'buy', 'already', 'subscription', ""]")</f>
        <v>['expensive', 'package', 'already', 'subscription', 'package', 'missing', 'package', 'already', 'buy', 'already', 'subscription', "]</v>
      </c>
      <c r="D652" s="3">
        <v>1.0</v>
      </c>
    </row>
    <row r="653" ht="15.75" customHeight="1">
      <c r="A653" s="1">
        <v>651.0</v>
      </c>
      <c r="B653" s="3" t="s">
        <v>654</v>
      </c>
      <c r="C653" s="3" t="str">
        <f>IFERROR(__xludf.DUMMYFUNCTION("GOOGLETRANSLATE(B653,""id"",""en"")"),"['happy', 'application', 'kouta', 'check out', 'his day']")</f>
        <v>['happy', 'application', 'kouta', 'check out', 'his day']</v>
      </c>
      <c r="D653" s="3">
        <v>5.0</v>
      </c>
    </row>
    <row r="654" ht="15.75" customHeight="1">
      <c r="A654" s="1">
        <v>652.0</v>
      </c>
      <c r="B654" s="3" t="s">
        <v>655</v>
      </c>
      <c r="C654" s="3" t="str">
        <f>IFERROR(__xludf.DUMMYFUNCTION("GOOGLETRANSLATE(B654,""id"",""en"")"),"['feeling', 'point', 'palm', 'checked', 'statement', 'belem', 'access',' where ',' yak ',' point ',' offer ',' exchange ',' Points', 'Exchange', 'gabisa', 'explanation', 'min', 'already', 'the application', '']")</f>
        <v>['feeling', 'point', 'palm', 'checked', 'statement', 'belem', 'access',' where ',' yak ',' point ',' offer ',' exchange ',' Points', 'Exchange', 'gabisa', 'explanation', 'min', 'already', 'the application', '']</v>
      </c>
      <c r="D654" s="3">
        <v>3.0</v>
      </c>
    </row>
    <row r="655" ht="15.75" customHeight="1">
      <c r="A655" s="1">
        <v>653.0</v>
      </c>
      <c r="B655" s="3" t="s">
        <v>656</v>
      </c>
      <c r="C655" s="3" t="str">
        <f>IFERROR(__xludf.DUMMYFUNCTION("GOOGLETRANSLATE(B655,""id"",""en"")"),"['might', 'might', 'price', 'quota', 'min', 'bro', 'mlu', 'klau', 'gni', 'then', 'bsa', 'run', ' all ',' Planggar ',' Telkomsel ',' Leet ',' Hrga ',' tnggi ', ""]")</f>
        <v>['might', 'might', 'price', 'quota', 'min', 'bro', 'mlu', 'klau', 'gni', 'then', 'bsa', 'run', ' all ',' Planggar ',' Telkomsel ',' Leet ',' Hrga ',' tnggi ', "]</v>
      </c>
      <c r="D655" s="3">
        <v>1.0</v>
      </c>
    </row>
    <row r="656" ht="15.75" customHeight="1">
      <c r="A656" s="1">
        <v>654.0</v>
      </c>
      <c r="B656" s="3" t="s">
        <v>657</v>
      </c>
      <c r="C656" s="3" t="str">
        <f>IFERROR(__xludf.DUMMYFUNCTION("GOOGLETRANSLATE(B656,""id"",""en"")"),"['What', 'internet', 'slow', 'really', 'like', 'buy', 'quota', 'disappointed', 'telkomnya', 'please', 'fix', 'sinynya']")</f>
        <v>['What', 'internet', 'slow', 'really', 'like', 'buy', 'quota', 'disappointed', 'telkomnya', 'please', 'fix', 'sinynya']</v>
      </c>
      <c r="D656" s="3">
        <v>2.0</v>
      </c>
    </row>
    <row r="657" ht="15.75" customHeight="1">
      <c r="A657" s="1">
        <v>655.0</v>
      </c>
      <c r="B657" s="3" t="s">
        <v>658</v>
      </c>
      <c r="C657" s="3" t="str">
        <f>IFERROR(__xludf.DUMMYFUNCTION("GOOGLETRANSLATE(B657,""id"",""en"")"),"['signal', 'okay', 'no', 'obstacles',' obstacles', 'area', 'signal', 'dead', 'price', 'cheap', 'mayan', 'quota', ' Cheap ',' hihihi ',' ']")</f>
        <v>['signal', 'okay', 'no', 'obstacles',' obstacles', 'area', 'signal', 'dead', 'price', 'cheap', 'mayan', 'quota', ' Cheap ',' hihihi ',' ']</v>
      </c>
      <c r="D657" s="3">
        <v>5.0</v>
      </c>
    </row>
    <row r="658" ht="15.75" customHeight="1">
      <c r="A658" s="1">
        <v>656.0</v>
      </c>
      <c r="B658" s="3" t="s">
        <v>659</v>
      </c>
      <c r="C658" s="3" t="str">
        <f>IFERROR(__xludf.DUMMYFUNCTION("GOOGLETRANSLATE(B658,""id"",""en"")"),"['buy', 'cheerful', 'oath', 'purchase', 'APK's', 'buy', 'strange']")</f>
        <v>['buy', 'cheerful', 'oath', 'purchase', 'APK's', 'buy', 'strange']</v>
      </c>
      <c r="D658" s="3">
        <v>3.0</v>
      </c>
    </row>
    <row r="659" ht="15.75" customHeight="1">
      <c r="A659" s="1">
        <v>657.0</v>
      </c>
      <c r="B659" s="3" t="s">
        <v>660</v>
      </c>
      <c r="C659" s="3" t="str">
        <f>IFERROR(__xludf.DUMMYFUNCTION("GOOGLETRANSLATE(B659,""id"",""en"")"),"['How', 'Telkomsel', 'Credit', 'Reduced', 'PDAVY', 'Gapernah', 'Package', 'Strange', 'RBT', 'DLL', 'Credit', 'Reduced', ' Bizathhh ',' what ',' ']")</f>
        <v>['How', 'Telkomsel', 'Credit', 'Reduced', 'PDAVY', 'Gapernah', 'Package', 'Strange', 'RBT', 'DLL', 'Credit', 'Reduced', ' Bizathhh ',' what ',' ']</v>
      </c>
      <c r="D659" s="3">
        <v>1.0</v>
      </c>
    </row>
    <row r="660" ht="15.75" customHeight="1">
      <c r="A660" s="1">
        <v>658.0</v>
      </c>
      <c r="B660" s="3" t="s">
        <v>661</v>
      </c>
      <c r="C660" s="3" t="str">
        <f>IFERROR(__xludf.DUMMYFUNCTION("GOOGLETRANSLATE(B660,""id"",""en"")"),"['Telkomsel', 'rude', 'AJG', 'ADG', 'Kasian', 'Male', 'Target', 'Disappointed', 'Bangeeeet', 'Telkomsel', 'Syiiiittt']")</f>
        <v>['Telkomsel', 'rude', 'AJG', 'ADG', 'Kasian', 'Male', 'Target', 'Disappointed', 'Bangeeeet', 'Telkomsel', 'Syiiiittt']</v>
      </c>
      <c r="D660" s="3">
        <v>1.0</v>
      </c>
    </row>
    <row r="661" ht="15.75" customHeight="1">
      <c r="A661" s="1">
        <v>659.0</v>
      </c>
      <c r="B661" s="3" t="s">
        <v>662</v>
      </c>
      <c r="C661" s="3" t="str">
        <f>IFERROR(__xludf.DUMMYFUNCTION("GOOGLETRANSLATE(B661,""id"",""en"")"),"['Please', 'Telkomsel', 'check', 'bonus',' quota ',' medsos', 'game', 'in fact', 'play', 'game', 'online', 'fraud', ' Customers', 'replace', 'card', 'Telkomsel', 'Please', 'correction']")</f>
        <v>['Please', 'Telkomsel', 'check', 'bonus',' quota ',' medsos', 'game', 'in fact', 'play', 'game', 'online', 'fraud', ' Customers', 'replace', 'card', 'Telkomsel', 'Please', 'correction']</v>
      </c>
      <c r="D661" s="3">
        <v>2.0</v>
      </c>
    </row>
    <row r="662" ht="15.75" customHeight="1">
      <c r="A662" s="1">
        <v>660.0</v>
      </c>
      <c r="B662" s="3" t="s">
        <v>663</v>
      </c>
      <c r="C662" s="3" t="str">
        <f>IFERROR(__xludf.DUMMYFUNCTION("GOOGLETRANSLATE(B662,""id"",""en"")"),"['sayah', 'users',' Telkomsel ',' Thun ',' Ntah ',' here ',' Males', 'Telkomsel', 'quota', 'expensive', 'internet', 'slow', ' Severe ',' Check ',' Credit ',' Atou ',' Mao ',' Buy ',' Package ',' Difficult ',' Forgiveness', 'Maap', 'System', 'Busy', 'Sever"&amp;"e' , 'padahl', 'sayah', 'buy', 'quota', 'owe', 'atou', 'telkomsel', 'please', 'jngan', 'take', 'profit', 'sajah', ' Note ',' Keyaman ',' ask ',' quota ',' expensive ',' Siyala ',' Internet ',' Benerin ',' Map ',' sayah ',' bintng ',' Mending ',' moved ' ,"&amp;" 'adjacent']")</f>
        <v>['sayah', 'users',' Telkomsel ',' Thun ',' Ntah ',' here ',' Males', 'Telkomsel', 'quota', 'expensive', 'internet', 'slow', ' Severe ',' Check ',' Credit ',' Atou ',' Mao ',' Buy ',' Package ',' Difficult ',' Forgiveness', 'Maap', 'System', 'Busy', 'Severe' , 'padahl', 'sayah', 'buy', 'quota', 'owe', 'atou', 'telkomsel', 'please', 'jngan', 'take', 'profit', 'sajah', ' Note ',' Keyaman ',' ask ',' quota ',' expensive ',' Siyala ',' Internet ',' Benerin ',' Map ',' sayah ',' bintng ',' Mending ',' moved ' , 'adjacent']</v>
      </c>
      <c r="D662" s="3">
        <v>1.0</v>
      </c>
    </row>
    <row r="663" ht="15.75" customHeight="1">
      <c r="A663" s="1">
        <v>661.0</v>
      </c>
      <c r="B663" s="3" t="s">
        <v>664</v>
      </c>
      <c r="C663" s="3" t="str">
        <f>IFERROR(__xludf.DUMMYFUNCTION("GOOGLETRANSLATE(B663,""id"",""en"")"),"['Telkomsel', 'Comfortable', 'Family', 'Sampe', 'Sekrng', 'Telkomsel']")</f>
        <v>['Telkomsel', 'Comfortable', 'Family', 'Sampe', 'Sekrng', 'Telkomsel']</v>
      </c>
      <c r="D663" s="3">
        <v>5.0</v>
      </c>
    </row>
    <row r="664" ht="15.75" customHeight="1">
      <c r="A664" s="1">
        <v>662.0</v>
      </c>
      <c r="B664" s="3" t="s">
        <v>665</v>
      </c>
      <c r="C664" s="3" t="str">
        <f>IFERROR(__xludf.DUMMYFUNCTION("GOOGLETRANSLATE(B664,""id"",""en"")"),"['steady', 'the applications', 'help', 'makes it easy', 'users', 'Thank you', 'Telkomsel', 'Jaya', ""]")</f>
        <v>['steady', 'the applications', 'help', 'makes it easy', 'users', 'Thank you', 'Telkomsel', 'Jaya', "]</v>
      </c>
      <c r="D664" s="3">
        <v>5.0</v>
      </c>
    </row>
    <row r="665" ht="15.75" customHeight="1">
      <c r="A665" s="1">
        <v>663.0</v>
      </c>
      <c r="B665" s="3" t="s">
        <v>666</v>
      </c>
      <c r="C665" s="3" t="str">
        <f>IFERROR(__xludf.DUMMYFUNCTION("GOOGLETRANSLATE(B665,""id"",""en"")"),"['ngak', 'download', 'sms', 'told', 'download', 'pulse', 'thousand', 'lie', 'BUMN', 'nest', 'corruptor', ""]")</f>
        <v>['ngak', 'download', 'sms', 'told', 'download', 'pulse', 'thousand', 'lie', 'BUMN', 'nest', 'corruptor', "]</v>
      </c>
      <c r="D665" s="3">
        <v>1.0</v>
      </c>
    </row>
    <row r="666" ht="15.75" customHeight="1">
      <c r="A666" s="1">
        <v>664.0</v>
      </c>
      <c r="B666" s="3" t="s">
        <v>667</v>
      </c>
      <c r="C666" s="3" t="str">
        <f>IFERROR(__xludf.DUMMYFUNCTION("GOOGLETRANSLATE(B666,""id"",""en"")"),"['Telkomsel', 'skrg', 'ngk', 'useful', 'buy', 'quota', 'expensive', 'TPI', 'network', 'klian', 'ngk', 'quality', ' spend ',' money ',' user ',' TPI ',' satisfaction ',' Telkomsel ',' emg ',' ngk ']")</f>
        <v>['Telkomsel', 'skrg', 'ngk', 'useful', 'buy', 'quota', 'expensive', 'TPI', 'network', 'klian', 'ngk', 'quality', ' spend ',' money ',' user ',' TPI ',' satisfaction ',' Telkomsel ',' emg ',' ngk ']</v>
      </c>
      <c r="D666" s="3">
        <v>1.0</v>
      </c>
    </row>
    <row r="667" ht="15.75" customHeight="1">
      <c r="A667" s="1">
        <v>665.0</v>
      </c>
      <c r="B667" s="3" t="s">
        <v>668</v>
      </c>
      <c r="C667" s="3" t="str">
        <f>IFERROR(__xludf.DUMMYFUNCTION("GOOGLETRANSLATE(B667,""id"",""en"")"),"['promo', 'download', 'application', 'pulse', 'package', 'data', 'gb', 'download', 'claim', 'pulses',' match ',' location ',' ']")</f>
        <v>['promo', 'download', 'application', 'pulse', 'package', 'data', 'gb', 'download', 'claim', 'pulses',' match ',' location ',' ']</v>
      </c>
      <c r="D667" s="3">
        <v>1.0</v>
      </c>
    </row>
    <row r="668" ht="15.75" customHeight="1">
      <c r="A668" s="1">
        <v>666.0</v>
      </c>
      <c r="B668" s="3" t="s">
        <v>669</v>
      </c>
      <c r="C668" s="3" t="str">
        <f>IFERROR(__xludf.DUMMYFUNCTION("GOOGLETRANSLATE(B668,""id"",""en"")"),"[ 'Application', 'good', 'love', 'cheap', 'discount', 'free', 'pulse', 'free', 'discount', 'okokokkkkkokojkjajajahhahhakahaajgagagavavvavavvavavvavsvvsvsvahahahhahahahahhagagavavgagahhahahahaahahaahahshahgaahqwywuhwhhwhhshwhhwhwhwhuwhwhheheueuwhuwhwhuwuwu"&amp;"uwuwuywuwuuwyywwywyywywyywywywyywwwyywywywyywywyywywywuwuuguh', 'uvuvuvuvivuguv', 'iutuguguygyjujhhuuuyygygyyyggggyyyyyyuuuyuu' ' fragrant ',' gini ',' picture ',' picture ',' motion ',' ttg ',' picture ',' motion ',' gerik ',' so ',' bran ',' gan ',' gam"&amp;" ' , '']")</f>
        <v>[ 'Application', 'good', 'love', 'cheap', 'discount', 'free', 'pulse', 'free', 'discount', 'okokokkkkkokojkjajajahhahhakahaajgagagavavvavavvavavvavsvvsvsvahahahhahahahahhagagavavgagahhahahahaahahaahahshahgaahqwywuhwhhwhhshwhhwhwhwhuwhwhheheueuwhuwhwhuwuwuuwuwuywuwuuwyywwywyywywyywywywyywwwyywywywyywywyywywywuwuuguh', 'uvuvuvuvivuguv', 'iutuguguygyjujhhuuuyygygyyyggggyyyyyyuuuyuu' ' fragrant ',' gini ',' picture ',' picture ',' motion ',' ttg ',' picture ',' motion ',' gerik ',' so ',' bran ',' gan ',' gam ' , '']</v>
      </c>
      <c r="D668" s="3">
        <v>5.0</v>
      </c>
    </row>
    <row r="669" ht="15.75" customHeight="1">
      <c r="A669" s="1">
        <v>667.0</v>
      </c>
      <c r="B669" s="3" t="s">
        <v>670</v>
      </c>
      <c r="C669" s="3" t="str">
        <f>IFERROR(__xludf.DUMMYFUNCTION("GOOGLETRANSLATE(B669,""id"",""en"")"),"['buy', 'quota', 'extra', 'unlimitid', 'covers',' etc. ',' tetep ',' ajah ',' quota ',' main ',' chick ',' buy ',' Gini ',' ']")</f>
        <v>['buy', 'quota', 'extra', 'unlimitid', 'covers',' etc. ',' tetep ',' ajah ',' quota ',' main ',' chick ',' buy ',' Gini ',' ']</v>
      </c>
      <c r="D669" s="3">
        <v>1.0</v>
      </c>
    </row>
    <row r="670" ht="15.75" customHeight="1">
      <c r="A670" s="1">
        <v>668.0</v>
      </c>
      <c r="B670" s="3" t="s">
        <v>671</v>
      </c>
      <c r="C670" s="3" t="str">
        <f>IFERROR(__xludf.DUMMYFUNCTION("GOOGLETRANSLATE(B670,""id"",""en"")"),"['Move', 'Provider', 'Sue', 'Mang', 'Internet', 'Telkomsel', '']")</f>
        <v>['Move', 'Provider', 'Sue', 'Mang', 'Internet', 'Telkomsel', '']</v>
      </c>
      <c r="D670" s="3">
        <v>3.0</v>
      </c>
    </row>
    <row r="671" ht="15.75" customHeight="1">
      <c r="A671" s="1">
        <v>669.0</v>
      </c>
      <c r="B671" s="3" t="s">
        <v>672</v>
      </c>
      <c r="C671" s="3" t="str">
        <f>IFERROR(__xludf.DUMMYFUNCTION("GOOGLETRANSLATE(B671,""id"",""en"")"),"['bad', 'signal', 'tsel', 'maen', 'game', 'difficult', 'ping', 'stable', 'operator', 'non', 'recommended', 'telkomsel']")</f>
        <v>['bad', 'signal', 'tsel', 'maen', 'game', 'difficult', 'ping', 'stable', 'operator', 'non', 'recommended', 'telkomsel']</v>
      </c>
      <c r="D671" s="3">
        <v>1.0</v>
      </c>
    </row>
    <row r="672" ht="15.75" customHeight="1">
      <c r="A672" s="1">
        <v>670.0</v>
      </c>
      <c r="B672" s="3" t="s">
        <v>673</v>
      </c>
      <c r="C672" s="3" t="str">
        <f>IFERROR(__xludf.DUMMYFUNCTION("GOOGLETRANSLATE(B672,""id"",""en"")"),"['Tissue', 'Telkomsel', 'already', 'package', 'expensive', 'network', 'ugly', 'buy', 'package', 'expensive', 'expensive', 'prayers',' Karkini ',' Nyari ',' Money ',' Easy ',' Basic ',' Brain ',' Uninstall ',' Udh ',' Moving ',' Telkomsel ',' Asuuuuu ', """&amp;"]")</f>
        <v>['Tissue', 'Telkomsel', 'already', 'package', 'expensive', 'network', 'ugly', 'buy', 'package', 'expensive', 'expensive', 'prayers',' Karkini ',' Nyari ',' Money ',' Easy ',' Basic ',' Brain ',' Uninstall ',' Udh ',' Moving ',' Telkomsel ',' Asuuuuu ', "]</v>
      </c>
      <c r="D672" s="3">
        <v>1.0</v>
      </c>
    </row>
    <row r="673" ht="15.75" customHeight="1">
      <c r="A673" s="1">
        <v>671.0</v>
      </c>
      <c r="B673" s="3" t="s">
        <v>674</v>
      </c>
      <c r="C673" s="3" t="str">
        <f>IFERROR(__xludf.DUMMYFUNCTION("GOOGLETRANSLATE(B673,""id"",""en"")"),"['Basic', 'Telkomsel', 'already', 'package', 'expensive', 'network', 'slow', 'regret', 'buy', 'card', 'Telkomsel']")</f>
        <v>['Basic', 'Telkomsel', 'already', 'package', 'expensive', 'network', 'slow', 'regret', 'buy', 'card', 'Telkomsel']</v>
      </c>
      <c r="D673" s="3">
        <v>1.0</v>
      </c>
    </row>
    <row r="674" ht="15.75" customHeight="1">
      <c r="A674" s="1">
        <v>672.0</v>
      </c>
      <c r="B674" s="3" t="s">
        <v>675</v>
      </c>
      <c r="C674" s="3" t="str">
        <f>IFERROR(__xludf.DUMMYFUNCTION("GOOGLETRANSLATE(B674,""id"",""en"")"),"['Severe', 'price', 'Naek', 'artisan', 'sucked', 'pulse', 'cheating', 'quota', 'run out', 'notification', 'suck', 'pulses',' main ',' price ',' Naek ',' Severe ',' price ',' until ',' package ',' emergency ',' naekin ',' already ',' comfortable ',' really"&amp;" ',' card ' , 'Telkomsel', 'hanging out', ""]")</f>
        <v>['Severe', 'price', 'Naek', 'artisan', 'sucked', 'pulse', 'cheating', 'quota', 'run out', 'notification', 'suck', 'pulses',' main ',' price ',' Naek ',' Severe ',' price ',' until ',' package ',' emergency ',' naekin ',' already ',' comfortable ',' really ',' card ' , 'Telkomsel', 'hanging out', "]</v>
      </c>
      <c r="D674" s="3">
        <v>1.0</v>
      </c>
    </row>
    <row r="675" ht="15.75" customHeight="1">
      <c r="A675" s="1">
        <v>673.0</v>
      </c>
      <c r="B675" s="3" t="s">
        <v>676</v>
      </c>
      <c r="C675" s="3" t="str">
        <f>IFERROR(__xludf.DUMMYFUNCTION("GOOGLETRANSLATE(B675,""id"",""en"")"),"['era', 'emg', 'already', 'product', 'Telkomsel', 'palagi', 'now', 'already', 'the application', 'may', 'easy', 'bractingiasx', ' Playaanan ',' cs', 'friendly', 'friendly', 'success',' yaa ',' Telkomsel ',' ']")</f>
        <v>['era', 'emg', 'already', 'product', 'Telkomsel', 'palagi', 'now', 'already', 'the application', 'may', 'easy', 'bractingiasx', ' Playaanan ',' cs', 'friendly', 'friendly', 'success',' yaa ',' Telkomsel ',' ']</v>
      </c>
      <c r="D675" s="3">
        <v>5.0</v>
      </c>
    </row>
    <row r="676" ht="15.75" customHeight="1">
      <c r="A676" s="1">
        <v>674.0</v>
      </c>
      <c r="B676" s="3" t="s">
        <v>677</v>
      </c>
      <c r="C676" s="3" t="str">
        <f>IFERROR(__xludf.DUMMYFUNCTION("GOOGLETRANSLATE(B676,""id"",""en"")"),"['open', 'Telkomsel', 'told', 'update', 'uda', 'finished', 'enter', 'told', 'update', 'lgi', 'telkomsel', 'uda', ' ']")</f>
        <v>['open', 'Telkomsel', 'told', 'update', 'uda', 'finished', 'enter', 'told', 'update', 'lgi', 'telkomsel', 'uda', ' ']</v>
      </c>
      <c r="D676" s="3">
        <v>1.0</v>
      </c>
    </row>
    <row r="677" ht="15.75" customHeight="1">
      <c r="A677" s="1">
        <v>675.0</v>
      </c>
      <c r="B677" s="3" t="s">
        <v>678</v>
      </c>
      <c r="C677" s="3" t="str">
        <f>IFERROR(__xludf.DUMMYFUNCTION("GOOGLETRANSLATE(B677,""id"",""en"")"),"['ngechek', 'pulse', 'difficult', 'times', 'call', 'APK', 'provider', 'expensive', 'quality', 'low']")</f>
        <v>['ngechek', 'pulse', 'difficult', 'times', 'call', 'APK', 'provider', 'expensive', 'quality', 'low']</v>
      </c>
      <c r="D677" s="3">
        <v>1.0</v>
      </c>
    </row>
    <row r="678" ht="15.75" customHeight="1">
      <c r="A678" s="1">
        <v>676.0</v>
      </c>
      <c r="B678" s="3" t="s">
        <v>679</v>
      </c>
      <c r="C678" s="3" t="str">
        <f>IFERROR(__xludf.DUMMYFUNCTION("GOOGLETRANSLATE(B678,""id"",""en"")"),"['buy', 'quota', 'expensive', 'network', 'slow', 'network', 'normal', 'as a result', 'difficult', 'learning', 'online']")</f>
        <v>['buy', 'quota', 'expensive', 'network', 'slow', 'network', 'normal', 'as a result', 'difficult', 'learning', 'online']</v>
      </c>
      <c r="D678" s="3">
        <v>1.0</v>
      </c>
    </row>
    <row r="679" ht="15.75" customHeight="1">
      <c r="A679" s="1">
        <v>677.0</v>
      </c>
      <c r="B679" s="3" t="s">
        <v>680</v>
      </c>
      <c r="C679" s="3" t="str">
        <f>IFERROR(__xludf.DUMMYFUNCTION("GOOGLETRANSLATE(B679,""id"",""en"")"),"['Increases',' Network ',' Leet ',' Min ',' Under ',' Tower ',' Telkomsel ',' Please ',' Fix ',' Kab ',' Pelalawan ',' kel ',' Kerinci ',' East ',' Jln ',' Jambu ',' Ash ',' Syukron ',' Thank ',' Love ']")</f>
        <v>['Increases',' Network ',' Leet ',' Min ',' Under ',' Tower ',' Telkomsel ',' Please ',' Fix ',' Kab ',' Pelalawan ',' kel ',' Kerinci ',' East ',' Jln ',' Jambu ',' Ash ',' Syukron ',' Thank ',' Love ']</v>
      </c>
      <c r="D679" s="3">
        <v>3.0</v>
      </c>
    </row>
    <row r="680" ht="15.75" customHeight="1">
      <c r="A680" s="1">
        <v>678.0</v>
      </c>
      <c r="B680" s="3" t="s">
        <v>681</v>
      </c>
      <c r="C680" s="3" t="str">
        <f>IFERROR(__xludf.DUMMYFUNCTION("GOOGLETRANSLATE(B680,""id"",""en"")"),"['Need', 'tranquility', 'comfort', 'card', 'Telkomsel', 'please', 'subtract', 'schedule', 'shipping', 'notification', 'Telkomsel']")</f>
        <v>['Need', 'tranquility', 'comfort', 'card', 'Telkomsel', 'please', 'subtract', 'schedule', 'shipping', 'notification', 'Telkomsel']</v>
      </c>
      <c r="D680" s="3">
        <v>1.0</v>
      </c>
    </row>
    <row r="681" ht="15.75" customHeight="1">
      <c r="A681" s="1">
        <v>679.0</v>
      </c>
      <c r="B681" s="3" t="s">
        <v>682</v>
      </c>
      <c r="C681" s="3" t="str">
        <f>IFERROR(__xludf.DUMMYFUNCTION("GOOGLETRANSLATE(B681,""id"",""en"")"),"['quota', 'internet', 'cheap', 'Please', 'prioritized', 'users',' classified ',' economy ',' medium ',' down ',' enjoy ',' educate ',' Usage ',' Science and Technology ',' Thank you ', ""]")</f>
        <v>['quota', 'internet', 'cheap', 'Please', 'prioritized', 'users',' classified ',' economy ',' medium ',' down ',' enjoy ',' educate ',' Usage ',' Science and Technology ',' Thank you ', "]</v>
      </c>
      <c r="D681" s="3">
        <v>3.0</v>
      </c>
    </row>
    <row r="682" ht="15.75" customHeight="1">
      <c r="A682" s="1">
        <v>680.0</v>
      </c>
      <c r="B682" s="3" t="s">
        <v>683</v>
      </c>
      <c r="C682" s="3" t="str">
        <f>IFERROR(__xludf.DUMMYFUNCTION("GOOGLETRANSLATE(B682,""id"",""en"")"),"['knp', 'signal', 'Telkomsel', 'destroyed', 'buy', 'package', 'expensive', 'TPI', 'according to', 'price', 'slow', '']")</f>
        <v>['knp', 'signal', 'Telkomsel', 'destroyed', 'buy', 'package', 'expensive', 'TPI', 'according to', 'price', 'slow', '']</v>
      </c>
      <c r="D682" s="3">
        <v>3.0</v>
      </c>
    </row>
    <row r="683" ht="15.75" customHeight="1">
      <c r="A683" s="1">
        <v>681.0</v>
      </c>
      <c r="B683" s="3" t="s">
        <v>684</v>
      </c>
      <c r="C683" s="3" t="str">
        <f>IFERROR(__xludf.DUMMYFUNCTION("GOOGLETRANSLATE(B683,""id"",""en"")"),"['wonder', 'provider', 'Telkomsel', 'Network', 'Tetep', 'ugly', 'area', 'pandemic', 'network', 'smooth', 'smooth', 'play', ' Game ',' smooth ',' browsing ',' smooth ',' pandemic ',' gini ',' network ',' ugly ',' area ',' Divert ',' postpaid ',' promised '"&amp;",' network ' , 'stable', 'changed', 'network', 'signal', 'changed', 'switch', 'card', 'postpaid', 'quota', 'dipake', 'network', 'ugly']")</f>
        <v>['wonder', 'provider', 'Telkomsel', 'Network', 'Tetep', 'ugly', 'area', 'pandemic', 'network', 'smooth', 'smooth', 'play', ' Game ',' smooth ',' browsing ',' smooth ',' pandemic ',' gini ',' network ',' ugly ',' area ',' Divert ',' postpaid ',' promised ',' network ' , 'stable', 'changed', 'network', 'signal', 'changed', 'switch', 'card', 'postpaid', 'quota', 'dipake', 'network', 'ugly']</v>
      </c>
      <c r="D683" s="3">
        <v>1.0</v>
      </c>
    </row>
    <row r="684" ht="15.75" customHeight="1">
      <c r="A684" s="1">
        <v>682.0</v>
      </c>
      <c r="B684" s="3" t="s">
        <v>685</v>
      </c>
      <c r="C684" s="3" t="str">
        <f>IFERROR(__xludf.DUMMYFUNCTION("GOOGLETRANSLATE(B684,""id"",""en"")"),"['emng', 'card', 'expensive', 'slow', 'features',' satisfying ',' disappointed ',' Telkomsel ',' avoid ',' here ',' ugly ',' poor ',' ']")</f>
        <v>['emng', 'card', 'expensive', 'slow', 'features',' satisfying ',' disappointed ',' Telkomsel ',' avoid ',' here ',' ugly ',' poor ',' ']</v>
      </c>
      <c r="D684" s="3">
        <v>1.0</v>
      </c>
    </row>
    <row r="685" ht="15.75" customHeight="1">
      <c r="A685" s="1">
        <v>683.0</v>
      </c>
      <c r="B685" s="3" t="s">
        <v>686</v>
      </c>
      <c r="C685" s="3" t="str">
        <f>IFERROR(__xludf.DUMMYFUNCTION("GOOGLETRANSLATE(B685,""id"",""en"")"),"['Disappointed', 'No.', 'according to', 'Offer', 'Disappointed', 'Gimmana', 'Ngga', 'Need', 'Quota', 'Data', 'Sudden', 'Credit', ' TPI ',' NGGA ',' Enter ',' Enter ',' Try ',' Package ',' Already ',' Biarin ',' Minutes', 'Transaxai', 'Success',' Out ',' C"&amp;"redit ' , 'What', 'transaction', 'SUCCESS', 'NGGA', 'NGGA', 'Cepet', 'Enter', 'Nuat', 'Irit', 'Pampek', 'Telkomsel', 'bonyok']")</f>
        <v>['Disappointed', 'No.', 'according to', 'Offer', 'Disappointed', 'Gimmana', 'Ngga', 'Need', 'Quota', 'Data', 'Sudden', 'Credit', ' TPI ',' NGGA ',' Enter ',' Enter ',' Try ',' Package ',' Already ',' Biarin ',' Minutes', 'Transaxai', 'Success',' Out ',' Credit ' , 'What', 'transaction', 'SUCCESS', 'NGGA', 'NGGA', 'Cepet', 'Enter', 'Nuat', 'Irit', 'Pampek', 'Telkomsel', 'bonyok']</v>
      </c>
      <c r="D685" s="3">
        <v>1.0</v>
      </c>
    </row>
    <row r="686" ht="15.75" customHeight="1">
      <c r="A686" s="1">
        <v>684.0</v>
      </c>
      <c r="B686" s="3" t="s">
        <v>687</v>
      </c>
      <c r="C686" s="3" t="str">
        <f>IFERROR(__xludf.DUMMYFUNCTION("GOOGLETRANSLATE(B686,""id"",""en"")"),"['', 'Telkomsel', 'position', 'Australia', 'save', 'Telkomsel', 'easy', 'buy', 'package', 'Telkomsel', 'Please', 'help', 'tks ']")</f>
        <v>['', 'Telkomsel', 'position', 'Australia', 'save', 'Telkomsel', 'easy', 'buy', 'package', 'Telkomsel', 'Please', 'help', 'tks ']</v>
      </c>
      <c r="D686" s="3">
        <v>5.0</v>
      </c>
    </row>
    <row r="687" ht="15.75" customHeight="1">
      <c r="A687" s="1">
        <v>685.0</v>
      </c>
      <c r="B687" s="3" t="s">
        <v>688</v>
      </c>
      <c r="C687" s="3" t="str">
        <f>IFERROR(__xludf.DUMMYFUNCTION("GOOGLETRANSLATE(B687,""id"",""en"")"),"['price', 'expensive', 'signal', 'slow', 'how', 'remote', 'village', 'best', '']")</f>
        <v>['price', 'expensive', 'signal', 'slow', 'how', 'remote', 'village', 'best', '']</v>
      </c>
      <c r="D687" s="3">
        <v>5.0</v>
      </c>
    </row>
    <row r="688" ht="15.75" customHeight="1">
      <c r="A688" s="1">
        <v>686.0</v>
      </c>
      <c r="B688" s="3" t="s">
        <v>689</v>
      </c>
      <c r="C688" s="3" t="str">
        <f>IFERROR(__xludf.DUMMYFUNCTION("GOOGLETRANSLATE(B688,""id"",""en"")"),"['connection', 'signal', 'please', 'noticed', 'evenly', 'that's',' signal ',' busy ',' managing ',' Mending ',' run ',' IM ',' Kek ',' gini ',' signal ',' ']")</f>
        <v>['connection', 'signal', 'please', 'noticed', 'evenly', 'that's',' signal ',' busy ',' managing ',' Mending ',' run ',' IM ',' Kek ',' gini ',' signal ',' ']</v>
      </c>
      <c r="D688" s="3">
        <v>2.0</v>
      </c>
    </row>
    <row r="689" ht="15.75" customHeight="1">
      <c r="A689" s="1">
        <v>687.0</v>
      </c>
      <c r="B689" s="3" t="s">
        <v>690</v>
      </c>
      <c r="C689" s="3" t="str">
        <f>IFERROR(__xludf.DUMMYFUNCTION("GOOGLETRANSLATE(B689,""id"",""en"")"),"['Neh', 'Telkomsel', 'Russy', 'Postpaid', 'SCIBAT', 'SANKOMSEL', '']")</f>
        <v>['Neh', 'Telkomsel', 'Russy', 'Postpaid', 'SCIBAT', 'SANKOMSEL', '']</v>
      </c>
      <c r="D689" s="3">
        <v>1.0</v>
      </c>
    </row>
    <row r="690" ht="15.75" customHeight="1">
      <c r="A690" s="1">
        <v>688.0</v>
      </c>
      <c r="B690" s="3" t="s">
        <v>691</v>
      </c>
      <c r="C690" s="3" t="str">
        <f>IFERROR(__xludf.DUMMYFUNCTION("GOOGLETRANSLATE(B690,""id"",""en"")"),"['Kasi', 'Bintang', 'Open', 'Application', 'NGK', 'LIKUR', 'SELL', 'Updete', 'updete', 'application', ""]")</f>
        <v>['Kasi', 'Bintang', 'Open', 'Application', 'NGK', 'LIKUR', 'SELL', 'Updete', 'updete', 'application', "]</v>
      </c>
      <c r="D690" s="3">
        <v>2.0</v>
      </c>
    </row>
    <row r="691" ht="15.75" customHeight="1">
      <c r="A691" s="1">
        <v>689.0</v>
      </c>
      <c r="B691" s="3" t="s">
        <v>692</v>
      </c>
      <c r="C691" s="3" t="str">
        <f>IFERROR(__xludf.DUMMYFUNCTION("GOOGLETRANSLATE(B691,""id"",""en"")"),"['Disappointed', 'service', 'Professional', 'handle', 'complaints',' Customer ',' as if ',' free ',' hand ',' pulse ',' cut ',' package ',' GPRS ',' package ',' data ',' turned off ',' Take ',' take ',' package ',' internet ',' already ',' signal ',' ugly"&amp;" ',' choice ',' package ' , 'Internet', 'expensive', 'above', 'RB', 'put together', 'imtery', 'drained', 'pulse', 'replace', 'logo', 'disappointing', 'sad', ' customer', '']")</f>
        <v>['Disappointed', 'service', 'Professional', 'handle', 'complaints',' Customer ',' as if ',' free ',' hand ',' pulse ',' cut ',' package ',' GPRS ',' package ',' data ',' turned off ',' Take ',' take ',' package ',' internet ',' already ',' signal ',' ugly ',' choice ',' package ' , 'Internet', 'expensive', 'above', 'RB', 'put together', 'imtery', 'drained', 'pulse', 'replace', 'logo', 'disappointing', 'sad', ' customer', '']</v>
      </c>
      <c r="D691" s="3">
        <v>1.0</v>
      </c>
    </row>
    <row r="692" ht="15.75" customHeight="1">
      <c r="A692" s="1">
        <v>690.0</v>
      </c>
      <c r="B692" s="3" t="s">
        <v>693</v>
      </c>
      <c r="C692" s="3" t="str">
        <f>IFERROR(__xludf.DUMMYFUNCTION("GOOGLETRANSLATE(B692,""id"",""en"")"),"['Please', 'Telkomsel', 'BUMN', 'Belongs',' State ',' Lohh ',' Embarrassing ',' Lahh ',' Please ',' Price ',' Changing ',' GMANA ',' forward ',' internet ',' Indonesia ',' BUMN ',' supports', 'please', 'profit', 'find', 'people', 'think', 'hopefully', 'Te"&amp;"lkomsel', 'respectable' , 'Read it', 'Thank you']")</f>
        <v>['Please', 'Telkomsel', 'BUMN', 'Belongs',' State ',' Lohh ',' Embarrassing ',' Lahh ',' Please ',' Price ',' Changing ',' GMANA ',' forward ',' internet ',' Indonesia ',' BUMN ',' supports', 'please', 'profit', 'find', 'people', 'think', 'hopefully', 'Telkomsel', 'respectable' , 'Read it', 'Thank you']</v>
      </c>
      <c r="D692" s="3">
        <v>1.0</v>
      </c>
    </row>
    <row r="693" ht="15.75" customHeight="1">
      <c r="A693" s="1">
        <v>691.0</v>
      </c>
      <c r="B693" s="3" t="s">
        <v>694</v>
      </c>
      <c r="C693" s="3" t="str">
        <f>IFERROR(__xludf.DUMMYFUNCTION("GOOGLETRANSLATE(B693,""id"",""en"")"),"['Useful', 'really', 'thank', 'love', 'Telkomsel', 'Jaya', 'Jaya', 'Jaya', ""]")</f>
        <v>['Useful', 'really', 'thank', 'love', 'Telkomsel', 'Jaya', 'Jaya', 'Jaya', "]</v>
      </c>
      <c r="D693" s="3">
        <v>5.0</v>
      </c>
    </row>
    <row r="694" ht="15.75" customHeight="1">
      <c r="A694" s="1">
        <v>692.0</v>
      </c>
      <c r="B694" s="3" t="s">
        <v>695</v>
      </c>
      <c r="C694" s="3" t="str">
        <f>IFERROR(__xludf.DUMMYFUNCTION("GOOGLETRANSLATE(B694,""id"",""en"")"),"['please', 'Telkomsel', 'network', 'slow', 'knapa', 'lose', 'smartpreen', 'indosat', 'buy', 'package', 'Telkomsel', 'expensive', ' KNPA ',' card ',' cheap ']")</f>
        <v>['please', 'Telkomsel', 'network', 'slow', 'knapa', 'lose', 'smartpreen', 'indosat', 'buy', 'package', 'Telkomsel', 'expensive', ' KNPA ',' card ',' cheap ']</v>
      </c>
      <c r="D694" s="3">
        <v>2.0</v>
      </c>
    </row>
    <row r="695" ht="15.75" customHeight="1">
      <c r="A695" s="1">
        <v>693.0</v>
      </c>
      <c r="B695" s="3" t="s">
        <v>696</v>
      </c>
      <c r="C695" s="3" t="str">
        <f>IFERROR(__xludf.DUMMYFUNCTION("GOOGLETRANSLATE(B695,""id"",""en"")"),"['The information', 'help', 'hope', 'in the future', 'promo', 'package', 'data', 'telephone', 'cheap', '']")</f>
        <v>['The information', 'help', 'hope', 'in the future', 'promo', 'package', 'data', 'telephone', 'cheap', '']</v>
      </c>
      <c r="D695" s="3">
        <v>5.0</v>
      </c>
    </row>
    <row r="696" ht="15.75" customHeight="1">
      <c r="A696" s="1">
        <v>694.0</v>
      </c>
      <c r="B696" s="3" t="s">
        <v>697</v>
      </c>
      <c r="C696" s="3" t="str">
        <f>IFERROR(__xludf.DUMMYFUNCTION("GOOGLETRANSLATE(B696,""id"",""en"")"),"['Telkomsel', 'cook', 'slow', 'package', 'already', 'fast', 'run out', 'please', 'fix', '']")</f>
        <v>['Telkomsel', 'cook', 'slow', 'package', 'already', 'fast', 'run out', 'please', 'fix', '']</v>
      </c>
      <c r="D696" s="3">
        <v>1.0</v>
      </c>
    </row>
    <row r="697" ht="15.75" customHeight="1">
      <c r="A697" s="1">
        <v>695.0</v>
      </c>
      <c r="B697" s="3" t="s">
        <v>698</v>
      </c>
      <c r="C697" s="3" t="str">
        <f>IFERROR(__xludf.DUMMYFUNCTION("GOOGLETRANSLATE(B697,""id"",""en"")"),"['Network', 'ugly', 'Telkomsel', 'Jago', 'Network', 'Signal', 'Rated', 'Sampe', 'Network', 'Telkomsel', 'Value', ""]")</f>
        <v>['Network', 'ugly', 'Telkomsel', 'Jago', 'Network', 'Signal', 'Rated', 'Sampe', 'Network', 'Telkomsel', 'Value', "]</v>
      </c>
      <c r="D697" s="3">
        <v>1.0</v>
      </c>
    </row>
    <row r="698" ht="15.75" customHeight="1">
      <c r="A698" s="1">
        <v>696.0</v>
      </c>
      <c r="B698" s="3" t="s">
        <v>699</v>
      </c>
      <c r="C698" s="3" t="str">
        <f>IFERROR(__xludf.DUMMYFUNCTION("GOOGLETRANSLATE(B698,""id"",""en"")"),"['Tariff', 'Telkomsel', 'annoying', 'trusted', 'community', 'garbage', 'quality', 'run out', 'package', 'data', 'cellular', 'responsibility', ' nyedot ',' pulse ',' leech ',' land ',' pure ',' criticism ',' customer ',' ']")</f>
        <v>['Tariff', 'Telkomsel', 'annoying', 'trusted', 'community', 'garbage', 'quality', 'run out', 'package', 'data', 'cellular', 'responsibility', ' nyedot ',' pulse ',' leech ',' land ',' pure ',' criticism ',' customer ',' ']</v>
      </c>
      <c r="D698" s="3">
        <v>1.0</v>
      </c>
    </row>
    <row r="699" ht="15.75" customHeight="1">
      <c r="A699" s="1">
        <v>697.0</v>
      </c>
      <c r="B699" s="3" t="s">
        <v>700</v>
      </c>
      <c r="C699" s="3" t="str">
        <f>IFERROR(__xludf.DUMMYFUNCTION("GOOGLETRANSLATE(B699,""id"",""en"")"),"['Constraints', 'Network', 'Must', 'Increase', '']")</f>
        <v>['Constraints', 'Network', 'Must', 'Increase', '']</v>
      </c>
      <c r="D699" s="3">
        <v>3.0</v>
      </c>
    </row>
    <row r="700" ht="15.75" customHeight="1">
      <c r="A700" s="1">
        <v>698.0</v>
      </c>
      <c r="B700" s="3" t="s">
        <v>701</v>
      </c>
      <c r="C700" s="3" t="str">
        <f>IFERROR(__xludf.DUMMYFUNCTION("GOOGLETRANSLATE(B700,""id"",""en"")"),"['Buy', 'quota', 'Telkomsel', 'FAILURE', 'Loading', 'Network', 'Price', 'Quotes', 'Expensive', 'Network', 'Slow']")</f>
        <v>['Buy', 'quota', 'Telkomsel', 'FAILURE', 'Loading', 'Network', 'Price', 'Quotes', 'Expensive', 'Network', 'Slow']</v>
      </c>
      <c r="D700" s="3">
        <v>1.0</v>
      </c>
    </row>
    <row r="701" ht="15.75" customHeight="1">
      <c r="A701" s="1">
        <v>699.0</v>
      </c>
      <c r="B701" s="3" t="s">
        <v>702</v>
      </c>
      <c r="C701" s="3" t="str">
        <f>IFERROR(__xludf.DUMMYFUNCTION("GOOGLETRANSLATE(B701,""id"",""en"")"),"['Please', 'Fix', 'Network', 'Disconnected', 'Disturbed', 'Main', 'Match', 'AFK', 'Gara', 'Network', 'Disconnected', ""]")</f>
        <v>['Please', 'Fix', 'Network', 'Disconnected', 'Disturbed', 'Main', 'Match', 'AFK', 'Gara', 'Network', 'Disconnected', "]</v>
      </c>
      <c r="D701" s="3">
        <v>1.0</v>
      </c>
    </row>
    <row r="702" ht="15.75" customHeight="1">
      <c r="A702" s="1">
        <v>700.0</v>
      </c>
      <c r="B702" s="3" t="s">
        <v>703</v>
      </c>
      <c r="C702" s="3" t="str">
        <f>IFERROR(__xludf.DUMMYFUNCTION("GOOGLETRANSLATE(B702,""id"",""en"")"),"['APK', 'Please', 'Fix', 'Open', 'Telkomsel', 'Hard', 'Wait', 'Network', 'Smooth', 'Play', 'Game', 'Open', ' Telkomsel ',' Discard ',' ']")</f>
        <v>['APK', 'Please', 'Fix', 'Open', 'Telkomsel', 'Hard', 'Wait', 'Network', 'Smooth', 'Play', 'Game', 'Open', ' Telkomsel ',' Discard ',' ']</v>
      </c>
      <c r="D702" s="3">
        <v>1.0</v>
      </c>
    </row>
    <row r="703" ht="15.75" customHeight="1">
      <c r="A703" s="1">
        <v>701.0</v>
      </c>
      <c r="B703" s="3" t="s">
        <v>704</v>
      </c>
      <c r="C703" s="3" t="str">
        <f>IFERROR(__xludf.DUMMYFUNCTION("GOOGLETRANSLATE(B703,""id"",""en"")"),"['signal', 'ugly', 'morning', 'noon', 'afternoon', 'malem', 'BUMN', 'signal', 'gini', 'card', 'Telkomsel', 'already', ' Try ',' Call ',' Call ',' Center ',' TTP ',' Solution ']")</f>
        <v>['signal', 'ugly', 'morning', 'noon', 'afternoon', 'malem', 'BUMN', 'signal', 'gini', 'card', 'Telkomsel', 'already', ' Try ',' Call ',' Call ',' Center ',' TTP ',' Solution ']</v>
      </c>
      <c r="D703" s="3">
        <v>1.0</v>
      </c>
    </row>
    <row r="704" ht="15.75" customHeight="1">
      <c r="A704" s="1">
        <v>702.0</v>
      </c>
      <c r="B704" s="3" t="s">
        <v>705</v>
      </c>
      <c r="C704" s="3" t="str">
        <f>IFERROR(__xludf.DUMMYFUNCTION("GOOGLETRANSLATE(B704,""id"",""en"")"),"['pulse', 'thousand', 'used', 'thousand', 'leftover', 'thousand', 'quota', 'giga', 'take', 'pulses', ""]")</f>
        <v>['pulse', 'thousand', 'used', 'thousand', 'leftover', 'thousand', 'quota', 'giga', 'take', 'pulses', "]</v>
      </c>
      <c r="D704" s="3">
        <v>1.0</v>
      </c>
    </row>
    <row r="705" ht="15.75" customHeight="1">
      <c r="A705" s="1">
        <v>703.0</v>
      </c>
      <c r="B705" s="3" t="s">
        <v>706</v>
      </c>
      <c r="C705" s="3" t="str">
        <f>IFERROR(__xludf.DUMMYFUNCTION("GOOGLETRANSLATE(B705,""id"",""en"")"),"['regret', 'buy', 'card', 'Telkomsel', 'signal', 'gini', 'mah', 'buy', 'already', 'expensive', 'melted', 'oath', ' Oath ',' Ryesel ',' really ',' card ',' Telkomsel ',' card ']")</f>
        <v>['regret', 'buy', 'card', 'Telkomsel', 'signal', 'gini', 'mah', 'buy', 'already', 'expensive', 'melted', 'oath', ' Oath ',' Ryesel ',' really ',' card ',' Telkomsel ',' card ']</v>
      </c>
      <c r="D705" s="3">
        <v>1.0</v>
      </c>
    </row>
    <row r="706" ht="15.75" customHeight="1">
      <c r="A706" s="1">
        <v>704.0</v>
      </c>
      <c r="B706" s="3" t="s">
        <v>707</v>
      </c>
      <c r="C706" s="3" t="str">
        <f>IFERROR(__xludf.DUMMYFUNCTION("GOOGLETRANSLATE(B706,""id"",""en"")"),"['function', 'application', 'buy', 'package', 'internet', 'internet', 'abis',' tetep ',' open ',' open ',' internet ',' person ',' The package ',' Abis', '']")</f>
        <v>['function', 'application', 'buy', 'package', 'internet', 'internet', 'abis',' tetep ',' open ',' open ',' internet ',' person ',' The package ',' Abis', '']</v>
      </c>
      <c r="D706" s="3">
        <v>2.0</v>
      </c>
    </row>
    <row r="707" ht="15.75" customHeight="1">
      <c r="A707" s="1">
        <v>705.0</v>
      </c>
      <c r="B707" s="3" t="s">
        <v>708</v>
      </c>
      <c r="C707" s="3" t="str">
        <f>IFERROR(__xludf.DUMMYFUNCTION("GOOGLETRANSLATE(B707,""id"",""en"")"),"['', 'Mna', 'application', 'UDH', 'enter', 'TELKOM', 'then', 'UDH', 'update', 'told', 'update', 'situ', 'Situ ',' kah ',' suggestion ',' setres', 'kagak', 'ush', 'application', 'sinyl', 'slow', 'move', 'signal', 'ama', 'signal', 'Sebelg']")</f>
        <v>['', 'Mna', 'application', 'UDH', 'enter', 'TELKOM', 'then', 'UDH', 'update', 'told', 'update', 'situ', 'Situ ',' kah ',' suggestion ',' setres', 'kagak', 'ush', 'application', 'sinyl', 'slow', 'move', 'signal', 'ama', 'signal', 'Sebelg']</v>
      </c>
      <c r="D707" s="3">
        <v>1.0</v>
      </c>
    </row>
    <row r="708" ht="15.75" customHeight="1">
      <c r="A708" s="1">
        <v>706.0</v>
      </c>
      <c r="B708" s="3" t="s">
        <v>709</v>
      </c>
      <c r="C708" s="3" t="str">
        <f>IFERROR(__xludf.DUMMYFUNCTION("GOOGLETRANSLATE(B708,""id"",""en"")"),"['user', 'loyal', 'card', 'Telkomsel', 'Door', 'prize', 'Telkomsel', 'tuk', 'network', 'area', 'really', '']")</f>
        <v>['user', 'loyal', 'card', 'Telkomsel', 'Door', 'prize', 'Telkomsel', 'tuk', 'network', 'area', 'really', '']</v>
      </c>
      <c r="D708" s="3">
        <v>4.0</v>
      </c>
    </row>
    <row r="709" ht="15.75" customHeight="1">
      <c r="A709" s="1">
        <v>707.0</v>
      </c>
      <c r="B709" s="3" t="s">
        <v>710</v>
      </c>
      <c r="C709" s="3" t="str">
        <f>IFERROR(__xludf.DUMMYFUNCTION("GOOGLETRANSLATE(B709,""id"",""en"")"),"['The application', 'lie', 'Tuker', 'Points', 'quota', 'failed', 'lie', 'times', '']")</f>
        <v>['The application', 'lie', 'Tuker', 'Points', 'quota', 'failed', 'lie', 'times', '']</v>
      </c>
      <c r="D709" s="3">
        <v>1.0</v>
      </c>
    </row>
    <row r="710" ht="15.75" customHeight="1">
      <c r="A710" s="1">
        <v>708.0</v>
      </c>
      <c r="B710" s="3" t="s">
        <v>711</v>
      </c>
      <c r="C710" s="3" t="str">
        <f>IFERROR(__xludf.DUMMYFUNCTION("GOOGLETRANSLATE(B710,""id"",""en"")"),"['Tuauk', 'people', 'Telkomsel', 'people', 'Indonesia', 'Disappointed', 'Telkomsel', 'closed', 'users',' Telkomsel ',' aka ',' decreases', ' people ',' Mingkasi ',' Telkomsel ',' prepaid ',' Hallo ',' postpaid ',' consumers', 'trap', 'please', 'easy', 'cu"&amp;"stomers',' Telkomsel ',' prepaid ' , '']")</f>
        <v>['Tuauk', 'people', 'Telkomsel', 'people', 'Indonesia', 'Disappointed', 'Telkomsel', 'closed', 'users',' Telkomsel ',' aka ',' decreases', ' people ',' Mingkasi ',' Telkomsel ',' prepaid ',' Hallo ',' postpaid ',' consumers', 'trap', 'please', 'easy', 'customers',' Telkomsel ',' prepaid ' , '']</v>
      </c>
      <c r="D710" s="3">
        <v>1.0</v>
      </c>
    </row>
    <row r="711" ht="15.75" customHeight="1">
      <c r="A711" s="1">
        <v>709.0</v>
      </c>
      <c r="B711" s="3" t="s">
        <v>712</v>
      </c>
      <c r="C711" s="3" t="str">
        <f>IFERROR(__xludf.DUMMYFUNCTION("GOOGLETRANSLATE(B711,""id"",""en"")"),"['Error', 'Mulu', 'already', 'bought', 'pulse', 'gabisa', 'buy', 'quota', 'darling', 'money', 'woi', 'back', ' Money ',' Gue ',' ']")</f>
        <v>['Error', 'Mulu', 'already', 'bought', 'pulse', 'gabisa', 'buy', 'quota', 'darling', 'money', 'woi', 'back', ' Money ',' Gue ',' ']</v>
      </c>
      <c r="D711" s="3">
        <v>1.0</v>
      </c>
    </row>
    <row r="712" ht="15.75" customHeight="1">
      <c r="A712" s="1">
        <v>710.0</v>
      </c>
      <c r="B712" s="3" t="s">
        <v>713</v>
      </c>
      <c r="C712" s="3" t="str">
        <f>IFERROR(__xludf.DUMMYFUNCTION("GOOGLETRANSLATE(B712,""id"",""en"")"),"['price', 'expensive', 'raya', 'like', 'error', 'active', 'quota', 'short', 'capacity', 'kuta', 'quota', 'minimal', ' TB ',' active ',' price ',' range ',' million ',' customer ',' customer ',' Indonesia ',' affordable ',' signal ',' bakah ',' migrate ','"&amp;" tanfa ' , 'Advertising', 'ptomo', '']")</f>
        <v>['price', 'expensive', 'raya', 'like', 'error', 'active', 'quota', 'short', 'capacity', 'kuta', 'quota', 'minimal', ' TB ',' active ',' price ',' range ',' million ',' customer ',' customer ',' Indonesia ',' affordable ',' signal ',' bakah ',' migrate ',' tanfa ' , 'Advertising', 'ptomo', '']</v>
      </c>
      <c r="D712" s="3">
        <v>4.0</v>
      </c>
    </row>
    <row r="713" ht="15.75" customHeight="1">
      <c r="A713" s="1">
        <v>711.0</v>
      </c>
      <c r="B713" s="3" t="s">
        <v>714</v>
      </c>
      <c r="C713" s="3" t="str">
        <f>IFERROR(__xludf.DUMMYFUNCTION("GOOGLETRANSLATE(B713,""id"",""en"")"),"['Package', 'Telkomsel', 'strange', 'buy', 'Package', 'MaxStream', 'subscription', 'iFlix', 'stream', 'iFlix', 'right', 'streaming', ' iFlix ',' crazy ',' road ',' Disney ',' hotstar ',' road ',' iflix ',' road ',' mah ',' name ',' fist ',' package ',' ho"&amp;"pe ' , 'Telkomsel', 'fix', 'package', 'loss', 'watch', 'iFlix', 'buy', 'used', ""]")</f>
        <v>['Package', 'Telkomsel', 'strange', 'buy', 'Package', 'MaxStream', 'subscription', 'iFlix', 'stream', 'iFlix', 'right', 'streaming', ' iFlix ',' crazy ',' road ',' Disney ',' hotstar ',' road ',' iflix ',' road ',' mah ',' name ',' fist ',' package ',' hope ' , 'Telkomsel', 'fix', 'package', 'loss', 'watch', 'iFlix', 'buy', 'used', "]</v>
      </c>
      <c r="D713" s="3">
        <v>3.0</v>
      </c>
    </row>
    <row r="714" ht="15.75" customHeight="1">
      <c r="A714" s="1">
        <v>712.0</v>
      </c>
      <c r="B714" s="3" t="s">
        <v>715</v>
      </c>
      <c r="C714" s="3" t="str">
        <f>IFERROR(__xludf.DUMMYFUNCTION("GOOGLETRANSLATE(B714,""id"",""en"")"),"['Telkomsel', 'MNUTUT', 'Signal', 'Stable', 'Appeal', 'Develop', 'Plosok', 'Village', 'Mantap', ""]")</f>
        <v>['Telkomsel', 'MNUTUT', 'Signal', 'Stable', 'Appeal', 'Develop', 'Plosok', 'Village', 'Mantap', "]</v>
      </c>
      <c r="D714" s="3">
        <v>5.0</v>
      </c>
    </row>
    <row r="715" ht="15.75" customHeight="1">
      <c r="A715" s="1">
        <v>713.0</v>
      </c>
      <c r="B715" s="3" t="s">
        <v>716</v>
      </c>
      <c r="C715" s="3" t="str">
        <f>IFERROR(__xludf.DUMMYFUNCTION("GOOGLETRANSLATE(B715,""id"",""en"")"),"['Telkomsel', 'already', 'crazy', 'dahlah', 'buy', 'package', 'internet', 'expensive', 'sometimes',' sometimes', 'signal', 'ilang', ' Open ',' apk ',' Telkomsel ',' told ',' update ',' update ',' right ',' open ',' eeh ',' update ',' right ',' click ',' u"&amp;"pdate ' , 'kagak', 'basic', 'Telkomsel', 'crazy', 'kak', 'gini', 'buy', 'card', 'telkomsel', 'card', '']")</f>
        <v>['Telkomsel', 'already', 'crazy', 'dahlah', 'buy', 'package', 'internet', 'expensive', 'sometimes',' sometimes', 'signal', 'ilang', ' Open ',' apk ',' Telkomsel ',' told ',' update ',' update ',' right ',' open ',' eeh ',' update ',' right ',' click ',' update ' , 'kagak', 'basic', 'Telkomsel', 'crazy', 'kak', 'gini', 'buy', 'card', 'telkomsel', 'card', '']</v>
      </c>
      <c r="D715" s="3">
        <v>1.0</v>
      </c>
    </row>
    <row r="716" ht="15.75" customHeight="1">
      <c r="A716" s="1">
        <v>714.0</v>
      </c>
      <c r="B716" s="3" t="s">
        <v>717</v>
      </c>
      <c r="C716" s="3" t="str">
        <f>IFERROR(__xludf.DUMMYFUNCTION("GOOGLETRANSLATE(B716,""id"",""en"")"),"['', 'Operator', 'complaint', 'mesh', 'Sembung', 'Bring', 'Golok', 'Nich', 'Muantap', 'Help', 'Package', 'Data', 'MuaaahaaAll ',' lose ',' operator ',' next door ',' BUMN ',' belonging ',' people ',' operator ',' neighbor ',' country ',' cheap ', ""]")</f>
        <v>['', 'Operator', 'complaint', 'mesh', 'Sembung', 'Bring', 'Golok', 'Nich', 'Muantap', 'Help', 'Package', 'Data', 'MuaaahaaAll ',' lose ',' operator ',' next door ',' BUMN ',' belonging ',' people ',' operator ',' neighbor ',' country ',' cheap ', "]</v>
      </c>
      <c r="D716" s="3">
        <v>1.0</v>
      </c>
    </row>
    <row r="717" ht="15.75" customHeight="1">
      <c r="A717" s="1">
        <v>715.0</v>
      </c>
      <c r="B717" s="3" t="s">
        <v>718</v>
      </c>
      <c r="C717" s="3" t="str">
        <f>IFERROR(__xludf.DUMMYFUNCTION("GOOGLETRANSLATE(B717,""id"",""en"")"),"['Congratulations',' Morning ',' TELKOM ',' wise ',' users', 'loyal', 'Telkom', 'disappointed', 'save', 'pulse', 'interest', 'data', ' Internet ',' On ',' Call ',' Credit ',' Cut ',' Data ',' Internet ',' On ',' Fool ',' Disruption ',' User ',' Hear ',' e"&amp;"xplanation ' , 'Thanks']")</f>
        <v>['Congratulations',' Morning ',' TELKOM ',' wise ',' users', 'loyal', 'Telkom', 'disappointed', 'save', 'pulse', 'interest', 'data', ' Internet ',' On ',' Call ',' Credit ',' Cut ',' Data ',' Internet ',' On ',' Fool ',' Disruption ',' User ',' Hear ',' explanation ' , 'Thanks']</v>
      </c>
      <c r="D717" s="3">
        <v>5.0</v>
      </c>
    </row>
    <row r="718" ht="15.75" customHeight="1">
      <c r="A718" s="1">
        <v>716.0</v>
      </c>
      <c r="B718" s="3" t="s">
        <v>719</v>
      </c>
      <c r="C718" s="3" t="str">
        <f>IFERROR(__xludf.DUMMYFUNCTION("GOOGLETRANSLATE(B718,""id"",""en"")"),"['quota', 'local', 'GB', 'understand', 'cave', 'ama', 'Telkomsel', '']")</f>
        <v>['quota', 'local', 'GB', 'understand', 'cave', 'ama', 'Telkomsel', '']</v>
      </c>
      <c r="D718" s="3">
        <v>1.0</v>
      </c>
    </row>
    <row r="719" ht="15.75" customHeight="1">
      <c r="A719" s="1">
        <v>717.0</v>
      </c>
      <c r="B719" s="3" t="s">
        <v>720</v>
      </c>
      <c r="C719" s="3" t="str">
        <f>IFERROR(__xludf.DUMMYFUNCTION("GOOGLETRANSLATE(B719,""id"",""en"")"),"['', 'Telkomsel', 'please', 'buy', 'quota', 'money', 'steal', 'actuf', 'until', 'buy', 'quota', 'nominal', 'lohhh ',' please ',' connoisseurs', 'consumers',' squeeze ',' Mulu ',' ']")</f>
        <v>['', 'Telkomsel', 'please', 'buy', 'quota', 'money', 'steal', 'actuf', 'until', 'buy', 'quota', 'nominal', 'lohhh ',' please ',' connoisseurs', 'consumers',' squeeze ',' Mulu ',' ']</v>
      </c>
      <c r="D719" s="3">
        <v>5.0</v>
      </c>
    </row>
    <row r="720" ht="15.75" customHeight="1">
      <c r="A720" s="1">
        <v>718.0</v>
      </c>
      <c r="B720" s="3" t="s">
        <v>721</v>
      </c>
      <c r="C720" s="3" t="str">
        <f>IFERROR(__xludf.DUMMYFUNCTION("GOOGLETRANSLATE(B720,""id"",""en"")"),"['APK', 'good', 'Kcewa', 'pket', 'gnakan', 'missing', 'already', 'blik', 'lgi', 'terpomakasi', 'tlkomsel', 'service', ' Smga ',' might ',' apk ',' maybe ',' satisfying ',' ']")</f>
        <v>['APK', 'good', 'Kcewa', 'pket', 'gnakan', 'missing', 'already', 'blik', 'lgi', 'terpomakasi', 'tlkomsel', 'service', ' Smga ',' might ',' apk ',' maybe ',' satisfying ',' ']</v>
      </c>
      <c r="D720" s="3">
        <v>5.0</v>
      </c>
    </row>
    <row r="721" ht="15.75" customHeight="1">
      <c r="A721" s="1">
        <v>719.0</v>
      </c>
      <c r="B721" s="3" t="s">
        <v>722</v>
      </c>
      <c r="C721" s="3" t="str">
        <f>IFERROR(__xludf.DUMMYFUNCTION("GOOGLETRANSLATE(B721,""id"",""en"")"),"['Hello', 'Telkomsel', 'please', 'network', 'fix', 'troubling', 'annoying', 'activity', 'Please', 'as fast']")</f>
        <v>['Hello', 'Telkomsel', 'please', 'network', 'fix', 'troubling', 'annoying', 'activity', 'Please', 'as fast']</v>
      </c>
      <c r="D721" s="3">
        <v>1.0</v>
      </c>
    </row>
    <row r="722" ht="15.75" customHeight="1">
      <c r="A722" s="1">
        <v>720.0</v>
      </c>
      <c r="B722" s="3" t="s">
        <v>723</v>
      </c>
      <c r="C722" s="3" t="str">
        <f>IFERROR(__xludf.DUMMYFUNCTION("GOOGLETRANSLATE(B722,""id"",""en"")"),"['waduuuh', 'knp', 'right', 'contents',' pulse ',' pulse ',' got ',' data ',' cellular ',' dead ',' rich ',' gini ',' no ',' Telkomsel ',' please ',' fix ',' loss', 'gini', 'truss']")</f>
        <v>['waduuuh', 'knp', 'right', 'contents',' pulse ',' pulse ',' got ',' data ',' cellular ',' dead ',' rich ',' gini ',' no ',' Telkomsel ',' please ',' fix ',' loss', 'gini', 'truss']</v>
      </c>
      <c r="D722" s="3">
        <v>1.0</v>
      </c>
    </row>
    <row r="723" ht="15.75" customHeight="1">
      <c r="A723" s="1">
        <v>721.0</v>
      </c>
      <c r="B723" s="3" t="s">
        <v>724</v>
      </c>
      <c r="C723" s="3" t="str">
        <f>IFERROR(__xludf.DUMMYFUNCTION("GOOGLETRANSLATE(B723,""id"",""en"")"),"['Telkomnyet', 'update', 'bug', 'price', 'package', 'buy', 'unlimited', 'enter', 'quota', 'main', 'out', 'intention', ' Enchanting ',' user ',' ']")</f>
        <v>['Telkomnyet', 'update', 'bug', 'price', 'package', 'buy', 'unlimited', 'enter', 'quota', 'main', 'out', 'intention', ' Enchanting ',' user ',' ']</v>
      </c>
      <c r="D723" s="3">
        <v>1.0</v>
      </c>
    </row>
    <row r="724" ht="15.75" customHeight="1">
      <c r="A724" s="1">
        <v>722.0</v>
      </c>
      <c r="B724" s="3" t="s">
        <v>725</v>
      </c>
      <c r="C724" s="3" t="str">
        <f>IFERROR(__xludf.DUMMYFUNCTION("GOOGLETRANSLATE(B724,""id"",""en"")"),"['', 'LBH', 'likes',' lbh ',' complicated ',' as easy ',' update ',' easy ',' use ',' signal ',' Telkomsel ',' Rogojampi ',' ugly ',' ']")</f>
        <v>['', 'LBH', 'likes',' lbh ',' complicated ',' as easy ',' update ',' easy ',' use ',' signal ',' Telkomsel ',' Rogojampi ',' ugly ',' ']</v>
      </c>
      <c r="D724" s="3">
        <v>2.0</v>
      </c>
    </row>
    <row r="725" ht="15.75" customHeight="1">
      <c r="A725" s="1">
        <v>723.0</v>
      </c>
      <c r="B725" s="3" t="s">
        <v>726</v>
      </c>
      <c r="C725" s="3" t="str">
        <f>IFERROR(__xludf.DUMMYFUNCTION("GOOGLETRANSLATE(B725,""id"",""en"")"),"['Package', 'unlimited', 'Facebook', 'ilang', 'gontain', 'replace', 'ilangin', 'replace', 'expensive', 'cheat', 'Telkomsel', 'kosisten', ' Stalls', 'consistent', 'Raying', 'Telkomsel']")</f>
        <v>['Package', 'unlimited', 'Facebook', 'ilang', 'gontain', 'replace', 'ilangin', 'replace', 'expensive', 'cheat', 'Telkomsel', 'kosisten', ' Stalls', 'consistent', 'Raying', 'Telkomsel']</v>
      </c>
      <c r="D725" s="3">
        <v>1.0</v>
      </c>
    </row>
    <row r="726" ht="15.75" customHeight="1">
      <c r="A726" s="1">
        <v>724.0</v>
      </c>
      <c r="B726" s="3" t="s">
        <v>727</v>
      </c>
      <c r="C726" s="3" t="str">
        <f>IFERROR(__xludf.DUMMYFUNCTION("GOOGLETRANSLATE(B726,""id"",""en"")"),"['GraPARI', 'Telkomsel', 'Cinere', 'Mall', 'Service', 'Worst', 'Natural', 'Officer', 'Dewi', 'Ethics',' Polite ',' Santun ',' Help ',' complicated ',' problem ',' trivial ',' because ',' card ',' blocked ',' blocked ',' understand ',' call ',' sms', 'fill"&amp;"' , 'Credit', 'Attach', 'Document', 'Complete', 'KTP', 'Original', 'Disappointing', 'Customer', '']")</f>
        <v>['GraPARI', 'Telkomsel', 'Cinere', 'Mall', 'Service', 'Worst', 'Natural', 'Officer', 'Dewi', 'Ethics',' Polite ',' Santun ',' Help ',' complicated ',' problem ',' trivial ',' because ',' card ',' blocked ',' blocked ',' understand ',' call ',' sms', 'fill' , 'Credit', 'Attach', 'Document', 'Complete', 'KTP', 'Original', 'Disappointing', 'Customer', '']</v>
      </c>
      <c r="D726" s="3">
        <v>1.0</v>
      </c>
    </row>
    <row r="727" ht="15.75" customHeight="1">
      <c r="A727" s="1">
        <v>725.0</v>
      </c>
      <c r="B727" s="3" t="s">
        <v>728</v>
      </c>
      <c r="C727" s="3" t="str">
        <f>IFERROR(__xludf.DUMMYFUNCTION("GOOGLETRANSLATE(B727,""id"",""en"")"),"['Telkomsel', 'price', 'expensive', 'connection', 'snail', 'price', 'reflects',' quality ',' provider ',' expensive ',' nge ',' frame ',' Karuan ',' Hajj ',' Bintang ',' Bintang ',' Deh ']")</f>
        <v>['Telkomsel', 'price', 'expensive', 'connection', 'snail', 'price', 'reflects',' quality ',' provider ',' expensive ',' nge ',' frame ',' Karuan ',' Hajj ',' Bintang ',' Bintang ',' Deh ']</v>
      </c>
      <c r="D727" s="3">
        <v>1.0</v>
      </c>
    </row>
    <row r="728" ht="15.75" customHeight="1">
      <c r="A728" s="1">
        <v>726.0</v>
      </c>
      <c r="B728" s="3" t="s">
        <v>729</v>
      </c>
      <c r="C728" s="3" t="str">
        <f>IFERROR(__xludf.DUMMYFUNCTION("GOOGLETRANSLATE(B728,""id"",""en"")"),"['Disappointed', 'network', 'here', 'threat', 'price', 'expensive', 'according to', 'network', 'lose', 'yng', 'hrga', 'cheap', ' network ',' good ',' mending ',' move ']")</f>
        <v>['Disappointed', 'network', 'here', 'threat', 'price', 'expensive', 'according to', 'network', 'lose', 'yng', 'hrga', 'cheap', ' network ',' good ',' mending ',' move ']</v>
      </c>
      <c r="D728" s="3">
        <v>1.0</v>
      </c>
    </row>
    <row r="729" ht="15.75" customHeight="1">
      <c r="A729" s="1">
        <v>727.0</v>
      </c>
      <c r="B729" s="3" t="s">
        <v>730</v>
      </c>
      <c r="C729" s="3" t="str">
        <f>IFERROR(__xludf.DUMMYFUNCTION("GOOGLETRANSLATE(B729,""id"",""en"")"),"['Application', 'Mintak', 'Install', 'TPI', 'Install', 'TTEP', '']")</f>
        <v>['Application', 'Mintak', 'Install', 'TPI', 'Install', 'TTEP', '']</v>
      </c>
      <c r="D729" s="3">
        <v>5.0</v>
      </c>
    </row>
    <row r="730" ht="15.75" customHeight="1">
      <c r="A730" s="1">
        <v>728.0</v>
      </c>
      <c r="B730" s="3" t="s">
        <v>731</v>
      </c>
      <c r="C730" s="3" t="str">
        <f>IFERROR(__xludf.DUMMYFUNCTION("GOOGLETRANSLATE(B730,""id"",""en"")"),"['Love', 'star', 'Karna', 'makes it easy', 'check', 'pls',' Tapu ',' disappointed ',' sympathy ',' data ',' internet ',' Mex ',' Music ',' Mextrim ',' Play ',' Music ',' Sky ',' Music ',' Resso ',' Liat ',' Film ',' Maxtrim ',' Knapa ',' Take ',' Data ' ,"&amp;" 'Internet', 'Data', 'Mextrim', '']")</f>
        <v>['Love', 'star', 'Karna', 'makes it easy', 'check', 'pls',' Tapu ',' disappointed ',' sympathy ',' data ',' internet ',' Mex ',' Music ',' Mextrim ',' Play ',' Music ',' Sky ',' Music ',' Resso ',' Liat ',' Film ',' Maxtrim ',' Knapa ',' Take ',' Data ' , 'Internet', 'Data', 'Mextrim', '']</v>
      </c>
      <c r="D730" s="3">
        <v>2.0</v>
      </c>
    </row>
    <row r="731" ht="15.75" customHeight="1">
      <c r="A731" s="1">
        <v>729.0</v>
      </c>
      <c r="B731" s="3" t="s">
        <v>732</v>
      </c>
      <c r="C731" s="3" t="str">
        <f>IFERROR(__xludf.DUMMYFUNCTION("GOOGLETRANSLATE(B731,""id"",""en"")"),"['week', 'signal', 'stable', 'like', 'nipu', 'signal', 'full', 'TPI', 'play', 'game', 'like', 'nglaq', ' Pdhal ',' quota ',' Msih ', ""]")</f>
        <v>['week', 'signal', 'stable', 'like', 'nipu', 'signal', 'full', 'TPI', 'play', 'game', 'like', 'nglaq', ' Pdhal ',' quota ',' Msih ', "]</v>
      </c>
      <c r="D731" s="3">
        <v>4.0</v>
      </c>
    </row>
    <row r="732" ht="15.75" customHeight="1">
      <c r="A732" s="1">
        <v>730.0</v>
      </c>
      <c r="B732" s="3" t="s">
        <v>733</v>
      </c>
      <c r="C732" s="3" t="str">
        <f>IFERROR(__xludf.DUMMYFUNCTION("GOOGLETRANSLATE(B732,""id"",""en"")"),"['Helpful', 'Entoduce', 'Missing', 'Communicate', 'Family', 'Region', '']")</f>
        <v>['Helpful', 'Entoduce', 'Missing', 'Communicate', 'Family', 'Region', '']</v>
      </c>
      <c r="D732" s="3">
        <v>5.0</v>
      </c>
    </row>
    <row r="733" ht="15.75" customHeight="1">
      <c r="A733" s="1">
        <v>731.0</v>
      </c>
      <c r="B733" s="3" t="s">
        <v>734</v>
      </c>
      <c r="C733" s="3" t="str">
        <f>IFERROR(__xludf.DUMMYFUNCTION("GOOGLETRANSLATE(B733,""id"",""en"")"),"['Assalamu', 'Alaikum', 'Try', 'Many', 'The Application', 'Knp', 'Trludu', 'Difficult', ""]")</f>
        <v>['Assalamu', 'Alaikum', 'Try', 'Many', 'The Application', 'Knp', 'Trludu', 'Difficult', "]</v>
      </c>
      <c r="D733" s="3">
        <v>3.0</v>
      </c>
    </row>
    <row r="734" ht="15.75" customHeight="1">
      <c r="A734" s="1">
        <v>732.0</v>
      </c>
      <c r="B734" s="3" t="s">
        <v>735</v>
      </c>
      <c r="C734" s="3" t="str">
        <f>IFERROR(__xludf.DUMMYFUNCTION("GOOGLETRANSLATE(B734,""id"",""en"")"),"['My area', 'Telkomsel', 'network', 'internet', 'stable', 'because' many ',' users ',' wifi ',' please ',' fix ',' kasian ',' WiFi ']")</f>
        <v>['My area', 'Telkomsel', 'network', 'internet', 'stable', 'because' many ',' users ',' wifi ',' please ',' fix ',' kasian ',' WiFi ']</v>
      </c>
      <c r="D734" s="3">
        <v>4.0</v>
      </c>
    </row>
    <row r="735" ht="15.75" customHeight="1">
      <c r="A735" s="1">
        <v>733.0</v>
      </c>
      <c r="B735" s="3" t="s">
        <v>736</v>
      </c>
      <c r="C735" s="3" t="str">
        <f>IFERROR(__xludf.DUMMYFUNCTION("GOOGLETRANSLATE(B735,""id"",""en"")"),"['Price', 'expensive', 'signal', 'BURIK', 'Gini', 'Mending', 'Move', 'After', 'UDH', 'buy', 'package', 'expensive', ' expensive ',' signal ',' BURIK ',' Package ',' keuang ',' ']")</f>
        <v>['Price', 'expensive', 'signal', 'BURIK', 'Gini', 'Mending', 'Move', 'After', 'UDH', 'buy', 'package', 'expensive', ' expensive ',' signal ',' BURIK ',' Package ',' keuang ',' ']</v>
      </c>
      <c r="D735" s="3">
        <v>1.0</v>
      </c>
    </row>
    <row r="736" ht="15.75" customHeight="1">
      <c r="A736" s="1">
        <v>734.0</v>
      </c>
      <c r="B736" s="3" t="s">
        <v>737</v>
      </c>
      <c r="C736" s="3" t="str">
        <f>IFERROR(__xludf.DUMMYFUNCTION("GOOGLETRANSLATE(B736,""id"",""en"")"),"['Hello', 'mimin', 'already', 'week', 'signal', 'at home', 'Bags',' tapii ',' ugly ',' right ',' PTS ',' disturbed ',' Min ',' please ',' instructions', 'plis',' ']")</f>
        <v>['Hello', 'mimin', 'already', 'week', 'signal', 'at home', 'Bags',' tapii ',' ugly ',' right ',' PTS ',' disturbed ',' Min ',' please ',' instructions', 'plis',' ']</v>
      </c>
      <c r="D736" s="3">
        <v>1.0</v>
      </c>
    </row>
    <row r="737" ht="15.75" customHeight="1">
      <c r="A737" s="1">
        <v>735.0</v>
      </c>
      <c r="B737" s="3" t="s">
        <v>738</v>
      </c>
      <c r="C737" s="3" t="str">
        <f>IFERROR(__xludf.DUMMYFUNCTION("GOOGLETRANSLATE(B737,""id"",""en"")"),"['Paketan', 'expensive', 'service', 'satisfying', 'use', 'Telkomsel', 'signal', 'Surabaya', 'disorder', 'boss',' abis', 'disorder', ' Providers', 'Lawak', 'Abies',' Deh ',' Gabisa ',' NgeTate ',' Dink ',' Forced ', ""]")</f>
        <v>['Paketan', 'expensive', 'service', 'satisfying', 'use', 'Telkomsel', 'signal', 'Surabaya', 'disorder', 'boss',' abis', 'disorder', ' Providers', 'Lawak', 'Abies',' Deh ',' Gabisa ',' NgeTate ',' Dink ',' Forced ', "]</v>
      </c>
      <c r="D737" s="3">
        <v>1.0</v>
      </c>
    </row>
    <row r="738" ht="15.75" customHeight="1">
      <c r="A738" s="1">
        <v>736.0</v>
      </c>
      <c r="B738" s="3" t="s">
        <v>739</v>
      </c>
      <c r="C738" s="3" t="str">
        <f>IFERROR(__xludf.DUMMYFUNCTION("GOOGLETRANSLATE(B738,""id"",""en"")"),"['Contents',' Package ',' Internet ',' date ',' September ',' Towards', 'Sept', 'Changed', 'TGL', 'Sept', 'Loss',' HRS ',' Fill ',' package ',' daily ',' according to ',' contents', 'package', 'internet', 'monthly']")</f>
        <v>['Contents',' Package ',' Internet ',' date ',' September ',' Towards', 'Sept', 'Changed', 'TGL', 'Sept', 'Loss',' HRS ',' Fill ',' package ',' daily ',' according to ',' contents', 'package', 'internet', 'monthly']</v>
      </c>
      <c r="D738" s="3">
        <v>1.0</v>
      </c>
    </row>
    <row r="739" ht="15.75" customHeight="1">
      <c r="A739" s="1">
        <v>737.0</v>
      </c>
      <c r="B739" s="3" t="s">
        <v>740</v>
      </c>
      <c r="C739" s="3" t="str">
        <f>IFERROR(__xludf.DUMMYFUNCTION("GOOGLETRANSLATE(B739,""id"",""en"")"),"['run out', 'package', 'HAP', 'direct', 'eat', 'pulse', 'leftover', 'balance', 'knp', 'pitur', 'key', 'kya', ' miss', 'balance', 'minus', ""]")</f>
        <v>['run out', 'package', 'HAP', 'direct', 'eat', 'pulse', 'leftover', 'balance', 'knp', 'pitur', 'key', 'kya', ' miss', 'balance', 'minus', "]</v>
      </c>
      <c r="D739" s="3">
        <v>1.0</v>
      </c>
    </row>
    <row r="740" ht="15.75" customHeight="1">
      <c r="A740" s="1">
        <v>738.0</v>
      </c>
      <c r="B740" s="3" t="s">
        <v>741</v>
      </c>
      <c r="C740" s="3" t="str">
        <f>IFERROR(__xludf.DUMMYFUNCTION("GOOGLETRANSLATE(B740,""id"",""en"")"),"['Please', 'Telkom', 'repaired', 'System', 'User', 'Package', 'Internet', 'Daily', 'Package', 'Internet', 'Daily', 'Out', ' Direct ',' Stop ',' Internet ',' Play ',' Take ',' Credit ',' Direct ',' Tre ',' Example ',' Out ',' Quota ',' Internet ',' Direct "&amp;"' , 'Stop', 'internet', 'detrimental', 'Castamer', 'times', 'pulse', 'disappear', 'loss', 'pulse', 'vain', 'sia', ""]")</f>
        <v>['Please', 'Telkom', 'repaired', 'System', 'User', 'Package', 'Internet', 'Daily', 'Package', 'Internet', 'Daily', 'Out', ' Direct ',' Stop ',' Internet ',' Play ',' Take ',' Credit ',' Direct ',' Tre ',' Example ',' Out ',' Quota ',' Internet ',' Direct ' , 'Stop', 'internet', 'detrimental', 'Castamer', 'times', 'pulse', 'disappear', 'loss', 'pulse', 'vain', 'sia', "]</v>
      </c>
      <c r="D740" s="3">
        <v>1.0</v>
      </c>
    </row>
    <row r="741" ht="15.75" customHeight="1">
      <c r="A741" s="1">
        <v>739.0</v>
      </c>
      <c r="B741" s="3" t="s">
        <v>742</v>
      </c>
      <c r="C741" s="3" t="str">
        <f>IFERROR(__xludf.DUMMYFUNCTION("GOOGLETRANSLATE(B741,""id"",""en"")"),"['Open', 'Update', 'Open', 'Update', 'Open', 'Update', 'Terua', 'bald', 'cankerawan', ""]")</f>
        <v>['Open', 'Update', 'Open', 'Update', 'Open', 'Update', 'Terua', 'bald', 'cankerawan', "]</v>
      </c>
      <c r="D741" s="3">
        <v>2.0</v>
      </c>
    </row>
    <row r="742" ht="15.75" customHeight="1">
      <c r="A742" s="1">
        <v>740.0</v>
      </c>
      <c r="B742" s="3" t="s">
        <v>743</v>
      </c>
      <c r="C742" s="3" t="str">
        <f>IFERROR(__xludf.DUMMYFUNCTION("GOOGLETRANSLATE(B742,""id"",""en"")"),"['like', 'info', 'use', 'quota', 'internet', 'call', 'control', 'quota', ""]")</f>
        <v>['like', 'info', 'use', 'quota', 'internet', 'call', 'control', 'quota', "]</v>
      </c>
      <c r="D742" s="3">
        <v>5.0</v>
      </c>
    </row>
    <row r="743" ht="15.75" customHeight="1">
      <c r="A743" s="1">
        <v>741.0</v>
      </c>
      <c r="B743" s="3" t="s">
        <v>744</v>
      </c>
      <c r="C743" s="3" t="str">
        <f>IFERROR(__xludf.DUMMYFUNCTION("GOOGLETRANSLATE(B743,""id"",""en"")"),"['Telkomsel', 'signal', 'kayak', 'Taiiii', 'signal', 'contents',' package ',' signal ',' kayak ',' puki ',' eat ',' salary ',' blind']")</f>
        <v>['Telkomsel', 'signal', 'kayak', 'Taiiii', 'signal', 'contents',' package ',' signal ',' kayak ',' puki ',' eat ',' salary ',' blind']</v>
      </c>
      <c r="D743" s="3">
        <v>1.0</v>
      </c>
    </row>
    <row r="744" ht="15.75" customHeight="1">
      <c r="A744" s="1">
        <v>742.0</v>
      </c>
      <c r="B744" s="3" t="s">
        <v>745</v>
      </c>
      <c r="C744" s="3" t="str">
        <f>IFERROR(__xludf.DUMMYFUNCTION("GOOGLETRANSLATE(B744,""id"",""en"")"),"['ugly', 'really', 'signal', 'bro', 'open', 'game', 'right', 'clock', 'quota']")</f>
        <v>['ugly', 'really', 'signal', 'bro', 'open', 'game', 'right', 'clock', 'quota']</v>
      </c>
      <c r="D744" s="3">
        <v>1.0</v>
      </c>
    </row>
    <row r="745" ht="15.75" customHeight="1">
      <c r="A745" s="1">
        <v>743.0</v>
      </c>
      <c r="B745" s="3" t="s">
        <v>746</v>
      </c>
      <c r="C745" s="3" t="str">
        <f>IFERROR(__xludf.DUMMYFUNCTION("GOOGLETRANSLATE(B745,""id"",""en"")"),"['Convenience', 'Social', 'Media', 'Signal', 'Telkomsel', 'Sabang', 'Maroke', 'Try', 'Deh', 'hehehe']")</f>
        <v>['Convenience', 'Social', 'Media', 'Signal', 'Telkomsel', 'Sabang', 'Maroke', 'Try', 'Deh', 'hehehe']</v>
      </c>
      <c r="D745" s="3">
        <v>5.0</v>
      </c>
    </row>
    <row r="746" ht="15.75" customHeight="1">
      <c r="A746" s="1">
        <v>744.0</v>
      </c>
      <c r="B746" s="3" t="s">
        <v>747</v>
      </c>
      <c r="C746" s="3" t="str">
        <f>IFERROR(__xludf.DUMMYFUNCTION("GOOGLETRANSLATE(B746,""id"",""en"")"),"['cook', 'already', 'update', 'open', 'disappointed', 'make it easy', 'data', 'package', 'uda', 'run out']")</f>
        <v>['cook', 'already', 'update', 'open', 'disappointed', 'make it easy', 'data', 'package', 'uda', 'run out']</v>
      </c>
      <c r="D746" s="3">
        <v>2.0</v>
      </c>
    </row>
    <row r="747" ht="15.75" customHeight="1">
      <c r="A747" s="1">
        <v>745.0</v>
      </c>
      <c r="B747" s="3" t="s">
        <v>748</v>
      </c>
      <c r="C747" s="3" t="str">
        <f>IFERROR(__xludf.DUMMYFUNCTION("GOOGLETRANSLATE(B747,""id"",""en"")"),"['proud', 'have', 'card', 'Telkomsel', 'because', 'network', 'super', 'fast', 'cheap', 'buy', 'package', 'forget', ' use ',' card ',' telephone ',' karna ',' quality ',' good ']")</f>
        <v>['proud', 'have', 'card', 'Telkomsel', 'because', 'network', 'super', 'fast', 'cheap', 'buy', 'package', 'forget', ' use ',' card ',' telephone ',' karna ',' quality ',' good ']</v>
      </c>
      <c r="D747" s="3">
        <v>5.0</v>
      </c>
    </row>
    <row r="748" ht="15.75" customHeight="1">
      <c r="A748" s="1">
        <v>746.0</v>
      </c>
      <c r="B748" s="3" t="s">
        <v>749</v>
      </c>
      <c r="C748" s="3" t="str">
        <f>IFERROR(__xludf.DUMMYFUNCTION("GOOGLETRANSLATE(B748,""id"",""en"")"),"['Not bad', 'update', 'just', 'internal', 'full', 'end', '']")</f>
        <v>['Not bad', 'update', 'just', 'internal', 'full', 'end', '']</v>
      </c>
      <c r="D748" s="3">
        <v>4.0</v>
      </c>
    </row>
    <row r="749" ht="15.75" customHeight="1">
      <c r="A749" s="1">
        <v>747.0</v>
      </c>
      <c r="B749" s="3" t="s">
        <v>750</v>
      </c>
      <c r="C749" s="3" t="str">
        <f>IFERROR(__xludf.DUMMYFUNCTION("GOOGLETRANSLATE(B749,""id"",""en"")"),"['quota', 'thinning', 'open', 'application', 'Telkomsel', 'buy', 'package', 'buy', 'package', 'open', 'appear', 'notif', ' Quota ',' run out ',' check ',' pulse ',' run out ',' quota ',' buy ',' enter ',' ']")</f>
        <v>['quota', 'thinning', 'open', 'application', 'Telkomsel', 'buy', 'package', 'buy', 'package', 'open', 'appear', 'notif', ' Quota ',' run out ',' check ',' pulse ',' run out ',' quota ',' buy ',' enter ',' ']</v>
      </c>
      <c r="D749" s="3">
        <v>1.0</v>
      </c>
    </row>
    <row r="750" ht="15.75" customHeight="1">
      <c r="A750" s="1">
        <v>748.0</v>
      </c>
      <c r="B750" s="3" t="s">
        <v>751</v>
      </c>
      <c r="C750" s="3" t="str">
        <f>IFERROR(__xludf.DUMMYFUNCTION("GOOGLETRANSLATE(B750,""id"",""en"")"),"['APK', 'Gunain', 'Ngebug', 'Open', 'Ngeheng', 'Damaged', '']")</f>
        <v>['APK', 'Gunain', 'Ngebug', 'Open', 'Ngeheng', 'Damaged', '']</v>
      </c>
      <c r="D750" s="3">
        <v>1.0</v>
      </c>
    </row>
    <row r="751" ht="15.75" customHeight="1">
      <c r="A751" s="1">
        <v>749.0</v>
      </c>
      <c r="B751" s="3" t="s">
        <v>752</v>
      </c>
      <c r="C751" s="3" t="str">
        <f>IFERROR(__xludf.DUMMYFUNCTION("GOOGLETRANSLATE(B751,""id"",""en"")"),"['Disappointed', 'Telkomsel', 'just now', 'offer', 'quota', 'price', 'direct', 'fill', 'pulse', 'buy', 'quota', 'right', ' cave ',' buy ',' directly ',' bought ',' mala ',' disappears', 'package', 'pulse', 'cave', 'sucked', 'cave', 'no', 'pulses' , 'pleas"&amp;"e', 'policy']")</f>
        <v>['Disappointed', 'Telkomsel', 'just now', 'offer', 'quota', 'price', 'direct', 'fill', 'pulse', 'buy', 'quota', 'right', ' cave ',' buy ',' directly ',' bought ',' mala ',' disappears', 'package', 'pulse', 'cave', 'sucked', 'cave', 'no', 'pulses' , 'please', 'policy']</v>
      </c>
      <c r="D751" s="3">
        <v>1.0</v>
      </c>
    </row>
    <row r="752" ht="15.75" customHeight="1">
      <c r="A752" s="1">
        <v>750.0</v>
      </c>
      <c r="B752" s="3" t="s">
        <v>753</v>
      </c>
      <c r="C752" s="3" t="str">
        <f>IFERROR(__xludf.DUMMYFUNCTION("GOOGLETRANSLATE(B752,""id"",""en"")"),"['signal', 'good', 'barein', 'orbit', 'donk', 'good', 'already', 'buy', 'quota', 'expensive', 'good', 'use', ' The smoothness', '']")</f>
        <v>['signal', 'good', 'barein', 'orbit', 'donk', 'good', 'already', 'buy', 'quota', 'expensive', 'good', 'use', ' The smoothness', '']</v>
      </c>
      <c r="D752" s="3">
        <v>1.0</v>
      </c>
    </row>
    <row r="753" ht="15.75" customHeight="1">
      <c r="A753" s="1">
        <v>751.0</v>
      </c>
      <c r="B753" s="3" t="s">
        <v>754</v>
      </c>
      <c r="C753" s="3" t="str">
        <f>IFERROR(__xludf.DUMMYFUNCTION("GOOGLETRANSLATE(B753,""id"",""en"")"),"['Woyyyyyyy', 'Sinyalll', 'Sinyallllllll', 'Woyyyyyyyyy', 'Cave', 'buy', 'quota', 'expensive', 'Astagfirullah', 'Woyy', 'operator', 'Telkomsel', ' Wind ',' Lightning ',' Sinyall ',' Woyyyy ']")</f>
        <v>['Woyyyyyyy', 'Sinyalll', 'Sinyallllllll', 'Woyyyyyyyyy', 'Cave', 'buy', 'quota', 'expensive', 'Astagfirullah', 'Woyy', 'operator', 'Telkomsel', ' Wind ',' Lightning ',' Sinyall ',' Woyyyy ']</v>
      </c>
      <c r="D753" s="3">
        <v>1.0</v>
      </c>
    </row>
    <row r="754" ht="15.75" customHeight="1">
      <c r="A754" s="1">
        <v>752.0</v>
      </c>
      <c r="B754" s="3" t="s">
        <v>755</v>
      </c>
      <c r="C754" s="3" t="str">
        <f>IFERROR(__xludf.DUMMYFUNCTION("GOOGLETRANSLATE(B754,""id"",""en"")"),"['serious',' gatau ',' knpa ',' pulse ',' abis', 'no', 'dipake', 'pulse', 'rb', 'dark', 'what', 'jdi', ' ']")</f>
        <v>['serious',' gatau ',' knpa ',' pulse ',' abis', 'no', 'dipake', 'pulse', 'rb', 'dark', 'what', 'jdi', ' ']</v>
      </c>
      <c r="D754" s="3">
        <v>1.0</v>
      </c>
    </row>
    <row r="755" ht="15.75" customHeight="1">
      <c r="A755" s="1">
        <v>753.0</v>
      </c>
      <c r="B755" s="3" t="s">
        <v>756</v>
      </c>
      <c r="C755" s="3" t="str">
        <f>IFERROR(__xludf.DUMMYFUNCTION("GOOGLETRANSLATE(B755,""id"",""en"")"),"['signal', 'difficult', 'fix', 'disruption', 'base', 'sea', 'blum', 'emang', 'help', 'so', 'pretty', 'giving feed', ' help ',' fishing fish ',' shark ']")</f>
        <v>['signal', 'difficult', 'fix', 'disruption', 'base', 'sea', 'blum', 'emang', 'help', 'so', 'pretty', 'giving feed', ' help ',' fishing fish ',' shark ']</v>
      </c>
      <c r="D755" s="3">
        <v>3.0</v>
      </c>
    </row>
    <row r="756" ht="15.75" customHeight="1">
      <c r="A756" s="1">
        <v>754.0</v>
      </c>
      <c r="B756" s="3" t="s">
        <v>757</v>
      </c>
      <c r="C756" s="3" t="str">
        <f>IFERROR(__xludf.DUMMYFUNCTION("GOOGLETRANSLATE(B756,""id"",""en"")"),"['Network', 'stable', 'friend', 'friend', 'use', 'card', 'stable', 'wrong', 'network']")</f>
        <v>['Network', 'stable', 'friend', 'friend', 'use', 'card', 'stable', 'wrong', 'network']</v>
      </c>
      <c r="D756" s="3">
        <v>5.0</v>
      </c>
    </row>
    <row r="757" ht="15.75" customHeight="1">
      <c r="A757" s="1">
        <v>755.0</v>
      </c>
      <c r="B757" s="3" t="s">
        <v>758</v>
      </c>
      <c r="C757" s="3" t="str">
        <f>IFERROR(__xludf.DUMMYFUNCTION("GOOGLETRANSLATE(B757,""id"",""en"")"),"['Price', 'Doang', 'expensive', 'quality', 'dilapidated', 'signal', 'ngekame', 'ilang', 'severe', 'ugly']")</f>
        <v>['Price', 'Doang', 'expensive', 'quality', 'dilapidated', 'signal', 'ngekame', 'ilang', 'severe', 'ugly']</v>
      </c>
      <c r="D757" s="3">
        <v>1.0</v>
      </c>
    </row>
    <row r="758" ht="15.75" customHeight="1">
      <c r="A758" s="1">
        <v>756.0</v>
      </c>
      <c r="B758" s="3" t="s">
        <v>759</v>
      </c>
      <c r="C758" s="3" t="str">
        <f>IFERROR(__xludf.DUMMYFUNCTION("GOOGLETRANSLATE(B758,""id"",""en"")"),"['already', 'Pay', 'expensive', 'network', 'ANCURR', '']")</f>
        <v>['already', 'Pay', 'expensive', 'network', 'ANCURR', '']</v>
      </c>
      <c r="D758" s="3">
        <v>1.0</v>
      </c>
    </row>
    <row r="759" ht="15.75" customHeight="1">
      <c r="A759" s="1">
        <v>757.0</v>
      </c>
      <c r="B759" s="3" t="s">
        <v>760</v>
      </c>
      <c r="C759" s="3" t="str">
        <f>IFERROR(__xludf.DUMMYFUNCTION("GOOGLETRANSLATE(B759,""id"",""en"")"),"['Signal', 'network', 'slow', 'please', 'repaired', 'expensive', 'quality', 'downhill', 'thank you']")</f>
        <v>['Signal', 'network', 'slow', 'please', 'repaired', 'expensive', 'quality', 'downhill', 'thank you']</v>
      </c>
      <c r="D759" s="3">
        <v>1.0</v>
      </c>
    </row>
    <row r="760" ht="15.75" customHeight="1">
      <c r="A760" s="1">
        <v>758.0</v>
      </c>
      <c r="B760" s="3" t="s">
        <v>761</v>
      </c>
      <c r="C760" s="3" t="str">
        <f>IFERROR(__xludf.DUMMYFUNCTION("GOOGLETRANSLATE(B760,""id"",""en"")"),"['Thank you', 'Sya', 'card', 'Alhamdulillah', 'Current', 'Please', 'Permahal', 'Price', 'Quota', ""]")</f>
        <v>['Thank you', 'Sya', 'card', 'Alhamdulillah', 'Current', 'Please', 'Permahal', 'Price', 'Quota', "]</v>
      </c>
      <c r="D760" s="3">
        <v>1.0</v>
      </c>
    </row>
    <row r="761" ht="15.75" customHeight="1">
      <c r="A761" s="1">
        <v>759.0</v>
      </c>
      <c r="B761" s="3" t="s">
        <v>762</v>
      </c>
      <c r="C761" s="3" t="str">
        <f>IFERROR(__xludf.DUMMYFUNCTION("GOOGLETRANSLATE(B761,""id"",""en"")"),"['Just now', 'buy', 'package', 'GB', 'price', 'rb', 'enter', 'GB', 'already', 'iklasin', 'try', 'buy', ' Options', 'Package', 'GB', 'RB', 'already', 'ilang', 'regret', 'contents',' rb ',' mending ',' buy ',' voucher ',' provider ' , '']")</f>
        <v>['Just now', 'buy', 'package', 'GB', 'price', 'rb', 'enter', 'GB', 'already', 'iklasin', 'try', 'buy', ' Options', 'Package', 'GB', 'RB', 'already', 'ilang', 'regret', 'contents',' rb ',' mending ',' buy ',' voucher ',' provider ' , '']</v>
      </c>
      <c r="D761" s="3">
        <v>3.0</v>
      </c>
    </row>
    <row r="762" ht="15.75" customHeight="1">
      <c r="A762" s="1">
        <v>760.0</v>
      </c>
      <c r="B762" s="3" t="s">
        <v>763</v>
      </c>
      <c r="C762" s="3" t="str">
        <f>IFERROR(__xludf.DUMMYFUNCTION("GOOGLETRANSLATE(B762,""id"",""en"")"),"['price', 'package', 'doang', 'expensive', 'internet', 'slow', 'kyk', 'snail', 'already', 'that's',' package ',' internet ',' divided ',' package ',' internet ',' main ',' abis', 'difficult', 'open', 'browser', '']")</f>
        <v>['price', 'package', 'doang', 'expensive', 'internet', 'slow', 'kyk', 'snail', 'already', 'that's',' package ',' internet ',' divided ',' package ',' internet ',' main ',' abis', 'difficult', 'open', 'browser', '']</v>
      </c>
      <c r="D762" s="3">
        <v>1.0</v>
      </c>
    </row>
    <row r="763" ht="15.75" customHeight="1">
      <c r="A763" s="1">
        <v>761.0</v>
      </c>
      <c r="B763" s="3" t="s">
        <v>764</v>
      </c>
      <c r="C763" s="3" t="str">
        <f>IFERROR(__xludf.DUMMYFUNCTION("GOOGLETRANSLATE(B763,""id"",""en"")"),"['already', 'package', 'expensive', 'disappointed', 'very "",' severe ',' gokil ',' telkomsel ',' already ',' really ',' berun ',' crash ',' signal ',' according to ',' price ',' package ',' data ']")</f>
        <v>['already', 'package', 'expensive', 'disappointed', 'very ",' severe ',' gokil ',' telkomsel ',' already ',' really ',' berun ',' crash ',' signal ',' according to ',' price ',' package ',' data ']</v>
      </c>
      <c r="D763" s="3">
        <v>1.0</v>
      </c>
    </row>
    <row r="764" ht="15.75" customHeight="1">
      <c r="A764" s="1">
        <v>762.0</v>
      </c>
      <c r="B764" s="3" t="s">
        <v>765</v>
      </c>
      <c r="C764" s="3" t="str">
        <f>IFERROR(__xludf.DUMMYFUNCTION("GOOGLETRANSLATE(B764,""id"",""en"")"),"['here', 'paraah', 'provider', 'quality', 'ugly', 'alliiii', 'makiiiin', 'mahaaallll', 'hmmmm', 'he rich', 'msti', 'victim', ' Change ',' Provider ',' Gini ',' Mulu ',' Loss', ""]")</f>
        <v>['here', 'paraah', 'provider', 'quality', 'ugly', 'alliiii', 'makiiiin', 'mahaaallll', 'hmmmm', 'he rich', 'msti', 'victim', ' Change ',' Provider ',' Gini ',' Mulu ',' Loss', "]</v>
      </c>
      <c r="D764" s="3">
        <v>1.0</v>
      </c>
    </row>
    <row r="765" ht="15.75" customHeight="1">
      <c r="A765" s="1">
        <v>763.0</v>
      </c>
      <c r="B765" s="3" t="s">
        <v>766</v>
      </c>
      <c r="C765" s="3" t="str">
        <f>IFERROR(__xludf.DUMMYFUNCTION("GOOGLETRANSLATE(B765,""id"",""en"")"),"['Sis',' pulse ',' tsel ',' sucked ',' pulse ',' quota ',' pulse ',' contents', 'right', 'pulse', 'kmn', 'quota', ' Please ',' Sis', 'Fix', '']")</f>
        <v>['Sis',' pulse ',' tsel ',' sucked ',' pulse ',' quota ',' pulse ',' contents', 'right', 'pulse', 'kmn', 'quota', ' Please ',' Sis', 'Fix', '']</v>
      </c>
      <c r="D765" s="3">
        <v>4.0</v>
      </c>
    </row>
    <row r="766" ht="15.75" customHeight="1">
      <c r="A766" s="1">
        <v>764.0</v>
      </c>
      <c r="B766" s="3" t="s">
        <v>767</v>
      </c>
      <c r="C766" s="3" t="str">
        <f>IFERROR(__xludf.DUMMYFUNCTION("GOOGLETRANSLATE(B766,""id"",""en"")"),"['', 'Telkomsel', 'customers', 'loyal', 'Telkomsel', 'combo', 'sick', 'unlimited', 'game', 'Kcewa']")</f>
        <v>['', 'Telkomsel', 'customers', 'loyal', 'Telkomsel', 'combo', 'sick', 'unlimited', 'game', 'Kcewa']</v>
      </c>
      <c r="D766" s="3">
        <v>2.0</v>
      </c>
    </row>
    <row r="767" ht="15.75" customHeight="1">
      <c r="A767" s="1">
        <v>765.0</v>
      </c>
      <c r="B767" s="3" t="s">
        <v>768</v>
      </c>
      <c r="C767" s="3" t="str">
        <f>IFERROR(__xludf.DUMMYFUNCTION("GOOGLETRANSLATE(B767,""id"",""en"")"),"['Disappointed', 'Telkomsel', 'quota', 'expensive', 'admit', 'network', 'widest', 'TPI', 'city', 'signal', 'ugly', 'night', ' Please ',' Intermission ',' Current ',' Sorry ',' Wear ',' Telkomsel ',' ']")</f>
        <v>['Disappointed', 'Telkomsel', 'quota', 'expensive', 'admit', 'network', 'widest', 'TPI', 'city', 'signal', 'ugly', 'night', ' Please ',' Intermission ',' Current ',' Sorry ',' Wear ',' Telkomsel ',' ']</v>
      </c>
      <c r="D767" s="3">
        <v>1.0</v>
      </c>
    </row>
    <row r="768" ht="15.75" customHeight="1">
      <c r="A768" s="1">
        <v>766.0</v>
      </c>
      <c r="B768" s="3" t="s">
        <v>769</v>
      </c>
      <c r="C768" s="3" t="str">
        <f>IFERROR(__xludf.DUMMYFUNCTION("GOOGLETRANSLATE(B768,""id"",""en"")"),"['Hadehh', 'Severe', 'Telkomsel', 'buy', 'quota', 'maxstream', 'afternoon', 'clock', 'night', 'used', 'where', 'service', ' Best ',' losing ',' provider ',' born ',' buy ',' quota ',' direct ',' used ',' provider ',' biggest ',' diindonesia ',' signal ','"&amp;" buy ' , 'quota', 'use', 'position', 'jakarta', 'network', 'tower', 'strong', ""]")</f>
        <v>['Hadehh', 'Severe', 'Telkomsel', 'buy', 'quota', 'maxstream', 'afternoon', 'clock', 'night', 'used', 'where', 'service', ' Best ',' losing ',' provider ',' born ',' buy ',' quota ',' direct ',' used ',' provider ',' biggest ',' diindonesia ',' signal ',' buy ' , 'quota', 'use', 'position', 'jakarta', 'network', 'tower', 'strong', "]</v>
      </c>
      <c r="D768" s="3">
        <v>5.0</v>
      </c>
    </row>
    <row r="769" ht="15.75" customHeight="1">
      <c r="A769" s="1">
        <v>767.0</v>
      </c>
      <c r="B769" s="3" t="s">
        <v>770</v>
      </c>
      <c r="C769" s="3" t="str">
        <f>IFERROR(__xludf.DUMMYFUNCTION("GOOGLETRANSLATE(B769,""id"",""en"")"),"['Package', 'Nambah', 'expensive', 'according to', 'service', 'Signal', 'Severe', 'slow', 'Abis',' Maen ',' game ',' Udh ',' AFK ',' KPN ',' repay ',' Siganal ',' Internet ',' Gini ',' Change ',' Card ',' ']")</f>
        <v>['Package', 'Nambah', 'expensive', 'according to', 'service', 'Signal', 'Severe', 'slow', 'Abis',' Maen ',' game ',' Udh ',' AFK ',' KPN ',' repay ',' Siganal ',' Internet ',' Gini ',' Change ',' Card ',' ']</v>
      </c>
      <c r="D769" s="3">
        <v>1.0</v>
      </c>
    </row>
    <row r="770" ht="15.75" customHeight="1">
      <c r="A770" s="1">
        <v>768.0</v>
      </c>
      <c r="B770" s="3" t="s">
        <v>771</v>
      </c>
      <c r="C770" s="3" t="str">
        <f>IFERROR(__xludf.DUMMYFUNCTION("GOOGLETRANSLATE(B770,""id"",""en"")"),"['Network', 'poor', 'Kalilah', 'stay', 'in the city', 'satisfying', 'lose', 'operator', 'next door', 'moved', 'next door', 'because', ' Good ',' The network ',' ']")</f>
        <v>['Network', 'poor', 'Kalilah', 'stay', 'in the city', 'satisfying', 'lose', 'operator', 'next door', 'moved', 'next door', 'because', ' Good ',' The network ',' ']</v>
      </c>
      <c r="D770" s="3">
        <v>1.0</v>
      </c>
    </row>
    <row r="771" ht="15.75" customHeight="1">
      <c r="A771" s="1">
        <v>769.0</v>
      </c>
      <c r="B771" s="3" t="s">
        <v>772</v>
      </c>
      <c r="C771" s="3" t="str">
        <f>IFERROR(__xludf.DUMMYFUNCTION("GOOGLETRANSLATE(B771,""id"",""en"")"),"['BNR', 'BNR', 'Disappointed', 'Telkomsel', 'Network', 'Lemot', 'Severe', 'Play', 'Mobile', 'Legend', 'Lose', 'Ragara', ' Telkomsel ',' Please ',' Benerin ',' Network ',' quota ',' buy ',' use ',' money ',' connection ',' ugly ',' really ']")</f>
        <v>['BNR', 'BNR', 'Disappointed', 'Telkomsel', 'Network', 'Lemot', 'Severe', 'Play', 'Mobile', 'Legend', 'Lose', 'Ragara', ' Telkomsel ',' Please ',' Benerin ',' Network ',' quota ',' buy ',' use ',' money ',' connection ',' ugly ',' really ']</v>
      </c>
      <c r="D771" s="3">
        <v>1.0</v>
      </c>
    </row>
    <row r="772" ht="15.75" customHeight="1">
      <c r="A772" s="1">
        <v>770.0</v>
      </c>
      <c r="B772" s="3" t="s">
        <v>773</v>
      </c>
      <c r="C772" s="3" t="str">
        <f>IFERROR(__xludf.DUMMYFUNCTION("GOOGLETRANSLATE(B772,""id"",""en"")"),"['signal', 'please', 'equivalent', 'price', 'bang', '']")</f>
        <v>['signal', 'please', 'equivalent', 'price', 'bang', '']</v>
      </c>
      <c r="D772" s="3">
        <v>1.0</v>
      </c>
    </row>
    <row r="773" ht="15.75" customHeight="1">
      <c r="A773" s="1">
        <v>771.0</v>
      </c>
      <c r="B773" s="3" t="s">
        <v>774</v>
      </c>
      <c r="C773" s="3" t="str">
        <f>IFERROR(__xludf.DUMMYFUNCTION("GOOGLETRANSLATE(B773,""id"",""en"")"),"['price', 'quota', 'then', 'network', 'ugly', 'Jngan', 'Maen', 'Geme', 'watch', 'YouTube', 'Leg', 'Subahanaullah', ' Plis', 'please', 'repaired', 'network', '']")</f>
        <v>['price', 'quota', 'then', 'network', 'ugly', 'Jngan', 'Maen', 'Geme', 'watch', 'YouTube', 'Leg', 'Subahanaullah', ' Plis', 'please', 'repaired', 'network', '']</v>
      </c>
      <c r="D773" s="3">
        <v>1.0</v>
      </c>
    </row>
    <row r="774" ht="15.75" customHeight="1">
      <c r="A774" s="1">
        <v>772.0</v>
      </c>
      <c r="B774" s="3" t="s">
        <v>775</v>
      </c>
      <c r="C774" s="3" t="str">
        <f>IFERROR(__xludf.DUMMYFUNCTION("GOOGLETRANSLATE(B774,""id"",""en"")"),"['Wooy', 'Telkomsel', 'silent', 'clarification', 'related', 'network', 'slow', 'slow', 'detrimental', 'price', 'package', 'data', ' Expensive ',' network ',' slow ',' Telkomsel ',' network ',' ugly ',' please ',' reply ', ""]")</f>
        <v>['Wooy', 'Telkomsel', 'silent', 'clarification', 'related', 'network', 'slow', 'slow', 'detrimental', 'price', 'package', 'data', ' Expensive ',' network ',' slow ',' Telkomsel ',' network ',' ugly ',' please ',' reply ', "]</v>
      </c>
      <c r="D774" s="3">
        <v>1.0</v>
      </c>
    </row>
    <row r="775" ht="15.75" customHeight="1">
      <c r="A775" s="1">
        <v>773.0</v>
      </c>
      <c r="B775" s="3" t="s">
        <v>776</v>
      </c>
      <c r="C775" s="3" t="str">
        <f>IFERROR(__xludf.DUMMYFUNCTION("GOOGLETRANSLATE(B775,""id"",""en"")"),"['Honest', 'network', 'Sexous',' stable ',' in the area ',' weather ',' hot ',' rain ',' the network ',' broke ',' according to ',' ad ',' Stable ',' Disegala ',' Weather ',' Sexos', 'Best', 'DiIndonesia', 'Network', 'Bad', ""]")</f>
        <v>['Honest', 'network', 'Sexous',' stable ',' in the area ',' weather ',' hot ',' rain ',' the network ',' broke ',' according to ',' ad ',' Stable ',' Disegala ',' Weather ',' Sexos', 'Best', 'DiIndonesia', 'Network', 'Bad', "]</v>
      </c>
      <c r="D775" s="3">
        <v>1.0</v>
      </c>
    </row>
    <row r="776" ht="15.75" customHeight="1">
      <c r="A776" s="1">
        <v>774.0</v>
      </c>
      <c r="B776" s="3" t="s">
        <v>777</v>
      </c>
      <c r="C776" s="3" t="str">
        <f>IFERROR(__xludf.DUMMYFUNCTION("GOOGLETRANSLATE(B776,""id"",""en"")"),"['Service', 'Good', 'Quality', 'Network', 'Internet', 'Region', 'Good']")</f>
        <v>['Service', 'Good', 'Quality', 'Network', 'Internet', 'Region', 'Good']</v>
      </c>
      <c r="D776" s="3">
        <v>4.0</v>
      </c>
    </row>
    <row r="777" ht="15.75" customHeight="1">
      <c r="A777" s="1">
        <v>775.0</v>
      </c>
      <c r="B777" s="3" t="s">
        <v>778</v>
      </c>
      <c r="C777" s="3" t="str">
        <f>IFERROR(__xludf.DUMMYFUNCTION("GOOGLETRANSLATE(B777,""id"",""en"")"),"['Telkomsel', 'school', 'high school', 'here', 'Severe', 'Signalny', 'Nnton', 'Netflix', 'Disney', 'Hotstar', 'Muter', 'Doang', ' Rich ',' quota ',' love ', ""]")</f>
        <v>['Telkomsel', 'school', 'high school', 'here', 'Severe', 'Signalny', 'Nnton', 'Netflix', 'Disney', 'Hotstar', 'Muter', 'Doang', ' Rich ',' quota ',' love ', "]</v>
      </c>
      <c r="D777" s="3">
        <v>1.0</v>
      </c>
    </row>
    <row r="778" ht="15.75" customHeight="1">
      <c r="A778" s="1">
        <v>776.0</v>
      </c>
      <c r="B778" s="3" t="s">
        <v>779</v>
      </c>
      <c r="C778" s="3" t="str">
        <f>IFERROR(__xludf.DUMMYFUNCTION("GOOGLETRANSLATE(B778,""id"",""en"")"),"['Parahhhh', 'really', 'contents',' pulse ',' thousand ',' thousand ',' lost ',' delicious', 'buy', 'quota', 'internet', 'parrraaahhh', ' complicated ',' really ',' complement ',' sincere ',' pulse ',' selevel ',' telkomsel ',' rich ',' company ',' provid"&amp;"er ',' record ',' telephone ',' active ' , 'September', '']")</f>
        <v>['Parahhhh', 'really', 'contents',' pulse ',' thousand ',' thousand ',' lost ',' delicious', 'buy', 'quota', 'internet', 'parrraaahhh', ' complicated ',' really ',' complement ',' sincere ',' pulse ',' selevel ',' telkomsel ',' rich ',' company ',' provider ',' record ',' telephone ',' active ' , 'September', '']</v>
      </c>
      <c r="D778" s="3">
        <v>1.0</v>
      </c>
    </row>
    <row r="779" ht="15.75" customHeight="1">
      <c r="A779" s="1">
        <v>777.0</v>
      </c>
      <c r="B779" s="3" t="s">
        <v>780</v>
      </c>
      <c r="C779" s="3" t="str">
        <f>IFERROR(__xludf.DUMMYFUNCTION("GOOGLETRANSLATE(B779,""id"",""en"")"),"['Sihnyal', 'Network', 'Ngelex', 'Telkomsel', 'Region', '']")</f>
        <v>['Sihnyal', 'Network', 'Ngelex', 'Telkomsel', 'Region', '']</v>
      </c>
      <c r="D779" s="3">
        <v>3.0</v>
      </c>
    </row>
    <row r="780" ht="15.75" customHeight="1">
      <c r="A780" s="1">
        <v>778.0</v>
      </c>
      <c r="B780" s="3" t="s">
        <v>781</v>
      </c>
      <c r="C780" s="3" t="str">
        <f>IFERROR(__xludf.DUMMYFUNCTION("GOOGLETRANSLATE(B780,""id"",""en"")"),"['UDH', 'Pakek', 'Package', 'Telkomsel', 'according to', 'price', 'quality', 'oath', 'disappointed', 'star', 'Udh', 'Kasi', ' star', '']")</f>
        <v>['UDH', 'Pakek', 'Package', 'Telkomsel', 'according to', 'price', 'quality', 'oath', 'disappointed', 'star', 'Udh', 'Kasi', ' star', '']</v>
      </c>
      <c r="D780" s="3">
        <v>1.0</v>
      </c>
    </row>
    <row r="781" ht="15.75" customHeight="1">
      <c r="A781" s="1">
        <v>779.0</v>
      </c>
      <c r="B781" s="3" t="s">
        <v>782</v>
      </c>
      <c r="C781" s="3" t="str">
        <f>IFERROR(__xludf.DUMMYFUNCTION("GOOGLETRANSLATE(B781,""id"",""en"")"),"['Bright', 'Good', 'City', 'right', 'go home', 'village', 'area', 'lebaksiu', 'signal', 'difficult', 'village', 'Lebakgoah']")</f>
        <v>['Bright', 'Good', 'City', 'right', 'go home', 'village', 'area', 'lebaksiu', 'signal', 'difficult', 'village', 'Lebakgoah']</v>
      </c>
      <c r="D781" s="3">
        <v>5.0</v>
      </c>
    </row>
    <row r="782" ht="15.75" customHeight="1">
      <c r="A782" s="1">
        <v>780.0</v>
      </c>
      <c r="B782" s="3" t="s">
        <v>783</v>
      </c>
      <c r="C782" s="3" t="str">
        <f>IFERROR(__xludf.DUMMYFUNCTION("GOOGLETRANSLATE(B782,""id"",""en"")"),"['Download', 'earrings',' nnti ',' nyesel ',' kayak ',' cave ',' udh ',' buy ',' package ',' network ',' regret ',' cave ',' the staple ',' download ',' earrings', 'nnti', 'nyesel', 'kayak', 'cave', 'application', 'garbage', 'fix', 'the network']")</f>
        <v>['Download', 'earrings',' nnti ',' nyesel ',' kayak ',' cave ',' udh ',' buy ',' package ',' network ',' regret ',' cave ',' the staple ',' download ',' earrings', 'nnti', 'nyesel', 'kayak', 'cave', 'application', 'garbage', 'fix', 'the network']</v>
      </c>
      <c r="D782" s="3">
        <v>1.0</v>
      </c>
    </row>
    <row r="783" ht="15.75" customHeight="1">
      <c r="A783" s="1">
        <v>781.0</v>
      </c>
      <c r="B783" s="3" t="s">
        <v>784</v>
      </c>
      <c r="C783" s="3" t="str">
        <f>IFERROR(__xludf.DUMMYFUNCTION("GOOGLETRANSLATE(B783,""id"",""en"")"),"['Purchase', 'Package', 'Combo', 'for', 'RB', 'Slow', 'Notification', 'Purchase', 'Success',' Pressing ',' Button ',' Purchase ',' Package ',' Terbary ',' complain ',' Veronica ',' recorded ',' talk ',' complain ',' returned ',' in ',' form ',' pulse ',' "&amp;"package ',' data ' , 'excess', 'money', 'scorched', 'Telkomsel', 'service', 'customer']")</f>
        <v>['Purchase', 'Package', 'Combo', 'for', 'RB', 'Slow', 'Notification', 'Purchase', 'Success',' Pressing ',' Button ',' Purchase ',' Package ',' Terbary ',' complain ',' Veronica ',' recorded ',' talk ',' complain ',' returned ',' in ',' form ',' pulse ',' package ',' data ' , 'excess', 'money', 'scorched', 'Telkomsel', 'service', 'customer']</v>
      </c>
      <c r="D783" s="3">
        <v>1.0</v>
      </c>
    </row>
    <row r="784" ht="15.75" customHeight="1">
      <c r="A784" s="1">
        <v>782.0</v>
      </c>
      <c r="B784" s="3" t="s">
        <v>785</v>
      </c>
      <c r="C784" s="3" t="str">
        <f>IFERROR(__xludf.DUMMYFUNCTION("GOOGLETRANSLATE(B784,""id"",""en"")"),"['', 'Strengthen', 'signal', 'Telkomsel', 'signal', 'era', 'Nokia', 'Telkomsel', 'Trying', 'Maximum', 'TPI', 'convenience', 'Customer ',' good ',' suggestion ',' criticism ',' Consider ',' ']")</f>
        <v>['', 'Strengthen', 'signal', 'Telkomsel', 'signal', 'era', 'Nokia', 'Telkomsel', 'Trying', 'Maximum', 'TPI', 'convenience', 'Customer ',' good ',' suggestion ',' criticism ',' Consider ',' ']</v>
      </c>
      <c r="D784" s="3">
        <v>3.0</v>
      </c>
    </row>
    <row r="785" ht="15.75" customHeight="1">
      <c r="A785" s="1">
        <v>783.0</v>
      </c>
      <c r="B785" s="3" t="s">
        <v>786</v>
      </c>
      <c r="C785" s="3" t="str">
        <f>IFERROR(__xludf.DUMMYFUNCTION("GOOGLETRANSLATE(B785,""id"",""en"")"),"['my', 'users', 'Telkomsel', 'internet', 'disappointing', 'please', 'fix', 'satisfaction', 'consumer']")</f>
        <v>['my', 'users', 'Telkomsel', 'internet', 'disappointing', 'please', 'fix', 'satisfaction', 'consumer']</v>
      </c>
      <c r="D785" s="3">
        <v>2.0</v>
      </c>
    </row>
    <row r="786" ht="15.75" customHeight="1">
      <c r="A786" s="1">
        <v>784.0</v>
      </c>
      <c r="B786" s="3" t="s">
        <v>787</v>
      </c>
      <c r="C786" s="3" t="str">
        <f>IFERROR(__xludf.DUMMYFUNCTION("GOOGLETRANSLATE(B786,""id"",""en"")"),"['Update', 'Open', 'Udate', 'Please', 'Error', 'Fix', 'Expends', 'Quota', 'Update', 'Open']")</f>
        <v>['Update', 'Open', 'Udate', 'Please', 'Error', 'Fix', 'Expends', 'Quota', 'Update', 'Open']</v>
      </c>
      <c r="D786" s="3">
        <v>3.0</v>
      </c>
    </row>
    <row r="787" ht="15.75" customHeight="1">
      <c r="A787" s="1">
        <v>785.0</v>
      </c>
      <c r="B787" s="3" t="s">
        <v>788</v>
      </c>
      <c r="C787" s="3" t="str">
        <f>IFERROR(__xludf.DUMMYFUNCTION("GOOGLETRANSLATE(B787,""id"",""en"")"),"['apk', 'help', 'buy', 'quota', 'check', 'network', 'wait', 'minute', 'update', 'ulg', 'apk', 'ttapi', ' ']")</f>
        <v>['apk', 'help', 'buy', 'quota', 'check', 'network', 'wait', 'minute', 'update', 'ulg', 'apk', 'ttapi', ' ']</v>
      </c>
      <c r="D787" s="3">
        <v>2.0</v>
      </c>
    </row>
    <row r="788" ht="15.75" customHeight="1">
      <c r="A788" s="1">
        <v>786.0</v>
      </c>
      <c r="B788" s="3" t="s">
        <v>789</v>
      </c>
      <c r="C788" s="3" t="str">
        <f>IFERROR(__xludf.DUMMYFUNCTION("GOOGLETRANSLATE(B788,""id"",""en"")"),"['bad', 'signal', 'like', 'arising', 'sinking', 'package', 'expensive', 'pdhal', 'stay', 'city', 'plosok', ""]")</f>
        <v>['bad', 'signal', 'like', 'arising', 'sinking', 'package', 'expensive', 'pdhal', 'stay', 'city', 'plosok', "]</v>
      </c>
      <c r="D788" s="3">
        <v>1.0</v>
      </c>
    </row>
    <row r="789" ht="15.75" customHeight="1">
      <c r="A789" s="1">
        <v>787.0</v>
      </c>
      <c r="B789" s="3" t="s">
        <v>790</v>
      </c>
      <c r="C789" s="3" t="str">
        <f>IFERROR(__xludf.DUMMYFUNCTION("GOOGLETRANSLATE(B789,""id"",""en"")"),"['Bad', 'buy', 'package', 'his writing', 'sorry', 'system', 'stuck', 'try', 'minutes',' udh ',' ttp ',' ttp ',' Ndak ',' BSA ',' ']")</f>
        <v>['Bad', 'buy', 'package', 'his writing', 'sorry', 'system', 'stuck', 'try', 'minutes',' udh ',' ttp ',' ttp ',' Ndak ',' BSA ',' ']</v>
      </c>
      <c r="D789" s="3">
        <v>1.0</v>
      </c>
    </row>
    <row r="790" ht="15.75" customHeight="1">
      <c r="A790" s="1">
        <v>788.0</v>
      </c>
      <c r="B790" s="3" t="s">
        <v>791</v>
      </c>
      <c r="C790" s="3" t="str">
        <f>IFERROR(__xludf.DUMMYFUNCTION("GOOGLETRANSLATE(B790,""id"",""en"")"),"['', 'Telkomsel', 'Cool', 'Good', 'Credit', 'City', 'Wau', 'Sgat', 'Cool', 'Wow', 'Cool', 'Good', 'Benefits ',' Wao ',' ']")</f>
        <v>['', 'Telkomsel', 'Cool', 'Good', 'Credit', 'City', 'Wau', 'Sgat', 'Cool', 'Wow', 'Cool', 'Good', 'Benefits ',' Wao ',' ']</v>
      </c>
      <c r="D790" s="3">
        <v>5.0</v>
      </c>
    </row>
    <row r="791" ht="15.75" customHeight="1">
      <c r="A791" s="1">
        <v>789.0</v>
      </c>
      <c r="B791" s="3" t="s">
        <v>792</v>
      </c>
      <c r="C791" s="3" t="str">
        <f>IFERROR(__xludf.DUMMYFUNCTION("GOOGLETRANSLATE(B791,""id"",""en"")"),"['mksud', 'how', 'UDH', 'Maketin', 'UDH', 'buy', 'pulse', 'packagein']")</f>
        <v>['mksud', 'how', 'UDH', 'Maketin', 'UDH', 'buy', 'pulse', 'packagein']</v>
      </c>
      <c r="D791" s="3">
        <v>1.0</v>
      </c>
    </row>
    <row r="792" ht="15.75" customHeight="1">
      <c r="A792" s="1">
        <v>790.0</v>
      </c>
      <c r="B792" s="3" t="s">
        <v>793</v>
      </c>
      <c r="C792" s="3" t="str">
        <f>IFERROR(__xludf.DUMMYFUNCTION("GOOGLETRANSLATE(B792,""id"",""en"")"),"['Hopefully', 'luck', 'Paba', 'JDI', 'users',' Telkomsel ',' loyal ',' Telkomsel ',' emang ',' steady ',' the application ',' what ',' Open ',' difficult ',' really ',' jeeeeeeeeeek ']")</f>
        <v>['Hopefully', 'luck', 'Paba', 'JDI', 'users',' Telkomsel ',' loyal ',' Telkomsel ',' emang ',' steady ',' the application ',' what ',' Open ',' difficult ',' really ',' jeeeeeeeeeek ']</v>
      </c>
      <c r="D792" s="3">
        <v>5.0</v>
      </c>
    </row>
    <row r="793" ht="15.75" customHeight="1">
      <c r="A793" s="1">
        <v>791.0</v>
      </c>
      <c r="B793" s="3" t="s">
        <v>794</v>
      </c>
      <c r="C793" s="3" t="str">
        <f>IFERROR(__xludf.DUMMYFUNCTION("GOOGLETRANSLATE(B793,""id"",""en"")"),"['Telkomsel', 'dick', 'dog', 'pig', 'badind', 'haram', 'signal', 'Buriq', ""]")</f>
        <v>['Telkomsel', 'dick', 'dog', 'pig', 'badind', 'haram', 'signal', 'Buriq', "]</v>
      </c>
      <c r="D793" s="3">
        <v>1.0</v>
      </c>
    </row>
    <row r="794" ht="15.75" customHeight="1">
      <c r="A794" s="1">
        <v>792.0</v>
      </c>
      <c r="B794" s="3" t="s">
        <v>795</v>
      </c>
      <c r="C794" s="3" t="str">
        <f>IFERROR(__xludf.DUMMYFUNCTION("GOOGLETRANSLATE(B794,""id"",""en"")"),"['Fill', 'pulse', 'pulse', 'lost', 'rupiah', 'got', 'tax', 'kah', 'tilep', ""]")</f>
        <v>['Fill', 'pulse', 'pulse', 'lost', 'rupiah', 'got', 'tax', 'kah', 'tilep', "]</v>
      </c>
      <c r="D794" s="3">
        <v>1.0</v>
      </c>
    </row>
    <row r="795" ht="15.75" customHeight="1">
      <c r="A795" s="1">
        <v>793.0</v>
      </c>
      <c r="B795" s="3" t="s">
        <v>796</v>
      </c>
      <c r="C795" s="3" t="str">
        <f>IFERROR(__xludf.DUMMYFUNCTION("GOOGLETRANSLATE(B795,""id"",""en"")"),"['Top', 'Constraints', 'Network', 'See', 'Credit', 'Sumpot', 'Please', 'Benerin', 'Telkomsel', 'Times', 'Extitting it']")</f>
        <v>['Top', 'Constraints', 'Network', 'See', 'Credit', 'Sumpot', 'Please', 'Benerin', 'Telkomsel', 'Times', 'Extitting it']</v>
      </c>
      <c r="D795" s="3">
        <v>2.0</v>
      </c>
    </row>
    <row r="796" ht="15.75" customHeight="1">
      <c r="A796" s="1">
        <v>794.0</v>
      </c>
      <c r="B796" s="3" t="s">
        <v>797</v>
      </c>
      <c r="C796" s="3" t="str">
        <f>IFERROR(__xludf.DUMMYFUNCTION("GOOGLETRANSLATE(B796,""id"",""en"")"),"['steady', 'application', 'expensive', 'buy', 'kid', 'learn', 'buy', 'package', 'difficult', ""]")</f>
        <v>['steady', 'application', 'expensive', 'buy', 'kid', 'learn', 'buy', 'package', 'difficult', "]</v>
      </c>
      <c r="D796" s="3">
        <v>5.0</v>
      </c>
    </row>
    <row r="797" ht="15.75" customHeight="1">
      <c r="A797" s="1">
        <v>795.0</v>
      </c>
      <c r="B797" s="3" t="s">
        <v>798</v>
      </c>
      <c r="C797" s="3" t="str">
        <f>IFERROR(__xludf.DUMMYFUNCTION("GOOGLETRANSLATE(B797,""id"",""en"")"),"['Like', 'slow', 'network', 'boss', 'right', 'needed', 'slow', 'disappointed', '']")</f>
        <v>['Like', 'slow', 'network', 'boss', 'right', 'needed', 'slow', 'disappointed', '']</v>
      </c>
      <c r="D797" s="3">
        <v>5.0</v>
      </c>
    </row>
    <row r="798" ht="15.75" customHeight="1">
      <c r="A798" s="1">
        <v>796.0</v>
      </c>
      <c r="B798" s="3" t="s">
        <v>799</v>
      </c>
      <c r="C798" s="3" t="str">
        <f>IFERROR(__xludf.DUMMYFUNCTION("GOOGLETRANSLATE(B798,""id"",""en"")"),"['Network', 'slow', 'quota', 'unlimited', 'free', 'Loading']")</f>
        <v>['Network', 'slow', 'quota', 'unlimited', 'free', 'Loading']</v>
      </c>
      <c r="D798" s="3">
        <v>5.0</v>
      </c>
    </row>
    <row r="799" ht="15.75" customHeight="1">
      <c r="A799" s="1">
        <v>797.0</v>
      </c>
      <c r="B799" s="3" t="s">
        <v>800</v>
      </c>
      <c r="C799" s="3" t="str">
        <f>IFERROR(__xludf.DUMMYFUNCTION("GOOGLETRANSLATE(B799,""id"",""en"")"),"['Credit', 'like', 'Sumpot', 'Internet', 'Pakasted', '']")</f>
        <v>['Credit', 'like', 'Sumpot', 'Internet', 'Pakasted', '']</v>
      </c>
      <c r="D799" s="3">
        <v>2.0</v>
      </c>
    </row>
    <row r="800" ht="15.75" customHeight="1">
      <c r="A800" s="1">
        <v>798.0</v>
      </c>
      <c r="B800" s="3" t="s">
        <v>801</v>
      </c>
      <c r="C800" s="3" t="str">
        <f>IFERROR(__xludf.DUMMYFUNCTION("GOOGLETRANSLATE(B800,""id"",""en"")"),"['confused', 'announcement', 'winner', 'lottery', 'klu', 'tlfn', 'sms', 'monitor', 'klu', 'win']")</f>
        <v>['confused', 'announcement', 'winner', 'lottery', 'klu', 'tlfn', 'sms', 'monitor', 'klu', 'win']</v>
      </c>
      <c r="D800" s="3">
        <v>2.0</v>
      </c>
    </row>
    <row r="801" ht="15.75" customHeight="1">
      <c r="A801" s="1">
        <v>799.0</v>
      </c>
      <c r="B801" s="3" t="s">
        <v>802</v>
      </c>
      <c r="C801" s="3" t="str">
        <f>IFERROR(__xludf.DUMMYFUNCTION("GOOGLETRANSLATE(B801,""id"",""en"")"),"['Telkomsel', 'smpai', 'skrg', 'TPI', 'signal', 'UDH', 'Kya', 'smooth', 'MSKI', 'weather', 'rain', 'electricity', ' dead ',' skrg ',' disorder ',' jdi ',' lag ',' signal ',' klah ',' high school ',' provider ',' let ',' telkomsel ',' prbaik ',' hrga ' , '"&amp;"Leave', '']")</f>
        <v>['Telkomsel', 'smpai', 'skrg', 'TPI', 'signal', 'UDH', 'Kya', 'smooth', 'MSKI', 'weather', 'rain', 'electricity', ' dead ',' skrg ',' disorder ',' jdi ',' lag ',' signal ',' klah ',' high school ',' provider ',' let ',' telkomsel ',' prbaik ',' hrga ' , 'Leave', '']</v>
      </c>
      <c r="D801" s="3">
        <v>3.0</v>
      </c>
    </row>
    <row r="802" ht="15.75" customHeight="1">
      <c r="A802" s="1">
        <v>800.0</v>
      </c>
      <c r="B802" s="3" t="s">
        <v>803</v>
      </c>
      <c r="C802" s="3" t="str">
        <f>IFERROR(__xludf.DUMMYFUNCTION("GOOGLETRANSLATE(B802,""id"",""en"")"),"['top', 'package', 'enter', 'how', 'lemooot', 'paeah']")</f>
        <v>['top', 'package', 'enter', 'how', 'lemooot', 'paeah']</v>
      </c>
      <c r="D802" s="3">
        <v>1.0</v>
      </c>
    </row>
    <row r="803" ht="15.75" customHeight="1">
      <c r="A803" s="1">
        <v>801.0</v>
      </c>
      <c r="B803" s="3" t="s">
        <v>804</v>
      </c>
      <c r="C803" s="3" t="str">
        <f>IFERROR(__xludf.DUMMYFUNCTION("GOOGLETRANSLATE(B803,""id"",""en"")"),"['Telkomsel', 'poor', 'signal', 'slow', 'really', 'lgi', 'dead', 'lights',' ilang ',' udh ',' already ',' rich ',' Gini ',' Mending ',' Change ',' Card ']")</f>
        <v>['Telkomsel', 'poor', 'signal', 'slow', 'really', 'lgi', 'dead', 'lights',' ilang ',' udh ',' already ',' rich ',' Gini ',' Mending ',' Change ',' Card ']</v>
      </c>
      <c r="D803" s="3">
        <v>1.0</v>
      </c>
    </row>
    <row r="804" ht="15.75" customHeight="1">
      <c r="A804" s="1">
        <v>802.0</v>
      </c>
      <c r="B804" s="3" t="s">
        <v>805</v>
      </c>
      <c r="C804" s="3" t="str">
        <f>IFERROR(__xludf.DUMMYFUNCTION("GOOGLETRANSLATE(B804,""id"",""en"")"),"['Telkomsel', 'Sorry', 'decreases',' star ',' application ',' user ',' Telkomsel ',' Times', 'feel', 'olimity', 'network', 'please', ' Telkomsel ',' fix ',' system ',' network ',' ngelag ',' internet ',' praying ',' star ',' network ',' normal ',' trimaka"&amp;"sih ']")</f>
        <v>['Telkomsel', 'Sorry', 'decreases',' star ',' application ',' user ',' Telkomsel ',' Times', 'feel', 'olimity', 'network', 'please', ' Telkomsel ',' fix ',' system ',' network ',' ngelag ',' internet ',' praying ',' star ',' network ',' normal ',' trimakasih ']</v>
      </c>
      <c r="D804" s="3">
        <v>2.0</v>
      </c>
    </row>
    <row r="805" ht="15.75" customHeight="1">
      <c r="A805" s="1">
        <v>803.0</v>
      </c>
      <c r="B805" s="3" t="s">
        <v>806</v>
      </c>
      <c r="C805" s="3" t="str">
        <f>IFERROR(__xludf.DUMMYFUNCTION("GOOGLETRANSLATE(B805,""id"",""en"")"),"['transaction', 'via', 'wallet', 'appears',' sorry ',' disorder ',' system ',' check ',' connection ',' repeat ',' transaction ',' minutes', ' Such is', 'Afternoon', 'night', 'transaction', 'application', 'Ujung', 'Ujungna', 'contents',' reset ',' pulses'"&amp;", ""]")</f>
        <v>['transaction', 'via', 'wallet', 'appears',' sorry ',' disorder ',' system ',' check ',' connection ',' repeat ',' transaction ',' minutes', ' Such is', 'Afternoon', 'night', 'transaction', 'application', 'Ujung', 'Ujungna', 'contents',' reset ',' pulses', "]</v>
      </c>
      <c r="D805" s="3">
        <v>3.0</v>
      </c>
    </row>
    <row r="806" ht="15.75" customHeight="1">
      <c r="A806" s="1">
        <v>804.0</v>
      </c>
      <c r="B806" s="3" t="s">
        <v>807</v>
      </c>
      <c r="C806" s="3" t="str">
        <f>IFERROR(__xludf.DUMMYFUNCTION("GOOGLETRANSLATE(B806,""id"",""en"")"),"['buy', 'quota', 'GB', 'buy', 'Date', 'run out', 'Date', 'Liat', 'MyTelkomsel', 'LIAT', 'SMS', 'Have', ' Package ',' Pantesan ',' Connection ',' Internet ',' Problem ',' ']")</f>
        <v>['buy', 'quota', 'GB', 'buy', 'Date', 'run out', 'Date', 'Liat', 'MyTelkomsel', 'LIAT', 'SMS', 'Have', ' Package ',' Pantesan ',' Connection ',' Internet ',' Problem ',' ']</v>
      </c>
      <c r="D806" s="3">
        <v>1.0</v>
      </c>
    </row>
    <row r="807" ht="15.75" customHeight="1">
      <c r="A807" s="1">
        <v>805.0</v>
      </c>
      <c r="B807" s="3" t="s">
        <v>808</v>
      </c>
      <c r="C807" s="3" t="str">
        <f>IFERROR(__xludf.DUMMYFUNCTION("GOOGLETRANSLATE(B807,""id"",""en"")"),"['sympathy', 'area', 'Tangerang', 'South', 'Tangsel', 'signal', 'sympathy', 'network', 'good', 'location', 'exactly', 'Kampung', ' Kademangan ',' Kec ',' Setu ',' Gang ',' Hajj ',' Raan ',' Signal ',' Sympathy ',' Good ',' Please ',' Fix ',' User ',' symp"&amp;"athy ' , 'Please', 'fix', 'user', 'card', 'sympathy', 'comfortable', 'thank you']")</f>
        <v>['sympathy', 'area', 'Tangerang', 'South', 'Tangsel', 'signal', 'sympathy', 'network', 'good', 'location', 'exactly', 'Kampung', ' Kademangan ',' Kec ',' Setu ',' Gang ',' Hajj ',' Raan ',' Signal ',' Sympathy ',' Good ',' Please ',' Fix ',' User ',' sympathy ' , 'Please', 'fix', 'user', 'card', 'sympathy', 'comfortable', 'thank you']</v>
      </c>
      <c r="D807" s="3">
        <v>1.0</v>
      </c>
    </row>
    <row r="808" ht="15.75" customHeight="1">
      <c r="A808" s="1">
        <v>806.0</v>
      </c>
      <c r="B808" s="3" t="s">
        <v>809</v>
      </c>
      <c r="C808" s="3" t="str">
        <f>IFERROR(__xludf.DUMMYFUNCTION("GOOGLETRANSLATE(B808,""id"",""en"")"),"['Severe', 'zero', 'star', 'love', 'zero', 'star', 'kouta', 'expensive', 'quality', 'network', 'bad']")</f>
        <v>['Severe', 'zero', 'star', 'love', 'zero', 'star', 'kouta', 'expensive', 'quality', 'network', 'bad']</v>
      </c>
      <c r="D808" s="3">
        <v>1.0</v>
      </c>
    </row>
    <row r="809" ht="15.75" customHeight="1">
      <c r="A809" s="1">
        <v>807.0</v>
      </c>
      <c r="B809" s="3" t="s">
        <v>810</v>
      </c>
      <c r="C809" s="3" t="str">
        <f>IFERROR(__xludf.DUMMYFUNCTION("GOOGLETRANSLATE(B809,""id"",""en"")"),"['apk', 'Telkomsel', 'process',' buy ',' package ',' that's', 'waiting', 'pulse', 'cheek', 'factis',' features', 'pulses',' Safe ']")</f>
        <v>['apk', 'Telkomsel', 'process',' buy ',' package ',' that's', 'waiting', 'pulse', 'cheek', 'factis',' features', 'pulses',' Safe ']</v>
      </c>
      <c r="D809" s="3">
        <v>1.0</v>
      </c>
    </row>
    <row r="810" ht="15.75" customHeight="1">
      <c r="A810" s="1">
        <v>808.0</v>
      </c>
      <c r="B810" s="3" t="s">
        <v>811</v>
      </c>
      <c r="C810" s="3" t="str">
        <f>IFERROR(__xludf.DUMMYFUNCTION("GOOGLETRANSLATE(B810,""id"",""en"")"),"['Application', 'Good', '']")</f>
        <v>['Application', 'Good', '']</v>
      </c>
      <c r="D810" s="3">
        <v>5.0</v>
      </c>
    </row>
    <row r="811" ht="15.75" customHeight="1">
      <c r="A811" s="1">
        <v>809.0</v>
      </c>
      <c r="B811" s="3" t="s">
        <v>812</v>
      </c>
      <c r="C811" s="3" t="str">
        <f>IFERROR(__xludf.DUMMYFUNCTION("GOOGLETRANSLATE(B811,""id"",""en"")"),"['Taik', 'quota', 'TPI', 'pulses',' pakek ',' internet ',' how ',' woe ',' telkom ',' choose ',' paketan ',' pakek ',' Latest ',' pakek ',' quota ',' Ministry of Religion ',' coverin ',' quota ',' original ',' laaaaahhh ',' banging ']")</f>
        <v>['Taik', 'quota', 'TPI', 'pulses',' pakek ',' internet ',' how ',' woe ',' telkom ',' choose ',' paketan ',' pakek ',' Latest ',' pakek ',' quota ',' Ministry of Religion ',' coverin ',' quota ',' original ',' laaaaahhh ',' banging ']</v>
      </c>
      <c r="D811" s="3">
        <v>1.0</v>
      </c>
    </row>
    <row r="812" ht="15.75" customHeight="1">
      <c r="A812" s="1">
        <v>810.0</v>
      </c>
      <c r="B812" s="3" t="s">
        <v>813</v>
      </c>
      <c r="C812" s="3" t="str">
        <f>IFERROR(__xludf.DUMMYFUNCTION("GOOGLETRANSLATE(B812,""id"",""en"")"),"['Provider', 'Phone', 'Severe', 'Buy', 'Package', 'Internet', 'work', 'Manyakan', 'Loading', 'alternating', 'restart', 'phone', ' Close ',' prertain ',' org ', ""]")</f>
        <v>['Provider', 'Phone', 'Severe', 'Buy', 'Package', 'Internet', 'work', 'Manyakan', 'Loading', 'alternating', 'restart', 'phone', ' Close ',' prertain ',' org ', "]</v>
      </c>
      <c r="D812" s="3">
        <v>1.0</v>
      </c>
    </row>
    <row r="813" ht="15.75" customHeight="1">
      <c r="A813" s="1">
        <v>811.0</v>
      </c>
      <c r="B813" s="3" t="s">
        <v>814</v>
      </c>
      <c r="C813" s="3" t="str">
        <f>IFERROR(__xludf.DUMMYFUNCTION("GOOGLETRANSLATE(B813,""id"",""en"")"),"['clock', 'Kotaku', 'The network', 'slow', ""]")</f>
        <v>['clock', 'Kotaku', 'The network', 'slow', "]</v>
      </c>
      <c r="D813" s="3">
        <v>5.0</v>
      </c>
    </row>
    <row r="814" ht="15.75" customHeight="1">
      <c r="A814" s="1">
        <v>812.0</v>
      </c>
      <c r="B814" s="3" t="s">
        <v>815</v>
      </c>
      <c r="C814" s="3" t="str">
        <f>IFERROR(__xludf.DUMMYFUNCTION("GOOGLETRANSLATE(B814,""id"",""en"")"),"['application', 'upadate', 'complicated', 'application', 'input', 'bnyak', 'number', 'notification', 'confirm', 'fill out', 'package', 'number', ' children ',' difficult ',' must ',' enter ',' card ',' device ',' use ',' code ',' right ',' typing ',' code"&amp;" ',' use ',' just ' , 'Ribet', 'bin', 'difficult', '']")</f>
        <v>['application', 'upadate', 'complicated', 'application', 'input', 'bnyak', 'number', 'notification', 'confirm', 'fill out', 'package', 'number', ' children ',' difficult ',' must ',' enter ',' card ',' device ',' use ',' code ',' right ',' typing ',' code ',' use ',' just ' , 'Ribet', 'bin', 'difficult', '']</v>
      </c>
      <c r="D814" s="3">
        <v>1.0</v>
      </c>
    </row>
    <row r="815" ht="15.75" customHeight="1">
      <c r="A815" s="1">
        <v>813.0</v>
      </c>
      <c r="B815" s="3" t="s">
        <v>816</v>
      </c>
      <c r="C815" s="3" t="str">
        <f>IFERROR(__xludf.DUMMYFUNCTION("GOOGLETRANSLATE(B815,""id"",""en"")"),"['plate', 'red', 'transparent', 'service', 'customer', 'satisfaction', 'customer', 'neglected', 'maybe', 'Telkomsel', 'arrogant', 'comfortable', ' ']")</f>
        <v>['plate', 'red', 'transparent', 'service', 'customer', 'satisfaction', 'customer', 'neglected', 'maybe', 'Telkomsel', 'arrogant', 'comfortable', ' ']</v>
      </c>
      <c r="D815" s="3">
        <v>1.0</v>
      </c>
    </row>
    <row r="816" ht="15.75" customHeight="1">
      <c r="A816" s="1">
        <v>814.0</v>
      </c>
      <c r="B816" s="3" t="s">
        <v>817</v>
      </c>
      <c r="C816" s="3" t="str">
        <f>IFERROR(__xludf.DUMMYFUNCTION("GOOGLETRANSLATE(B816,""id"",""en"")"),"['Good', 'Application', 'Gift', 'Telkomsel', 'Send', 'Hundreds', 'Points', '']")</f>
        <v>['Good', 'Application', 'Gift', 'Telkomsel', 'Send', 'Hundreds', 'Points', '']</v>
      </c>
      <c r="D816" s="3">
        <v>5.0</v>
      </c>
    </row>
    <row r="817" ht="15.75" customHeight="1">
      <c r="A817" s="1">
        <v>815.0</v>
      </c>
      <c r="B817" s="3" t="s">
        <v>818</v>
      </c>
      <c r="C817" s="3" t="str">
        <f>IFERROR(__xludf.DUMMYFUNCTION("GOOGLETRANSLATE(B817,""id"",""en"")"),"['price', 'expensive', 'signal', 'ugly', 'napa', 'believe', 'log', 'play', 'game', 'lag', 'buy', 'top', ' Ngebug ']")</f>
        <v>['price', 'expensive', 'signal', 'ugly', 'napa', 'believe', 'log', 'play', 'game', 'lag', 'buy', 'top', ' Ngebug ']</v>
      </c>
      <c r="D817" s="3">
        <v>1.0</v>
      </c>
    </row>
    <row r="818" ht="15.75" customHeight="1">
      <c r="A818" s="1">
        <v>816.0</v>
      </c>
      <c r="B818" s="3" t="s">
        <v>819</v>
      </c>
      <c r="C818" s="3" t="str">
        <f>IFERROR(__xludf.DUMMYFUNCTION("GOOGLETRANSLATE(B818,""id"",""en"")"),"['Actually', 'help', 'really', 'Mantau', 'leftover', 'quota', 'update', 'difficult', ""]")</f>
        <v>['Actually', 'help', 'really', 'Mantau', 'leftover', 'quota', 'update', 'difficult', "]</v>
      </c>
      <c r="D818" s="3">
        <v>5.0</v>
      </c>
    </row>
    <row r="819" ht="15.75" customHeight="1">
      <c r="A819" s="1">
        <v>817.0</v>
      </c>
      <c r="B819" s="3" t="s">
        <v>820</v>
      </c>
      <c r="C819" s="3" t="str">
        <f>IFERROR(__xludf.DUMMYFUNCTION("GOOGLETRANSLATE(B819,""id"",""en"")"),"['no', 'Telkomsel', 'no', 'Indihome', 'ngellag', 'then', 'disorder', 'hadeuh', 'please', 'repaired', 'region', 'area', ' Kalimantan ',' ']")</f>
        <v>['no', 'Telkomsel', 'no', 'Indihome', 'ngellag', 'then', 'disorder', 'hadeuh', 'please', 'repaired', 'region', 'area', ' Kalimantan ',' ']</v>
      </c>
      <c r="D819" s="3">
        <v>1.0</v>
      </c>
    </row>
    <row r="820" ht="15.75" customHeight="1">
      <c r="A820" s="1">
        <v>818.0</v>
      </c>
      <c r="B820" s="3" t="s">
        <v>821</v>
      </c>
      <c r="C820" s="3" t="str">
        <f>IFERROR(__xludf.DUMMYFUNCTION("GOOGLETRANSLATE(B820,""id"",""en"")"),"['network', 'slow', 'package', 'price', 'expensive', 'promo', 'luck', 'cave', 'waste', 'card', 'buy', 'steady']")</f>
        <v>['network', 'slow', 'package', 'price', 'expensive', 'promo', 'luck', 'cave', 'waste', 'card', 'buy', 'steady']</v>
      </c>
      <c r="D820" s="3">
        <v>1.0</v>
      </c>
    </row>
    <row r="821" ht="15.75" customHeight="1">
      <c r="A821" s="1">
        <v>819.0</v>
      </c>
      <c r="B821" s="3" t="s">
        <v>822</v>
      </c>
      <c r="C821" s="3" t="str">
        <f>IFERROR(__xludf.DUMMYFUNCTION("GOOGLETRANSLATE(B821,""id"",""en"")"),"['Telkom', 'network', 'operator', 'reliable', 'remote', 'country']")</f>
        <v>['Telkom', 'network', 'operator', 'reliable', 'remote', 'country']</v>
      </c>
      <c r="D821" s="3">
        <v>5.0</v>
      </c>
    </row>
    <row r="822" ht="15.75" customHeight="1">
      <c r="A822" s="1">
        <v>820.0</v>
      </c>
      <c r="B822" s="3" t="s">
        <v>823</v>
      </c>
      <c r="C822" s="3" t="str">
        <f>IFERROR(__xludf.DUMMYFUNCTION("GOOGLETRANSLATE(B822,""id"",""en"")"),"['The application', 'already', 'good', 'just', 'please', 'upgrade', 'sometimes',' sometimes', 'account', 'error', 'like', 'Abis',' hack ',' told ',' login ',' reset ',' login ',' reset ',' daily ',' check ',' restart ',' already ',' tired ',' tired ',' lo"&amp;"gin ' , 'please', 'update', 'exchange', 'point', 'exchange', 'point', 'balance', 'link', 'just', 'please', 'updated', 'baldo', ' Please ',' updated ',' ']")</f>
        <v>['The application', 'already', 'good', 'just', 'please', 'upgrade', 'sometimes',' sometimes', 'account', 'error', 'like', 'Abis',' hack ',' told ',' login ',' reset ',' login ',' reset ',' daily ',' check ',' restart ',' already ',' tired ',' tired ',' login ' , 'please', 'update', 'exchange', 'point', 'exchange', 'point', 'balance', 'link', 'just', 'please', 'updated', 'baldo', ' Please ',' updated ',' ']</v>
      </c>
      <c r="D822" s="3">
        <v>3.0</v>
      </c>
    </row>
    <row r="823" ht="15.75" customHeight="1">
      <c r="A823" s="1">
        <v>821.0</v>
      </c>
      <c r="B823" s="3" t="s">
        <v>824</v>
      </c>
      <c r="C823" s="3" t="str">
        <f>IFERROR(__xludf.DUMMYFUNCTION("GOOGLETRANSLATE(B823,""id"",""en"")"),"['Please', 'Sis',' Miss', 'Telkomsel', 'Blocked', 'Sis',' Gara ',' Gara ',' Out ',' Active ',' Late ',' Fill ',' Credit ',' Geraypari ',' Telkomsel ',' The result ',' nil ',' Gara ',' Gara ',' Nik ',' according to ',' Register ',' Telkomsel ',' Pribdi ','"&amp;" Hard ' , 'activated', 'number', 'help', 'mas',' guard ',' counter ',' activated ',' plis', 'kak', 'please', 'bannget', 'kak', ' ']")</f>
        <v>['Please', 'Sis',' Miss', 'Telkomsel', 'Blocked', 'Sis',' Gara ',' Gara ',' Out ',' Active ',' Late ',' Fill ',' Credit ',' Geraypari ',' Telkomsel ',' The result ',' nil ',' Gara ',' Gara ',' Nik ',' according to ',' Register ',' Telkomsel ',' Pribdi ',' Hard ' , 'activated', 'number', 'help', 'mas',' guard ',' counter ',' activated ',' plis', 'kak', 'please', 'bannget', 'kak', ' ']</v>
      </c>
      <c r="D823" s="3">
        <v>1.0</v>
      </c>
    </row>
    <row r="824" ht="15.75" customHeight="1">
      <c r="A824" s="1">
        <v>822.0</v>
      </c>
      <c r="B824" s="3" t="s">
        <v>825</v>
      </c>
      <c r="C824" s="3" t="str">
        <f>IFERROR(__xludf.DUMMYFUNCTION("GOOGLETRANSLATE(B824,""id"",""en"")"),"['system', 'verification', 'plus',' system ',' verification ',' code ',' otp ',' system ',' verification ',' link ',' number ',' verified ',' Data ',' Internet ',' Symbian ',' Verification ',' Number ']")</f>
        <v>['system', 'verification', 'plus',' system ',' verification ',' code ',' otp ',' system ',' verification ',' link ',' number ',' verified ',' Data ',' Internet ',' Symbian ',' Verification ',' Number ']</v>
      </c>
      <c r="D824" s="3">
        <v>3.0</v>
      </c>
    </row>
    <row r="825" ht="15.75" customHeight="1">
      <c r="A825" s="1">
        <v>823.0</v>
      </c>
      <c r="B825" s="3" t="s">
        <v>826</v>
      </c>
      <c r="C825" s="3" t="str">
        <f>IFERROR(__xludf.DUMMYFUNCTION("GOOGLETRANSLATE(B825,""id"",""en"")"),"['Sebel', 'really', 'Telkomsel', 'price', 'Super', 'Mahaalll', 'invited', 'Kere', 'already', 'that's',' wasteful ',' bnyak ',' quota ',' buy ',' endless', 'upgrade', 'quota', 'GB', 'a month', 'youtube', 'mah', 'boro', 'already', 'contents',' GB ' , 'TTP',"&amp;" 'a month', 'confused', 'Harys',' buy ',' price ',' super ',' dupermahal ',' nyesek ',' until ',' Swear ',' oath ',' ']")</f>
        <v>['Sebel', 'really', 'Telkomsel', 'price', 'Super', 'Mahaalll', 'invited', 'Kere', 'already', 'that's',' wasteful ',' bnyak ',' quota ',' buy ',' endless', 'upgrade', 'quota', 'GB', 'a month', 'youtube', 'mah', 'boro', 'already', 'contents',' GB ' , 'TTP', 'a month', 'confused', 'Harys',' buy ',' price ',' super ',' dupermahal ',' nyesek ',' until ',' Swear ',' oath ',' ']</v>
      </c>
      <c r="D825" s="3">
        <v>1.0</v>
      </c>
    </row>
    <row r="826" ht="15.75" customHeight="1">
      <c r="A826" s="1">
        <v>824.0</v>
      </c>
      <c r="B826" s="3" t="s">
        <v>827</v>
      </c>
      <c r="C826" s="3" t="str">
        <f>IFERROR(__xludf.DUMMYFUNCTION("GOOGLETRANSLATE(B826,""id"",""en"")"),"['How', 'yak', 'like', 'funny', 'provider', 'udh', 'signal', 'full', 'donlot', 'sampe', 'kb', 'udh', ' Buy ',' expensive ']")</f>
        <v>['How', 'yak', 'like', 'funny', 'provider', 'udh', 'signal', 'full', 'donlot', 'sampe', 'kb', 'udh', ' Buy ',' expensive ']</v>
      </c>
      <c r="D826" s="3">
        <v>1.0</v>
      </c>
    </row>
    <row r="827" ht="15.75" customHeight="1">
      <c r="A827" s="1">
        <v>825.0</v>
      </c>
      <c r="B827" s="3" t="s">
        <v>828</v>
      </c>
      <c r="C827" s="3" t="str">
        <f>IFERROR(__xludf.DUMMYFUNCTION("GOOGLETRANSLATE(B827,""id"",""en"")"),"['Comment', 'Bad', 'Telkomsel', 'accompany', 'angry', 'tangent', 'price', 'down', 'Indonesia', 'like', 'error', 'right', ' Mengalain ',' data ',' connection ',' internet ',' bangett ',' buy ',' like ',' get ',' package ',' geratis', 'event', 'gave', 'kout"&amp;"a' , 'Tengkyu', 'Telkomsel', '']")</f>
        <v>['Comment', 'Bad', 'Telkomsel', 'accompany', 'angry', 'tangent', 'price', 'down', 'Indonesia', 'like', 'error', 'right', ' Mengalain ',' data ',' connection ',' internet ',' bangett ',' buy ',' like ',' get ',' package ',' geratis', 'event', 'gave', 'kouta' , 'Tengkyu', 'Telkomsel', '']</v>
      </c>
      <c r="D827" s="3">
        <v>5.0</v>
      </c>
    </row>
    <row r="828" ht="15.75" customHeight="1">
      <c r="A828" s="1">
        <v>826.0</v>
      </c>
      <c r="B828" s="3" t="s">
        <v>829</v>
      </c>
      <c r="C828" s="3" t="str">
        <f>IFERROR(__xludf.DUMMYFUNCTION("GOOGLETRANSLATE(B828,""id"",""en"")"),"['idiot', 'application', 'open', 'application', 'connection', 'card', 'pulse', 'suck', 'open', 'application', 'finished', 'pulse', ' emang ',' idiot ']")</f>
        <v>['idiot', 'application', 'open', 'application', 'connection', 'card', 'pulse', 'suck', 'open', 'application', 'finished', 'pulse', ' emang ',' idiot ']</v>
      </c>
      <c r="D828" s="3">
        <v>1.0</v>
      </c>
    </row>
    <row r="829" ht="15.75" customHeight="1">
      <c r="A829" s="1">
        <v>827.0</v>
      </c>
      <c r="B829" s="3" t="s">
        <v>830</v>
      </c>
      <c r="C829" s="3" t="str">
        <f>IFERROR(__xludf.DUMMYFUNCTION("GOOGLETRANSLATE(B829,""id"",""en"")"),"['update', 'Person', 'the latest', 'network', 'weak', 'package', 'ngak', 'used', 'base', 'cheater', 'ngak', 'take care', ' Application ',' Mending ',' Closed ',' Application ',' Application ',' Taik ']")</f>
        <v>['update', 'Person', 'the latest', 'network', 'weak', 'package', 'ngak', 'used', 'base', 'cheater', 'ngak', 'take care', ' Application ',' Mending ',' Closed ',' Application ',' Application ',' Taik ']</v>
      </c>
      <c r="D829" s="3">
        <v>1.0</v>
      </c>
    </row>
    <row r="830" ht="15.75" customHeight="1">
      <c r="A830" s="1">
        <v>828.0</v>
      </c>
      <c r="B830" s="3" t="s">
        <v>831</v>
      </c>
      <c r="C830" s="3" t="str">
        <f>IFERROR(__xludf.DUMMYFUNCTION("GOOGLETRANSLATE(B830,""id"",""en"")"),"['Application', 'Help', 'Purchase', 'Package', 'Karna', 'Promo', 'Offer']")</f>
        <v>['Application', 'Help', 'Purchase', 'Package', 'Karna', 'Promo', 'Offer']</v>
      </c>
      <c r="D830" s="3">
        <v>5.0</v>
      </c>
    </row>
    <row r="831" ht="15.75" customHeight="1">
      <c r="A831" s="1">
        <v>829.0</v>
      </c>
      <c r="B831" s="3" t="s">
        <v>832</v>
      </c>
      <c r="C831" s="3" t="str">
        <f>IFERROR(__xludf.DUMMYFUNCTION("GOOGLETRANSLATE(B831,""id"",""en"")"),"['update', 'application', 'error', 'continuous', 'beg', 'developer', 'repaired', 'the application', '']")</f>
        <v>['update', 'application', 'error', 'continuous', 'beg', 'developer', 'repaired', 'the application', '']</v>
      </c>
      <c r="D831" s="3">
        <v>5.0</v>
      </c>
    </row>
    <row r="832" ht="15.75" customHeight="1">
      <c r="A832" s="1">
        <v>830.0</v>
      </c>
      <c r="B832" s="3" t="s">
        <v>833</v>
      </c>
      <c r="C832" s="3" t="str">
        <f>IFERROR(__xludf.DUMMYFUNCTION("GOOGLETRANSLATE(B832,""id"",""en"")"),"['Wear', 'Telkomsel', 'TPI', 'Paketan', 'expensive', 'expensive', 'cheap']")</f>
        <v>['Wear', 'Telkomsel', 'TPI', 'Paketan', 'expensive', 'expensive', 'cheap']</v>
      </c>
      <c r="D832" s="3">
        <v>5.0</v>
      </c>
    </row>
    <row r="833" ht="15.75" customHeight="1">
      <c r="A833" s="1">
        <v>831.0</v>
      </c>
      <c r="B833" s="3" t="s">
        <v>834</v>
      </c>
      <c r="C833" s="3" t="str">
        <f>IFERROR(__xludf.DUMMYFUNCTION("GOOGLETRANSLATE(B833,""id"",""en"")"),"['Promo', 'Provider', 'Promo', 'Direct', 'Switch', '']")</f>
        <v>['Promo', 'Provider', 'Promo', 'Direct', 'Switch', '']</v>
      </c>
      <c r="D833" s="3">
        <v>4.0</v>
      </c>
    </row>
    <row r="834" ht="15.75" customHeight="1">
      <c r="A834" s="1">
        <v>832.0</v>
      </c>
      <c r="B834" s="3" t="s">
        <v>835</v>
      </c>
      <c r="C834" s="3" t="str">
        <f>IFERROR(__xludf.DUMMYFUNCTION("GOOGLETRANSLATE(B834,""id"",""en"")"),"['The widest', 'widest', 'remote', 'country', 'advertising', 'stable', 'ad', 'the fastest', 'ad', 'ad', 'reality', 'look', ' Classic ',' screen ',' notification ',' bar ',' ability ',' ']")</f>
        <v>['The widest', 'widest', 'remote', 'country', 'advertising', 'stable', 'ad', 'the fastest', 'ad', 'ad', 'reality', 'look', ' Classic ',' screen ',' notification ',' bar ',' ability ',' ']</v>
      </c>
      <c r="D834" s="3">
        <v>1.0</v>
      </c>
    </row>
    <row r="835" ht="15.75" customHeight="1">
      <c r="A835" s="1">
        <v>833.0</v>
      </c>
      <c r="B835" s="3" t="s">
        <v>836</v>
      </c>
      <c r="C835" s="3" t="str">
        <f>IFERROR(__xludf.DUMMYFUNCTION("GOOGLETRANSLATE(B835,""id"",""en"")"),"['Disappointed', 'severe', 'really', 'network', 'UDH', 'Lagh', 'high school', 'contents',' pulse ',' Cut ',' Rb ',' contents', ' Credit ',' TDI ',' TDI ',' CONTENT ',' Credit ',' Cut ',' RB ',' Gara ',' Package ',' Emergency ',' PDAHAL ',' PAKETAN ',' Eme"&amp;"rgency ' , 'chaotic']")</f>
        <v>['Disappointed', 'severe', 'really', 'network', 'UDH', 'Lagh', 'high school', 'contents',' pulse ',' Cut ',' Rb ',' contents', ' Credit ',' TDI ',' TDI ',' CONTENT ',' Credit ',' Cut ',' RB ',' Gara ',' Package ',' Emergency ',' PDAHAL ',' PAKETAN ',' Emergency ' , 'chaotic']</v>
      </c>
      <c r="D835" s="3">
        <v>1.0</v>
      </c>
    </row>
    <row r="836" ht="15.75" customHeight="1">
      <c r="A836" s="1">
        <v>834.0</v>
      </c>
      <c r="B836" s="3" t="s">
        <v>837</v>
      </c>
      <c r="C836" s="3" t="str">
        <f>IFERROR(__xludf.DUMMYFUNCTION("GOOGLETRANSLATE(B836,""id"",""en"")"),"['Disappointed', 'clarity', 'network', 'class', 'provider', 'biggest', 'Indonesia', 'Certainty']")</f>
        <v>['Disappointed', 'clarity', 'network', 'class', 'provider', 'biggest', 'Indonesia', 'Certainty']</v>
      </c>
      <c r="D836" s="3">
        <v>1.0</v>
      </c>
    </row>
    <row r="837" ht="15.75" customHeight="1">
      <c r="A837" s="1">
        <v>835.0</v>
      </c>
      <c r="B837" s="3" t="s">
        <v>838</v>
      </c>
      <c r="C837" s="3" t="str">
        <f>IFERROR(__xludf.DUMMYFUNCTION("GOOGLETRANSLATE(B837,""id"",""en"")"),"['Credit', 'truncated', 'use', 'internet', 'wifi', 'lho', 'really', 'telkomsel', 'cut', 'detrimental', 'tired', 'content', ' Credit ',' Play ',' Cut ',' ']")</f>
        <v>['Credit', 'truncated', 'use', 'internet', 'wifi', 'lho', 'really', 'telkomsel', 'cut', 'detrimental', 'tired', 'content', ' Credit ',' Play ',' Cut ',' ']</v>
      </c>
      <c r="D837" s="3">
        <v>1.0</v>
      </c>
    </row>
    <row r="838" ht="15.75" customHeight="1">
      <c r="A838" s="1">
        <v>836.0</v>
      </c>
      <c r="B838" s="3" t="s">
        <v>839</v>
      </c>
      <c r="C838" s="3" t="str">
        <f>IFERROR(__xludf.DUMMYFUNCTION("GOOGLETRANSLATE(B838,""id"",""en"")"),"['internet', 'night', 'clock', 'night', 'internet', 'night', 'name', 'internet', 'morning', '']")</f>
        <v>['internet', 'night', 'clock', 'night', 'internet', 'night', 'name', 'internet', 'morning', '']</v>
      </c>
      <c r="D838" s="3">
        <v>1.0</v>
      </c>
    </row>
    <row r="839" ht="15.75" customHeight="1">
      <c r="A839" s="1">
        <v>837.0</v>
      </c>
      <c r="B839" s="3" t="s">
        <v>840</v>
      </c>
      <c r="C839" s="3" t="str">
        <f>IFERROR(__xludf.DUMMYFUNCTION("GOOGLETRANSLATE(B839,""id"",""en"")"),"['Deplover', 'Thank you', 'performance', 'Love', 'Star', 'Previously', 'Star', 'Suggestion', 'Deplover', 'User', 'Telkomsel', 'Buy', ' quota ',' internet ',' payment ',' use ',' pulse ',' active ',' card ',' buy ',' pulse ',' active ',' card ',' and then "&amp;"',' hope ' , 'promo', 'eliminated', 'price', 'eliminated', 'so', 'thank you']")</f>
        <v>['Deplover', 'Thank you', 'performance', 'Love', 'Star', 'Previously', 'Star', 'Suggestion', 'Deplover', 'User', 'Telkomsel', 'Buy', ' quota ',' internet ',' payment ',' use ',' pulse ',' active ',' card ',' buy ',' pulse ',' active ',' card ',' and then ',' hope ' , 'promo', 'eliminated', 'price', 'eliminated', 'so', 'thank you']</v>
      </c>
      <c r="D839" s="3">
        <v>5.0</v>
      </c>
    </row>
    <row r="840" ht="15.75" customHeight="1">
      <c r="A840" s="1">
        <v>838.0</v>
      </c>
      <c r="B840" s="3" t="s">
        <v>841</v>
      </c>
      <c r="C840" s="3" t="str">
        <f>IFERROR(__xludf.DUMMYFUNCTION("GOOGLETRANSLATE(B840,""id"",""en"")"),"['application', 'pig', 'buy', 'pulse', 'quota', 'run out', 'forced', 'update', 'application', 'quota', 'buy', 'application', ' The application ',' opened ',' Posts', 'Update', 'Update', 'Opened', 'Samacity', 'App', 'Anjink', 'The', 'Real', 'Robber', 'Fini"&amp;"sh' , 'Update', 'application', 'pulse', 'buy', 'reduced', 'anjink']")</f>
        <v>['application', 'pig', 'buy', 'pulse', 'quota', 'run out', 'forced', 'update', 'application', 'quota', 'buy', 'application', ' The application ',' opened ',' Posts', 'Update', 'Update', 'Opened', 'Samacity', 'App', 'Anjink', 'The', 'Real', 'Robber', 'Finish' , 'Update', 'application', 'pulse', 'buy', 'reduced', 'anjink']</v>
      </c>
      <c r="D840" s="3">
        <v>1.0</v>
      </c>
    </row>
    <row r="841" ht="15.75" customHeight="1">
      <c r="A841" s="1">
        <v>839.0</v>
      </c>
      <c r="B841" s="3" t="s">
        <v>842</v>
      </c>
      <c r="C841" s="3" t="str">
        <f>IFERROR(__xludf.DUMMYFUNCTION("GOOGLETRANSLATE(B841,""id"",""en"")"),"['Application', 'Hoax', 'Please', 'Hapu', 'Data', 'Wrong', 'Report', 'Authorized']")</f>
        <v>['Application', 'Hoax', 'Please', 'Hapu', 'Data', 'Wrong', 'Report', 'Authorized']</v>
      </c>
      <c r="D841" s="3">
        <v>5.0</v>
      </c>
    </row>
    <row r="842" ht="15.75" customHeight="1">
      <c r="A842" s="1">
        <v>840.0</v>
      </c>
      <c r="B842" s="3" t="s">
        <v>843</v>
      </c>
      <c r="C842" s="3" t="str">
        <f>IFERROR(__xludf.DUMMYFUNCTION("GOOGLETRANSLATE(B842,""id"",""en"")"),"['Disappointed', 'Telkomsel', 'use', 'Telkomsel', 'here', 'network', 'slow', 'price', 'package', 'internet', 'it is ""expensive', ' according to ',' Price ',' Dnnn ',' Quality ']")</f>
        <v>['Disappointed', 'Telkomsel', 'use', 'Telkomsel', 'here', 'network', 'slow', 'price', 'package', 'internet', 'it is "expensive', ' according to ',' Price ',' Dnnn ',' Quality ']</v>
      </c>
      <c r="D842" s="3">
        <v>1.0</v>
      </c>
    </row>
    <row r="843" ht="15.75" customHeight="1">
      <c r="A843" s="1">
        <v>841.0</v>
      </c>
      <c r="B843" s="3" t="s">
        <v>844</v>
      </c>
      <c r="C843" s="3" t="str">
        <f>IFERROR(__xludf.DUMMYFUNCTION("GOOGLETRANSLATE(B843,""id"",""en"")"),"['network', 'play', 'game', 'destroyed', 'safe', 'safe', 'skrang', 'ahhh', 'according to', 'price', ""]")</f>
        <v>['network', 'play', 'game', 'destroyed', 'safe', 'safe', 'skrang', 'ahhh', 'according to', 'price', "]</v>
      </c>
      <c r="D843" s="3">
        <v>1.0</v>
      </c>
    </row>
    <row r="844" ht="15.75" customHeight="1">
      <c r="A844" s="1">
        <v>842.0</v>
      </c>
      <c r="B844" s="3" t="s">
        <v>845</v>
      </c>
      <c r="C844" s="3" t="str">
        <f>IFERROR(__xludf.DUMMYFUNCTION("GOOGLETRANSLATE(B844,""id"",""en"")"),"['buy', 'pulse', 'buy', 'Please', 'repair']")</f>
        <v>['buy', 'pulse', 'buy', 'Please', 'repair']</v>
      </c>
      <c r="D844" s="3">
        <v>1.0</v>
      </c>
    </row>
    <row r="845" ht="15.75" customHeight="1">
      <c r="A845" s="1">
        <v>843.0</v>
      </c>
      <c r="B845" s="3" t="s">
        <v>846</v>
      </c>
      <c r="C845" s="3" t="str">
        <f>IFERROR(__xludf.DUMMYFUNCTION("GOOGLETRANSLATE(B845,""id"",""en"")"),"['Application', 'MyTelkomsel', 'Network', 'Lined', 'Strong', 'Lined', 'Internet', 'Karna', 'Signal', ""]")</f>
        <v>['Application', 'MyTelkomsel', 'Network', 'Lined', 'Strong', 'Lined', 'Internet', 'Karna', 'Signal', "]</v>
      </c>
      <c r="D845" s="3">
        <v>4.0</v>
      </c>
    </row>
    <row r="846" ht="15.75" customHeight="1">
      <c r="A846" s="1">
        <v>844.0</v>
      </c>
      <c r="B846" s="3" t="s">
        <v>847</v>
      </c>
      <c r="C846" s="3" t="str">
        <f>IFERROR(__xludf.DUMMYFUNCTION("GOOGLETRANSLATE(B846,""id"",""en"")"),"['Paketan', 'GB', 'Pay', 'buy', 'buy', 'Mending', 'I', 'Move', 'Provider', 'Ajalah']")</f>
        <v>['Paketan', 'GB', 'Pay', 'buy', 'buy', 'Mending', 'I', 'Move', 'Provider', 'Ajalah']</v>
      </c>
      <c r="D846" s="3">
        <v>1.0</v>
      </c>
    </row>
    <row r="847" ht="15.75" customHeight="1">
      <c r="A847" s="1">
        <v>845.0</v>
      </c>
      <c r="B847" s="3" t="s">
        <v>848</v>
      </c>
      <c r="C847" s="3" t="str">
        <f>IFERROR(__xludf.DUMMYFUNCTION("GOOGLETRANSLATE(B847,""id"",""en"")"),"['price', 'tlg', 'cheap', 'signal', 'slow', 'area', 'Aceh', 'Kec', 'Dewantara', 'chaotic', 'signal']")</f>
        <v>['price', 'tlg', 'cheap', 'signal', 'slow', 'area', 'Aceh', 'Kec', 'Dewantara', 'chaotic', 'signal']</v>
      </c>
      <c r="D847" s="3">
        <v>3.0</v>
      </c>
    </row>
    <row r="848" ht="15.75" customHeight="1">
      <c r="A848" s="1">
        <v>846.0</v>
      </c>
      <c r="B848" s="3" t="s">
        <v>849</v>
      </c>
      <c r="C848" s="3" t="str">
        <f>IFERROR(__xludf.DUMMYFUNCTION("GOOGLETRANSLATE(B848,""id"",""en"")"),"['bad', 'package', 'promoted', 'buy', 'klw', 'show', 'disappointed']")</f>
        <v>['bad', 'package', 'promoted', 'buy', 'klw', 'show', 'disappointed']</v>
      </c>
      <c r="D848" s="3">
        <v>1.0</v>
      </c>
    </row>
    <row r="849" ht="15.75" customHeight="1">
      <c r="A849" s="1">
        <v>847.0</v>
      </c>
      <c r="B849" s="3" t="s">
        <v>850</v>
      </c>
      <c r="C849" s="3" t="str">
        <f>IFERROR(__xludf.DUMMYFUNCTION("GOOGLETRANSLATE(B849,""id"",""en"")"),"['Network', 'Telkomsel', 'slow', 'lose', 'network', 'neighbor', 'network', 'neighbor', 'smooth', 'Perny', 'slow', 'please' Update ',' Network ',' Telkomsel ',' Lost ',' ']")</f>
        <v>['Network', 'Telkomsel', 'slow', 'lose', 'network', 'neighbor', 'network', 'neighbor', 'smooth', 'Perny', 'slow', 'please' Update ',' Network ',' Telkomsel ',' Lost ',' ']</v>
      </c>
      <c r="D849" s="3">
        <v>2.0</v>
      </c>
    </row>
    <row r="850" ht="15.75" customHeight="1">
      <c r="A850" s="1">
        <v>848.0</v>
      </c>
      <c r="B850" s="3" t="s">
        <v>851</v>
      </c>
      <c r="C850" s="3" t="str">
        <f>IFERROR(__xludf.DUMMYFUNCTION("GOOGLETRANSLATE(B850,""id"",""en"")"),"['offer', 'Test', 'rates', 'kill', 'people', 'think', 'raise', 'tariff', 'thank you', ""]")</f>
        <v>['offer', 'Test', 'rates', 'kill', 'people', 'think', 'raise', 'tariff', 'thank you', "]</v>
      </c>
      <c r="D850" s="3">
        <v>1.0</v>
      </c>
    </row>
    <row r="851" ht="15.75" customHeight="1">
      <c r="A851" s="1">
        <v>849.0</v>
      </c>
      <c r="B851" s="3" t="s">
        <v>852</v>
      </c>
      <c r="C851" s="3" t="str">
        <f>IFERROR(__xludf.DUMMYFUNCTION("GOOGLETRANSLATE(B851,""id"",""en"")"),"['rotten', 'the application', 'buy', 'package', 'data', 'reason', 'disorder', 'connection', 'sya', 'open', 'youtube', 'smooth', ' Love ',' minus', 'value']")</f>
        <v>['rotten', 'the application', 'buy', 'package', 'data', 'reason', 'disorder', 'connection', 'sya', 'open', 'youtube', 'smooth', ' Love ',' minus', 'value']</v>
      </c>
      <c r="D851" s="3">
        <v>1.0</v>
      </c>
    </row>
    <row r="852" ht="15.75" customHeight="1">
      <c r="A852" s="1">
        <v>850.0</v>
      </c>
      <c r="B852" s="3" t="s">
        <v>853</v>
      </c>
      <c r="C852" s="3" t="str">
        <f>IFERROR(__xludf.DUMMYFUNCTION("GOOGLETRANSLATE(B852,""id"",""en"")"),"['Provider', 'Worst', 'in', 'sense', 'difficult', 'digested', 'brain', 'accepted', 'logic', 'Where', 'umpteenth', 'time', ' Credit ',' Cutting ',' Package ',' Internet ',' Out ',' Package ',' Package ',' Data ',' Credit ',' Cutting ',' Energy ',' Heyyy ',"&amp;"' Shy ' , 'Kah', 'base', 'artisan', 'thief']")</f>
        <v>['Provider', 'Worst', 'in', 'sense', 'difficult', 'digested', 'brain', 'accepted', 'logic', 'Where', 'umpteenth', 'time', ' Credit ',' Cutting ',' Package ',' Internet ',' Out ',' Package ',' Package ',' Data ',' Credit ',' Cutting ',' Energy ',' Heyyy ',' Shy ' , 'Kah', 'base', 'artisan', 'thief']</v>
      </c>
      <c r="D852" s="3">
        <v>1.0</v>
      </c>
    </row>
    <row r="853" ht="15.75" customHeight="1">
      <c r="A853" s="1">
        <v>851.0</v>
      </c>
      <c r="B853" s="3" t="s">
        <v>854</v>
      </c>
      <c r="C853" s="3" t="str">
        <f>IFERROR(__xludf.DUMMYFUNCTION("GOOGLETRANSLATE(B853,""id"",""en"")"),"['', 'Tengok', 'promo', 'kece', 'times', 'buy', 'finished', 'network', 'missing', 'college', 'online', 'you're,' you ',' Gini ',' buy ',' Bestiepintar ',' Online ',' Pulak ',' You ',' Troublesome ',' Love ',' You ',' Bintang ',' You ',' Think "" 'possibil"&amp;"ity', 'tired']")</f>
        <v>['', 'Tengok', 'promo', 'kece', 'times', 'buy', 'finished', 'network', 'missing', 'college', 'online', 'you're,' you ',' Gini ',' buy ',' Bestiepintar ',' Online ',' Pulak ',' You ',' Troublesome ',' Love ',' You ',' Bintang ',' You ',' Think " 'possibility', 'tired']</v>
      </c>
      <c r="D853" s="3">
        <v>1.0</v>
      </c>
    </row>
    <row r="854" ht="15.75" customHeight="1">
      <c r="A854" s="1">
        <v>852.0</v>
      </c>
      <c r="B854" s="3" t="s">
        <v>855</v>
      </c>
      <c r="C854" s="3" t="str">
        <f>IFERROR(__xludf.DUMMYFUNCTION("GOOGLETRANSLATE(B854,""id"",""en"")"),"['Telkomsel', 'Telkomsel', 'Difficult', 'Special', 'Region', 'Lost', 'Please', 'Improve', 'Greetings',' Riau ',' Kabupaten ',' Kampar ',' ']")</f>
        <v>['Telkomsel', 'Telkomsel', 'Difficult', 'Special', 'Region', 'Lost', 'Please', 'Improve', 'Greetings',' Riau ',' Kabupaten ',' Kampar ',' ']</v>
      </c>
      <c r="D854" s="3">
        <v>3.0</v>
      </c>
    </row>
    <row r="855" ht="15.75" customHeight="1">
      <c r="A855" s="1">
        <v>853.0</v>
      </c>
      <c r="B855" s="3" t="s">
        <v>856</v>
      </c>
      <c r="C855" s="3" t="str">
        <f>IFERROR(__xludf.DUMMYFUNCTION("GOOGLETRANSLATE(B855,""id"",""en"")"),"['', 'pulses', 'ilang', 'reduced', 'then', 'balance', 'pulses', 'knpa', ""]")</f>
        <v>['', 'pulses', 'ilang', 'reduced', 'then', 'balance', 'pulses', 'knpa', "]</v>
      </c>
      <c r="D855" s="3">
        <v>2.0</v>
      </c>
    </row>
    <row r="856" ht="15.75" customHeight="1">
      <c r="A856" s="1">
        <v>854.0</v>
      </c>
      <c r="B856" s="3" t="s">
        <v>857</v>
      </c>
      <c r="C856" s="3" t="str">
        <f>IFERROR(__xludf.DUMMYFUNCTION("GOOGLETRANSLATE(B856,""id"",""en"")"),"['Telkomsel', 'Honest', 'Disappointing', 'Play', 'Game', 'Connection', 'Stable', 'Topup', 'Quota', 'Price', 'Play', 'Connection', ' Maximum ',' stable ',' really ',' comfortable ',' hope ',' in the future ']")</f>
        <v>['Telkomsel', 'Honest', 'Disappointing', 'Play', 'Game', 'Connection', 'Stable', 'Topup', 'Quota', 'Price', 'Play', 'Connection', ' Maximum ',' stable ',' really ',' comfortable ',' hope ',' in the future ']</v>
      </c>
      <c r="D856" s="3">
        <v>2.0</v>
      </c>
    </row>
    <row r="857" ht="15.75" customHeight="1">
      <c r="A857" s="1">
        <v>855.0</v>
      </c>
      <c r="B857" s="3" t="s">
        <v>858</v>
      </c>
      <c r="C857" s="3" t="str">
        <f>IFERROR(__xludf.DUMMYFUNCTION("GOOGLETRANSLATE(B857,""id"",""en"")"),"['Blocking', 'site', 'appears',' portal ',' lighthouse ',' contents', 'promo', 'game', 'selling', 'loss',' user ',' customer ',' Telkomsel ',' number ',' reasons', 'internet', 'positive', 'interests',' personal ',' competition ',' healthy ',' good ', ""]")</f>
        <v>['Blocking', 'site', 'appears',' portal ',' lighthouse ',' contents', 'promo', 'game', 'selling', 'loss',' user ',' customer ',' Telkomsel ',' number ',' reasons', 'internet', 'positive', 'interests',' personal ',' competition ',' healthy ',' good ', "]</v>
      </c>
      <c r="D857" s="3">
        <v>1.0</v>
      </c>
    </row>
    <row r="858" ht="15.75" customHeight="1">
      <c r="A858" s="1">
        <v>856.0</v>
      </c>
      <c r="B858" s="3" t="s">
        <v>859</v>
      </c>
      <c r="C858" s="3" t="str">
        <f>IFERROR(__xludf.DUMMYFUNCTION("GOOGLETRANSLATE(B858,""id"",""en"")"),"['Quality', 'network', 'Telkom', 'threat', 'googling', 'classroom', 'slow', 'nauzubillah', 'play', 'game', 'basically', 'have', ' Server ',' Please ',' Telkom ',' Fix ',' The Network ',' Emang ',' Gabisa ',' Fix ',' Network ',' Mending ',' Rubuhin ',' Tow"&amp;"er ',' Gaguna ' , '']")</f>
        <v>['Quality', 'network', 'Telkom', 'threat', 'googling', 'classroom', 'slow', 'nauzubillah', 'play', 'game', 'basically', 'have', ' Server ',' Please ',' Telkom ',' Fix ',' The Network ',' Emang ',' Gabisa ',' Fix ',' Network ',' Mending ',' Rubuhin ',' Tower ',' Gaguna ' , '']</v>
      </c>
      <c r="D858" s="3">
        <v>1.0</v>
      </c>
    </row>
    <row r="859" ht="15.75" customHeight="1">
      <c r="A859" s="1">
        <v>857.0</v>
      </c>
      <c r="B859" s="3" t="s">
        <v>860</v>
      </c>
      <c r="C859" s="3" t="str">
        <f>IFERROR(__xludf.DUMMYFUNCTION("GOOGLETRANSLATE(B859,""id"",""en"")"),"['Abis',' update ',' Severe ',' right ',' quota ',' abis', 'sucked', 'pulse', 'update', 'severe', 'right', 'quota', ' Abis', 'Credit', 'Follow', 'Abis',' Karna ',' Sucked ']")</f>
        <v>['Abis',' update ',' Severe ',' right ',' quota ',' abis', 'sucked', 'pulse', 'update', 'severe', 'right', 'quota', ' Abis', 'Credit', 'Follow', 'Abis',' Karna ',' Sucked ']</v>
      </c>
      <c r="D859" s="3">
        <v>1.0</v>
      </c>
    </row>
    <row r="860" ht="15.75" customHeight="1">
      <c r="A860" s="1">
        <v>858.0</v>
      </c>
      <c r="B860" s="3" t="s">
        <v>861</v>
      </c>
      <c r="C860" s="3" t="str">
        <f>IFERROR(__xludf.DUMMYFUNCTION("GOOGLETRANSLATE(B860,""id"",""en"")"),"['Lost', 'Predicate', 'Provider', 'Elite', 'People', 'Rich', 'Telkomsel', 'Lemotttt', 'Parahhhhh', 'Price', 'Expensive', 'balanced', ' quality ',' network ',' paraahhhh ']")</f>
        <v>['Lost', 'Predicate', 'Provider', 'Elite', 'People', 'Rich', 'Telkomsel', 'Lemotttt', 'Parahhhhh', 'Price', 'Expensive', 'balanced', ' quality ',' network ',' paraahhhh ']</v>
      </c>
      <c r="D860" s="3">
        <v>1.0</v>
      </c>
    </row>
    <row r="861" ht="15.75" customHeight="1">
      <c r="A861" s="1">
        <v>859.0</v>
      </c>
      <c r="B861" s="3" t="s">
        <v>862</v>
      </c>
      <c r="C861" s="3" t="str">
        <f>IFERROR(__xludf.DUMMYFUNCTION("GOOGLETRANSLATE(B861,""id"",""en"")"),"['right', 'pulse', 'promo', 'cheap', 'right', 'contents', 'pulse', 'promo', 'expensive', 'what']")</f>
        <v>['right', 'pulse', 'promo', 'cheap', 'right', 'contents', 'pulse', 'promo', 'expensive', 'what']</v>
      </c>
      <c r="D861" s="3">
        <v>5.0</v>
      </c>
    </row>
    <row r="862" ht="15.75" customHeight="1">
      <c r="A862" s="1">
        <v>860.0</v>
      </c>
      <c r="B862" s="3" t="s">
        <v>863</v>
      </c>
      <c r="C862" s="3" t="str">
        <f>IFERROR(__xludf.DUMMYFUNCTION("GOOGLETRANSLATE(B862,""id"",""en"")"),"['Hitch', 'Promo', 'Check', 'Deliberately', 'Looks', 'Tomorrow', 'Reset']")</f>
        <v>['Hitch', 'Promo', 'Check', 'Deliberately', 'Looks', 'Tomorrow', 'Reset']</v>
      </c>
      <c r="D862" s="3">
        <v>1.0</v>
      </c>
    </row>
    <row r="863" ht="15.75" customHeight="1">
      <c r="A863" s="1">
        <v>861.0</v>
      </c>
      <c r="B863" s="3" t="s">
        <v>864</v>
      </c>
      <c r="C863" s="3" t="str">
        <f>IFERROR(__xludf.DUMMYFUNCTION("GOOGLETRANSLATE(B863,""id"",""en"")"),"['like', 'sucked', 'pulse', 'nda', 'pulse', 'safe', 'sometimes',' kalua ',' quota ',' stay ',' mb ',' buy ',' right ',' contents', 'pulse', 'already', 'sumps',' pulse ',' really ',' purchase ',' loss', 'really', 'fill', 'reset', 'pulses' , 'buy', 'kuoata'"&amp;", 'sanget', 'annoying', 'consumer', 'harmed', '']")</f>
        <v>['like', 'sucked', 'pulse', 'nda', 'pulse', 'safe', 'sometimes',' kalua ',' quota ',' stay ',' mb ',' buy ',' right ',' contents', 'pulse', 'already', 'sumps',' pulse ',' really ',' purchase ',' loss', 'really', 'fill', 'reset', 'pulses' , 'buy', 'kuoata', 'sanget', 'annoying', 'consumer', 'harmed', '']</v>
      </c>
      <c r="D863" s="3">
        <v>1.0</v>
      </c>
    </row>
    <row r="864" ht="15.75" customHeight="1">
      <c r="A864" s="1">
        <v>862.0</v>
      </c>
      <c r="B864" s="3" t="s">
        <v>865</v>
      </c>
      <c r="C864" s="3" t="str">
        <f>IFERROR(__xludf.DUMMYFUNCTION("GOOGLETRANSLATE(B864,""id"",""en"")"),"['Network', 'Sometimes',' Good ',' Sometimes', 'Jellekkkkk', 'Sometimes',' Stable ',' Sometimes', 'Ngeleg', 'Internet', 'Lemot', 'Data', ' Expensive ',' ']")</f>
        <v>['Network', 'Sometimes',' Good ',' Sometimes', 'Jellekkkkk', 'Sometimes',' Stable ',' Sometimes', 'Ngeleg', 'Internet', 'Lemot', 'Data', ' Expensive ',' ']</v>
      </c>
      <c r="D864" s="3">
        <v>1.0</v>
      </c>
    </row>
    <row r="865" ht="15.75" customHeight="1">
      <c r="A865" s="1">
        <v>863.0</v>
      </c>
      <c r="B865" s="3" t="s">
        <v>866</v>
      </c>
      <c r="C865" s="3" t="str">
        <f>IFERROR(__xludf.DUMMYFUNCTION("GOOGLETRANSLATE(B865,""id"",""en"")"),"['Please', 'Fix', 'Quality', 'Network', 'Network', 'Slow', 'Really', 'Thank', 'Love']")</f>
        <v>['Please', 'Fix', 'Quality', 'Network', 'Network', 'Slow', 'Really', 'Thank', 'Love']</v>
      </c>
      <c r="D865" s="3">
        <v>5.0</v>
      </c>
    </row>
    <row r="866" ht="15.75" customHeight="1">
      <c r="A866" s="1">
        <v>864.0</v>
      </c>
      <c r="B866" s="3" t="s">
        <v>867</v>
      </c>
      <c r="C866" s="3" t="str">
        <f>IFERROR(__xludf.DUMMYFUNCTION("GOOGLETRANSLATE(B866,""id"",""en"")"),"['Thanks',' Suggestions', 'Reward', 'Reward', 'Zalora', 'Tokopedia', 'Etc.', 'Polls',' Insert ',' Option ',' Amal ',' Congratulations', ' Success', 'Slalu', 'Telkomsel', ""]")</f>
        <v>['Thanks',' Suggestions', 'Reward', 'Reward', 'Zalora', 'Tokopedia', 'Etc.', 'Polls',' Insert ',' Option ',' Amal ',' Congratulations', ' Success', 'Slalu', 'Telkomsel', "]</v>
      </c>
      <c r="D866" s="3">
        <v>5.0</v>
      </c>
    </row>
    <row r="867" ht="15.75" customHeight="1">
      <c r="A867" s="1">
        <v>865.0</v>
      </c>
      <c r="B867" s="3" t="s">
        <v>868</v>
      </c>
      <c r="C867" s="3" t="str">
        <f>IFERROR(__xludf.DUMMYFUNCTION("GOOGLETRANSLATE(B867,""id"",""en"")"),"['application', 'run', 'Increase', 'Suggestion', 'Add', 'Radar', 'Radius',' Reach ',' Strength ',' Kulitas', 'Signal', 'Telkomsel', ' devices', 'Add', 'Point', 'Spread', 'Signal', 'Telkomsel', 'Planning', 'Traveling', 'Region', 'Rural', 'Indonesia', 'Than"&amp;"k you']")</f>
        <v>['application', 'run', 'Increase', 'Suggestion', 'Add', 'Radar', 'Radius',' Reach ',' Strength ',' Kulitas', 'Signal', 'Telkomsel', ' devices', 'Add', 'Point', 'Spread', 'Signal', 'Telkomsel', 'Planning', 'Traveling', 'Region', 'Rural', 'Indonesia', 'Thank you']</v>
      </c>
      <c r="D867" s="3">
        <v>4.0</v>
      </c>
    </row>
    <row r="868" ht="15.75" customHeight="1">
      <c r="A868" s="1">
        <v>866.0</v>
      </c>
      <c r="B868" s="3" t="s">
        <v>869</v>
      </c>
      <c r="C868" s="3" t="str">
        <f>IFERROR(__xludf.DUMMYFUNCTION("GOOGLETRANSLATE(B868,""id"",""en"")"),"['SIM', 'Card', 'Damaged', 'Used', 'On', 'Contents', 'Credit', 'thousand', 'Benerin', 'card', 'How', ""]")</f>
        <v>['SIM', 'Card', 'Damaged', 'Used', 'On', 'Contents', 'Credit', 'thousand', 'Benerin', 'card', 'How', "]</v>
      </c>
      <c r="D868" s="3">
        <v>5.0</v>
      </c>
    </row>
    <row r="869" ht="15.75" customHeight="1">
      <c r="A869" s="1">
        <v>867.0</v>
      </c>
      <c r="B869" s="3" t="s">
        <v>870</v>
      </c>
      <c r="C869" s="3" t="str">
        <f>IFERROR(__xludf.DUMMYFUNCTION("GOOGLETRANSLATE(B869,""id"",""en"")"),"['Sis',' Please ',' Credit ',' Paketan ',' Abis', 'Pulses',' Rates', 'Just', 'Cumet', 'Data', 'Line', 'Pulses',' ',' sad ',' mah ',' safe ',' my computer ',' expensive ',' combo ',' magic ',' mah ',' cave ',' network ',' telkomsel ',' ama ' , 'use', '']")</f>
        <v>['Sis',' Please ',' Credit ',' Paketan ',' Abis', 'Pulses',' Rates', 'Just', 'Cumet', 'Data', 'Line', 'Pulses',' ',' sad ',' mah ',' safe ',' my computer ',' expensive ',' combo ',' magic ',' mah ',' cave ',' network ',' telkomsel ',' ama ' , 'use', '']</v>
      </c>
      <c r="D869" s="3">
        <v>3.0</v>
      </c>
    </row>
    <row r="870" ht="15.75" customHeight="1">
      <c r="A870" s="1">
        <v>868.0</v>
      </c>
      <c r="B870" s="3" t="s">
        <v>871</v>
      </c>
      <c r="C870" s="3" t="str">
        <f>IFERROR(__xludf.DUMMYFUNCTION("GOOGLETRANSLATE(B870,""id"",""en"")"),"['dlu', 'Telkomsel', 'signal', 'good', 'signal', 'bad', 'in place', 'work', 'signal', 'bad', 'maen', 'game', ' Watch ',' Vedio ',' Difficult ',' Please ',' Telkomsel ',' The Network ',' Repaired ',' ']")</f>
        <v>['dlu', 'Telkomsel', 'signal', 'good', 'signal', 'bad', 'in place', 'work', 'signal', 'bad', 'maen', 'game', ' Watch ',' Vedio ',' Difficult ',' Please ',' Telkomsel ',' The Network ',' Repaired ',' ']</v>
      </c>
      <c r="D870" s="3">
        <v>1.0</v>
      </c>
    </row>
    <row r="871" ht="15.75" customHeight="1">
      <c r="A871" s="1">
        <v>869.0</v>
      </c>
      <c r="B871" s="3" t="s">
        <v>872</v>
      </c>
      <c r="C871" s="3" t="str">
        <f>IFERROR(__xludf.DUMMYFUNCTION("GOOGLETRANSLATE(B871,""id"",""en"")"),"['APP', 'Hank', 'Severe', 'Wanger', 'Download', 'TTP', 'Open', 'Dear', 'Team', 'Telkomsel', 'Please', 'Donk', ' Sell ​​',' App ',' Useful ',' Lookong ',' Trust ',' Fraud ',' ']")</f>
        <v>['APP', 'Hank', 'Severe', 'Wanger', 'Download', 'TTP', 'Open', 'Dear', 'Team', 'Telkomsel', 'Please', 'Donk', ' Sell ​​',' App ',' Useful ',' Lookong ',' Trust ',' Fraud ',' ']</v>
      </c>
      <c r="D871" s="3">
        <v>1.0</v>
      </c>
    </row>
    <row r="872" ht="15.75" customHeight="1">
      <c r="A872" s="1">
        <v>870.0</v>
      </c>
      <c r="B872" s="3" t="s">
        <v>873</v>
      </c>
      <c r="C872" s="3" t="str">
        <f>IFERROR(__xludf.DUMMYFUNCTION("GOOGLETRANSLATE(B872,""id"",""en"")"),"['Telkomsel', 'network', 'the widest', 'service', 'maximum', 'administrator', 'above', 'attached to', 'interest', 'personal', 'enrich', 'treasure', ' thinking about ',' satisfaction ',' consumer ',' treasure ',' accountability ',' hereafter ']")</f>
        <v>['Telkomsel', 'network', 'the widest', 'service', 'maximum', 'administrator', 'above', 'attached to', 'interest', 'personal', 'enrich', 'treasure', ' thinking about ',' satisfaction ',' consumer ',' treasure ',' accountability ',' hereafter ']</v>
      </c>
      <c r="D872" s="3">
        <v>1.0</v>
      </c>
    </row>
    <row r="873" ht="15.75" customHeight="1">
      <c r="A873" s="1">
        <v>871.0</v>
      </c>
      <c r="B873" s="3" t="s">
        <v>874</v>
      </c>
      <c r="C873" s="3" t="str">
        <f>IFERROR(__xludf.DUMMYFUNCTION("GOOGLETRANSLATE(B873,""id"",""en"")"),"['Sebel', 'really', 'alternating', 'sign', 'already', 'save', 'information', 'sign', 'Hadeh', ""]")</f>
        <v>['Sebel', 'really', 'alternating', 'sign', 'already', 'save', 'information', 'sign', 'Hadeh', "]</v>
      </c>
      <c r="D873" s="3">
        <v>3.0</v>
      </c>
    </row>
    <row r="874" ht="15.75" customHeight="1">
      <c r="A874" s="1">
        <v>872.0</v>
      </c>
      <c r="B874" s="3" t="s">
        <v>875</v>
      </c>
      <c r="C874" s="3" t="str">
        <f>IFERROR(__xludf.DUMMYFUNCTION("GOOGLETRANSLATE(B874,""id"",""en"")"),"['application', 'Bgus',' really ',' no ',' bother ',' type ',' ckup ',' enter ',' the application ',' then ',' right ',' deh ',' Choice ',' package ',' bonus', 'lgi', 'abis',' check ',' love ',' star ',' ']")</f>
        <v>['application', 'Bgus',' really ',' no ',' bother ',' type ',' ckup ',' enter ',' the application ',' then ',' right ',' deh ',' Choice ',' package ',' bonus', 'lgi', 'abis',' check ',' love ',' star ',' ']</v>
      </c>
      <c r="D874" s="3">
        <v>5.0</v>
      </c>
    </row>
    <row r="875" ht="15.75" customHeight="1">
      <c r="A875" s="1">
        <v>873.0</v>
      </c>
      <c r="B875" s="3" t="s">
        <v>876</v>
      </c>
      <c r="C875" s="3" t="str">
        <f>IFERROR(__xludf.DUMMYFUNCTION("GOOGLETRANSLATE(B875,""id"",""en"")"),"['Yesterday', 'open', 'the application', 'blink', 'trs', 'check', 'active', 'divergible']")</f>
        <v>['Yesterday', 'open', 'the application', 'blink', 'trs', 'check', 'active', 'divergible']</v>
      </c>
      <c r="D875" s="3">
        <v>1.0</v>
      </c>
    </row>
    <row r="876" ht="15.75" customHeight="1">
      <c r="A876" s="1">
        <v>874.0</v>
      </c>
      <c r="B876" s="3" t="s">
        <v>877</v>
      </c>
      <c r="C876" s="3" t="str">
        <f>IFERROR(__xludf.DUMMYFUNCTION("GOOGLETRANSLATE(B876,""id"",""en"")"),"['Application', 'Good', 'Stop', 'subscribe', 'package', 'Internet', 'Cut', 'Credit', 'Buy', 'Package', 'Internet']")</f>
        <v>['Application', 'Good', 'Stop', 'subscribe', 'package', 'Internet', 'Cut', 'Credit', 'Buy', 'Package', 'Internet']</v>
      </c>
      <c r="D876" s="3">
        <v>5.0</v>
      </c>
    </row>
    <row r="877" ht="15.75" customHeight="1">
      <c r="A877" s="1">
        <v>875.0</v>
      </c>
      <c r="B877" s="3" t="s">
        <v>878</v>
      </c>
      <c r="C877" s="3" t="str">
        <f>IFERROR(__xludf.DUMMYFUNCTION("GOOGLETRANSLATE(B877,""id"",""en"")"),"['Plis',' buy ',' package ',' buy ',' package ',' enter ',' enter ',' contents', 'pulse', 'sya', 'sufficient', 'please', ' ']")</f>
        <v>['Plis',' buy ',' package ',' buy ',' package ',' enter ',' enter ',' contents', 'pulse', 'sya', 'sufficient', 'please', ' ']</v>
      </c>
      <c r="D877" s="3">
        <v>1.0</v>
      </c>
    </row>
    <row r="878" ht="15.75" customHeight="1">
      <c r="A878" s="1">
        <v>876.0</v>
      </c>
      <c r="B878" s="3" t="s">
        <v>879</v>
      </c>
      <c r="C878" s="3" t="str">
        <f>IFERROR(__xludf.DUMMYFUNCTION("GOOGLETRANSLATE(B878,""id"",""en"")"),"['application', 'good', 'really', 'buy', 'package', 'combo', 'magic', 'for', 'thousand', 'GB', 'bonus',' GB ',' free ',' Nelpol ',' Telkomsel ',' free ',' SMS ',' YUK ',' Hurry ',' Istal ',' Application ',' Raying ',' Deh ', ""]")</f>
        <v>['application', 'good', 'really', 'buy', 'package', 'combo', 'magic', 'for', 'thousand', 'GB', 'bonus',' GB ',' free ',' Nelpol ',' Telkomsel ',' free ',' SMS ',' YUK ',' Hurry ',' Istal ',' Application ',' Raying ',' Deh ', "]</v>
      </c>
      <c r="D878" s="3">
        <v>5.0</v>
      </c>
    </row>
    <row r="879" ht="15.75" customHeight="1">
      <c r="A879" s="1">
        <v>877.0</v>
      </c>
      <c r="B879" s="3" t="s">
        <v>880</v>
      </c>
      <c r="C879" s="3" t="str">
        <f>IFERROR(__xludf.DUMMYFUNCTION("GOOGLETRANSLATE(B879,""id"",""en"")"),"['', 'Sorry', 'system', 'busy', 'trusss',' right ',' contents', 'voucher', 'voucher', 'cave', 'key', 'active', 'voucher ',' pusssss', 'pisan', 'service', 'adequate', '']")</f>
        <v>['', 'Sorry', 'system', 'busy', 'trusss',' right ',' contents', 'voucher', 'voucher', 'cave', 'key', 'active', 'voucher ',' pusssss', 'pisan', 'service', 'adequate', '']</v>
      </c>
      <c r="D879" s="3">
        <v>1.0</v>
      </c>
    </row>
    <row r="880" ht="15.75" customHeight="1">
      <c r="A880" s="1">
        <v>878.0</v>
      </c>
      <c r="B880" s="3" t="s">
        <v>881</v>
      </c>
      <c r="C880" s="3" t="str">
        <f>IFERROR(__xludf.DUMMYFUNCTION("GOOGLETRANSLATE(B880,""id"",""en"")"),"['Credit', 'Fast', 'Out', 'Credit', 'Reduced', 'Disappointed']")</f>
        <v>['Credit', 'Fast', 'Out', 'Credit', 'Reduced', 'Disappointed']</v>
      </c>
      <c r="D880" s="3">
        <v>1.0</v>
      </c>
    </row>
    <row r="881" ht="15.75" customHeight="1">
      <c r="A881" s="1">
        <v>879.0</v>
      </c>
      <c r="B881" s="3" t="s">
        <v>882</v>
      </c>
      <c r="C881" s="3" t="str">
        <f>IFERROR(__xludf.DUMMYFUNCTION("GOOGLETRANSLATE(B881,""id"",""en"")"),"['times', 'transaction', 'application', 'Kredivo', 'application', 'direct', 'bgtu', ""]")</f>
        <v>['times', 'transaction', 'application', 'Kredivo', 'application', 'direct', 'bgtu', "]</v>
      </c>
      <c r="D881" s="3">
        <v>2.0</v>
      </c>
    </row>
    <row r="882" ht="15.75" customHeight="1">
      <c r="A882" s="1">
        <v>880.0</v>
      </c>
      <c r="B882" s="3" t="s">
        <v>883</v>
      </c>
      <c r="C882" s="3" t="str">
        <f>IFERROR(__xludf.DUMMYFUNCTION("GOOGLETRANSLATE(B882,""id"",""en"")"),"['Package', 'Telkomsel', 'expensive', 'Sometimes', 'slow', '']")</f>
        <v>['Package', 'Telkomsel', 'expensive', 'Sometimes', 'slow', '']</v>
      </c>
      <c r="D882" s="3">
        <v>3.0</v>
      </c>
    </row>
    <row r="883" ht="15.75" customHeight="1">
      <c r="A883" s="1">
        <v>881.0</v>
      </c>
      <c r="B883" s="3" t="s">
        <v>884</v>
      </c>
      <c r="C883" s="3" t="str">
        <f>IFERROR(__xludf.DUMMYFUNCTION("GOOGLETRANSLATE(B883,""id"",""en"")"),"['users',' Telkomsel ',' super ',' slow ',' severe ',' really ',' lose ',' axis', 'cheap', 'price', 'satmya', 'Telkomsel', ' Recommended ',' ']")</f>
        <v>['users',' Telkomsel ',' super ',' slow ',' severe ',' really ',' lose ',' axis', 'cheap', 'price', 'satmya', 'Telkomsel', ' Recommended ',' ']</v>
      </c>
      <c r="D883" s="3">
        <v>1.0</v>
      </c>
    </row>
    <row r="884" ht="15.75" customHeight="1">
      <c r="A884" s="1">
        <v>882.0</v>
      </c>
      <c r="B884" s="3" t="s">
        <v>885</v>
      </c>
      <c r="C884" s="3" t="str">
        <f>IFERROR(__xludf.DUMMYFUNCTION("GOOGLETRANSLATE(B884,""id"",""en"")"),"['Lottery', 'Exchange', 'Points',' Minimal ',' Points', 'Maximum', 'None', 'Handok', 'Gift', 'Coins',' Scorched ',' Lost ',' Lottery ',' Exchange ',' Points', 'Lottery', 'Abal', 'Abal', 'Points',' Socre ',' exchanged ',' Points', 'Merchandise', 'Dissemy',"&amp;" 'Lottery' , 'change point']")</f>
        <v>['Lottery', 'Exchange', 'Points',' Minimal ',' Points', 'Maximum', 'None', 'Handok', 'Gift', 'Coins',' Scorched ',' Lost ',' Lottery ',' Exchange ',' Points', 'Lottery', 'Abal', 'Abal', 'Points',' Socre ',' exchanged ',' Points', 'Merchandise', 'Dissemy', 'Lottery' , 'change point']</v>
      </c>
      <c r="D884" s="3">
        <v>5.0</v>
      </c>
    </row>
    <row r="885" ht="15.75" customHeight="1">
      <c r="A885" s="1">
        <v>883.0</v>
      </c>
      <c r="B885" s="3" t="s">
        <v>886</v>
      </c>
      <c r="C885" s="3" t="str">
        <f>IFERROR(__xludf.DUMMYFUNCTION("GOOGLETRANSLATE(B885,""id"",""en"")"),"['Disappointed', 'Buy', 'Package', 'Data', 'Method', 'Payment', 'Shopee', 'Pay', 'Notif', 'Promo', 'APK', 'PAS', ' Payment ',' Error ',' APK ',' Update ',' Chek ',' Tomorrow ',' Porn ',' I ',' Chek ',' Taraaaaa ',' Direct ',' Return ',' Fix ' , 'sabotage'"&amp;", 'just', 'me', 'ngelamin', 'USSER', '']")</f>
        <v>['Disappointed', 'Buy', 'Package', 'Data', 'Method', 'Payment', 'Shopee', 'Pay', 'Notif', 'Promo', 'APK', 'PAS', ' Payment ',' Error ',' APK ',' Update ',' Chek ',' Tomorrow ',' Porn ',' I ',' Chek ',' Taraaaaa ',' Direct ',' Return ',' Fix ' , 'sabotage', 'just', 'me', 'ngelamin', 'USSER', '']</v>
      </c>
      <c r="D885" s="3">
        <v>1.0</v>
      </c>
    </row>
    <row r="886" ht="15.75" customHeight="1">
      <c r="A886" s="1">
        <v>884.0</v>
      </c>
      <c r="B886" s="3" t="s">
        <v>887</v>
      </c>
      <c r="C886" s="3" t="str">
        <f>IFERROR(__xludf.DUMMYFUNCTION("GOOGLETRANSLATE(B886,""id"",""en"")"),"['Stop', 'pulse', 'customer', 'Costumer', 'run out', 'quota', 'internet', 'sgt', 'detrimental', 'finding', 'online', 'income', ' Pandemics', 'SPT', '']")</f>
        <v>['Stop', 'pulse', 'customer', 'Costumer', 'run out', 'quota', 'internet', 'sgt', 'detrimental', 'finding', 'online', 'income', ' Pandemics', 'SPT', '']</v>
      </c>
      <c r="D886" s="3">
        <v>5.0</v>
      </c>
    </row>
    <row r="887" ht="15.75" customHeight="1">
      <c r="A887" s="1">
        <v>885.0</v>
      </c>
      <c r="B887" s="3" t="s">
        <v>888</v>
      </c>
      <c r="C887" s="3" t="str">
        <f>IFERROR(__xludf.DUMMYFUNCTION("GOOGLETRANSLATE(B887,""id"",""en"")"),"['Telkomsel', 'password', 'buy', 'quota', 'expensive', 'network', 'kntle', 'please', 'mbak', 'tell', 'Telkomsel', 'fix', ' Network ',' City ',' Village ',' Fix ',' also ']")</f>
        <v>['Telkomsel', 'password', 'buy', 'quota', 'expensive', 'network', 'kntle', 'please', 'mbak', 'tell', 'Telkomsel', 'fix', ' Network ',' City ',' Village ',' Fix ',' also ']</v>
      </c>
      <c r="D887" s="3">
        <v>1.0</v>
      </c>
    </row>
    <row r="888" ht="15.75" customHeight="1">
      <c r="A888" s="1">
        <v>886.0</v>
      </c>
      <c r="B888" s="3" t="s">
        <v>889</v>
      </c>
      <c r="C888" s="3" t="str">
        <f>IFERROR(__xludf.DUMMYFUNCTION("GOOGLETRANSLATE(B888,""id"",""en"")"),"['Telkomsel', 'Heart', 'Best', 'Customer', 'The', 'Best', 'Success', '']")</f>
        <v>['Telkomsel', 'Heart', 'Best', 'Customer', 'The', 'Best', 'Success', '']</v>
      </c>
      <c r="D888" s="3">
        <v>5.0</v>
      </c>
    </row>
    <row r="889" ht="15.75" customHeight="1">
      <c r="A889" s="1">
        <v>887.0</v>
      </c>
      <c r="B889" s="3" t="s">
        <v>890</v>
      </c>
      <c r="C889" s="3" t="str">
        <f>IFERROR(__xludf.DUMMYFUNCTION("GOOGLETRANSLATE(B889,""id"",""en"")"),"['Combo', 'Sakti', 'Unlimited', 'Please', 'Use', 'Limitation', 'FUP', 'SNGAT', 'COMFORTABLE', 'SERVICE', 'SBLM', 'Thank', ' love']")</f>
        <v>['Combo', 'Sakti', 'Unlimited', 'Please', 'Use', 'Limitation', 'FUP', 'SNGAT', 'COMFORTABLE', 'SERVICE', 'SBLM', 'Thank', ' love']</v>
      </c>
      <c r="D889" s="3">
        <v>1.0</v>
      </c>
    </row>
    <row r="890" ht="15.75" customHeight="1">
      <c r="A890" s="1">
        <v>888.0</v>
      </c>
      <c r="B890" s="3" t="s">
        <v>891</v>
      </c>
      <c r="C890" s="3" t="str">
        <f>IFERROR(__xludf.DUMMYFUNCTION("GOOGLETRANSLATE(B890,""id"",""en"")"),"['signal', 'slow', 'anywhere', 'pulses',' expensive ',' price ',' package ',' expensive ',' expensive ',' Telkomsel ',' just ',' take ',' Advantages', 'Customers']")</f>
        <v>['signal', 'slow', 'anywhere', 'pulses',' expensive ',' price ',' package ',' expensive ',' expensive ',' Telkomsel ',' just ',' take ',' Advantages', 'Customers']</v>
      </c>
      <c r="D890" s="3">
        <v>1.0</v>
      </c>
    </row>
    <row r="891" ht="15.75" customHeight="1">
      <c r="A891" s="1">
        <v>889.0</v>
      </c>
      <c r="B891" s="3" t="s">
        <v>892</v>
      </c>
      <c r="C891" s="3" t="str">
        <f>IFERROR(__xludf.DUMMYFUNCTION("GOOGLETRANSLATE(B891,""id"",""en"")"),"['Please', 'Telkomsel', 'Exchange', 'Points',' balance ',' Linkaja ',' cmn ',' cmn ',' times', 'use', 'cmn', 'that way', ' Points', 'Lottery', 'yes',' Please ',' Telkomsel ',' Exchange ',' Balance ',' Linkaja ',' Limitation ',' ']")</f>
        <v>['Please', 'Telkomsel', 'Exchange', 'Points',' balance ',' Linkaja ',' cmn ',' cmn ',' times', 'use', 'cmn', 'that way', ' Points', 'Lottery', 'yes',' Please ',' Telkomsel ',' Exchange ',' Balance ',' Linkaja ',' Limitation ',' ']</v>
      </c>
      <c r="D891" s="3">
        <v>5.0</v>
      </c>
    </row>
    <row r="892" ht="15.75" customHeight="1">
      <c r="A892" s="1">
        <v>890.0</v>
      </c>
      <c r="B892" s="3" t="s">
        <v>893</v>
      </c>
      <c r="C892" s="3" t="str">
        <f>IFERROR(__xludf.DUMMYFUNCTION("GOOGLETRANSLATE(B892,""id"",""en"")"),"['How', 'Telkomsel', 'Error', 'Gini', 'Already', 'Activein', 'Package', 'Internet', 'Promo', 'Open', 'Internet', 'Pay', ' Broken ',' pulses', '']")</f>
        <v>['How', 'Telkomsel', 'Error', 'Gini', 'Already', 'Activein', 'Package', 'Internet', 'Promo', 'Open', 'Internet', 'Pay', ' Broken ',' pulses', '']</v>
      </c>
      <c r="D892" s="3">
        <v>1.0</v>
      </c>
    </row>
    <row r="893" ht="15.75" customHeight="1">
      <c r="A893" s="1">
        <v>891.0</v>
      </c>
      <c r="B893" s="3" t="s">
        <v>894</v>
      </c>
      <c r="C893" s="3" t="str">
        <f>IFERROR(__xludf.DUMMYFUNCTION("GOOGLETRANSLATE(B893,""id"",""en"")"),"['Application', 'best', 'love', 'quota', 'internet', 'free', '']")</f>
        <v>['Application', 'best', 'love', 'quota', 'internet', 'free', '']</v>
      </c>
      <c r="D893" s="3">
        <v>5.0</v>
      </c>
    </row>
    <row r="894" ht="15.75" customHeight="1">
      <c r="A894" s="1">
        <v>892.0</v>
      </c>
      <c r="B894" s="3" t="s">
        <v>895</v>
      </c>
      <c r="C894" s="3" t="str">
        <f>IFERROR(__xludf.DUMMYFUNCTION("GOOGLETRANSLATE(B894,""id"",""en"")"),"['Steady', 'Telkomsel', 'skrg', 'network', 'slow', 'package', 'data', 'TLP', 'Literable']")</f>
        <v>['Steady', 'Telkomsel', 'skrg', 'network', 'slow', 'package', 'data', 'TLP', 'Literable']</v>
      </c>
      <c r="D894" s="3">
        <v>4.0</v>
      </c>
    </row>
    <row r="895" ht="15.75" customHeight="1">
      <c r="A895" s="1">
        <v>893.0</v>
      </c>
      <c r="B895" s="3" t="s">
        <v>896</v>
      </c>
      <c r="C895" s="3" t="str">
        <f>IFERROR(__xludf.DUMMYFUNCTION("GOOGLETRANSLATE(B895,""id"",""en"")"),"['Please', 'sorry', 'right', 'yes', 'package', 'already', 'bought', 'already', 'proof', 'box', 'pulse', 'cut']")</f>
        <v>['Please', 'sorry', 'right', 'yes', 'package', 'already', 'bought', 'already', 'proof', 'box', 'pulse', 'cut']</v>
      </c>
      <c r="D895" s="3">
        <v>1.0</v>
      </c>
    </row>
    <row r="896" ht="15.75" customHeight="1">
      <c r="A896" s="1">
        <v>894.0</v>
      </c>
      <c r="B896" s="3" t="s">
        <v>897</v>
      </c>
      <c r="C896" s="3" t="str">
        <f>IFERROR(__xludf.DUMMYFUNCTION("GOOGLETRANSLATE(B896,""id"",""en"")"),"['Price', 'Increases',' Quality ',' Network ',' Repaired ',' Keluahan ',' Dised ',' Veronika ',' Solution ',' Discard ',' Discard ',' Results', ' ']")</f>
        <v>['Price', 'Increases',' Quality ',' Network ',' Repaired ',' Keluahan ',' Dised ',' Veronika ',' Solution ',' Discard ',' Discard ',' Results', ' ']</v>
      </c>
      <c r="D896" s="3">
        <v>1.0</v>
      </c>
    </row>
    <row r="897" ht="15.75" customHeight="1">
      <c r="A897" s="1">
        <v>895.0</v>
      </c>
      <c r="B897" s="3" t="s">
        <v>898</v>
      </c>
      <c r="C897" s="3" t="str">
        <f>IFERROR(__xludf.DUMMYFUNCTION("GOOGLETRANSLATE(B897,""id"",""en"")"),"['Dream', 'Lottery', 'Exchange', 'Points',' Win ',' Such ',' Nuker ',' Points', 'Get', 'Points',' Contents', 'Credit', ' Direct ',' Tuker ',' all of them ',' get ',' promotion ',' Meet ',' Org ',' Bahwasan ',' Lottery ',' Tuker ',' Points', 'Telkomsel', '"&amp;"Really' , 'Lohh', 'Guyss', '']")</f>
        <v>['Dream', 'Lottery', 'Exchange', 'Points',' Win ',' Such ',' Nuker ',' Points', 'Get', 'Points',' Contents', 'Credit', ' Direct ',' Tuker ',' all of them ',' get ',' promotion ',' Meet ',' Org ',' Bahwasan ',' Lottery ',' Tuker ',' Points', 'Telkomsel', 'Really' , 'Lohh', 'Guyss', '']</v>
      </c>
      <c r="D897" s="3">
        <v>2.0</v>
      </c>
    </row>
    <row r="898" ht="15.75" customHeight="1">
      <c r="A898" s="1">
        <v>896.0</v>
      </c>
      <c r="B898" s="3" t="s">
        <v>899</v>
      </c>
      <c r="C898" s="3" t="str">
        <f>IFERROR(__xludf.DUMMYFUNCTION("GOOGLETRANSLATE(B898,""id"",""en"")"),"['', 'Telkomsel', 'The', 'Best', 'Facilitates', 'Transaction', 'Trima', 'Love', 'Telkomsel', 'Hopefully', 'Provider', 'Indonesia', "" ]")</f>
        <v>['', 'Telkomsel', 'The', 'Best', 'Facilitates', 'Transaction', 'Trima', 'Love', 'Telkomsel', 'Hopefully', 'Provider', 'Indonesia', " ]</v>
      </c>
      <c r="D898" s="3">
        <v>5.0</v>
      </c>
    </row>
    <row r="899" ht="15.75" customHeight="1">
      <c r="A899" s="1">
        <v>897.0</v>
      </c>
      <c r="B899" s="3" t="s">
        <v>900</v>
      </c>
      <c r="C899" s="3" t="str">
        <f>IFERROR(__xludf.DUMMYFUNCTION("GOOGLETRANSLATE(B899,""id"",""en"")"),"['Like', 'Telkom', 'Network', 'already', 'Open', 'YouTube', 'Terat', 'Terat', 'Posting it', 'Need', 'Minute']")</f>
        <v>['Like', 'Telkom', 'Network', 'already', 'Open', 'YouTube', 'Terat', 'Terat', 'Posting it', 'Need', 'Minute']</v>
      </c>
      <c r="D899" s="3">
        <v>1.0</v>
      </c>
    </row>
    <row r="900" ht="15.75" customHeight="1">
      <c r="A900" s="1">
        <v>898.0</v>
      </c>
      <c r="B900" s="3" t="s">
        <v>901</v>
      </c>
      <c r="C900" s="3" t="str">
        <f>IFERROR(__xludf.DUMMYFUNCTION("GOOGLETRANSLATE(B900,""id"",""en"")"),"['Package', 'Combo', 'Sakti', 'Lost', 'Yahh', 'Buy', 'Package', 'Combo', 'Sakti', 'Promo', 'pepahhhh']")</f>
        <v>['Package', 'Combo', 'Sakti', 'Lost', 'Yahh', 'Buy', 'Package', 'Combo', 'Sakti', 'Promo', 'pepahhhh']</v>
      </c>
      <c r="D900" s="3">
        <v>1.0</v>
      </c>
    </row>
    <row r="901" ht="15.75" customHeight="1">
      <c r="A901" s="1">
        <v>899.0</v>
      </c>
      <c r="B901" s="3" t="s">
        <v>902</v>
      </c>
      <c r="C901" s="3" t="str">
        <f>IFERROR(__xludf.DUMMYFUNCTION("GOOGLETRANSLATE(B901,""id"",""en"")"),"['Perfect', 'hope', 'in the future', 'complete', 'item', 'application', 'Telkomsel', ""]")</f>
        <v>['Perfect', 'hope', 'in the future', 'complete', 'item', 'application', 'Telkomsel', "]</v>
      </c>
      <c r="D901" s="3">
        <v>4.0</v>
      </c>
    </row>
    <row r="902" ht="15.75" customHeight="1">
      <c r="A902" s="1">
        <v>900.0</v>
      </c>
      <c r="B902" s="3" t="s">
        <v>903</v>
      </c>
      <c r="C902" s="3" t="str">
        <f>IFERROR(__xludf.DUMMYFUNCTION("GOOGLETRANSLATE(B902,""id"",""en"")"),"['God', 'signal', 'severe', 'poll', 'bibis',' bunder ',' krian ',' kab ',' sidoarjo ',' gini ',' forced ',' replace ',' Providers', 'Internet', 'Pay', 'Expensive', 'Quality', 'Zero', 'Reply', 'Use', 'Bot', 'Min', 'Sampe', 'Beware', 'Guy' , 'oathin', 'croo"&amp;"ked', 'girl', 'swear', 'deadlock']")</f>
        <v>['God', 'signal', 'severe', 'poll', 'bibis',' bunder ',' krian ',' kab ',' sidoarjo ',' gini ',' forced ',' replace ',' Providers', 'Internet', 'Pay', 'Expensive', 'Quality', 'Zero', 'Reply', 'Use', 'Bot', 'Min', 'Sampe', 'Beware', 'Guy' , 'oathin', 'crooked', 'girl', 'swear', 'deadlock']</v>
      </c>
      <c r="D902" s="3">
        <v>1.0</v>
      </c>
    </row>
    <row r="903" ht="15.75" customHeight="1">
      <c r="A903" s="1">
        <v>901.0</v>
      </c>
      <c r="B903" s="3" t="s">
        <v>904</v>
      </c>
      <c r="C903" s="3" t="str">
        <f>IFERROR(__xludf.DUMMYFUNCTION("GOOGLETRANSLATE(B903,""id"",""en"")"),"['already', 'buy', 'package', 'internet', 'already', 'chick', 'right', 'dipake', 'browsing', 'tetep', 'sucked', 'pulses',' Telkomsel ',' Gini ',' Sampe ',' Date ',' yaa ',' Solution ',' Nge ',' IG ',' Dibales', 'Mantaplah', ""]")</f>
        <v>['already', 'buy', 'package', 'internet', 'already', 'chick', 'right', 'dipake', 'browsing', 'tetep', 'sucked', 'pulses',' Telkomsel ',' Gini ',' Sampe ',' Date ',' yaa ',' Solution ',' Nge ',' IG ',' Dibales', 'Mantaplah', "]</v>
      </c>
      <c r="D903" s="3">
        <v>1.0</v>
      </c>
    </row>
    <row r="904" ht="15.75" customHeight="1">
      <c r="A904" s="1">
        <v>902.0</v>
      </c>
      <c r="B904" s="3" t="s">
        <v>905</v>
      </c>
      <c r="C904" s="3" t="str">
        <f>IFERROR(__xludf.DUMMYFUNCTION("GOOGLETRANSLATE(B904,""id"",""en"")"),"['Please', 'Fix', 'Quality', 'Sinyal', 'Didesa', 'Trimulyo', 'Kecamatan', 'Merbau', 'Mataram', 'Lampung', 'South', 'Turning', ' Calls', 'Video', 'Call', 'HARD', 'QUALITY', 'PICTURE', 'BAD', '']")</f>
        <v>['Please', 'Fix', 'Quality', 'Sinyal', 'Didesa', 'Trimulyo', 'Kecamatan', 'Merbau', 'Mataram', 'Lampung', 'South', 'Turning', ' Calls', 'Video', 'Call', 'HARD', 'QUALITY', 'PICTURE', 'BAD', '']</v>
      </c>
      <c r="D904" s="3">
        <v>4.0</v>
      </c>
    </row>
    <row r="905" ht="15.75" customHeight="1">
      <c r="A905" s="1">
        <v>903.0</v>
      </c>
      <c r="B905" s="3" t="s">
        <v>906</v>
      </c>
      <c r="C905" s="3" t="str">
        <f>IFERROR(__xludf.DUMMYFUNCTION("GOOGLETRANSLATE(B905,""id"",""en"")"),"['Telkomsel', 'slow', 'network', 'appeal', 'provider', 'kenceng', 'survive', 'expensive', 'price']")</f>
        <v>['Telkomsel', 'slow', 'network', 'appeal', 'provider', 'kenceng', 'survive', 'expensive', 'price']</v>
      </c>
      <c r="D905" s="3">
        <v>1.0</v>
      </c>
    </row>
    <row r="906" ht="15.75" customHeight="1">
      <c r="A906" s="1">
        <v>904.0</v>
      </c>
      <c r="B906" s="3" t="s">
        <v>907</v>
      </c>
      <c r="C906" s="3" t="str">
        <f>IFERROR(__xludf.DUMMYFUNCTION("GOOGLETRANSLATE(B906,""id"",""en"")"),"['Rain', 'Hoiculture', 'Buy', 'Card', 'Telkomsel', 'Bela', 'Belain', 'Nyanyain', 'Money', 'Buy', 'Vocher', 'Internet', ' home ',' code ',' vocher ',' input ',' answer ',' system ',' disorder ',' busy ',' defense ',' belaya ',' minjem ',' cellphone ',' fri"&amp;"end ' , 'Call', 'center', 'double', 'twists',' answer ',' please ',' wait ',' clock ',' try ',' your vocher ',' expired ',' active ',' Vocher ',' Try ',' buy ',' application ',' system ',' Elor ',' busy ',' yaudahlah ',' gapapa ',' thank you ', ""]")</f>
        <v>['Rain', 'Hoiculture', 'Buy', 'Card', 'Telkomsel', 'Bela', 'Belain', 'Nyanyain', 'Money', 'Buy', 'Vocher', 'Internet', ' home ',' code ',' vocher ',' input ',' answer ',' system ',' disorder ',' busy ',' defense ',' belaya ',' minjem ',' cellphone ',' friend ' , 'Call', 'center', 'double', 'twists',' answer ',' please ',' wait ',' clock ',' try ',' your vocher ',' expired ',' active ',' Vocher ',' Try ',' buy ',' application ',' system ',' Elor ',' busy ',' yaudahlah ',' gapapa ',' thank you ', "]</v>
      </c>
      <c r="D906" s="3">
        <v>1.0</v>
      </c>
    </row>
    <row r="907" ht="15.75" customHeight="1">
      <c r="A907" s="1">
        <v>905.0</v>
      </c>
      <c r="B907" s="3" t="s">
        <v>908</v>
      </c>
      <c r="C907" s="3" t="str">
        <f>IFERROR(__xludf.DUMMYFUNCTION("GOOGLETRANSLATE(B907,""id"",""en"")"),"['updated', 'already', 'turn', 'enter', 'application', 'update', 'tlg', 'repaired', 'Telkomsel', 'best', ""]")</f>
        <v>['updated', 'already', 'turn', 'enter', 'application', 'update', 'tlg', 'repaired', 'Telkomsel', 'best', "]</v>
      </c>
      <c r="D907" s="3">
        <v>5.0</v>
      </c>
    </row>
    <row r="908" ht="15.75" customHeight="1">
      <c r="A908" s="1">
        <v>906.0</v>
      </c>
      <c r="B908" s="3" t="s">
        <v>909</v>
      </c>
      <c r="C908" s="3" t="str">
        <f>IFERROR(__xludf.DUMMYFUNCTION("GOOGLETRANSLATE(B908,""id"",""en"")"),"['price', 'package', 'doang', 'expensive', 'nets',' package ',' cheap ',' expensive ',' expensive ',' smooth ',' smooth ',' play ',' Wait ',' minutes', 'enter', 'loading', 'Loading', 'base', 'clever', 'cuih', 'let's',' Indosat ',' smooth ',' cheap ',' bas"&amp;"e ' , 'Kang', 'Maling', 'pulse', 'let's', 'eat', ""]")</f>
        <v>['price', 'package', 'doang', 'expensive', 'nets',' package ',' cheap ',' expensive ',' expensive ',' smooth ',' smooth ',' play ',' Wait ',' minutes', 'enter', 'loading', 'Loading', 'base', 'clever', 'cuih', 'let's',' Indosat ',' smooth ',' cheap ',' base ' , 'Kang', 'Maling', 'pulse', 'let's', 'eat', "]</v>
      </c>
      <c r="D908" s="3">
        <v>1.0</v>
      </c>
    </row>
    <row r="909" ht="15.75" customHeight="1">
      <c r="A909" s="1">
        <v>907.0</v>
      </c>
      <c r="B909" s="3" t="s">
        <v>910</v>
      </c>
      <c r="C909" s="3" t="str">
        <f>IFERROR(__xludf.DUMMYFUNCTION("GOOGLETRANSLATE(B909,""id"",""en"")"),"['Tekomsel', 'synchy', 'ugly', 'play', 'game', 'difficult', 'really', 'rich', 'gini', 'replace', 'profaider', 'expensive', ' his signal ',' slow ',' package ',' omgt ',' play ',' games', 'please', 'price', 'dang', 'gedein', 'quality', 'server']")</f>
        <v>['Tekomsel', 'synchy', 'ugly', 'play', 'game', 'difficult', 'really', 'rich', 'gini', 'replace', 'profaider', 'expensive', ' his signal ',' slow ',' package ',' omgt ',' play ',' games', 'please', 'price', 'dang', 'gedein', 'quality', 'server']</v>
      </c>
      <c r="D909" s="3">
        <v>1.0</v>
      </c>
    </row>
    <row r="910" ht="15.75" customHeight="1">
      <c r="A910" s="1">
        <v>908.0</v>
      </c>
      <c r="B910" s="3" t="s">
        <v>911</v>
      </c>
      <c r="C910" s="3" t="str">
        <f>IFERROR(__xludf.DUMMYFUNCTION("GOOGLETRANSLATE(B910,""id"",""en"")"),"['Choose', 'Telkomsel', 'Network', 'smooth', 'GPP', 'Mahalan', 'a little', 'bad', 'pay', 'expensive', 'thank', 'love']")</f>
        <v>['Choose', 'Telkomsel', 'Network', 'smooth', 'GPP', 'Mahalan', 'a little', 'bad', 'pay', 'expensive', 'thank', 'love']</v>
      </c>
      <c r="D910" s="3">
        <v>1.0</v>
      </c>
    </row>
    <row r="911" ht="15.75" customHeight="1">
      <c r="A911" s="1">
        <v>909.0</v>
      </c>
      <c r="B911" s="3" t="s">
        <v>912</v>
      </c>
      <c r="C911" s="3" t="str">
        <f>IFERROR(__xludf.DUMMYFUNCTION("GOOGLETRANSLATE(B911,""id"",""en"")"),"['The name', 'easy', 'remote', 'slow', 'tasty', 'really', 'success', 'Telkomsel', 'Love', 'You', 'Much', 'mmmmmmmmuachhhh']")</f>
        <v>['The name', 'easy', 'remote', 'slow', 'tasty', 'really', 'success', 'Telkomsel', 'Love', 'You', 'Much', 'mmmmmmmmuachhhh']</v>
      </c>
      <c r="D911" s="3">
        <v>5.0</v>
      </c>
    </row>
    <row r="912" ht="15.75" customHeight="1">
      <c r="A912" s="1">
        <v>910.0</v>
      </c>
      <c r="B912" s="3" t="s">
        <v>913</v>
      </c>
      <c r="C912" s="3" t="str">
        <f>IFERROR(__xludf.DUMMYFUNCTION("GOOGLETRANSLATE(B912,""id"",""en"")"),"['Young', 'buy', 'pulse', 'data', 'internet', 'promo', 'exchange', 'point']")</f>
        <v>['Young', 'buy', 'pulse', 'data', 'internet', 'promo', 'exchange', 'point']</v>
      </c>
      <c r="D912" s="3">
        <v>5.0</v>
      </c>
    </row>
    <row r="913" ht="15.75" customHeight="1">
      <c r="A913" s="1">
        <v>911.0</v>
      </c>
      <c r="B913" s="3" t="s">
        <v>914</v>
      </c>
      <c r="C913" s="3" t="str">
        <f>IFERROR(__xludf.DUMMYFUNCTION("GOOGLETRANSLATE(B913,""id"",""en"")"),"['email', 'bales', 'Telkomsel', 'skrng', 'application', 'buy', 'product', 'rich', 'match', 'product', 'BUMN']")</f>
        <v>['email', 'bales', 'Telkomsel', 'skrng', 'application', 'buy', 'product', 'rich', 'match', 'product', 'BUMN']</v>
      </c>
      <c r="D913" s="3">
        <v>1.0</v>
      </c>
    </row>
    <row r="914" ht="15.75" customHeight="1">
      <c r="A914" s="1">
        <v>912.0</v>
      </c>
      <c r="B914" s="3" t="s">
        <v>915</v>
      </c>
      <c r="C914" s="3" t="str">
        <f>IFERROR(__xludf.DUMMYFUNCTION("GOOGLETRANSLATE(B914,""id"",""en"")"),"['Telkomsel', 'provider', 'worst', 'price', 'expensive', 'quality', 'network', 'worst', 'tdak', 'convenience', 'telkomsel', 'jingan', ' slow ',' like ',' lost ',' play ',' game ',' please ',' fix ',' network ', ""]")</f>
        <v>['Telkomsel', 'provider', 'worst', 'price', 'expensive', 'quality', 'network', 'worst', 'tdak', 'convenience', 'telkomsel', 'jingan', ' slow ',' like ',' lost ',' play ',' game ',' please ',' fix ',' network ', "]</v>
      </c>
      <c r="D914" s="3">
        <v>1.0</v>
      </c>
    </row>
    <row r="915" ht="15.75" customHeight="1">
      <c r="A915" s="1">
        <v>913.0</v>
      </c>
      <c r="B915" s="3" t="s">
        <v>916</v>
      </c>
      <c r="C915" s="3" t="str">
        <f>IFERROR(__xludf.DUMMYFUNCTION("GOOGLETRANSLATE(B915,""id"",""en"")"),"['already', 'check', 'right', 'update', 'check', 'please', 'already', 'ngk', 'gyma', 'already', 'network', 'ngelag', ' ']")</f>
        <v>['already', 'check', 'right', 'update', 'check', 'please', 'already', 'ngk', 'gyma', 'already', 'network', 'ngelag', ' ']</v>
      </c>
      <c r="D915" s="3">
        <v>1.0</v>
      </c>
    </row>
    <row r="916" ht="15.75" customHeight="1">
      <c r="A916" s="1">
        <v>914.0</v>
      </c>
      <c r="B916" s="3" t="s">
        <v>917</v>
      </c>
      <c r="C916" s="3" t="str">
        <f>IFERROR(__xludf.DUMMYFUNCTION("GOOGLETRANSLATE(B916,""id"",""en"")"),"['Thank "",' Kasi ',' Telkomsel ',' hope ',' price ',' package ',' data ',' card ',' cheap ',' ']")</f>
        <v>['Thank ",' Kasi ',' Telkomsel ',' hope ',' price ',' package ',' data ',' card ',' cheap ',' ']</v>
      </c>
      <c r="D916" s="3">
        <v>5.0</v>
      </c>
    </row>
    <row r="917" ht="15.75" customHeight="1">
      <c r="A917" s="1">
        <v>915.0</v>
      </c>
      <c r="B917" s="3" t="s">
        <v>918</v>
      </c>
      <c r="C917" s="3" t="str">
        <f>IFERROR(__xludf.DUMMYFUNCTION("GOOGLETRANSLATE(B917,""id"",""en"")"),"['Sorry', 'Reduce', 'star', 'The network', 'here', 'ugly', 'Please', 'repaired']")</f>
        <v>['Sorry', 'Reduce', 'star', 'The network', 'here', 'ugly', 'Please', 'repaired']</v>
      </c>
      <c r="D917" s="3">
        <v>2.0</v>
      </c>
    </row>
    <row r="918" ht="15.75" customHeight="1">
      <c r="A918" s="1">
        <v>916.0</v>
      </c>
      <c r="B918" s="3" t="s">
        <v>919</v>
      </c>
      <c r="C918" s="3" t="str">
        <f>IFERROR(__xludf.DUMMYFUNCTION("GOOGLETRANSLATE(B918,""id"",""en"")"),"['Buy', 'Package', 'Lag', 'Forgiveness', 'Mending', 'Move', 'Indosat']")</f>
        <v>['Buy', 'Package', 'Lag', 'Forgiveness', 'Mending', 'Move', 'Indosat']</v>
      </c>
      <c r="D918" s="3">
        <v>1.0</v>
      </c>
    </row>
    <row r="919" ht="15.75" customHeight="1">
      <c r="A919" s="1">
        <v>917.0</v>
      </c>
      <c r="B919" s="3" t="s">
        <v>920</v>
      </c>
      <c r="C919" s="3" t="str">
        <f>IFERROR(__xludf.DUMMYFUNCTION("GOOGLETRANSLATE(B919,""id"",""en"")"),"['buy', 'quota', 'leftover', 'right', 'open', 'internet', 'pulses', 'regular', 'suck', 'until', 'internetmya', 'no' the road ',' validger ',' please ',' ']")</f>
        <v>['buy', 'quota', 'leftover', 'right', 'open', 'internet', 'pulses', 'regular', 'suck', 'until', 'internetmya', 'no' the road ',' validger ',' please ',' ']</v>
      </c>
      <c r="D919" s="3">
        <v>1.0</v>
      </c>
    </row>
    <row r="920" ht="15.75" customHeight="1">
      <c r="A920" s="1">
        <v>918.0</v>
      </c>
      <c r="B920" s="3" t="s">
        <v>921</v>
      </c>
      <c r="C920" s="3" t="str">
        <f>IFERROR(__xludf.DUMMYFUNCTION("GOOGLETRANSLATE(B920,""id"",""en"")"),"['Ngga', 'Satisfied', 'Signal', 'Telkom', 'Slow', 'Severe', 'Video', 'Call', 'Broken', 'Severe', ""]")</f>
        <v>['Ngga', 'Satisfied', 'Signal', 'Telkom', 'Slow', 'Severe', 'Video', 'Call', 'Broken', 'Severe', "]</v>
      </c>
      <c r="D920" s="3">
        <v>2.0</v>
      </c>
    </row>
    <row r="921" ht="15.75" customHeight="1">
      <c r="A921" s="1">
        <v>919.0</v>
      </c>
      <c r="B921" s="3" t="s">
        <v>922</v>
      </c>
      <c r="C921" s="3" t="str">
        <f>IFERROR(__xludf.DUMMYFUNCTION("GOOGLETRANSLATE(B921,""id"",""en"")"),"['Recommend', 'Play', 'Mobile', 'Legend', 'Please', 'Select', 'Provider', 'Play', 'Game', 'Online', ""]")</f>
        <v>['Recommend', 'Play', 'Mobile', 'Legend', 'Please', 'Select', 'Provider', 'Play', 'Game', 'Online', "]</v>
      </c>
      <c r="D921" s="3">
        <v>1.0</v>
      </c>
    </row>
    <row r="922" ht="15.75" customHeight="1">
      <c r="A922" s="1">
        <v>920.0</v>
      </c>
      <c r="B922" s="3" t="s">
        <v>923</v>
      </c>
      <c r="C922" s="3" t="str">
        <f>IFERROR(__xludf.DUMMYFUNCTION("GOOGLETRANSLATE(B922,""id"",""en"")"),"['network', 'Telkomsel', 'bad', 'price', 'package', 'expensive', 'mending', 'change', 'provider']")</f>
        <v>['network', 'Telkomsel', 'bad', 'price', 'package', 'expensive', 'mending', 'change', 'provider']</v>
      </c>
      <c r="D922" s="3">
        <v>1.0</v>
      </c>
    </row>
    <row r="923" ht="15.75" customHeight="1">
      <c r="A923" s="1">
        <v>921.0</v>
      </c>
      <c r="B923" s="3" t="s">
        <v>924</v>
      </c>
      <c r="C923" s="3" t="str">
        <f>IFERROR(__xludf.DUMMYFUNCTION("GOOGLETRANSLATE(B923,""id"",""en"")"),"['bbrpa', 'pulse', 'reduced', 'notif', 'user', 'compact', 'moved', 'diligent', 'really', 'buy', 'package', 'buy', ' Credit ',' Help ',' Taken ',' Right ',' Komplen ',' Twitter ',' Krna ',' Lazy ',' Email ',' Response ',' Direct ', ""]")</f>
        <v>['bbrpa', 'pulse', 'reduced', 'notif', 'user', 'compact', 'moved', 'diligent', 'really', 'buy', 'package', 'buy', ' Credit ',' Help ',' Taken ',' Right ',' Komplen ',' Twitter ',' Krna ',' Lazy ',' Email ',' Response ',' Direct ', "]</v>
      </c>
      <c r="D923" s="3">
        <v>1.0</v>
      </c>
    </row>
    <row r="924" ht="15.75" customHeight="1">
      <c r="A924" s="1">
        <v>922.0</v>
      </c>
      <c r="B924" s="3" t="s">
        <v>925</v>
      </c>
      <c r="C924" s="3" t="str">
        <f>IFERROR(__xludf.DUMMYFUNCTION("GOOGLETRANSLATE(B924,""id"",""en"")"),"['If', 'Bintang', 'minus', 'one hundred "",' already ',' Sya ',' love ',' rate ',' pulse ',' lost ',' trail ',' action ',' satisfying ',' according to ',' template ']")</f>
        <v>['If', 'Bintang', 'minus', 'one hundred ",' already ',' Sya ',' love ',' rate ',' pulse ',' lost ',' trail ',' action ',' satisfying ',' according to ',' template ']</v>
      </c>
      <c r="D924" s="3">
        <v>1.0</v>
      </c>
    </row>
    <row r="925" ht="15.75" customHeight="1">
      <c r="A925" s="1">
        <v>923.0</v>
      </c>
      <c r="B925" s="3" t="s">
        <v>926</v>
      </c>
      <c r="C925" s="3" t="str">
        <f>IFERROR(__xludf.DUMMYFUNCTION("GOOGLETRANSLATE(B925,""id"",""en"")"),"['network', 'Telkomsel', 'speeding', 'price', 'expensive', 'village', 'like', 'use', 'card', 'Telkomsel', 'disappointing', 'kek', ' Gini ',' people ',' moved ',' provider ',' family ',' cave ',' live ',' cave ',' use ',' card ',' Telkomsel ',' already ','"&amp;" moved ' , 'Provider', '']")</f>
        <v>['network', 'Telkomsel', 'speeding', 'price', 'expensive', 'village', 'like', 'use', 'card', 'Telkomsel', 'disappointing', 'kek', ' Gini ',' people ',' moved ',' provider ',' family ',' cave ',' live ',' cave ',' use ',' card ',' Telkomsel ',' already ',' moved ' , 'Provider', '']</v>
      </c>
      <c r="D925" s="3">
        <v>1.0</v>
      </c>
    </row>
    <row r="926" ht="15.75" customHeight="1">
      <c r="A926" s="1">
        <v>924.0</v>
      </c>
      <c r="B926" s="3" t="s">
        <v>927</v>
      </c>
      <c r="C926" s="3" t="str">
        <f>IFERROR(__xludf.DUMMYFUNCTION("GOOGLETRANSLATE(B926,""id"",""en"")"),"['Assalamualaikum', 'gave', 'price', 'package', 'rich', 'devil', 'no', 'friendly', 'student', '']")</f>
        <v>['Assalamualaikum', 'gave', 'price', 'package', 'rich', 'devil', 'no', 'friendly', 'student', '']</v>
      </c>
      <c r="D926" s="3">
        <v>2.0</v>
      </c>
    </row>
    <row r="927" ht="15.75" customHeight="1">
      <c r="A927" s="1">
        <v>925.0</v>
      </c>
      <c r="B927" s="3" t="s">
        <v>928</v>
      </c>
      <c r="C927" s="3" t="str">
        <f>IFERROR(__xludf.DUMMYFUNCTION("GOOGLETRANSLATE(B927,""id"",""en"")"),"['Contact', 'Bales', 'Bot', 'Change', 'Signal', 'Slow', 'Severe']")</f>
        <v>['Contact', 'Bales', 'Bot', 'Change', 'Signal', 'Slow', 'Severe']</v>
      </c>
      <c r="D927" s="3">
        <v>2.0</v>
      </c>
    </row>
    <row r="928" ht="15.75" customHeight="1">
      <c r="A928" s="1">
        <v>926.0</v>
      </c>
      <c r="B928" s="3" t="s">
        <v>929</v>
      </c>
      <c r="C928" s="3" t="str">
        <f>IFERROR(__xludf.DUMMYFUNCTION("GOOGLETRANSLATE(B928,""id"",""en"")"),"['Driver', 'Grab', 'harmed', 'Distribution', 'Data', 'Useful', 'TRIMS']")</f>
        <v>['Driver', 'Grab', 'harmed', 'Distribution', 'Data', 'Useful', 'TRIMS']</v>
      </c>
      <c r="D928" s="3">
        <v>1.0</v>
      </c>
    </row>
    <row r="929" ht="15.75" customHeight="1">
      <c r="A929" s="1">
        <v>927.0</v>
      </c>
      <c r="B929" s="3" t="s">
        <v>930</v>
      </c>
      <c r="C929" s="3" t="str">
        <f>IFERROR(__xludf.DUMMYFUNCTION("GOOGLETRANSLATE(B929,""id"",""en"")"),"['ilangin', 'star', 'love', 'star', 'package', 'combo', 'sakti', 'card', 'lost', 'change', 'package', 'omg', ' The price ',' exorbitant ',' Dimanded ',' quota ',' watching ',' ']")</f>
        <v>['ilangin', 'star', 'love', 'star', 'package', 'combo', 'sakti', 'card', 'lost', 'change', 'package', 'omg', ' The price ',' exorbitant ',' Dimanded ',' quota ',' watching ',' ']</v>
      </c>
      <c r="D929" s="3">
        <v>1.0</v>
      </c>
    </row>
    <row r="930" ht="15.75" customHeight="1">
      <c r="A930" s="1">
        <v>928.0</v>
      </c>
      <c r="B930" s="3" t="s">
        <v>931</v>
      </c>
      <c r="C930" s="3" t="str">
        <f>IFERROR(__xludf.DUMMYFUNCTION("GOOGLETRANSLATE(B930,""id"",""en"")"),"['', 'quota', 'expensive', 'network', 'comparable', 'price', 'quota', 'slow', 'really', 'network', 'telkom']")</f>
        <v>['', 'quota', 'expensive', 'network', 'comparable', 'price', 'quota', 'slow', 'really', 'network', 'telkom']</v>
      </c>
      <c r="D930" s="3">
        <v>1.0</v>
      </c>
    </row>
    <row r="931" ht="15.75" customHeight="1">
      <c r="A931" s="1">
        <v>929.0</v>
      </c>
      <c r="B931" s="3" t="s">
        <v>932</v>
      </c>
      <c r="C931" s="3" t="str">
        <f>IFERROR(__xludf.DUMMYFUNCTION("GOOGLETRANSLATE(B931,""id"",""en"")"),"['Credit', 'Cut', 'Package', 'Data', 'Quota', '']")</f>
        <v>['Credit', 'Cut', 'Package', 'Data', 'Quota', '']</v>
      </c>
      <c r="D931" s="3">
        <v>1.0</v>
      </c>
    </row>
    <row r="932" ht="15.75" customHeight="1">
      <c r="A932" s="1">
        <v>930.0</v>
      </c>
      <c r="B932" s="3" t="s">
        <v>933</v>
      </c>
      <c r="C932" s="3" t="str">
        <f>IFERROR(__xludf.DUMMYFUNCTION("GOOGLETRANSLATE(B932,""id"",""en"")"),"['Sis',' please ',' fix ',' cook ',' told ',' enter ',' number ',' Telkomsel ',' press', 'enter', 'Kasi', 'wait', ' Fix ',' cave ',' Kasi ',' ']")</f>
        <v>['Sis',' please ',' fix ',' cook ',' told ',' enter ',' number ',' Telkomsel ',' press', 'enter', 'Kasi', 'wait', ' Fix ',' cave ',' Kasi ',' ']</v>
      </c>
      <c r="D932" s="3">
        <v>1.0</v>
      </c>
    </row>
    <row r="933" ht="15.75" customHeight="1">
      <c r="A933" s="1">
        <v>931.0</v>
      </c>
      <c r="B933" s="3" t="s">
        <v>934</v>
      </c>
      <c r="C933" s="3" t="str">
        <f>IFERROR(__xludf.DUMMYFUNCTION("GOOGLETRANSLATE(B933,""id"",""en"")"),"['Telkomsel', 'Telkomsel', 'Please', 'Fix', 'Quality', 'The Network', 'Use', 'Numbers', 'Mending', 'Use', 'Numbers', 'Disappointed']")</f>
        <v>['Telkomsel', 'Telkomsel', 'Please', 'Fix', 'Quality', 'The Network', 'Use', 'Numbers', 'Mending', 'Use', 'Numbers', 'Disappointed']</v>
      </c>
      <c r="D933" s="3">
        <v>1.0</v>
      </c>
    </row>
    <row r="934" ht="15.75" customHeight="1">
      <c r="A934" s="1">
        <v>932.0</v>
      </c>
      <c r="B934" s="3" t="s">
        <v>935</v>
      </c>
      <c r="C934" s="3" t="str">
        <f>IFERROR(__xludf.DUMMYFUNCTION("GOOGLETRANSLATE(B934,""id"",""en"")"),"['signal', 'invites', 'noise', 'original', 'Ytan', 'game', 'difficult', 'Loading', 'Mulu', 'quota']")</f>
        <v>['signal', 'invites', 'noise', 'original', 'Ytan', 'game', 'difficult', 'Loading', 'Mulu', 'quota']</v>
      </c>
      <c r="D934" s="3">
        <v>2.0</v>
      </c>
    </row>
    <row r="935" ht="15.75" customHeight="1">
      <c r="A935" s="1">
        <v>933.0</v>
      </c>
      <c r="B935" s="3" t="s">
        <v>936</v>
      </c>
      <c r="C935" s="3" t="str">
        <f>IFERROR(__xludf.DUMMYFUNCTION("GOOGLETRANSLATE(B935,""id"",""en"")"),"['sympathy', 'slow', 'wifi', 'dirmh', 'indihome', 'slow', 'hopefully', 'fast', 'repairs',' cable ',' sea ',' jewelry ',' ']")</f>
        <v>['sympathy', 'slow', 'wifi', 'dirmh', 'indihome', 'slow', 'hopefully', 'fast', 'repairs',' cable ',' sea ',' jewelry ',' ']</v>
      </c>
      <c r="D935" s="3">
        <v>5.0</v>
      </c>
    </row>
    <row r="936" ht="15.75" customHeight="1">
      <c r="A936" s="1">
        <v>934.0</v>
      </c>
      <c r="B936" s="3" t="s">
        <v>937</v>
      </c>
      <c r="C936" s="3" t="str">
        <f>IFERROR(__xludf.DUMMYFUNCTION("GOOGLETRANSLATE(B936,""id"",""en"")"),"['Good', 'City', 'City', 'Telkom', 'Slow', 'Network', '']")</f>
        <v>['Good', 'City', 'City', 'Telkom', 'Slow', 'Network', '']</v>
      </c>
      <c r="D936" s="3">
        <v>5.0</v>
      </c>
    </row>
    <row r="937" ht="15.75" customHeight="1">
      <c r="A937" s="1">
        <v>935.0</v>
      </c>
      <c r="B937" s="3" t="s">
        <v>938</v>
      </c>
      <c r="C937" s="3" t="str">
        <f>IFERROR(__xludf.DUMMYFUNCTION("GOOGLETRANSLATE(B937,""id"",""en"")"),"['Honest', 'comfortable', 'use', 'Telkomsel', 'price', 'expensive', 'balanced', 'because' good ',' here ',' Telkomsel ',' super ',' slow ',' severe ',' balanced ',' price ',' moved ',' provider ',' disappointed ']")</f>
        <v>['Honest', 'comfortable', 'use', 'Telkomsel', 'price', 'expensive', 'balanced', 'because' good ',' here ',' Telkomsel ',' super ',' slow ',' severe ',' balanced ',' price ',' moved ',' provider ',' disappointed ']</v>
      </c>
      <c r="D937" s="3">
        <v>1.0</v>
      </c>
    </row>
    <row r="938" ht="15.75" customHeight="1">
      <c r="A938" s="1">
        <v>936.0</v>
      </c>
      <c r="B938" s="3" t="s">
        <v>939</v>
      </c>
      <c r="C938" s="3" t="str">
        <f>IFERROR(__xludf.DUMMYFUNCTION("GOOGLETRANSLATE(B938,""id"",""en"")"),"['Strange', 'Telkomsel', 'Emotion', 'Cook', 'Enter', 'Application', 'Writing', 'Gogle', 'Stop', 'then', 'Gogle', 'Play', ' Stop ',' Ampe ',' Application ',' Responding ',' Kek ',' Sampe ',' Check ',' Quota ',' Dead ',' Plis', 'Fix', 'Bug', 'Delicious' , '"&amp;"heart', 'hope', 'fast', 'overcome', 'gini', 'then', 'mending', 'moved', 'provider', 'deh', ""]")</f>
        <v>['Strange', 'Telkomsel', 'Emotion', 'Cook', 'Enter', 'Application', 'Writing', 'Gogle', 'Stop', 'then', 'Gogle', 'Play', ' Stop ',' Ampe ',' Application ',' Responding ',' Kek ',' Sampe ',' Check ',' Quota ',' Dead ',' Plis', 'Fix', 'Bug', 'Delicious' , 'heart', 'hope', 'fast', 'overcome', 'gini', 'then', 'mending', 'moved', 'provider', 'deh', "]</v>
      </c>
      <c r="D938" s="3">
        <v>1.0</v>
      </c>
    </row>
    <row r="939" ht="15.75" customHeight="1">
      <c r="A939" s="1">
        <v>937.0</v>
      </c>
      <c r="B939" s="3" t="s">
        <v>940</v>
      </c>
      <c r="C939" s="3" t="str">
        <f>IFERROR(__xludf.DUMMYFUNCTION("GOOGLETRANSLATE(B939,""id"",""en"")"),"['already', 'package', 'expensive', 'slow', 'understand', 'disorder', 'already', 'solution', 'dragging', 'gini', 'company', 'gini', ' motion ',' fast ',' plant ',' company ',' kayak ',' telkomsel ',' troble ',' dragging ',' annoyed ',' please ',' fix ',' "&amp;"times']")</f>
        <v>['already', 'package', 'expensive', 'slow', 'understand', 'disorder', 'already', 'solution', 'dragging', 'gini', 'company', 'gini', ' motion ',' fast ',' plant ',' company ',' kayak ',' telkomsel ',' troble ',' dragging ',' annoyed ',' please ',' fix ',' times']</v>
      </c>
      <c r="D939" s="3">
        <v>1.0</v>
      </c>
    </row>
    <row r="940" ht="15.75" customHeight="1">
      <c r="A940" s="1">
        <v>938.0</v>
      </c>
      <c r="B940" s="3" t="s">
        <v>941</v>
      </c>
      <c r="C940" s="3" t="str">
        <f>IFERROR(__xludf.DUMMYFUNCTION("GOOGLETRANSLATE(B940,""id"",""en"")"),"['operator', 'cellular', 'best', 'service', 'reach', 'price', 'promo', 'interesting', '']")</f>
        <v>['operator', 'cellular', 'best', 'service', 'reach', 'price', 'promo', 'interesting', '']</v>
      </c>
      <c r="D940" s="3">
        <v>4.0</v>
      </c>
    </row>
    <row r="941" ht="15.75" customHeight="1">
      <c r="A941" s="1">
        <v>939.0</v>
      </c>
      <c r="B941" s="3" t="s">
        <v>942</v>
      </c>
      <c r="C941" s="3" t="str">
        <f>IFERROR(__xludf.DUMMYFUNCTION("GOOGLETRANSLATE(B941,""id"",""en"")"),"['package', 'expensive', 'network', 'destroyed', 'telkom', ""]")</f>
        <v>['package', 'expensive', 'network', 'destroyed', 'telkom', "]</v>
      </c>
      <c r="D941" s="3">
        <v>1.0</v>
      </c>
    </row>
    <row r="942" ht="15.75" customHeight="1">
      <c r="A942" s="1">
        <v>940.0</v>
      </c>
      <c r="B942" s="3" t="s">
        <v>943</v>
      </c>
      <c r="C942" s="3" t="str">
        <f>IFERROR(__xludf.DUMMYFUNCTION("GOOGLETRANSLATE(B942,""id"",""en"")"),"['Hello', 'Devloer', 'Telkomsel', 'Love', 'Review', 'Network', 'Telkomsel', 'Leet', 'MOVER', 'Card', 'Telkomsel', 'Leet', ' times', 'network', 'Telkomsel', 'network', 'smooth', 'faporit', 'net', 'one hundred', 'one hundred', 'pass',' play ',' free ',' Fir"&amp;"e ' , 'network', 'network', 'sometimes', 'sometimes', 'please', 'deh', 'fix', 'slow', 'user', 'lebhsenag']")</f>
        <v>['Hello', 'Devloer', 'Telkomsel', 'Love', 'Review', 'Network', 'Telkomsel', 'Leet', 'MOVER', 'Card', 'Telkomsel', 'Leet', ' times', 'network', 'Telkomsel', 'network', 'smooth', 'faporit', 'net', 'one hundred', 'one hundred', 'pass',' play ',' free ',' Fire ' , 'network', 'network', 'sometimes', 'sometimes', 'please', 'deh', 'fix', 'slow', 'user', 'lebhsenag']</v>
      </c>
      <c r="D942" s="3">
        <v>3.0</v>
      </c>
    </row>
    <row r="943" ht="15.75" customHeight="1">
      <c r="A943" s="1">
        <v>941.0</v>
      </c>
      <c r="B943" s="3" t="s">
        <v>944</v>
      </c>
      <c r="C943" s="3" t="str">
        <f>IFERROR(__xludf.DUMMYFUNCTION("GOOGLETRANSLATE(B943,""id"",""en"")"),"['already', 'Not bad', 'good', 'signal', 'play', 'game', 'bngt', 'please', 'fix', 'lahh', ""]")</f>
        <v>['already', 'Not bad', 'good', 'signal', 'play', 'game', 'bngt', 'please', 'fix', 'lahh', "]</v>
      </c>
      <c r="D943" s="3">
        <v>1.0</v>
      </c>
    </row>
    <row r="944" ht="15.75" customHeight="1">
      <c r="A944" s="1">
        <v>942.0</v>
      </c>
      <c r="B944" s="3" t="s">
        <v>945</v>
      </c>
      <c r="C944" s="3" t="str">
        <f>IFERROR(__xludf.DUMMYFUNCTION("GOOGLETRANSLATE(B944,""id"",""en"")"),"['', 'Telkomsel', 'help', 'hope', 'times', 'as', 'Poor', 'poor', 'getting', 'Rejeki', 'Telkomsel', ""]")</f>
        <v>['', 'Telkomsel', 'help', 'hope', 'times', 'as', 'Poor', 'poor', 'getting', 'Rejeki', 'Telkomsel', "]</v>
      </c>
      <c r="D944" s="3">
        <v>5.0</v>
      </c>
    </row>
    <row r="945" ht="15.75" customHeight="1">
      <c r="A945" s="1">
        <v>943.0</v>
      </c>
      <c r="B945" s="3" t="s">
        <v>946</v>
      </c>
      <c r="C945" s="3" t="str">
        <f>IFERROR(__xludf.DUMMYFUNCTION("GOOGLETRANSLATE(B945,""id"",""en"")"),"['admin', 'PGN', 'Change', 'card', 'Hello', 'sympathy', ""]")</f>
        <v>['admin', 'PGN', 'Change', 'card', 'Hello', 'sympathy', "]</v>
      </c>
      <c r="D945" s="3">
        <v>1.0</v>
      </c>
    </row>
    <row r="946" ht="15.75" customHeight="1">
      <c r="A946" s="1">
        <v>944.0</v>
      </c>
      <c r="B946" s="3" t="s">
        <v>947</v>
      </c>
      <c r="C946" s="3" t="str">
        <f>IFERROR(__xludf.DUMMYFUNCTION("GOOGLETRANSLATE(B946,""id"",""en"")"),"['thought', 'price', 'expensive', 'guarantee', 'quality', 'card', 'price', 'card', 'quota', 'expensive', 'network', 'friend', ' slamming ',' Gara ',' Gara ',' signal ',' weak ',' comparable ',' price ',' please ',' think ',' price ',' expensive ',' please"&amp;" ',' rest ' , '']")</f>
        <v>['thought', 'price', 'expensive', 'guarantee', 'quality', 'card', 'price', 'card', 'quota', 'expensive', 'network', 'friend', ' slamming ',' Gara ',' Gara ',' signal ',' weak ',' comparable ',' price ',' please ',' think ',' price ',' expensive ',' please ',' rest ' , '']</v>
      </c>
      <c r="D946" s="3">
        <v>1.0</v>
      </c>
    </row>
    <row r="947" ht="15.75" customHeight="1">
      <c r="A947" s="1">
        <v>945.0</v>
      </c>
      <c r="B947" s="3" t="s">
        <v>948</v>
      </c>
      <c r="C947" s="3" t="str">
        <f>IFERROR(__xludf.DUMMYFUNCTION("GOOGLETRANSLATE(B947,""id"",""en"")"),"['KPD', 'Trhormatical', 'TLKMSEL', 'Sya', 'paying up', 'debt', 'quota', 'Sya', 'KPD', 'Telkomsel', 'worth', 'knp', ' Cut ',' Why ',' Telkomsel ',' tired ',' Sya ',' Search ',' Money ', ""]")</f>
        <v>['KPD', 'Trhormatical', 'TLKMSEL', 'Sya', 'paying up', 'debt', 'quota', 'Sya', 'KPD', 'Telkomsel', 'worth', 'knp', ' Cut ',' Why ',' Telkomsel ',' tired ',' Sya ',' Search ',' Money ', "]</v>
      </c>
      <c r="D947" s="3">
        <v>1.0</v>
      </c>
    </row>
    <row r="948" ht="15.75" customHeight="1">
      <c r="A948" s="1">
        <v>946.0</v>
      </c>
      <c r="B948" s="3" t="s">
        <v>949</v>
      </c>
      <c r="C948" s="3" t="str">
        <f>IFERROR(__xludf.DUMMYFUNCTION("GOOGLETRANSLATE(B948,""id"",""en"")"),"['Disappointed', 'Aktiv', 'Kouta', 'Out', 'Credit', 'Direct', 'Take', 'Buy', 'Kouta', 'Proverder', 'Kouta', 'Out', ' Activ ',' Out ',' Penarika ',' Credit ',' ']")</f>
        <v>['Disappointed', 'Aktiv', 'Kouta', 'Out', 'Credit', 'Direct', 'Take', 'Buy', 'Kouta', 'Proverder', 'Kouta', 'Out', ' Activ ',' Out ',' Penarika ',' Credit ',' ']</v>
      </c>
      <c r="D948" s="3">
        <v>1.0</v>
      </c>
    </row>
    <row r="949" ht="15.75" customHeight="1">
      <c r="A949" s="1">
        <v>947.0</v>
      </c>
      <c r="B949" s="3" t="s">
        <v>950</v>
      </c>
      <c r="C949" s="3" t="str">
        <f>IFERROR(__xludf.DUMMYFUNCTION("GOOGLETRANSLATE(B949,""id"",""en"")"),"['Ngga', 'Get', 'Bonus',' Daily ',' checkin ',' UDH ',' ilang ',' Checin ',' checkin ',' exchange ',' Points', ' Mulu ',' no ',' help ',' difficult ',' ']")</f>
        <v>['Ngga', 'Get', 'Bonus',' Daily ',' checkin ',' UDH ',' ilang ',' Checin ',' checkin ',' exchange ',' Points', ' Mulu ',' no ',' help ',' difficult ',' ']</v>
      </c>
      <c r="D949" s="3">
        <v>3.0</v>
      </c>
    </row>
    <row r="950" ht="15.75" customHeight="1">
      <c r="A950" s="1">
        <v>948.0</v>
      </c>
      <c r="B950" s="3" t="s">
        <v>951</v>
      </c>
      <c r="C950" s="3" t="str">
        <f>IFERROR(__xludf.DUMMYFUNCTION("GOOGLETRANSLATE(B950,""id"",""en"")"),"['Telkomsel', 'Lemott', 'Bangetttt', 'Different', 'Dlu', 'Bagusan']")</f>
        <v>['Telkomsel', 'Lemott', 'Bangetttt', 'Different', 'Dlu', 'Bagusan']</v>
      </c>
      <c r="D950" s="3">
        <v>1.0</v>
      </c>
    </row>
    <row r="951" ht="15.75" customHeight="1">
      <c r="A951" s="1">
        <v>949.0</v>
      </c>
      <c r="B951" s="3" t="s">
        <v>952</v>
      </c>
      <c r="C951" s="3" t="str">
        <f>IFERROR(__xludf.DUMMYFUNCTION("GOOGLETRANSLATE(B951,""id"",""en"")"),"['Network', 'rich', 'gini', 'please', 'besuk', 'finished', 'push']")</f>
        <v>['Network', 'rich', 'gini', 'please', 'besuk', 'finished', 'push']</v>
      </c>
      <c r="D951" s="3">
        <v>1.0</v>
      </c>
    </row>
    <row r="952" ht="15.75" customHeight="1">
      <c r="A952" s="1">
        <v>950.0</v>
      </c>
      <c r="B952" s="3" t="s">
        <v>953</v>
      </c>
      <c r="C952" s="3" t="str">
        <f>IFERROR(__xludf.DUMMYFUNCTION("GOOGLETRANSLATE(B952,""id"",""en"")"),"['Unistal', 'Telkomsel', 'Open', 'Telkomsel', 'Open', 'Please', 'Officer', 'APK', 'Telkomsel', 'Please', 'Benerin', 'APK', ' ']")</f>
        <v>['Unistal', 'Telkomsel', 'Open', 'Telkomsel', 'Open', 'Please', 'Officer', 'APK', 'Telkomsel', 'Please', 'Benerin', 'APK', ' ']</v>
      </c>
      <c r="D952" s="3">
        <v>1.0</v>
      </c>
    </row>
    <row r="953" ht="15.75" customHeight="1">
      <c r="A953" s="1">
        <v>951.0</v>
      </c>
      <c r="B953" s="3" t="s">
        <v>954</v>
      </c>
      <c r="C953" s="3" t="str">
        <f>IFERROR(__xludf.DUMMYFUNCTION("GOOGLETRANSLATE(B953,""id"",""en"")"),"['brapa', 'times',' buy ',' quota ',' game ',' max ',' silver ',' bsa ',' login ',' game ',' bsa ',' end ',' Sya ',' BLI ',' MINGGU ',' Yesterday ',' Sampe ',' BSA ',' Severe ',' Network ',' Bad ', ""]")</f>
        <v>['brapa', 'times',' buy ',' quota ',' game ',' max ',' silver ',' bsa ',' login ',' game ',' bsa ',' end ',' Sya ',' BLI ',' MINGGU ',' Yesterday ',' Sampe ',' BSA ',' Severe ',' Network ',' Bad ', "]</v>
      </c>
      <c r="D953" s="3">
        <v>1.0</v>
      </c>
    </row>
    <row r="954" ht="15.75" customHeight="1">
      <c r="A954" s="1">
        <v>952.0</v>
      </c>
      <c r="B954" s="3" t="s">
        <v>955</v>
      </c>
      <c r="C954" s="3" t="str">
        <f>IFERROR(__xludf.DUMMYFUNCTION("GOOGLETRANSLATE(B954,""id"",""en"")"),"['Hopefully', 'get', 'chance', 'win', 'car', 'because' need ',' car ',' husband ',' work ']")</f>
        <v>['Hopefully', 'get', 'chance', 'win', 'car', 'because' need ',' car ',' husband ',' work ']</v>
      </c>
      <c r="D954" s="3">
        <v>1.0</v>
      </c>
    </row>
    <row r="955" ht="15.75" customHeight="1">
      <c r="A955" s="1">
        <v>953.0</v>
      </c>
      <c r="B955" s="3" t="s">
        <v>956</v>
      </c>
      <c r="C955" s="3" t="str">
        <f>IFERROR(__xludf.DUMMYFUNCTION("GOOGLETRANSLATE(B955,""id"",""en"")"),"['Telkomsel', 'expensive', 'doang', 'package', 'internet', 'signal', 'severe', 'really', 'good', 'sorted']")</f>
        <v>['Telkomsel', 'expensive', 'doang', 'package', 'internet', 'signal', 'severe', 'really', 'good', 'sorted']</v>
      </c>
      <c r="D955" s="3">
        <v>2.0</v>
      </c>
    </row>
    <row r="956" ht="15.75" customHeight="1">
      <c r="A956" s="1">
        <v>954.0</v>
      </c>
      <c r="B956" s="3" t="s">
        <v>957</v>
      </c>
      <c r="C956" s="3" t="str">
        <f>IFERROR(__xludf.DUMMYFUNCTION("GOOGLETRANSLATE(B956,""id"",""en"")"),"['ugly', 'really', 'signal', 'expensive', 'ugly', 'sinynya', 'really', 'please', 'signal', 'stingy', 'really', 'think', ' Price ',' expensive ',' get ',' little ',' quota ']")</f>
        <v>['ugly', 'really', 'signal', 'expensive', 'ugly', 'sinynya', 'really', 'please', 'signal', 'stingy', 'really', 'think', ' Price ',' expensive ',' get ',' little ',' quota ']</v>
      </c>
      <c r="D956" s="3">
        <v>1.0</v>
      </c>
    </row>
    <row r="957" ht="15.75" customHeight="1">
      <c r="A957" s="1">
        <v>955.0</v>
      </c>
      <c r="B957" s="3" t="s">
        <v>958</v>
      </c>
      <c r="C957" s="3" t="str">
        <f>IFERROR(__xludf.DUMMYFUNCTION("GOOGLETRANSLATE(B957,""id"",""en"")"),"['NGONTOL', 'Minutes', 'Credit', 'Suck', 'Until', 'thousand', 'Money', 'Delicious']")</f>
        <v>['NGONTOL', 'Minutes', 'Credit', 'Suck', 'Until', 'thousand', 'Money', 'Delicious']</v>
      </c>
      <c r="D957" s="3">
        <v>1.0</v>
      </c>
    </row>
    <row r="958" ht="15.75" customHeight="1">
      <c r="A958" s="1">
        <v>956.0</v>
      </c>
      <c r="B958" s="3" t="s">
        <v>959</v>
      </c>
      <c r="C958" s="3" t="str">
        <f>IFERROR(__xludf.DUMMYFUNCTION("GOOGLETRANSLATE(B958,""id"",""en"")"),"['Use', 'Telkomsel', 'My Points',' Lottery ',' Credit ',' DLL ',' PERNA ',' Gift ',' Announcement ',' Prize ',' Eliminate ',' Progran ',' Points', 'contents',' reset ',' replace ',' promo ',' ']")</f>
        <v>['Use', 'Telkomsel', 'My Points',' Lottery ',' Credit ',' DLL ',' PERNA ',' Gift ',' Announcement ',' Prize ',' Eliminate ',' Progran ',' Points', 'contents',' reset ',' replace ',' promo ',' ']</v>
      </c>
      <c r="D958" s="3">
        <v>5.0</v>
      </c>
    </row>
    <row r="959" ht="15.75" customHeight="1">
      <c r="A959" s="1">
        <v>957.0</v>
      </c>
      <c r="B959" s="3" t="s">
        <v>960</v>
      </c>
      <c r="C959" s="3" t="str">
        <f>IFERROR(__xludf.DUMMYFUNCTION("GOOGLETRANSLATE(B959,""id"",""en"")"),"['network', 'Telkomsel', 'ugly', 'network', 'next door', 'rain', 'signal', 'ilang', 'network', 'where', 'advert', 'big']")</f>
        <v>['network', 'Telkomsel', 'ugly', 'network', 'next door', 'rain', 'signal', 'ilang', 'network', 'where', 'advert', 'big']</v>
      </c>
      <c r="D959" s="3">
        <v>1.0</v>
      </c>
    </row>
    <row r="960" ht="15.75" customHeight="1">
      <c r="A960" s="1">
        <v>958.0</v>
      </c>
      <c r="B960" s="3" t="s">
        <v>961</v>
      </c>
      <c r="C960" s="3" t="str">
        <f>IFERROR(__xludf.DUMMYFUNCTION("GOOGLETRANSLATE(B960,""id"",""en"")"),"['Ngasi', 'star', 'good', 'right', 'September', 'date', 'ngeleg', 'KEK', 'AXSIS', 'smile', 'Mulu', 'quota', ' Weve ',' Disruption ',' Please ',' Repaired ',' Tegass', '']")</f>
        <v>['Ngasi', 'star', 'good', 'right', 'September', 'date', 'ngeleg', 'KEK', 'AXSIS', 'smile', 'Mulu', 'quota', ' Weve ',' Disruption ',' Please ',' Repaired ',' Tegass', '']</v>
      </c>
      <c r="D960" s="3">
        <v>2.0</v>
      </c>
    </row>
    <row r="961" ht="15.75" customHeight="1">
      <c r="A961" s="1">
        <v>959.0</v>
      </c>
      <c r="B961" s="3" t="s">
        <v>962</v>
      </c>
      <c r="C961" s="3" t="str">
        <f>IFERROR(__xludf.DUMMYFUNCTION("GOOGLETRANSLATE(B961,""id"",""en"")"),"['Honest', 'Bener', 'Bener', 'Disappointed', 'Service', 'Telkomsel', 'Region', 'Kendal', 'Signal', 'Bener', 'Down', 'already', ' Mending ',' Stop ',' Make ',' Telkomsel ',' ']")</f>
        <v>['Honest', 'Bener', 'Bener', 'Disappointed', 'Service', 'Telkomsel', 'Region', 'Kendal', 'Signal', 'Bener', 'Down', 'already', ' Mending ',' Stop ',' Make ',' Telkomsel ',' ']</v>
      </c>
      <c r="D961" s="3">
        <v>1.0</v>
      </c>
    </row>
    <row r="962" ht="15.75" customHeight="1">
      <c r="A962" s="1">
        <v>960.0</v>
      </c>
      <c r="B962" s="3" t="s">
        <v>963</v>
      </c>
      <c r="C962" s="3" t="str">
        <f>IFERROR(__xludf.DUMMYFUNCTION("GOOGLETRANSLATE(B962,""id"",""en"")"),"['Telkomsel', 'no', 'open', 'details',' pulse ',' quota ',' internet ',' address', 'broken', 'krna', 'customer', 'check', ' Check ',' Ribet ',' ']")</f>
        <v>['Telkomsel', 'no', 'open', 'details',' pulse ',' quota ',' internet ',' address', 'broken', 'krna', 'customer', 'check', ' Check ',' Ribet ',' ']</v>
      </c>
      <c r="D962" s="3">
        <v>3.0</v>
      </c>
    </row>
    <row r="963" ht="15.75" customHeight="1">
      <c r="A963" s="1">
        <v>961.0</v>
      </c>
      <c r="B963" s="3" t="s">
        <v>964</v>
      </c>
      <c r="C963" s="3" t="str">
        <f>IFERROR(__xludf.DUMMYFUNCTION("GOOGLETRANSLATE(B963,""id"",""en"")"),"['Week', 'Network', 'Internet', 'Setabil', 'Main', 'Game', 'Open', 'Youtub', 'GNI', 'Change', 'Profider', 'Ajaah', ' disappointed']")</f>
        <v>['Week', 'Network', 'Internet', 'Setabil', 'Main', 'Game', 'Open', 'Youtub', 'GNI', 'Change', 'Profider', 'Ajaah', ' disappointed']</v>
      </c>
      <c r="D963" s="3">
        <v>1.0</v>
      </c>
    </row>
    <row r="964" ht="15.75" customHeight="1">
      <c r="A964" s="1">
        <v>962.0</v>
      </c>
      <c r="B964" s="3" t="s">
        <v>965</v>
      </c>
      <c r="C964" s="3" t="str">
        <f>IFERROR(__xludf.DUMMYFUNCTION("GOOGLETRANSLATE(B964,""id"",""en"")"),"['Sorry', 'use it', 'Memng', 'Errorr', 'account', 'Closed', 'Menon', 'Activate', 'CMN', 'confused', 'defend it', 'right', ' Pouches', 'hope', 'Menon', 'Activate', 'card', 'in the future', 'demands',' transaction ',' at the same time ',' use it ',' here ',"&amp;"' understand ',' Telkomsel ' , '']")</f>
        <v>['Sorry', 'use it', 'Memng', 'Errorr', 'account', 'Closed', 'Menon', 'Activate', 'CMN', 'confused', 'defend it', 'right', ' Pouches', 'hope', 'Menon', 'Activate', 'card', 'in the future', 'demands',' transaction ',' at the same time ',' use it ',' here ',' understand ',' Telkomsel ' , '']</v>
      </c>
      <c r="D964" s="3">
        <v>1.0</v>
      </c>
    </row>
    <row r="965" ht="15.75" customHeight="1">
      <c r="A965" s="1">
        <v>963.0</v>
      </c>
      <c r="B965" s="3" t="s">
        <v>966</v>
      </c>
      <c r="C965" s="3" t="str">
        <f>IFERROR(__xludf.DUMMYFUNCTION("GOOGLETRANSLATE(B965,""id"",""en"")"),"['Telkom', 'here', 'Severe', 'slow', 'forgiveness', 'please', 'fix', 'network', 'Udh', 'use', 'Telkomsel', 'slow']")</f>
        <v>['Telkom', 'here', 'Severe', 'slow', 'forgiveness', 'please', 'fix', 'network', 'Udh', 'use', 'Telkomsel', 'slow']</v>
      </c>
      <c r="D965" s="3">
        <v>2.0</v>
      </c>
    </row>
    <row r="966" ht="15.75" customHeight="1">
      <c r="A966" s="1">
        <v>964.0</v>
      </c>
      <c r="B966" s="3" t="s">
        <v>967</v>
      </c>
      <c r="C966" s="3" t="str">
        <f>IFERROR(__xludf.DUMMYFUNCTION("GOOGLETRANSLATE(B966,""id"",""en"")"),"['', 'the application', 'sophisticated', 'the application', 'heavy', 'loading', 'neighbor', 'next door', 'kasian', 'use', 'android', 'nuget', 'foam ',' DOUNLOAD ',' Change ',' application ',' neighbor ',' light ',' use ',' Niuget ']")</f>
        <v>['', 'the application', 'sophisticated', 'the application', 'heavy', 'loading', 'neighbor', 'next door', 'kasian', 'use', 'android', 'nuget', 'foam ',' DOUNLOAD ',' Change ',' application ',' neighbor ',' light ',' use ',' Niuget ']</v>
      </c>
      <c r="D966" s="3">
        <v>1.0</v>
      </c>
    </row>
    <row r="967" ht="15.75" customHeight="1">
      <c r="A967" s="1">
        <v>965.0</v>
      </c>
      <c r="B967" s="3" t="s">
        <v>968</v>
      </c>
      <c r="C967" s="3" t="str">
        <f>IFERROR(__xludf.DUMMYFUNCTION("GOOGLETRANSLATE(B967,""id"",""en"")"),"['Mahota', 'Makai', 'Telkomsel', 'Bru', 'Times',' Get ',' Service ',' Segoblok ',' Harm ',' User ',' Buy ',' Package ',' The internet ',' Sometimes', 'appears',' service ',' GMANA ',' Telkomsel ',' intention ',' really ',' application ',' stupid ']")</f>
        <v>['Mahota', 'Makai', 'Telkomsel', 'Bru', 'Times',' Get ',' Service ',' Segoblok ',' Harm ',' User ',' Buy ',' Package ',' The internet ',' Sometimes', 'appears',' service ',' GMANA ',' Telkomsel ',' intention ',' really ',' application ',' stupid ']</v>
      </c>
      <c r="D967" s="3">
        <v>1.0</v>
      </c>
    </row>
    <row r="968" ht="15.75" customHeight="1">
      <c r="A968" s="1">
        <v>966.0</v>
      </c>
      <c r="B968" s="3" t="s">
        <v>969</v>
      </c>
      <c r="C968" s="3" t="str">
        <f>IFERROR(__xludf.DUMMYFUNCTION("GOOGLETRANSLATE(B968,""id"",""en"")"),"['network', 'Telkomsel', 'down', 'slow', 'really', 'disappointing', 'loyal', 'Telkomsel', 'won't "",' moved ',' provider ',""]")</f>
        <v>['network', 'Telkomsel', 'down', 'slow', 'really', 'disappointing', 'loyal', 'Telkomsel', 'won't ",' moved ',' provider ',"]</v>
      </c>
      <c r="D968" s="3">
        <v>3.0</v>
      </c>
    </row>
    <row r="969" ht="15.75" customHeight="1">
      <c r="A969" s="1">
        <v>967.0</v>
      </c>
      <c r="B969" s="3" t="s">
        <v>970</v>
      </c>
      <c r="C969" s="3" t="str">
        <f>IFERROR(__xludf.DUMMYFUNCTION("GOOGLETRANSLATE(B969,""id"",""en"")"),"['Please', 'Price', 'Package', 'Internet', 'Lower', 'Spy', 'Competing', 'Thank you']")</f>
        <v>['Please', 'Price', 'Package', 'Internet', 'Lower', 'Spy', 'Competing', 'Thank you']</v>
      </c>
      <c r="D969" s="3">
        <v>5.0</v>
      </c>
    </row>
    <row r="970" ht="15.75" customHeight="1">
      <c r="A970" s="1">
        <v>968.0</v>
      </c>
      <c r="B970" s="3" t="s">
        <v>971</v>
      </c>
      <c r="C970" s="3" t="str">
        <f>IFERROR(__xludf.DUMMYFUNCTION("GOOGLETRANSLATE(B970,""id"",""en"")"),"['Java', 'synchy', 'ugly', 'expensive', 'card', 'artificial', 'Indonesia', 'expensive', 'synchy', 'ugly', 'mending', 'card', ' Telkomsel ',' Change ',' ']")</f>
        <v>['Java', 'synchy', 'ugly', 'expensive', 'card', 'artificial', 'Indonesia', 'expensive', 'synchy', 'ugly', 'mending', 'card', ' Telkomsel ',' Change ',' ']</v>
      </c>
      <c r="D970" s="3">
        <v>1.0</v>
      </c>
    </row>
    <row r="971" ht="15.75" customHeight="1">
      <c r="A971" s="1">
        <v>969.0</v>
      </c>
      <c r="B971" s="3" t="s">
        <v>972</v>
      </c>
      <c r="C971" s="3" t="str">
        <f>IFERROR(__xludf.DUMMYFUNCTION("GOOGLETRANSLATE(B971,""id"",""en"")"),"['program', 'stamp', 'already', 'entry', 'stamp', 'turn', 'check', 'kaga', 'really', 'culuced', 'zero', 'already', ' Experience ',' program ',' stamp ',' stupid ',' network ',' slow ']")</f>
        <v>['program', 'stamp', 'already', 'entry', 'stamp', 'turn', 'check', 'kaga', 'really', 'culuced', 'zero', 'already', ' Experience ',' program ',' stamp ',' stupid ',' network ',' slow ']</v>
      </c>
      <c r="D971" s="3">
        <v>1.0</v>
      </c>
    </row>
    <row r="972" ht="15.75" customHeight="1">
      <c r="A972" s="1">
        <v>970.0</v>
      </c>
      <c r="B972" s="3" t="s">
        <v>973</v>
      </c>
      <c r="C972" s="3" t="str">
        <f>IFERROR(__xludf.DUMMYFUNCTION("GOOGLETRANSLATE(B972,""id"",""en"")"),"['slow', 'transaction', 'application', 'Telkomsel', 'slow', 'severe', 'sometimes',' until ',' a day ',' enter ',' enter ',' please ',' Fix ',' Eng ',' Celek ', ""]")</f>
        <v>['slow', 'transaction', 'application', 'Telkomsel', 'slow', 'severe', 'sometimes',' until ',' a day ',' enter ',' enter ',' please ',' Fix ',' Eng ',' Celek ', "]</v>
      </c>
      <c r="D972" s="3">
        <v>1.0</v>
      </c>
    </row>
    <row r="973" ht="15.75" customHeight="1">
      <c r="A973" s="1">
        <v>971.0</v>
      </c>
      <c r="B973" s="3" t="s">
        <v>974</v>
      </c>
      <c r="C973" s="3" t="str">
        <f>IFERROR(__xludf.DUMMYFUNCTION("GOOGLETRANSLATE(B973,""id"",""en"")"),"['signal', 'ugly', 'like', 'card', 'telkom', 'behavior', 'signal', 'ugly', 'really', 'beg', 'fix', 'signal', ' Minn ',' ']")</f>
        <v>['signal', 'ugly', 'like', 'card', 'telkom', 'behavior', 'signal', 'ugly', 'really', 'beg', 'fix', 'signal', ' Minn ',' ']</v>
      </c>
      <c r="D973" s="3">
        <v>1.0</v>
      </c>
    </row>
    <row r="974" ht="15.75" customHeight="1">
      <c r="A974" s="1">
        <v>972.0</v>
      </c>
      <c r="B974" s="3" t="s">
        <v>975</v>
      </c>
      <c r="C974" s="3" t="str">
        <f>IFERROR(__xludf.DUMMYFUNCTION("GOOGLETRANSLATE(B974,""id"",""en"")"),"['Apps', 'Telkomsel', 'already', 'a month', 'Look', 'Loading', 'Page', 'Sorry', 'Error', 'System', 'Loading', 'Slow']")</f>
        <v>['Apps', 'Telkomsel', 'already', 'a month', 'Look', 'Loading', 'Page', 'Sorry', 'Error', 'System', 'Loading', 'Slow']</v>
      </c>
      <c r="D974" s="3">
        <v>1.0</v>
      </c>
    </row>
    <row r="975" ht="15.75" customHeight="1">
      <c r="A975" s="1">
        <v>973.0</v>
      </c>
      <c r="B975" s="3" t="s">
        <v>976</v>
      </c>
      <c r="C975" s="3" t="str">
        <f>IFERROR(__xludf.DUMMYFUNCTION("GOOGLETRANSLATE(B975,""id"",""en"")"),"['log', 'complicated', 'really', 'suggestion', 'verification', 'pke', 'code', 'number', 'link', 'tetep', 'link', 'system', ' Repaired ',' ']")</f>
        <v>['log', 'complicated', 'really', 'suggestion', 'verification', 'pke', 'code', 'number', 'link', 'tetep', 'link', 'system', ' Repaired ',' ']</v>
      </c>
      <c r="D975" s="3">
        <v>1.0</v>
      </c>
    </row>
    <row r="976" ht="15.75" customHeight="1">
      <c r="A976" s="1">
        <v>974.0</v>
      </c>
      <c r="B976" s="3" t="s">
        <v>977</v>
      </c>
      <c r="C976" s="3" t="str">
        <f>IFERROR(__xludf.DUMMYFUNCTION("GOOGLETRANSLATE(B976,""id"",""en"")"),"['chaotic', 'the application', 'error', 'error', 'open', 'veranda', 'loading', 'hard', 'kayak', 'amateur', 'comment', 'beloved', ' disappointed', '']")</f>
        <v>['chaotic', 'the application', 'error', 'error', 'open', 'veranda', 'loading', 'hard', 'kayak', 'amateur', 'comment', 'beloved', ' disappointed', '']</v>
      </c>
      <c r="D976" s="3">
        <v>3.0</v>
      </c>
    </row>
    <row r="977" ht="15.75" customHeight="1">
      <c r="A977" s="1">
        <v>975.0</v>
      </c>
      <c r="B977" s="3" t="s">
        <v>978</v>
      </c>
      <c r="C977" s="3" t="str">
        <f>IFERROR(__xludf.DUMMYFUNCTION("GOOGLETRANSLATE(B977,""id"",""en"")"),"['love', 'star', 'disappointed', 'pulse', 'missing', 'where', 'kecs',' direct ',' uda ',' love ',' solution ',' dongkk ',' Telkomsel ',' service ',' good ',' love ',' promo ',' package ',' number ',' ']")</f>
        <v>['love', 'star', 'disappointed', 'pulse', 'missing', 'where', 'kecs',' direct ',' uda ',' love ',' solution ',' dongkk ',' Telkomsel ',' service ',' good ',' love ',' promo ',' package ',' number ',' ']</v>
      </c>
      <c r="D977" s="3">
        <v>5.0</v>
      </c>
    </row>
    <row r="978" ht="15.75" customHeight="1">
      <c r="A978" s="1">
        <v>976.0</v>
      </c>
      <c r="B978" s="3" t="s">
        <v>979</v>
      </c>
      <c r="C978" s="3" t="str">
        <f>IFERROR(__xludf.DUMMYFUNCTION("GOOGLETRANSLATE(B978,""id"",""en"")"),"['Longkomsel', 'slow', 'lost', 'network', 'best', 'Please', 'note', 'complaints', 'consumer', 'loyal']")</f>
        <v>['Longkomsel', 'slow', 'lost', 'network', 'best', 'Please', 'note', 'complaints', 'consumer', 'loyal']</v>
      </c>
      <c r="D978" s="3">
        <v>1.0</v>
      </c>
    </row>
    <row r="979" ht="15.75" customHeight="1">
      <c r="A979" s="1">
        <v>977.0</v>
      </c>
      <c r="B979" s="3" t="s">
        <v>980</v>
      </c>
      <c r="C979" s="3" t="str">
        <f>IFERROR(__xludf.DUMMYFUNCTION("GOOGLETRANSLATE(B979,""id"",""en"")"),"['The network', 'slow', 'severe', 'fast', 'mode', 'Grtis',' operator ',' kli ',' fill ',' reset ',' package ',' TPI ',' Changes', 'Moor', 'Slow', 'Severe', '']")</f>
        <v>['The network', 'slow', 'severe', 'fast', 'mode', 'Grtis',' operator ',' kli ',' fill ',' reset ',' package ',' TPI ',' Changes', 'Moor', 'Slow', 'Severe', '']</v>
      </c>
      <c r="D979" s="3">
        <v>1.0</v>
      </c>
    </row>
    <row r="980" ht="15.75" customHeight="1">
      <c r="A980" s="1">
        <v>978.0</v>
      </c>
      <c r="B980" s="3" t="s">
        <v>981</v>
      </c>
      <c r="C980" s="3" t="str">
        <f>IFERROR(__xludf.DUMMYFUNCTION("GOOGLETRANSLATE(B980,""id"",""en"")"),"['', 'BI', 'expensive', 'expensive', 'buy', 'kouta', 'signal', 'kek', 'garbage', 'ncok', 'area', 'normal', 'indosat ',' Promise ',' Indosat ',' ']")</f>
        <v>['', 'BI', 'expensive', 'expensive', 'buy', 'kouta', 'signal', 'kek', 'garbage', 'ncok', 'area', 'normal', 'indosat ',' Promise ',' Indosat ',' ']</v>
      </c>
      <c r="D980" s="3">
        <v>1.0</v>
      </c>
    </row>
    <row r="981" ht="15.75" customHeight="1">
      <c r="A981" s="1">
        <v>979.0</v>
      </c>
      <c r="B981" s="3" t="s">
        <v>982</v>
      </c>
      <c r="C981" s="3" t="str">
        <f>IFERROR(__xludf.DUMMYFUNCTION("GOOGLETRANSLATE(B981,""id"",""en"")"),"['function', 'eat', 'room', 'just', 'want', 'balance', 'pulses', ""]")</f>
        <v>['function', 'eat', 'room', 'just', 'want', 'balance', 'pulses', "]</v>
      </c>
      <c r="D981" s="3">
        <v>1.0</v>
      </c>
    </row>
    <row r="982" ht="15.75" customHeight="1">
      <c r="A982" s="1">
        <v>980.0</v>
      </c>
      <c r="B982" s="3" t="s">
        <v>983</v>
      </c>
      <c r="C982" s="3" t="str">
        <f>IFERROR(__xludf.DUMMYFUNCTION("GOOGLETRANSLATE(B982,""id"",""en"")"),"['Excuse me', 'Sis', 'Sis', 'Buy', 'Package', 'TPI', 'Ngak', 'Enter', 'Bgai', 'Mna', 'Jdi', 'Bored', 'Bored']")</f>
        <v>['Excuse me', 'Sis', 'Sis', 'Buy', 'Package', 'TPI', 'Ngak', 'Enter', 'Bgai', 'Mna', 'Jdi', 'Bored', 'Bored']</v>
      </c>
      <c r="D982" s="3">
        <v>2.0</v>
      </c>
    </row>
    <row r="983" ht="15.75" customHeight="1">
      <c r="A983" s="1">
        <v>981.0</v>
      </c>
      <c r="B983" s="3" t="s">
        <v>984</v>
      </c>
      <c r="C983" s="3" t="str">
        <f>IFERROR(__xludf.DUMMYFUNCTION("GOOGLETRANSLATE(B983,""id"",""en"")"),"['signal', 'problematic', 'Mulu', 'Please', 'Involved', 'Service', 'Send', 'Chat', 'Wait', 'Wait', 'Measons',' Good ',' Services', 'Reduced', '']")</f>
        <v>['signal', 'problematic', 'Mulu', 'Please', 'Involved', 'Service', 'Send', 'Chat', 'Wait', 'Wait', 'Measons',' Good ',' Services', 'Reduced', '']</v>
      </c>
      <c r="D983" s="3">
        <v>1.0</v>
      </c>
    </row>
    <row r="984" ht="15.75" customHeight="1">
      <c r="A984" s="1">
        <v>982.0</v>
      </c>
      <c r="B984" s="3" t="s">
        <v>985</v>
      </c>
      <c r="C984" s="3" t="str">
        <f>IFERROR(__xludf.DUMMYFUNCTION("GOOGLETRANSLATE(B984,""id"",""en"")"),"['slow', 'signal', 'Telkomsel', 'please', 'sharpened', 'signal']")</f>
        <v>['slow', 'signal', 'Telkomsel', 'please', 'sharpened', 'signal']</v>
      </c>
      <c r="D984" s="3">
        <v>4.0</v>
      </c>
    </row>
    <row r="985" ht="15.75" customHeight="1">
      <c r="A985" s="1">
        <v>983.0</v>
      </c>
      <c r="B985" s="3" t="s">
        <v>986</v>
      </c>
      <c r="C985" s="3" t="str">
        <f>IFERROR(__xludf.DUMMYFUNCTION("GOOGLETRANSLATE(B985,""id"",""en"")"),"['data', 'internet', 'no', 'live', 'no', 'ngeta', 'what' do ',' pulse ',' cut ',' sms ',' pulse ',' cut ',' Gara ',' Gara ',' internet ',' run out ',' pedahal ',' turn on ',' data ']")</f>
        <v>['data', 'internet', 'no', 'live', 'no', 'ngeta', 'what' do ',' pulse ',' cut ',' sms ',' pulse ',' cut ',' Gara ',' Gara ',' internet ',' run out ',' pedahal ',' turn on ',' data ']</v>
      </c>
      <c r="D985" s="3">
        <v>1.0</v>
      </c>
    </row>
    <row r="986" ht="15.75" customHeight="1">
      <c r="A986" s="1">
        <v>984.0</v>
      </c>
      <c r="B986" s="3" t="s">
        <v>987</v>
      </c>
      <c r="C986" s="3" t="str">
        <f>IFERROR(__xludf.DUMMYFUNCTION("GOOGLETRANSLATE(B986,""id"",""en"")"),"['given', 'package', 'promo', 'already', 'contents',' pulse ',' right ',' bought ',' description ',' pulse ',' reset ',' the package ',' disappear ',' bngke ',' prank ']")</f>
        <v>['given', 'package', 'promo', 'already', 'contents',' pulse ',' right ',' bought ',' description ',' pulse ',' reset ',' the package ',' disappear ',' bngke ',' prank ']</v>
      </c>
      <c r="D986" s="3">
        <v>1.0</v>
      </c>
    </row>
    <row r="987" ht="15.75" customHeight="1">
      <c r="A987" s="1">
        <v>985.0</v>
      </c>
      <c r="B987" s="3" t="s">
        <v>988</v>
      </c>
      <c r="C987" s="3" t="str">
        <f>IFERROR(__xludf.DUMMYFUNCTION("GOOGLETRANSLATE(B987,""id"",""en"")"),"['KNPA', 'Telkomsel', 'Hello', 'Ribet', 'Bner', 'Quota', 'Pay', 'Bill', 'Monthly', 'Quota', 'BLM', 'Enter', ' Wait ',' date ',' brlanggaban ',' bln ',' kmren ',' abis', 'quota', 'uda', 'abis',' bambang ',' schedule ',' subscribe ',' schedule ' , 'bill', '"&amp;"sync', 'uda', 'pay', 'bill', 'lngsung', 'enter', 'quota', 'billing', 'date', 'quota', 'enter', ' Wait ',' Abis', 'subscribe', 'date', 'Ngadi', 'Knp', 'Diles',' Bkin ',' bother ',' Diligently ',' Bner ',' Bkin ',' Emotion ' , 'Deh', 'break up', 'subscribe'"&amp;", 'Lahh', 'Gajelas', 'Gini', ""]")</f>
        <v>['KNPA', 'Telkomsel', 'Hello', 'Ribet', 'Bner', 'Quota', 'Pay', 'Bill', 'Monthly', 'Quota', 'BLM', 'Enter', ' Wait ',' date ',' brlanggaban ',' bln ',' kmren ',' abis', 'quota', 'uda', 'abis',' bambang ',' schedule ',' subscribe ',' schedule ' , 'bill', 'sync', 'uda', 'pay', 'bill', 'lngsung', 'enter', 'quota', 'billing', 'date', 'quota', 'enter', ' Wait ',' Abis', 'subscribe', 'date', 'Ngadi', 'Knp', 'Diles',' Bkin ',' bother ',' Diligently ',' Bner ',' Bkin ',' Emotion ' , 'Deh', 'break up', 'subscribe', 'Lahh', 'Gajelas', 'Gini', "]</v>
      </c>
      <c r="D987" s="3">
        <v>1.0</v>
      </c>
    </row>
    <row r="988" ht="15.75" customHeight="1">
      <c r="A988" s="1">
        <v>986.0</v>
      </c>
      <c r="B988" s="3" t="s">
        <v>989</v>
      </c>
      <c r="C988" s="3" t="str">
        <f>IFERROR(__xludf.DUMMYFUNCTION("GOOGLETRANSLATE(B988,""id"",""en"")"),"['Loading', 'Long Schede', 'Choice', 'Package', 'Internet', 'Competitive', 'Provider', ""]")</f>
        <v>['Loading', 'Long Schede', 'Choice', 'Package', 'Internet', 'Competitive', 'Provider', "]</v>
      </c>
      <c r="D988" s="3">
        <v>2.0</v>
      </c>
    </row>
    <row r="989" ht="15.75" customHeight="1">
      <c r="A989" s="1">
        <v>987.0</v>
      </c>
      <c r="B989" s="3" t="s">
        <v>990</v>
      </c>
      <c r="C989" s="3" t="str">
        <f>IFERROR(__xludf.DUMMYFUNCTION("GOOGLETRANSLATE(B989,""id"",""en"")"),"['Disight', 'use', 'Telkomsel', 'network', 'internet', 'quota', 'buy', 'paki', 'loss', 'loss']")</f>
        <v>['Disight', 'use', 'Telkomsel', 'network', 'internet', 'quota', 'buy', 'paki', 'loss', 'loss']</v>
      </c>
      <c r="D989" s="3">
        <v>1.0</v>
      </c>
    </row>
    <row r="990" ht="15.75" customHeight="1">
      <c r="A990" s="1">
        <v>988.0</v>
      </c>
      <c r="B990" s="3" t="s">
        <v>991</v>
      </c>
      <c r="C990" s="3" t="str">
        <f>IFERROR(__xludf.DUMMYFUNCTION("GOOGLETRANSLATE(B990,""id"",""en"")"),"['Maintain', 'Quality', 'Business',' Lottery ',' Prize ',' Telkomsel ',' Follow ',' Layer ',' Society ',' Indonesia ',' Sabang ',' Merauke ',' achieved ',' justice ',' evenly ',' customers', 'Telkomsel', 'Indonesia', 'build', 'nation', 'Indonesia', 'love'"&amp;", 'forward', 'Telkomsel', 'build' , 'Nation', ""]")</f>
        <v>['Maintain', 'Quality', 'Business',' Lottery ',' Prize ',' Telkomsel ',' Follow ',' Layer ',' Society ',' Indonesia ',' Sabang ',' Merauke ',' achieved ',' justice ',' evenly ',' customers', 'Telkomsel', 'Indonesia', 'build', 'nation', 'Indonesia', 'love', 'forward', 'Telkomsel', 'build' , 'Nation', "]</v>
      </c>
      <c r="D990" s="3">
        <v>5.0</v>
      </c>
    </row>
    <row r="991" ht="15.75" customHeight="1">
      <c r="A991" s="1">
        <v>989.0</v>
      </c>
      <c r="B991" s="3" t="s">
        <v>992</v>
      </c>
      <c r="C991" s="3" t="str">
        <f>IFERROR(__xludf.DUMMYFUNCTION("GOOGLETRANSLATE(B991,""id"",""en"")"),"['Quality', 'Signal', 'Bad', 'Mending', 'Move', 'Operator', 'Season', 'Gara', 'Telkomsel', 'Lose', 'Treak', 'Then' play ',' game ',' annoyed ',' basically ',' cave ',' suggestion ',' provider ',' already ',' dipake ',' waste ',' sim ',' card ',' ']")</f>
        <v>['Quality', 'Signal', 'Bad', 'Mending', 'Move', 'Operator', 'Season', 'Gara', 'Telkomsel', 'Lose', 'Treak', 'Then' play ',' game ',' annoyed ',' basically ',' cave ',' suggestion ',' provider ',' already ',' dipake ',' waste ',' sim ',' card ',' ']</v>
      </c>
      <c r="D991" s="3">
        <v>1.0</v>
      </c>
    </row>
    <row r="992" ht="15.75" customHeight="1">
      <c r="A992" s="1">
        <v>990.0</v>
      </c>
      <c r="B992" s="3" t="s">
        <v>993</v>
      </c>
      <c r="C992" s="3" t="str">
        <f>IFERROR(__xludf.DUMMYFUNCTION("GOOGLETRANSLATE(B992,""id"",""en"")"),"['SMKN', 'RUWET', 'Application', 'Daily', 'Chek', 'No', 'Promo', 'Internet', 'No', 'Lost']")</f>
        <v>['SMKN', 'RUWET', 'Application', 'Daily', 'Chek', 'No', 'Promo', 'Internet', 'No', 'Lost']</v>
      </c>
      <c r="D992" s="3">
        <v>2.0</v>
      </c>
    </row>
    <row r="993" ht="15.75" customHeight="1">
      <c r="A993" s="1">
        <v>991.0</v>
      </c>
      <c r="B993" s="3" t="s">
        <v>994</v>
      </c>
      <c r="C993" s="3" t="str">
        <f>IFERROR(__xludf.DUMMYFUNCTION("GOOGLETRANSLATE(B993,""id"",""en"")"),"['Secretary General', 'Himpana', 'Cab', 'Cirebon', 'Association', 'Retired', 'Pertamina', 'Cilayumajakuning', ""]")</f>
        <v>['Secretary General', 'Himpana', 'Cab', 'Cirebon', 'Association', 'Retired', 'Pertamina', 'Cilayumajakuning', "]</v>
      </c>
      <c r="D993" s="3">
        <v>5.0</v>
      </c>
    </row>
    <row r="994" ht="15.75" customHeight="1">
      <c r="A994" s="1">
        <v>992.0</v>
      </c>
      <c r="B994" s="3" t="s">
        <v>995</v>
      </c>
      <c r="C994" s="3" t="str">
        <f>IFERROR(__xludf.DUMMYFUNCTION("GOOGLETRANSLATE(B994,""id"",""en"")"),"['Telkomsel', 'TKS', 'Service', 'Lined', 'Unfortunately', 'Region', 'SoloBaru', 'Slow', 'BNYK', 'org', 'BLG', 'Litu', ' good ',' gapari ',' hartonomall ',' companion ',' proveder ',' laen ',' beg ',' input ',' lbh ',' dkemudian ',' success']")</f>
        <v>['Telkomsel', 'TKS', 'Service', 'Lined', 'Unfortunately', 'Region', 'SoloBaru', 'Slow', 'BNYK', 'org', 'BLG', 'Litu', ' good ',' gapari ',' hartonomall ',' companion ',' proveder ',' laen ',' beg ',' input ',' lbh ',' dkemudian ',' success']</v>
      </c>
      <c r="D994" s="3">
        <v>4.0</v>
      </c>
    </row>
    <row r="995" ht="15.75" customHeight="1">
      <c r="A995" s="1">
        <v>993.0</v>
      </c>
      <c r="B995" s="3" t="s">
        <v>996</v>
      </c>
      <c r="C995" s="3" t="str">
        <f>IFERROR(__xludf.DUMMYFUNCTION("GOOGLETRANSLATE(B995,""id"",""en"")"),"['', 'MMG', 'easy', 'use', 'package', 'package', 'internet', 'JLS', 'mode', 'SKLI', 'BLI', 'AMPAI', 'DOES ',' BLI ',' Spend ',' Money ',' ']")</f>
        <v>['', 'MMG', 'easy', 'use', 'package', 'package', 'internet', 'JLS', 'mode', 'SKLI', 'BLI', 'AMPAI', 'DOES ',' BLI ',' Spend ',' Money ',' ']</v>
      </c>
      <c r="D995" s="3">
        <v>5.0</v>
      </c>
    </row>
    <row r="996" ht="15.75" customHeight="1">
      <c r="A996" s="1">
        <v>994.0</v>
      </c>
      <c r="B996" s="3" t="s">
        <v>997</v>
      </c>
      <c r="C996" s="3" t="str">
        <f>IFERROR(__xludf.DUMMYFUNCTION("GOOGLETRANSLATE(B996,""id"",""en"")"),"['Network', 'Taik', 'Price', 'Package', 'Expensive', 'Like', 'Maling', 'Credit', 'Service', 'Bad', 'Price', 'Expensive', ' quality ',' network ',' cheap ']")</f>
        <v>['Network', 'Taik', 'Price', 'Package', 'Expensive', 'Like', 'Maling', 'Credit', 'Service', 'Bad', 'Price', 'Expensive', ' quality ',' network ',' cheap ']</v>
      </c>
      <c r="D996" s="3">
        <v>1.0</v>
      </c>
    </row>
    <row r="997" ht="15.75" customHeight="1">
      <c r="A997" s="1">
        <v>995.0</v>
      </c>
      <c r="B997" s="3" t="s">
        <v>998</v>
      </c>
      <c r="C997" s="3" t="str">
        <f>IFERROR(__xludf.DUMMYFUNCTION("GOOGLETRANSLATE(B997,""id"",""en"")"),"['The application', 'ugly', 'quota', 'expensive', 'expensive', 'boong']")</f>
        <v>['The application', 'ugly', 'quota', 'expensive', 'expensive', 'boong']</v>
      </c>
      <c r="D997" s="3">
        <v>5.0</v>
      </c>
    </row>
    <row r="998" ht="15.75" customHeight="1">
      <c r="A998" s="1">
        <v>996.0</v>
      </c>
      <c r="B998" s="3" t="s">
        <v>999</v>
      </c>
      <c r="C998" s="3" t="str">
        <f>IFERROR(__xludf.DUMMYFUNCTION("GOOGLETRANSLATE(B998,""id"",""en"")"),"['Wrong', 'contents', 'pulse', 'number', 'active', 'ngajuin', 'refund', 'solution', 'Telkomsel', 'disappointed', '']")</f>
        <v>['Wrong', 'contents', 'pulse', 'number', 'active', 'ngajuin', 'refund', 'solution', 'Telkomsel', 'disappointed', '']</v>
      </c>
      <c r="D998" s="3">
        <v>5.0</v>
      </c>
    </row>
    <row r="999" ht="15.75" customHeight="1">
      <c r="A999" s="1">
        <v>997.0</v>
      </c>
      <c r="B999" s="3" t="s">
        <v>1000</v>
      </c>
      <c r="C999" s="3" t="str">
        <f>IFERROR(__xludf.DUMMYFUNCTION("GOOGLETRANSLATE(B999,""id"",""en"")"),"['love', 'star', 'what', 'good', 'signal', 'ngeleg', 'little', 'please', 'repaired', 'network', 'good', 'admin', ' Hopefully ',' smooth ',' fix ',' signal ',' thanks', 'admin', '']")</f>
        <v>['love', 'star', 'what', 'good', 'signal', 'ngeleg', 'little', 'please', 'repaired', 'network', 'good', 'admin', ' Hopefully ',' smooth ',' fix ',' signal ',' thanks', 'admin', '']</v>
      </c>
      <c r="D999" s="3">
        <v>5.0</v>
      </c>
    </row>
    <row r="1000" ht="15.75" customHeight="1">
      <c r="A1000" s="1">
        <v>998.0</v>
      </c>
      <c r="B1000" s="3" t="s">
        <v>1001</v>
      </c>
      <c r="C1000" s="3" t="str">
        <f>IFERROR(__xludf.DUMMYFUNCTION("GOOGLETRANSLATE(B1000,""id"",""en"")"),"['calm', 'gontain', 'change', 'card', 'SIM', 'pulse', 'quota', 'active', 'card', 'fast', ""]")</f>
        <v>['calm', 'gontain', 'change', 'card', 'SIM', 'pulse', 'quota', 'active', 'card', 'fast', "]</v>
      </c>
      <c r="D1000" s="3">
        <v>5.0</v>
      </c>
    </row>
    <row r="1001" ht="15.75" customHeight="1">
      <c r="A1001" s="1">
        <v>999.0</v>
      </c>
      <c r="B1001" s="3" t="s">
        <v>1002</v>
      </c>
      <c r="C1001" s="3" t="str">
        <f>IFERROR(__xludf.DUMMYFUNCTION("GOOGLETRANSLATE(B1001,""id"",""en"")"),"['suggestion', 'package', 'run out', 'UDH', 'run out', 'pulse', 'profit', 'skrg', 'prepaid', 'plsa', 'trpot', 'what', ' plgn ',' pscabaid ',' kayak ',' can ',' sms', 'warning']")</f>
        <v>['suggestion', 'package', 'run out', 'UDH', 'run out', 'pulse', 'profit', 'skrg', 'prepaid', 'plsa', 'trpot', 'what', ' plgn ',' pscabaid ',' kayak ',' can ',' sms', 'warning']</v>
      </c>
      <c r="D1001" s="3">
        <v>1.0</v>
      </c>
    </row>
    <row r="1002" ht="15.75" customHeight="1">
      <c r="A1002" s="1">
        <v>1000.0</v>
      </c>
      <c r="B1002" s="3" t="s">
        <v>1003</v>
      </c>
      <c r="C1002" s="3" t="str">
        <f>IFERROR(__xludf.DUMMYFUNCTION("GOOGLETRANSLATE(B1002,""id"",""en"")"),"['network', 'high school', 'price', 'pls',' package ',' according to ',' price ',' expensive ',' network ',' slow ',' bkn ',' play ',' Sometimes', 'fixed', 'fix', 'tissue', 'Telkomsel', 'lose', 'dlu', 'lose', 'high school', 'Telkomsel']")</f>
        <v>['network', 'high school', 'price', 'pls',' package ',' according to ',' price ',' expensive ',' network ',' slow ',' bkn ',' play ',' Sometimes', 'fixed', 'fix', 'tissue', 'Telkomsel', 'lose', 'dlu', 'lose', 'high school', 'Telkomsel']</v>
      </c>
      <c r="D1002" s="3">
        <v>1.0</v>
      </c>
    </row>
    <row r="1003" ht="15.75" customHeight="1">
      <c r="A1003" s="1">
        <v>1001.0</v>
      </c>
      <c r="B1003" s="3" t="s">
        <v>1004</v>
      </c>
      <c r="C1003" s="3" t="str">
        <f>IFERROR(__xludf.DUMMYFUNCTION("GOOGLETRANSLATE(B1003,""id"",""en"")"),"['Telkomsel', 'Sousal', 'as good', 'like', 'use', 'Telkomsel', 'package', 'data', 'run out', 'automatic', 'suck', 'pulses',' Please ',' System ',' Benerin ',' Quotes', 'Out', 'Out', 'Direct', 'Sucked', 'Pulses', ""]")</f>
        <v>['Telkomsel', 'Sousal', 'as good', 'like', 'use', 'Telkomsel', 'package', 'data', 'run out', 'automatic', 'suck', 'pulses',' Please ',' System ',' Benerin ',' Quotes', 'Out', 'Out', 'Direct', 'Sucked', 'Pulses', "]</v>
      </c>
      <c r="D1003" s="3">
        <v>1.0</v>
      </c>
    </row>
    <row r="1004" ht="15.75" customHeight="1">
      <c r="A1004" s="1">
        <v>1002.0</v>
      </c>
      <c r="B1004" s="3" t="s">
        <v>1005</v>
      </c>
      <c r="C1004" s="3" t="str">
        <f>IFERROR(__xludf.DUMMYFUNCTION("GOOGLETRANSLATE(B1004,""id"",""en"")"),"['package', 'quota', 'data', 'package', 'already', 'run out', 'data', 'active', 'internet', 'pulses',' sumps', 'gmna', ' Sis', 'Operator', 'Indsat', 'Pulse', 'Safe', 'Sumpot', 'Pulses',' Telkomsel ',' Features', 'Kayak', 'Gini', 'Gmna', 'Sis' , '']")</f>
        <v>['package', 'quota', 'data', 'package', 'already', 'run out', 'data', 'active', 'internet', 'pulses',' sumps', 'gmna', ' Sis', 'Operator', 'Indsat', 'Pulse', 'Safe', 'Sumpot', 'Pulses',' Telkomsel ',' Features', 'Kayak', 'Gini', 'Gmna', 'Sis' , '']</v>
      </c>
      <c r="D1004" s="3">
        <v>1.0</v>
      </c>
    </row>
    <row r="1005" ht="15.75" customHeight="1">
      <c r="A1005" s="1">
        <v>1003.0</v>
      </c>
      <c r="B1005" s="3" t="s">
        <v>1006</v>
      </c>
      <c r="C1005" s="3" t="str">
        <f>IFERROR(__xludf.DUMMYFUNCTION("GOOGLETRANSLATE(B1005,""id"",""en"")"),"['Kouta', 'run out', 'sucked', 'pulse', 'like', 'next door', 'klau', 'the city', 'run out', 'finished', 'pulses',' ngikut ',' run out ',' buy ']")</f>
        <v>['Kouta', 'run out', 'sucked', 'pulse', 'like', 'next door', 'klau', 'the city', 'run out', 'finished', 'pulses',' ngikut ',' run out ',' buy ']</v>
      </c>
      <c r="D1005" s="3">
        <v>2.0</v>
      </c>
    </row>
    <row r="1006" ht="15.75" customHeight="1">
      <c r="A1006" s="1">
        <v>1004.0</v>
      </c>
      <c r="B1006" s="3" t="s">
        <v>1007</v>
      </c>
      <c r="C1006" s="3" t="str">
        <f>IFERROR(__xludf.DUMMYFUNCTION("GOOGLETRANSLATE(B1006,""id"",""en"")"),"['consumption', 'package', 'data', 'fast', 'google', 'minutes',' already ',' eat ',' package ',' then ',' package ',' expensive ',' Asem ']")</f>
        <v>['consumption', 'package', 'data', 'fast', 'google', 'minutes',' already ',' eat ',' package ',' then ',' package ',' expensive ',' Asem ']</v>
      </c>
      <c r="D1006" s="3">
        <v>1.0</v>
      </c>
    </row>
    <row r="1007" ht="15.75" customHeight="1">
      <c r="A1007" s="1">
        <v>1005.0</v>
      </c>
      <c r="B1007" s="3" t="s">
        <v>1008</v>
      </c>
      <c r="C1007" s="3" t="str">
        <f>IFERROR(__xludf.DUMMYFUNCTION("GOOGLETRANSLATE(B1007,""id"",""en"")"),"['Gamenya', 'ugly', 'intention', 'game']")</f>
        <v>['Gamenya', 'ugly', 'intention', 'game']</v>
      </c>
      <c r="D1007" s="3">
        <v>1.0</v>
      </c>
    </row>
    <row r="1008" ht="15.75" customHeight="1">
      <c r="A1008" s="1">
        <v>1006.0</v>
      </c>
      <c r="B1008" s="3" t="s">
        <v>1009</v>
      </c>
      <c r="C1008" s="3" t="str">
        <f>IFERROR(__xludf.DUMMYFUNCTION("GOOGLETRANSLATE(B1008,""id"",""en"")"),"['package', 'internet', 'expensive', 'TPI', 'network', 'bar', 'changed', 'then', 'doang', 'city', 'network', 'slow', ' news', 'remote', 'advertising', 'enter', 'forest', 'TPI', 'proof', 'zero', 'how', 'Telkomsel', 'play', 'game', 'network' , 'Disconnect',"&amp;" 'watch', 'Yutub', 'buffering', 'Hadehh', 'Telkommm', 'Telkommm', ""]")</f>
        <v>['package', 'internet', 'expensive', 'TPI', 'network', 'bar', 'changed', 'then', 'doang', 'city', 'network', 'slow', ' news', 'remote', 'advertising', 'enter', 'forest', 'TPI', 'proof', 'zero', 'how', 'Telkomsel', 'play', 'game', 'network' , 'Disconnect', 'watch', 'Yutub', 'buffering', 'Hadehh', 'Telkommm', 'Telkommm', "]</v>
      </c>
      <c r="D1008" s="3">
        <v>1.0</v>
      </c>
    </row>
    <row r="1009" ht="15.75" customHeight="1">
      <c r="A1009" s="1">
        <v>1007.0</v>
      </c>
      <c r="B1009" s="3" t="s">
        <v>1010</v>
      </c>
      <c r="C1009" s="3" t="str">
        <f>IFERROR(__xludf.DUMMYFUNCTION("GOOGLETRANSLATE(B1009,""id"",""en"")"),"['APK', 'Language', 'English', 'right', 'buy', 'package', 'MSIH', 'PLIHAN', 'Byan', 'pkek', 'Gopay', 'Shoopy', ' Bngung ',' ']")</f>
        <v>['APK', 'Language', 'English', 'right', 'buy', 'package', 'MSIH', 'PLIHAN', 'Byan', 'pkek', 'Gopay', 'Shoopy', ' Bngung ',' ']</v>
      </c>
      <c r="D1009" s="3">
        <v>1.0</v>
      </c>
    </row>
    <row r="1010" ht="15.75" customHeight="1">
      <c r="A1010" s="1">
        <v>1008.0</v>
      </c>
      <c r="B1010" s="3" t="s">
        <v>1011</v>
      </c>
      <c r="C1010" s="3" t="str">
        <f>IFERROR(__xludf.DUMMYFUNCTION("GOOGLETRANSLATE(B1010,""id"",""en"")"),"['network', 'sympathy', 'severe', 'missing', 'area', 'Gatsu', 'Bandung', 'detrimental', 'user', 'application', 'gojek', 'driver', ' Gobizz ',' Etc. ',' Please ',' Repaired ',' Order ',' Network ',' Stable ',' Orderan ',' Lost ']")</f>
        <v>['network', 'sympathy', 'severe', 'missing', 'area', 'Gatsu', 'Bandung', 'detrimental', 'user', 'application', 'gojek', 'driver', ' Gobizz ',' Etc. ',' Please ',' Repaired ',' Order ',' Network ',' Stable ',' Orderan ',' Lost ']</v>
      </c>
      <c r="D1010" s="3">
        <v>1.0</v>
      </c>
    </row>
    <row r="1011" ht="15.75" customHeight="1">
      <c r="A1011" s="1">
        <v>1009.0</v>
      </c>
      <c r="B1011" s="3" t="s">
        <v>1012</v>
      </c>
      <c r="C1011" s="3" t="str">
        <f>IFERROR(__xludf.DUMMYFUNCTION("GOOGLETRANSLATE(B1011,""id"",""en"")"),"['Telkomsel', 'convenience', 'consumers', 'products', 'choice', 'Hopefully', 'Telkomsel', 'in the future', 'promo', 'heart', 'customer']")</f>
        <v>['Telkomsel', 'convenience', 'consumers', 'products', 'choice', 'Hopefully', 'Telkomsel', 'in the future', 'promo', 'heart', 'customer']</v>
      </c>
      <c r="D1011" s="3">
        <v>5.0</v>
      </c>
    </row>
    <row r="1012" ht="15.75" customHeight="1">
      <c r="A1012" s="1">
        <v>1010.0</v>
      </c>
      <c r="B1012" s="3" t="s">
        <v>1013</v>
      </c>
      <c r="C1012" s="3" t="str">
        <f>IFERROR(__xludf.DUMMYFUNCTION("GOOGLETRANSLATE(B1012,""id"",""en"")"),"['love', 'star', 'complaints',' daily ',' check ',' person ',' need ',' voucher ',' zalora ',' tokopedia ',' because ',' shopping ',' Online ',' please ',' replaced ',' gift ',' use ']")</f>
        <v>['love', 'star', 'complaints',' daily ',' check ',' person ',' need ',' voucher ',' zalora ',' tokopedia ',' because ',' shopping ',' Online ',' please ',' replaced ',' gift ',' use ']</v>
      </c>
      <c r="D1012" s="3">
        <v>4.0</v>
      </c>
    </row>
    <row r="1013" ht="15.75" customHeight="1">
      <c r="A1013" s="1">
        <v>1011.0</v>
      </c>
      <c r="B1013" s="3" t="s">
        <v>1014</v>
      </c>
      <c r="C1013" s="3" t="str">
        <f>IFERROR(__xludf.DUMMYFUNCTION("GOOGLETRANSLATE(B1013,""id"",""en"")"),"['Telkomsel', 'live', 'apasih', 'quota', 'main', 'really', 'right', 'cut', 'pulse', '']")</f>
        <v>['Telkomsel', 'live', 'apasih', 'quota', 'main', 'really', 'right', 'cut', 'pulse', '']</v>
      </c>
      <c r="D1013" s="3">
        <v>1.0</v>
      </c>
    </row>
    <row r="1014" ht="15.75" customHeight="1">
      <c r="A1014" s="1">
        <v>1012.0</v>
      </c>
      <c r="B1014" s="3" t="s">
        <v>1015</v>
      </c>
      <c r="C1014" s="3" t="str">
        <f>IFERROR(__xludf.DUMMYFUNCTION("GOOGLETRANSLATE(B1014,""id"",""en"")"),"['parahhhhhh', 'signal', 'Telkomsel', 'Lemott', 'bln', 'kmrn', 'bli', 'package', 'combo', 'rb', 'dipake', 'mggu', ' slow ',' severe ',' jdi ',' wasteful ',' quota ',' nya ',' hrga ',' quota ',' expensive ',' TPI ',' balanced ',' quality ',' signal ' , 'lo"&amp;"ss',' bgttt ',' sya ',' bli ',' pket ',' internet ',' provider ',' lbh ',' bgus', 'dlm', 'a month', ' Package ',' Internet ',' Neda ',' Provider ',' PDHL ',' I've included ',' Customer ',' loyal ',' PKE ',' Sympathy ', ""]")</f>
        <v>['parahhhhhh', 'signal', 'Telkomsel', 'Lemott', 'bln', 'kmrn', 'bli', 'package', 'combo', 'rb', 'dipake', 'mggu', ' slow ',' severe ',' jdi ',' wasteful ',' quota ',' nya ',' hrga ',' quota ',' expensive ',' TPI ',' balanced ',' quality ',' signal ' , 'loss',' bgttt ',' sya ',' bli ',' pket ',' internet ',' provider ',' lbh ',' bgus', 'dlm', 'a month', ' Package ',' Internet ',' Neda ',' Provider ',' PDHL ',' I've included ',' Customer ',' loyal ',' PKE ',' Sympathy ', "]</v>
      </c>
      <c r="D1014" s="3">
        <v>1.0</v>
      </c>
    </row>
    <row r="1015" ht="15.75" customHeight="1">
      <c r="A1015" s="1">
        <v>1013.0</v>
      </c>
      <c r="B1015" s="3" t="s">
        <v>1016</v>
      </c>
      <c r="C1015" s="3" t="str">
        <f>IFERROR(__xludf.DUMMYFUNCTION("GOOGLETRANSLATE(B1015,""id"",""en"")"),"['The application', 'Bagus', 'signal', 'difficult', 'quota', 'expensive', 'squeezed', ""]")</f>
        <v>['The application', 'Bagus', 'signal', 'difficult', 'quota', 'expensive', 'squeezed', "]</v>
      </c>
      <c r="D1015" s="3">
        <v>1.0</v>
      </c>
    </row>
    <row r="1016" ht="15.75" customHeight="1">
      <c r="A1016" s="1">
        <v>1014.0</v>
      </c>
      <c r="B1016" s="3" t="s">
        <v>1017</v>
      </c>
      <c r="C1016" s="3" t="str">
        <f>IFERROR(__xludf.DUMMYFUNCTION("GOOGLETRANSLATE(B1016,""id"",""en"")"),"['Want', 'Request', 'Sis',' Age ',' Want ',' Request ',' Telkomsel ',' Down ',' Price ',' Buy ',' Quota ',' Love ',' Stars', 'deh', 'already', 'APK', '']")</f>
        <v>['Want', 'Request', 'Sis',' Age ',' Want ',' Request ',' Telkomsel ',' Down ',' Price ',' Buy ',' Quota ',' Love ',' Stars', 'deh', 'already', 'APK', '']</v>
      </c>
      <c r="D1016" s="3">
        <v>5.0</v>
      </c>
    </row>
    <row r="1017" ht="15.75" customHeight="1">
      <c r="A1017" s="1">
        <v>1015.0</v>
      </c>
      <c r="B1017" s="3" t="s">
        <v>1018</v>
      </c>
      <c r="C1017" s="3" t="str">
        <f>IFERROR(__xludf.DUMMYFUNCTION("GOOGLETRANSLATE(B1017,""id"",""en"")"),"['application', 'useful', 'check', 'leftover', 'quota', 'internet', 'quota', 'bonus', 'hope', 'future', 'good', 'quality']")</f>
        <v>['application', 'useful', 'check', 'leftover', 'quota', 'internet', 'quota', 'bonus', 'hope', 'future', 'good', 'quality']</v>
      </c>
      <c r="D1017" s="3">
        <v>5.0</v>
      </c>
    </row>
    <row r="1018" ht="15.75" customHeight="1">
      <c r="A1018" s="1">
        <v>1016.0</v>
      </c>
      <c r="B1018" s="3" t="s">
        <v>1019</v>
      </c>
      <c r="C1018" s="3" t="str">
        <f>IFERROR(__xludf.DUMMYFUNCTION("GOOGLETRANSLATE(B1018,""id"",""en"")"),"['Network', 'Cuk', 'Disight', 'Cuk', 'Pay', 'Expensive', 'Change', 'Error', 'Muluk']")</f>
        <v>['Network', 'Cuk', 'Disight', 'Cuk', 'Pay', 'Expensive', 'Change', 'Error', 'Muluk']</v>
      </c>
      <c r="D1018" s="3">
        <v>1.0</v>
      </c>
    </row>
    <row r="1019" ht="15.75" customHeight="1">
      <c r="A1019" s="1">
        <v>1017.0</v>
      </c>
      <c r="B1019" s="3" t="s">
        <v>1020</v>
      </c>
      <c r="C1019" s="3" t="str">
        <f>IFERROR(__xludf.DUMMYFUNCTION("GOOGLETRANSLATE(B1019,""id"",""en"")"),"['Session', 'Mulu', 'Try', 'Login', 'Gausa', 'Logout', 'Automatic', 'Push', 'Rank', 'Quota', 'Abis',' Ribet ',' Wait ',' open ',' message ',' confirm ',' right ',' enter ',' uda ',' login ', ""]")</f>
        <v>['Session', 'Mulu', 'Try', 'Login', 'Gausa', 'Logout', 'Automatic', 'Push', 'Rank', 'Quota', 'Abis',' Ribet ',' Wait ',' open ',' message ',' confirm ',' right ',' enter ',' uda ',' login ', "]</v>
      </c>
      <c r="D1019" s="3">
        <v>3.0</v>
      </c>
    </row>
    <row r="1020" ht="15.75" customHeight="1">
      <c r="A1020" s="1">
        <v>1018.0</v>
      </c>
      <c r="B1020" s="3" t="s">
        <v>1021</v>
      </c>
      <c r="C1020" s="3" t="str">
        <f>IFERROR(__xludf.DUMMYFUNCTION("GOOGLETRANSLATE(B1020,""id"",""en"")"),"['application', 'heavy', 'buy', 'package', 'difficult', 'times',' pulse ',' inedible ',' data ',' inet ',' gara ',' slow ',' list ',' package ',' signal ',' bekasi ',' city ',' bad ',' tired ',' replace ',' bad ',' ']")</f>
        <v>['application', 'heavy', 'buy', 'package', 'difficult', 'times',' pulse ',' inedible ',' data ',' inet ',' gara ',' slow ',' list ',' package ',' signal ',' bekasi ',' city ',' bad ',' tired ',' replace ',' bad ',' ']</v>
      </c>
      <c r="D1020" s="3">
        <v>1.0</v>
      </c>
    </row>
    <row r="1021" ht="15.75" customHeight="1">
      <c r="A1021" s="1">
        <v>1019.0</v>
      </c>
      <c r="B1021" s="3" t="s">
        <v>1022</v>
      </c>
      <c r="C1021" s="3" t="str">
        <f>IFERROR(__xludf.DUMMYFUNCTION("GOOGLETRANSLATE(B1021,""id"",""en"")"),"['What', 'Kalok', 'Install', 'Telkomsel', 'quota', 'free', 'proof', 'lie', 'ngak', 'intention', 'ngak', 'kayak', ' Gini ',' Disappointed ',' Deh ',' already ',' waste ',' waste ',' quota ',' BURIK ',' Baget ']")</f>
        <v>['What', 'Kalok', 'Install', 'Telkomsel', 'quota', 'free', 'proof', 'lie', 'ngak', 'intention', 'ngak', 'kayak', ' Gini ',' Disappointed ',' Deh ',' already ',' waste ',' waste ',' quota ',' BURIK ',' Baget ']</v>
      </c>
      <c r="D1021" s="3">
        <v>1.0</v>
      </c>
    </row>
    <row r="1022" ht="15.75" customHeight="1">
      <c r="A1022" s="1">
        <v>1020.0</v>
      </c>
      <c r="B1022" s="3" t="s">
        <v>1023</v>
      </c>
      <c r="C1022" s="3" t="str">
        <f>IFERROR(__xludf.DUMMYFUNCTION("GOOGLETRANSLATE(B1022,""id"",""en"")"),"['buy', 'package', 'payment', 'credit', 'shopepay', 'ama', 'link', 'where', 'yha', 'kyk', 'gini', 'heir', ' Gopay ',' delicious']")</f>
        <v>['buy', 'package', 'payment', 'credit', 'shopepay', 'ama', 'link', 'where', 'yha', 'kyk', 'gini', 'heir', ' Gopay ',' delicious']</v>
      </c>
      <c r="D1022" s="3">
        <v>1.0</v>
      </c>
    </row>
    <row r="1023" ht="15.75" customHeight="1">
      <c r="A1023" s="1">
        <v>1021.0</v>
      </c>
      <c r="B1023" s="3" t="s">
        <v>1024</v>
      </c>
      <c r="C1023" s="3" t="str">
        <f>IFERROR(__xludf.DUMMYFUNCTION("GOOGLETRANSLATE(B1023,""id"",""en"")"),"['thank', 'love', 'Telkomsel', 'love', 'experience', 'beg', 'fix', 'method', 'payment', 'hope', 'gojek', 'gopay', ' use ',' buy ',' quota ',' monthly ',' kak ',' hope ',' read ',' thank ',' love ', ""]")</f>
        <v>['thank', 'love', 'Telkomsel', 'love', 'experience', 'beg', 'fix', 'method', 'payment', 'hope', 'gojek', 'gopay', ' use ',' buy ',' quota ',' monthly ',' kak ',' hope ',' read ',' thank ',' love ', "]</v>
      </c>
      <c r="D1023" s="3">
        <v>3.0</v>
      </c>
    </row>
    <row r="1024" ht="15.75" customHeight="1">
      <c r="A1024" s="1">
        <v>1022.0</v>
      </c>
      <c r="B1024" s="3" t="s">
        <v>1025</v>
      </c>
      <c r="C1024" s="3" t="str">
        <f>IFERROR(__xludf.DUMMYFUNCTION("GOOGLETRANSLATE(B1024,""id"",""en"")"),"['bonus',' pulse ',' rb ',' buy ',' package ',' get ',' free ',' quota ',' spend ',' quota ',' main ',' lahh ',' What are you doing ',' Love ',' Free ',' Sihhh ',' Gabisa ',' Dipake ',' Wonder ',' Telkomsel ', ""]")</f>
        <v>['bonus',' pulse ',' rb ',' buy ',' package ',' get ',' free ',' quota ',' spend ',' quota ',' main ',' lahh ',' What are you doing ',' Love ',' Free ',' Sihhh ',' Gabisa ',' Dipake ',' Wonder ',' Telkomsel ', "]</v>
      </c>
      <c r="D1024" s="3">
        <v>1.0</v>
      </c>
    </row>
    <row r="1025" ht="15.75" customHeight="1">
      <c r="A1025" s="1">
        <v>1023.0</v>
      </c>
      <c r="B1025" s="3" t="s">
        <v>1026</v>
      </c>
      <c r="C1025" s="3" t="str">
        <f>IFERROR(__xludf.DUMMYFUNCTION("GOOGLETRANSLATE(B1025,""id"",""en"")"),"['promo', 'specialization', 'favorites',' customer ',' promo ',' gift ',' promo ',' data ',' internet ',' quota ',' promo ',' internet ',' Rates', 'special', 'students',' ']")</f>
        <v>['promo', 'specialization', 'favorites',' customer ',' promo ',' gift ',' promo ',' data ',' internet ',' quota ',' promo ',' internet ',' Rates', 'special', 'students',' ']</v>
      </c>
      <c r="D1025" s="3">
        <v>5.0</v>
      </c>
    </row>
    <row r="1026" ht="15.75" customHeight="1">
      <c r="A1026" s="1">
        <v>1024.0</v>
      </c>
      <c r="B1026" s="3" t="s">
        <v>1027</v>
      </c>
      <c r="C1026" s="3" t="str">
        <f>IFERROR(__xludf.DUMMYFUNCTION("GOOGLETRANSLATE(B1026,""id"",""en"")"),"['quota', 'run out', 'take', 'pulse', 'need', 'internet', 'woy', 'pulse', 'cheek', 'damn', ""]")</f>
        <v>['quota', 'run out', 'take', 'pulse', 'need', 'internet', 'woy', 'pulse', 'cheek', 'damn', "]</v>
      </c>
      <c r="D1026" s="3">
        <v>1.0</v>
      </c>
    </row>
    <row r="1027" ht="15.75" customHeight="1">
      <c r="A1027" s="1">
        <v>1025.0</v>
      </c>
      <c r="B1027" s="3" t="s">
        <v>1028</v>
      </c>
      <c r="C1027" s="3" t="str">
        <f>IFERROR(__xludf.DUMMYFUNCTION("GOOGLETRANSLATE(B1027,""id"",""en"")"),"['hours',' morning ',' network ',' already ',' slow ',' really ',' streaming ',' road ',' buffering ',' severe ',' want ',' patahin ',' The cards', 'Season', 'really', 'morning', 'noon', 'late', 'malem', 'slow', '']")</f>
        <v>['hours',' morning ',' network ',' already ',' slow ',' really ',' streaming ',' road ',' buffering ',' severe ',' want ',' patahin ',' The cards', 'Season', 'really', 'morning', 'noon', 'late', 'malem', 'slow', '']</v>
      </c>
      <c r="D1027" s="3">
        <v>1.0</v>
      </c>
    </row>
    <row r="1028" ht="15.75" customHeight="1">
      <c r="A1028" s="1">
        <v>1026.0</v>
      </c>
      <c r="B1028" s="3" t="s">
        <v>1029</v>
      </c>
      <c r="C1028" s="3" t="str">
        <f>IFERROR(__xludf.DUMMYFUNCTION("GOOGLETRANSLATE(B1028,""id"",""en"")"),"['Connection', 'Internet', 'Lambar', 'Region', 'Please', 'Fix', '']")</f>
        <v>['Connection', 'Internet', 'Lambar', 'Region', 'Please', 'Fix', '']</v>
      </c>
      <c r="D1028" s="3">
        <v>1.0</v>
      </c>
    </row>
    <row r="1029" ht="15.75" customHeight="1">
      <c r="A1029" s="1">
        <v>1027.0</v>
      </c>
      <c r="B1029" s="3" t="s">
        <v>1030</v>
      </c>
      <c r="C1029" s="3" t="str">
        <f>IFERROR(__xludf.DUMMYFUNCTION("GOOGLETRANSLATE(B1029,""id"",""en"")"),"['', 'Telkomsel', 'easy', 'purchase', 'package', 'data', 'check', 'data', 'basically', 'good', 'thank you', 'Telkomsel']")</f>
        <v>['', 'Telkomsel', 'easy', 'purchase', 'package', 'data', 'check', 'data', 'basically', 'good', 'thank you', 'Telkomsel']</v>
      </c>
      <c r="D1029" s="3">
        <v>5.0</v>
      </c>
    </row>
    <row r="1030" ht="15.75" customHeight="1">
      <c r="A1030" s="1">
        <v>1028.0</v>
      </c>
      <c r="B1030" s="3" t="s">
        <v>1031</v>
      </c>
      <c r="C1030" s="3" t="str">
        <f>IFERROR(__xludf.DUMMYFUNCTION("GOOGLETRANSLATE(B1030,""id"",""en"")"),"['Pay', 'gabisa', 'Method', 'Gopayy', 'Link', 'Shopeepay', 'GMNA', 'Yesterday', 'Yesterday', 'Cana']")</f>
        <v>['Pay', 'gabisa', 'Method', 'Gopayy', 'Link', 'Shopeepay', 'GMNA', 'Yesterday', 'Yesterday', 'Cana']</v>
      </c>
      <c r="D1030" s="3">
        <v>2.0</v>
      </c>
    </row>
    <row r="1031" ht="15.75" customHeight="1">
      <c r="A1031" s="1">
        <v>1029.0</v>
      </c>
      <c r="B1031" s="3" t="s">
        <v>1032</v>
      </c>
      <c r="C1031" s="3" t="str">
        <f>IFERROR(__xludf.DUMMYFUNCTION("GOOGLETRANSLATE(B1031,""id"",""en"")"),"['quota', 'daily', 'run out', 'clock', 'buy', 'quota', 'Telkomsel', 'slow', 'expensive', 'kang', 'scam']")</f>
        <v>['quota', 'daily', 'run out', 'clock', 'buy', 'quota', 'Telkomsel', 'slow', 'expensive', 'kang', 'scam']</v>
      </c>
      <c r="D1031" s="3">
        <v>1.0</v>
      </c>
    </row>
    <row r="1032" ht="15.75" customHeight="1">
      <c r="A1032" s="1">
        <v>1030.0</v>
      </c>
      <c r="B1032" s="3" t="s">
        <v>1033</v>
      </c>
      <c r="C1032" s="3" t="str">
        <f>IFERROR(__xludf.DUMMYFUNCTION("GOOGLETRANSLATE(B1032,""id"",""en"")"),"['Thank you', 'Telkomsel', 'stability', 'signal', 'plobal', 'please', 'Increase', 'no', 'lose', 'signal', 'neighbor', 'price', ' The quota is', 'less',' ']")</f>
        <v>['Thank you', 'Telkomsel', 'stability', 'signal', 'plobal', 'please', 'Increase', 'no', 'lose', 'signal', 'neighbor', 'price', ' The quota is', 'less',' ']</v>
      </c>
      <c r="D1032" s="3">
        <v>5.0</v>
      </c>
    </row>
    <row r="1033" ht="15.75" customHeight="1">
      <c r="A1033" s="1">
        <v>1031.0</v>
      </c>
      <c r="B1033" s="3" t="s">
        <v>1034</v>
      </c>
      <c r="C1033" s="3" t="str">
        <f>IFERROR(__xludf.DUMMYFUNCTION("GOOGLETRANSLATE(B1033,""id"",""en"")"),"['already', 'Telkomsel', 'Satisfied', 'really', 'Sunday', 'Yesterday', 'network', 'sdkit', 'disappointed', ""]")</f>
        <v>['already', 'Telkomsel', 'Satisfied', 'really', 'Sunday', 'Yesterday', 'network', 'sdkit', 'disappointed', "]</v>
      </c>
      <c r="D1033" s="3">
        <v>5.0</v>
      </c>
    </row>
    <row r="1034" ht="15.75" customHeight="1">
      <c r="A1034" s="1">
        <v>1032.0</v>
      </c>
      <c r="B1034" s="3" t="s">
        <v>1035</v>
      </c>
      <c r="C1034" s="3" t="str">
        <f>IFERROR(__xludf.DUMMYFUNCTION("GOOGLETRANSLATE(B1034,""id"",""en"")"),"['Package', 'Telkomsel', 'Credit', 'Taken', 'Pas',' Open ',' Internet ',' Package ',' Out ',' Package ',' Please ',' Telkomsel ',' Fix ',' Application ']")</f>
        <v>['Package', 'Telkomsel', 'Credit', 'Taken', 'Pas',' Open ',' Internet ',' Package ',' Out ',' Package ',' Please ',' Telkomsel ',' Fix ',' Application ']</v>
      </c>
      <c r="D1034" s="3">
        <v>1.0</v>
      </c>
    </row>
    <row r="1035" ht="15.75" customHeight="1">
      <c r="A1035" s="1">
        <v>1033.0</v>
      </c>
      <c r="B1035" s="3" t="s">
        <v>1036</v>
      </c>
      <c r="C1035" s="3" t="str">
        <f>IFERROR(__xludf.DUMMYFUNCTION("GOOGLETRANSLATE(B1035,""id"",""en"")"),"['Signal', 'Bad', 'Disappointed', 'Since', 'Use', 'Card', 'Bill', 'Walking', 'Use', 'Limit', 'Disright', 'Customer', ' Bad ',' disappointing ',' ']")</f>
        <v>['Signal', 'Bad', 'Disappointed', 'Since', 'Use', 'Card', 'Bill', 'Walking', 'Use', 'Limit', 'Disright', 'Customer', ' Bad ',' disappointing ',' ']</v>
      </c>
      <c r="D1035" s="3">
        <v>1.0</v>
      </c>
    </row>
    <row r="1036" ht="15.75" customHeight="1">
      <c r="A1036" s="1">
        <v>1034.0</v>
      </c>
      <c r="B1036" s="3" t="s">
        <v>1037</v>
      </c>
      <c r="C1036" s="3" t="str">
        <f>IFERROR(__xludf.DUMMYFUNCTION("GOOGLETRANSLATE(B1036,""id"",""en"")"),"['Price', 'Package', 'Data', 'Expensive', 'Price', 'Package', 'Data', 'Application', 'MyTelkomsel', 'Different', 'Different', 'Choice', ' package ',' data ',' cheap ',' expensive ',' Telkomsel ',' package ',' data ',' price ']")</f>
        <v>['Price', 'Package', 'Data', 'Expensive', 'Price', 'Package', 'Data', 'Application', 'MyTelkomsel', 'Different', 'Different', 'Choice', ' package ',' data ',' cheap ',' expensive ',' Telkomsel ',' package ',' data ',' price ']</v>
      </c>
      <c r="D1036" s="3">
        <v>2.0</v>
      </c>
    </row>
    <row r="1037" ht="15.75" customHeight="1">
      <c r="A1037" s="1">
        <v>1035.0</v>
      </c>
      <c r="B1037" s="3" t="s">
        <v>1038</v>
      </c>
      <c r="C1037" s="3" t="str">
        <f>IFERROR(__xludf.DUMMYFUNCTION("GOOGLETRANSLATE(B1037,""id"",""en"")"),"['scammer', 'fill in', 'pulse', 'cut', 'pay', 'package', 'emergency', 'owe', ""]")</f>
        <v>['scammer', 'fill in', 'pulse', 'cut', 'pay', 'package', 'emergency', 'owe', "]</v>
      </c>
      <c r="D1037" s="3">
        <v>1.0</v>
      </c>
    </row>
    <row r="1038" ht="15.75" customHeight="1">
      <c r="A1038" s="1">
        <v>1036.0</v>
      </c>
      <c r="B1038" s="3" t="s">
        <v>1039</v>
      </c>
      <c r="C1038" s="3" t="str">
        <f>IFERROR(__xludf.DUMMYFUNCTION("GOOGLETRANSLATE(B1038,""id"",""en"")"),"['Alhamdulillah', 'facilities', 'hope', 'chance', 'wrong', 'winner', '']")</f>
        <v>['Alhamdulillah', 'facilities', 'hope', 'chance', 'wrong', 'winner', '']</v>
      </c>
      <c r="D1038" s="3">
        <v>5.0</v>
      </c>
    </row>
    <row r="1039" ht="15.75" customHeight="1">
      <c r="A1039" s="1">
        <v>1037.0</v>
      </c>
      <c r="B1039" s="3" t="s">
        <v>1040</v>
      </c>
      <c r="C1039" s="3" t="str">
        <f>IFERROR(__xludf.DUMMYFUNCTION("GOOGLETRANSLATE(B1039,""id"",""en"")"),"['Woii', 'buy', 'kouta', 'tsel', 'complete', 'rich', 'choice', 'try', 'expensive', 'package', 'rb']")</f>
        <v>['Woii', 'buy', 'kouta', 'tsel', 'complete', 'rich', 'choice', 'try', 'expensive', 'package', 'rb']</v>
      </c>
      <c r="D1039" s="3">
        <v>1.0</v>
      </c>
    </row>
    <row r="1040" ht="15.75" customHeight="1">
      <c r="A1040" s="1">
        <v>1038.0</v>
      </c>
      <c r="B1040" s="3" t="s">
        <v>1041</v>
      </c>
      <c r="C1040" s="3" t="str">
        <f>IFERROR(__xludf.DUMMYFUNCTION("GOOGLETRANSLATE(B1040,""id"",""en"")"),"['price', 'package', 'expensive', 'bagj', 'bonus',' package ',' package ',' main ',' finished ',' used ',' customer ',' Watch ',' Hooq ',' VIU ',' Etc. ',' Signal ',' Region ',' Leet ']")</f>
        <v>['price', 'package', 'expensive', 'bagj', 'bonus',' package ',' package ',' main ',' finished ',' used ',' customer ',' Watch ',' Hooq ',' VIU ',' Etc. ',' Signal ',' Region ',' Leet ']</v>
      </c>
      <c r="D1040" s="3">
        <v>2.0</v>
      </c>
    </row>
    <row r="1041" ht="15.75" customHeight="1">
      <c r="A1041" s="1">
        <v>1039.0</v>
      </c>
      <c r="B1041" s="3" t="s">
        <v>1042</v>
      </c>
      <c r="C1041" s="3" t="str">
        <f>IFERROR(__xludf.DUMMYFUNCTION("GOOGLETRANSLATE(B1041,""id"",""en"")"),"['application', 'quality', 'stop', 'subscribe', 'quota', 'fast', 'drained', 'run out']")</f>
        <v>['application', 'quality', 'stop', 'subscribe', 'quota', 'fast', 'drained', 'run out']</v>
      </c>
      <c r="D1041" s="3">
        <v>1.0</v>
      </c>
    </row>
    <row r="1042" ht="15.75" customHeight="1">
      <c r="A1042" s="1">
        <v>1040.0</v>
      </c>
      <c r="B1042" s="3" t="s">
        <v>1043</v>
      </c>
      <c r="C1042" s="3" t="str">
        <f>IFERROR(__xludf.DUMMYFUNCTION("GOOGLETRANSLATE(B1042,""id"",""en"")"),"['have', 'Kouta', 'Learning', 'Kouta', 'Night', 'Kouta', 'Combo', 'Sakti', 'Kouta', 'Learning', 'Eat', 'Have', ' Koutaa ',' night ',' combo ',' Sakti ',' loss', 'kouta', 'kouta', 'learn', 'kouta', 'loss',' people ',' mulu ',' wonder ' ]")</f>
        <v>['have', 'Kouta', 'Learning', 'Kouta', 'Night', 'Kouta', 'Combo', 'Sakti', 'Kouta', 'Learning', 'Eat', 'Have', ' Koutaa ',' night ',' combo ',' Sakti ',' loss', 'kouta', 'kouta', 'learn', 'kouta', 'loss',' people ',' mulu ',' wonder ' ]</v>
      </c>
      <c r="D1042" s="3">
        <v>1.0</v>
      </c>
    </row>
    <row r="1043" ht="15.75" customHeight="1">
      <c r="A1043" s="1">
        <v>1041.0</v>
      </c>
      <c r="B1043" s="3" t="s">
        <v>1044</v>
      </c>
      <c r="C1043" s="3" t="str">
        <f>IFERROR(__xludf.DUMMYFUNCTION("GOOGLETRANSLATE(B1043,""id"",""en"")"),"['Telkomsel', 'slow', 'missing', 'network', 'disappointing', 'customers',' many years', 'survive', 'Ditelkomsel', 'please', 'repair', 'customer', ' Move ',' Provider ',' ']")</f>
        <v>['Telkomsel', 'slow', 'missing', 'network', 'disappointing', 'customers',' many years', 'survive', 'Ditelkomsel', 'please', 'repair', 'customer', ' Move ',' Provider ',' ']</v>
      </c>
      <c r="D1043" s="3">
        <v>1.0</v>
      </c>
    </row>
    <row r="1044" ht="15.75" customHeight="1">
      <c r="A1044" s="1">
        <v>1042.0</v>
      </c>
      <c r="B1044" s="3" t="s">
        <v>1045</v>
      </c>
      <c r="C1044" s="3" t="str">
        <f>IFERROR(__xludf.DUMMYFUNCTION("GOOGLETRANSLATE(B1044,""id"",""en"")"),"['signal', 'sympathy', 'good', 'please', 'repaired', 'area', 'home', 'garden', 'mangu', 'japos',' raya ',' cottage ',' Jati ',' Hasan ',' please ',' BPK ',' Dear ',' Kasian ',' child ',' PJJ ',' at home ',' bln ',' ber ',' bought ',' pulses' , 'people', '"&amp;"sympathy', 'disappointing', 'Sudh', 'repeated', 'times', 'complement', 'repaired', ""]")</f>
        <v>['signal', 'sympathy', 'good', 'please', 'repaired', 'area', 'home', 'garden', 'mangu', 'japos',' raya ',' cottage ',' Jati ',' Hasan ',' please ',' BPK ',' Dear ',' Kasian ',' child ',' PJJ ',' at home ',' bln ',' ber ',' bought ',' pulses' , 'people', 'sympathy', 'disappointing', 'Sudh', 'repeated', 'times', 'complement', 'repaired', "]</v>
      </c>
      <c r="D1044" s="3">
        <v>1.0</v>
      </c>
    </row>
    <row r="1045" ht="15.75" customHeight="1">
      <c r="A1045" s="1">
        <v>1043.0</v>
      </c>
      <c r="B1045" s="3" t="s">
        <v>1046</v>
      </c>
      <c r="C1045" s="3" t="str">
        <f>IFERROR(__xludf.DUMMYFUNCTION("GOOGLETRANSLATE(B1045,""id"",""en"")"),"['Telkomsel', 'payment', 'via', 'Fund', 'easy', 'payment', 'via', 'Fund']")</f>
        <v>['Telkomsel', 'payment', 'via', 'Fund', 'easy', 'payment', 'via', 'Fund']</v>
      </c>
      <c r="D1045" s="3">
        <v>2.0</v>
      </c>
    </row>
    <row r="1046" ht="15.75" customHeight="1">
      <c r="A1046" s="1">
        <v>1044.0</v>
      </c>
      <c r="B1046" s="3" t="s">
        <v>1047</v>
      </c>
      <c r="C1046" s="3" t="str">
        <f>IFERROR(__xludf.DUMMYFUNCTION("GOOGLETRANSLATE(B1046,""id"",""en"")"),"['', 'PDPT', 'makes it easier', 'buy', 'package', 'see', 'leftover', 'quota', ""]")</f>
        <v>['', 'PDPT', 'makes it easier', 'buy', 'package', 'see', 'leftover', 'quota', "]</v>
      </c>
      <c r="D1046" s="3">
        <v>5.0</v>
      </c>
    </row>
    <row r="1047" ht="15.75" customHeight="1">
      <c r="A1047" s="1">
        <v>1045.0</v>
      </c>
      <c r="B1047" s="3" t="s">
        <v>1048</v>
      </c>
      <c r="C1047" s="3" t="str">
        <f>IFERROR(__xludf.DUMMYFUNCTION("GOOGLETRANSLATE(B1047,""id"",""en"")"),"['Telkomsel', 'Doang', 'pokonya', 'ishebest', 'kouta', 'already', 'abis',' eat ',' pulse ',' cheek ',' already ',' kouta ',' expensive ',' signal ',' threat ',' person ',' mah ',' jngan ',' that's', '']")</f>
        <v>['Telkomsel', 'Doang', 'pokonya', 'ishebest', 'kouta', 'already', 'abis',' eat ',' pulse ',' cheek ',' already ',' kouta ',' expensive ',' signal ',' threat ',' person ',' mah ',' jngan ',' that's', '']</v>
      </c>
      <c r="D1047" s="3">
        <v>1.0</v>
      </c>
    </row>
    <row r="1048" ht="15.75" customHeight="1">
      <c r="A1048" s="1">
        <v>1046.0</v>
      </c>
      <c r="B1048" s="3" t="s">
        <v>1049</v>
      </c>
      <c r="C1048" s="3" t="str">
        <f>IFERROR(__xludf.DUMMYFUNCTION("GOOGLETRANSLATE(B1048,""id"",""en"")"),"['app', 'useful', 'hope', 'win', 'prize', 'interesting']")</f>
        <v>['app', 'useful', 'hope', 'win', 'prize', 'interesting']</v>
      </c>
      <c r="D1048" s="3">
        <v>5.0</v>
      </c>
    </row>
    <row r="1049" ht="15.75" customHeight="1">
      <c r="A1049" s="1">
        <v>1047.0</v>
      </c>
      <c r="B1049" s="3" t="s">
        <v>1050</v>
      </c>
      <c r="C1049" s="3" t="str">
        <f>IFERROR(__xludf.DUMMYFUNCTION("GOOGLETRANSLATE(B1049,""id"",""en"")"),"['users', 'Telkomsel', 'disappointed', 'service', 'signal', 'Telkomsel', 'slow', 'blame', 'shark', ""]")</f>
        <v>['users', 'Telkomsel', 'disappointed', 'service', 'signal', 'Telkomsel', 'slow', 'blame', 'shark', "]</v>
      </c>
      <c r="D1049" s="3">
        <v>1.0</v>
      </c>
    </row>
    <row r="1050" ht="15.75" customHeight="1">
      <c r="A1050" s="1">
        <v>1048.0</v>
      </c>
      <c r="B1050" s="3" t="s">
        <v>1051</v>
      </c>
      <c r="C1050" s="3" t="str">
        <f>IFERROR(__xludf.DUMMYFUNCTION("GOOGLETRANSLATE(B1050,""id"",""en"")"),"['Disappointed', 'right', 'deh', 'times',' play ',' game ',' signal ',' ilang ',' then ',' please ',' fix ',' user ',' comfortable']")</f>
        <v>['Disappointed', 'right', 'deh', 'times',' play ',' game ',' signal ',' ilang ',' then ',' please ',' fix ',' user ',' comfortable']</v>
      </c>
      <c r="D1050" s="3">
        <v>1.0</v>
      </c>
    </row>
    <row r="1051" ht="15.75" customHeight="1">
      <c r="A1051" s="1">
        <v>1049.0</v>
      </c>
      <c r="B1051" s="3" t="s">
        <v>1052</v>
      </c>
      <c r="C1051" s="3" t="str">
        <f>IFERROR(__xludf.DUMMYFUNCTION("GOOGLETRANSLATE(B1051,""id"",""en"")"),"['Genesis',' Fire ',' Office ',' Telkomsel ',' Riau ',' Decrease ',' Stable ',' Network ',' Disconnected ',' Network ',' Telkomsel ',' Consumers', ' disappointed', '']")</f>
        <v>['Genesis',' Fire ',' Office ',' Telkomsel ',' Riau ',' Decrease ',' Stable ',' Network ',' Disconnected ',' Network ',' Telkomsel ',' Consumers', ' disappointed', '']</v>
      </c>
      <c r="D1051" s="3">
        <v>3.0</v>
      </c>
    </row>
    <row r="1052" ht="15.75" customHeight="1">
      <c r="A1052" s="1">
        <v>1050.0</v>
      </c>
      <c r="B1052" s="3" t="s">
        <v>1053</v>
      </c>
      <c r="C1052" s="3" t="str">
        <f>IFERROR(__xludf.DUMMYFUNCTION("GOOGLETRANSLATE(B1052,""id"",""en"")"),"['Really', 'Disappointed', 'Telkomsel', 'Person', 'Skrng', 'Pay', 'Use', 'Dana', 'Transaction', 'Use', 'Fund']")</f>
        <v>['Really', 'Disappointed', 'Telkomsel', 'Person', 'Skrng', 'Pay', 'Use', 'Dana', 'Transaction', 'Use', 'Fund']</v>
      </c>
      <c r="D1052" s="3">
        <v>1.0</v>
      </c>
    </row>
    <row r="1053" ht="15.75" customHeight="1">
      <c r="A1053" s="1">
        <v>1051.0</v>
      </c>
      <c r="B1053" s="3" t="s">
        <v>1054</v>
      </c>
      <c r="C1053" s="3" t="str">
        <f>IFERROR(__xludf.DUMMYFUNCTION("GOOGLETRANSLATE(B1053,""id"",""en"")"),"['week', 'payment', 'payment', 'missing', 'okay', 'funds',' ovo ',' linkaja ',' shopeepay ',' lost ',' loss', 'hanging out', ' Lost ',' how ',' missing ',' ']")</f>
        <v>['week', 'payment', 'payment', 'missing', 'okay', 'funds',' ovo ',' linkaja ',' shopeepay ',' lost ',' loss', 'hanging out', ' Lost ',' how ',' missing ',' ']</v>
      </c>
      <c r="D1053" s="3">
        <v>2.0</v>
      </c>
    </row>
    <row r="1054" ht="15.75" customHeight="1">
      <c r="A1054" s="1">
        <v>1052.0</v>
      </c>
      <c r="B1054" s="3" t="s">
        <v>1055</v>
      </c>
      <c r="C1054" s="3" t="str">
        <f>IFERROR(__xludf.DUMMYFUNCTION("GOOGLETRANSLATE(B1054,""id"",""en"")"),"['', 'Bener', 'price', 'package', 'expensive', 'signal', 'Buriq', 'Packagein', 'TLP', 'unlimited', 'phone', 'minutes',' pulses ',' TBTB ',' Abis', 'Tsel', 'PDHL', 'DLU', 'Tsel', 'TLG', 'Signal', 'repaired', 'TRS', 'Packagein', 'Tlp', 'lie', 'according to'"&amp;", 'reality', 'min', ""]")</f>
        <v>['', 'Bener', 'price', 'package', 'expensive', 'signal', 'Buriq', 'Packagein', 'TLP', 'unlimited', 'phone', 'minutes',' pulses ',' TBTB ',' Abis', 'Tsel', 'PDHL', 'DLU', 'Tsel', 'TLG', 'Signal', 'repaired', 'TRS', 'Packagein', 'Tlp', 'lie', 'according to', 'reality', 'min', "]</v>
      </c>
      <c r="D1054" s="3">
        <v>1.0</v>
      </c>
    </row>
    <row r="1055" ht="15.75" customHeight="1">
      <c r="A1055" s="1">
        <v>1053.0</v>
      </c>
      <c r="B1055" s="3" t="s">
        <v>1056</v>
      </c>
      <c r="C1055" s="3" t="str">
        <f>IFERROR(__xludf.DUMMYFUNCTION("GOOGLETRANSLATE(B1055,""id"",""en"")"),"['TMPT', 'Signal', 'Telkomsel', 'Top', 'Internet', 'Siip', 'KOQ', 'Slow', 'Sometimes',' Provider ',' Stable ',' Telkom ',' Ampe ',' Service ',' ']")</f>
        <v>['TMPT', 'Signal', 'Telkomsel', 'Top', 'Internet', 'Siip', 'KOQ', 'Slow', 'Sometimes',' Provider ',' Stable ',' Telkom ',' Ampe ',' Service ',' ']</v>
      </c>
      <c r="D1055" s="3">
        <v>5.0</v>
      </c>
    </row>
    <row r="1056" ht="15.75" customHeight="1">
      <c r="A1056" s="1">
        <v>1054.0</v>
      </c>
      <c r="B1056" s="3" t="s">
        <v>1057</v>
      </c>
      <c r="C1056" s="3" t="str">
        <f>IFERROR(__xludf.DUMMYFUNCTION("GOOGLETRANSLATE(B1056,""id"",""en"")"),"['Personal', 'like', 'system', 'Telkomsel', 'buy', 'quota', 'payment', 'gopay', 'gopay', 'complicated', 'Please', 'help', ' ']")</f>
        <v>['Personal', 'like', 'system', 'Telkomsel', 'buy', 'quota', 'payment', 'gopay', 'gopay', 'complicated', 'Please', 'help', ' ']</v>
      </c>
      <c r="D1056" s="3">
        <v>3.0</v>
      </c>
    </row>
    <row r="1057" ht="15.75" customHeight="1">
      <c r="A1057" s="1">
        <v>1055.0</v>
      </c>
      <c r="B1057" s="3" t="s">
        <v>1058</v>
      </c>
      <c r="C1057" s="3" t="str">
        <f>IFERROR(__xludf.DUMMYFUNCTION("GOOGLETRANSLATE(B1057,""id"",""en"")"),"['Help', 'solution', 'emg', 'stupid', 'yaa', 'respond', 'complaint', 'solution']")</f>
        <v>['Help', 'solution', 'emg', 'stupid', 'yaa', 'respond', 'complaint', 'solution']</v>
      </c>
      <c r="D1057" s="3">
        <v>1.0</v>
      </c>
    </row>
    <row r="1058" ht="15.75" customHeight="1">
      <c r="A1058" s="1">
        <v>1056.0</v>
      </c>
      <c r="B1058" s="3" t="s">
        <v>1059</v>
      </c>
      <c r="C1058" s="3" t="str">
        <f>IFERROR(__xludf.DUMMYFUNCTION("GOOGLETRANSLATE(B1058,""id"",""en"")"),"['service', 'poor', 'complaints',' overcome ',' response ',' good ',' network ',' open ',' application ',' speed ',' above ',' Mbps', ' Application ',' Kbps', 'already', 'fast', 'Telkomsel', 'Joss', ""]")</f>
        <v>['service', 'poor', 'complaints',' overcome ',' response ',' good ',' network ',' open ',' application ',' speed ',' above ',' Mbps', ' Application ',' Kbps', 'already', 'fast', 'Telkomsel', 'Joss', "]</v>
      </c>
      <c r="D1058" s="3">
        <v>1.0</v>
      </c>
    </row>
    <row r="1059" ht="15.75" customHeight="1">
      <c r="A1059" s="1">
        <v>1057.0</v>
      </c>
      <c r="B1059" s="3" t="s">
        <v>1060</v>
      </c>
      <c r="C1059" s="3" t="str">
        <f>IFERROR(__xludf.DUMMYFUNCTION("GOOGLETRANSLATE(B1059,""id"",""en"")"),"['Network', 'garbage', 'program', 'can', 'satisfying', 'consumer', 'your network', 'lol']")</f>
        <v>['Network', 'garbage', 'program', 'can', 'satisfying', 'consumer', 'your network', 'lol']</v>
      </c>
      <c r="D1059" s="3">
        <v>1.0</v>
      </c>
    </row>
    <row r="1060" ht="15.75" customHeight="1">
      <c r="A1060" s="1">
        <v>1058.0</v>
      </c>
      <c r="B1060" s="3" t="s">
        <v>1061</v>
      </c>
      <c r="C1060" s="3" t="str">
        <f>IFERROR(__xludf.DUMMYFUNCTION("GOOGLETRANSLATE(B1060,""id"",""en"")"),"['HADEHEHH', 'Telkomsel', 'NGAU', 'NGACO', 'Signal', 'Lost', 'Bener', 'Bener', 'Package', 'Data', 'Expensive', 'Bosss',' Network ',' Good ',' ']")</f>
        <v>['HADEHEHH', 'Telkomsel', 'NGAU', 'NGACO', 'Signal', 'Lost', 'Bener', 'Bener', 'Package', 'Data', 'Expensive', 'Bosss',' Network ',' Good ',' ']</v>
      </c>
      <c r="D1060" s="3">
        <v>1.0</v>
      </c>
    </row>
    <row r="1061" ht="15.75" customHeight="1">
      <c r="A1061" s="1">
        <v>1059.0</v>
      </c>
      <c r="B1061" s="3" t="s">
        <v>1062</v>
      </c>
      <c r="C1061" s="3" t="str">
        <f>IFERROR(__xludf.DUMMYFUNCTION("GOOGLETRANSLATE(B1061,""id"",""en"")"),"['makes it easier', 'access', 'user', 'increase', 'Performance', 'Lots', 'promo', 'lottery', 'gift', 'luxury', 'success', ""]")</f>
        <v>['makes it easier', 'access', 'user', 'increase', 'Performance', 'Lots', 'promo', 'lottery', 'gift', 'luxury', 'success', "]</v>
      </c>
      <c r="D1061" s="3">
        <v>5.0</v>
      </c>
    </row>
    <row r="1062" ht="15.75" customHeight="1">
      <c r="A1062" s="1">
        <v>1060.0</v>
      </c>
      <c r="B1062" s="3" t="s">
        <v>1063</v>
      </c>
      <c r="C1062" s="3" t="str">
        <f>IFERROR(__xludf.DUMMYFUNCTION("GOOGLETRANSLATE(B1062,""id"",""en"")"),"['Please', 'Telkomsel', 'Abis', 'Update', 'Payment', 'Data', 'Gopay', 'Available', 'Error', 'GMANA', 'Please', 'Fix']")</f>
        <v>['Please', 'Telkomsel', 'Abis', 'Update', 'Payment', 'Data', 'Gopay', 'Available', 'Error', 'GMANA', 'Please', 'Fix']</v>
      </c>
      <c r="D1062" s="3">
        <v>1.0</v>
      </c>
    </row>
    <row r="1063" ht="15.75" customHeight="1">
      <c r="A1063" s="1">
        <v>1061.0</v>
      </c>
      <c r="B1063" s="3" t="s">
        <v>1064</v>
      </c>
      <c r="C1063" s="3" t="str">
        <f>IFERROR(__xludf.DUMMYFUNCTION("GOOGLETRANSLATE(B1063,""id"",""en"")"),"['Network', 'Jakarta', 'Sawah']")</f>
        <v>['Network', 'Jakarta', 'Sawah']</v>
      </c>
      <c r="D1063" s="3">
        <v>1.0</v>
      </c>
    </row>
    <row r="1064" ht="15.75" customHeight="1">
      <c r="A1064" s="1">
        <v>1062.0</v>
      </c>
      <c r="B1064" s="3" t="s">
        <v>1065</v>
      </c>
      <c r="C1064" s="3" t="str">
        <f>IFERROR(__xludf.DUMMYFUNCTION("GOOGLETRANSLATE(B1064,""id"",""en"")"),"['promo', 'RB', 'GB', 'then', 'contents',' credit ',' rb ',' pulse ',' rb ',' right ',' click ',' buy ',' package ',' promo ',' tsb ',' sitem ',' corrupt ',' what ',' lost ',' ngakak ',' hilarious', 'class',' Telkomsel ',' wkwkwkwk ', ""]")</f>
        <v>['promo', 'RB', 'GB', 'then', 'contents',' credit ',' rb ',' pulse ',' rb ',' right ',' click ',' buy ',' package ',' promo ',' tsb ',' sitem ',' corrupt ',' what ',' lost ',' ngakak ',' hilarious', 'class',' Telkomsel ',' wkwkwkwk ', "]</v>
      </c>
      <c r="D1064" s="3">
        <v>1.0</v>
      </c>
    </row>
    <row r="1065" ht="15.75" customHeight="1">
      <c r="A1065" s="1">
        <v>1063.0</v>
      </c>
      <c r="B1065" s="3" t="s">
        <v>1066</v>
      </c>
      <c r="C1065" s="3" t="str">
        <f>IFERROR(__xludf.DUMMYFUNCTION("GOOGLETRANSLATE(B1065,""id"",""en"")"),"['Severe', 'told', 'Update', 'Update', 'Open', 'Description', 'Update', 'Change', 'Operator']")</f>
        <v>['Severe', 'told', 'Update', 'Update', 'Open', 'Description', 'Update', 'Change', 'Operator']</v>
      </c>
      <c r="D1065" s="3">
        <v>1.0</v>
      </c>
    </row>
    <row r="1066" ht="15.75" customHeight="1">
      <c r="A1066" s="1">
        <v>1064.0</v>
      </c>
      <c r="B1066" s="3" t="s">
        <v>1067</v>
      </c>
      <c r="C1066" s="3" t="str">
        <f>IFERROR(__xludf.DUMMYFUNCTION("GOOGLETRANSLATE(B1066,""id"",""en"")"),"['Bad', 'Points', 'Exchange', 'Credit', 'Order', 'Exchange', 'Gift', 'Nipu']")</f>
        <v>['Bad', 'Points', 'Exchange', 'Credit', 'Order', 'Exchange', 'Gift', 'Nipu']</v>
      </c>
      <c r="D1066" s="3">
        <v>1.0</v>
      </c>
    </row>
    <row r="1067" ht="15.75" customHeight="1">
      <c r="A1067" s="1">
        <v>1065.0</v>
      </c>
      <c r="B1067" s="3" t="s">
        <v>1068</v>
      </c>
      <c r="C1067" s="3" t="str">
        <f>IFERROR(__xludf.DUMMYFUNCTION("GOOGLETRANSLATE(B1067,""id"",""en"")"),"['What', 'the story', 'signal', 'NOT', 'good', 'Gaje', 'what', 'clerk', 'Telkomsel', 'signal', 'goib', 'please', ' Dibeneein ',' ']")</f>
        <v>['What', 'the story', 'signal', 'NOT', 'good', 'Gaje', 'what', 'clerk', 'Telkomsel', 'signal', 'goib', 'please', ' Dibeneein ',' ']</v>
      </c>
      <c r="D1067" s="3">
        <v>1.0</v>
      </c>
    </row>
    <row r="1068" ht="15.75" customHeight="1">
      <c r="A1068" s="1">
        <v>1066.0</v>
      </c>
      <c r="B1068" s="3" t="s">
        <v>1069</v>
      </c>
      <c r="C1068" s="3" t="str">
        <f>IFERROR(__xludf.DUMMYFUNCTION("GOOGLETRANSLATE(B1068,""id"",""en"")"),"['Tangkyou', 'accompany', 'my life', 'you', 'makes it easy', 'myself', 'salvaced', 'online', 'hope', 'in the future', 'Telkomsel', ""]")</f>
        <v>['Tangkyou', 'accompany', 'my life', 'you', 'makes it easy', 'myself', 'salvaced', 'online', 'hope', 'in the future', 'Telkomsel', "]</v>
      </c>
      <c r="D1068" s="3">
        <v>5.0</v>
      </c>
    </row>
    <row r="1069" ht="15.75" customHeight="1">
      <c r="A1069" s="1">
        <v>1067.0</v>
      </c>
      <c r="B1069" s="3" t="s">
        <v>1070</v>
      </c>
      <c r="C1069" s="3" t="str">
        <f>IFERROR(__xludf.DUMMYFUNCTION("GOOGLETRANSLATE(B1069,""id"",""en"")"),"['Telkomsel', 'skrg', 'good', 'signal', 'ugly', 'gmn', 'level', 'quality', 'expensive', 'right', 'severe', 'Telkomsel', ' Good ',' ugly ',' network ',' expensive ',' quality ',' severe ',' Telkomsel ',' severe ',' Telkomsel ',' ugly ',' kayak ',' gini ','"&amp;" switch ' , 'operator', 'subscription']")</f>
        <v>['Telkomsel', 'skrg', 'good', 'signal', 'ugly', 'gmn', 'level', 'quality', 'expensive', 'right', 'severe', 'Telkomsel', ' Good ',' ugly ',' network ',' expensive ',' quality ',' severe ',' Telkomsel ',' severe ',' Telkomsel ',' ugly ',' kayak ',' gini ',' switch ' , 'operator', 'subscription']</v>
      </c>
      <c r="D1069" s="3">
        <v>1.0</v>
      </c>
    </row>
    <row r="1070" ht="15.75" customHeight="1">
      <c r="A1070" s="1">
        <v>1068.0</v>
      </c>
      <c r="B1070" s="3" t="s">
        <v>1071</v>
      </c>
      <c r="C1070" s="3" t="str">
        <f>IFERROR(__xludf.DUMMYFUNCTION("GOOGLETRANSLATE(B1070,""id"",""en"")"),"['Talikin', 'star', 'already', 'thank', 'love', 'sorry', 'emotion', ""]")</f>
        <v>['Talikin', 'star', 'already', 'thank', 'love', 'sorry', 'emotion', "]</v>
      </c>
      <c r="D1070" s="3">
        <v>5.0</v>
      </c>
    </row>
    <row r="1071" ht="15.75" customHeight="1">
      <c r="A1071" s="1">
        <v>1069.0</v>
      </c>
      <c r="B1071" s="3" t="s">
        <v>1072</v>
      </c>
      <c r="C1071" s="3" t="str">
        <f>IFERROR(__xludf.DUMMYFUNCTION("GOOGLETRANSLATE(B1071,""id"",""en"")"),"['Telkomsel', 'Please', 'Trusted', 'Strength', 'Sinyall', 'Pas',' Open ',' All ',' Application ',' Current ',' TPI ',' PAS ',' Open ',' Link ',' Slow ',' Severe ',' Sampek ',' GKKUAT ',' SYALY ',' Please ',' Repaired ',' Tase ', ""]")</f>
        <v>['Telkomsel', 'Please', 'Trusted', 'Strength', 'Sinyall', 'Pas',' Open ',' All ',' Application ',' Current ',' TPI ',' PAS ',' Open ',' Link ',' Slow ',' Severe ',' Sampek ',' GKKUAT ',' SYALY ',' Please ',' Repaired ',' Tase ', "]</v>
      </c>
      <c r="D1071" s="3">
        <v>1.0</v>
      </c>
    </row>
    <row r="1072" ht="15.75" customHeight="1">
      <c r="A1072" s="1">
        <v>1070.0</v>
      </c>
      <c r="B1072" s="3" t="s">
        <v>1073</v>
      </c>
      <c r="C1072" s="3" t="str">
        <f>IFERROR(__xludf.DUMMYFUNCTION("GOOGLETRANSLATE(B1072,""id"",""en"")"),"['signal', 'ugly', 'laah', 'operator', 'biggest', 'disappointing', 'dinotha', 'how', 'area', '']")</f>
        <v>['signal', 'ugly', 'laah', 'operator', 'biggest', 'disappointing', 'dinotha', 'how', 'area', '']</v>
      </c>
      <c r="D1072" s="3">
        <v>2.0</v>
      </c>
    </row>
    <row r="1073" ht="15.75" customHeight="1">
      <c r="A1073" s="1">
        <v>1071.0</v>
      </c>
      <c r="B1073" s="3" t="s">
        <v>1074</v>
      </c>
      <c r="C1073" s="3" t="str">
        <f>IFERROR(__xludf.DUMMYFUNCTION("GOOGLETRANSLATE(B1073,""id"",""en"")"),"['Please', 'Sorry', 'annoying', 'signal', 'good', 'slow', 'APK', 'Please', 'repair', '']")</f>
        <v>['Please', 'Sorry', 'annoying', 'signal', 'good', 'slow', 'APK', 'Please', 'repair', '']</v>
      </c>
      <c r="D1073" s="3">
        <v>5.0</v>
      </c>
    </row>
    <row r="1074" ht="15.75" customHeight="1">
      <c r="A1074" s="1">
        <v>1072.0</v>
      </c>
      <c r="B1074" s="3" t="s">
        <v>1075</v>
      </c>
      <c r="C1074" s="3" t="str">
        <f>IFERROR(__xludf.DUMMYFUNCTION("GOOGLETRANSLATE(B1074,""id"",""en"")"),"['disruption', 'lag', 'taiii', 'change', 'loss', 'anything', 'disorder', 'server', ""]")</f>
        <v>['disruption', 'lag', 'taiii', 'change', 'loss', 'anything', 'disorder', 'server', "]</v>
      </c>
      <c r="D1074" s="3">
        <v>1.0</v>
      </c>
    </row>
    <row r="1075" ht="15.75" customHeight="1">
      <c r="A1075" s="1">
        <v>1073.0</v>
      </c>
      <c r="B1075" s="3" t="s">
        <v>1076</v>
      </c>
      <c r="C1075" s="3" t="str">
        <f>IFERROR(__xludf.DUMMYFUNCTION("GOOGLETRANSLATE(B1075,""id"",""en"")"),"['Thin', 'Thin', 'Bingit', 'Late', 'Fill', 'Credit', 'End', 'Kuta', 'Expensive', 'Lemot', 'Open', 'Open', ' Muter ',' Loading ',' Mending ',' Network ',' already ',' cheap ',' fast ',' grace ',' annual ',' stingy ', ""]")</f>
        <v>['Thin', 'Thin', 'Bingit', 'Late', 'Fill', 'Credit', 'End', 'Kuta', 'Expensive', 'Lemot', 'Open', 'Open', ' Muter ',' Loading ',' Mending ',' Network ',' already ',' cheap ',' fast ',' grace ',' annual ',' stingy ', "]</v>
      </c>
      <c r="D1075" s="3">
        <v>1.0</v>
      </c>
    </row>
    <row r="1076" ht="15.75" customHeight="1">
      <c r="A1076" s="1">
        <v>1074.0</v>
      </c>
      <c r="B1076" s="3" t="s">
        <v>1077</v>
      </c>
      <c r="C1076" s="3" t="str">
        <f>IFERROR(__xludf.DUMMYFUNCTION("GOOGLETRANSLATE(B1076,""id"",""en"")"),"['min', 'UDH', 'Tower', 'home', 'power', 'dead', 'officer', 'tetep']")</f>
        <v>['min', 'UDH', 'Tower', 'home', 'power', 'dead', 'officer', 'tetep']</v>
      </c>
      <c r="D1076" s="3">
        <v>1.0</v>
      </c>
    </row>
    <row r="1077" ht="15.75" customHeight="1">
      <c r="A1077" s="1">
        <v>1075.0</v>
      </c>
      <c r="B1077" s="3" t="s">
        <v>1078</v>
      </c>
      <c r="C1077" s="3" t="str">
        <f>IFERROR(__xludf.DUMMYFUNCTION("GOOGLETRANSLATE(B1077,""id"",""en"")"),"['network', 'UDH', 'slow', 'really', 'want', 'replace', 'card', 'UDH', 'package', 'bought', 'expensive', 'can', ' signal ',' like ',' gini ',' eager ',' buy ',' Telkomsel ']")</f>
        <v>['network', 'UDH', 'slow', 'really', 'want', 'replace', 'card', 'UDH', 'package', 'bought', 'expensive', 'can', ' signal ',' like ',' gini ',' eager ',' buy ',' Telkomsel ']</v>
      </c>
      <c r="D1077" s="3">
        <v>1.0</v>
      </c>
    </row>
    <row r="1078" ht="15.75" customHeight="1">
      <c r="A1078" s="1">
        <v>1076.0</v>
      </c>
      <c r="B1078" s="3" t="s">
        <v>1079</v>
      </c>
      <c r="C1078" s="3" t="str">
        <f>IFERROR(__xludf.DUMMYFUNCTION("GOOGLETRANSLATE(B1078,""id"",""en"")"),"['BUMN', 'garbage', 'Lebarin', 'Service', 'System', 'Ribet', 'Price', 'Expensive', 'Corrupt', 'Telkom', 'People', 'People', ' Numpang ',' Life ', ""]")</f>
        <v>['BUMN', 'garbage', 'Lebarin', 'Service', 'System', 'Ribet', 'Price', 'Expensive', 'Corrupt', 'Telkom', 'People', 'People', ' Numpang ',' Life ', "]</v>
      </c>
      <c r="D1078" s="3">
        <v>1.0</v>
      </c>
    </row>
    <row r="1079" ht="15.75" customHeight="1">
      <c r="A1079" s="1">
        <v>1077.0</v>
      </c>
      <c r="B1079" s="3" t="s">
        <v>1080</v>
      </c>
      <c r="C1079" s="3" t="str">
        <f>IFERROR(__xludf.DUMMYFUNCTION("GOOGLETRANSLATE(B1079,""id"",""en"")"),"['provider', 'battered', 'description', 'purchase', 'quota', 'sell', 'quota', 'mobile', 'legend', 'quota', 'main', 'smooth', ' Marketing ',' pulp ']")</f>
        <v>['provider', 'battered', 'description', 'purchase', 'quota', 'sell', 'quota', 'mobile', 'legend', 'quota', 'main', 'smooth', ' Marketing ',' pulp ']</v>
      </c>
      <c r="D1079" s="3">
        <v>1.0</v>
      </c>
    </row>
    <row r="1080" ht="15.75" customHeight="1">
      <c r="A1080" s="1">
        <v>1078.0</v>
      </c>
      <c r="B1080" s="3" t="s">
        <v>1081</v>
      </c>
      <c r="C1080" s="3" t="str">
        <f>IFERROR(__xludf.DUMMYFUNCTION("GOOGLETRANSLATE(B1080,""id"",""en"")"),"['hope', 'lucky', 'trimakasih', 'Telkomsel', 'use', 'Telkomsel', 'smooth', 'then', 'internet']")</f>
        <v>['hope', 'lucky', 'trimakasih', 'Telkomsel', 'use', 'Telkomsel', 'smooth', 'then', 'internet']</v>
      </c>
      <c r="D1080" s="3">
        <v>5.0</v>
      </c>
    </row>
    <row r="1081" ht="15.75" customHeight="1">
      <c r="A1081" s="1">
        <v>1079.0</v>
      </c>
      <c r="B1081" s="3" t="s">
        <v>1082</v>
      </c>
      <c r="C1081" s="3" t="str">
        <f>IFERROR(__xludf.DUMMYFUNCTION("GOOGLETRANSLATE(B1081,""id"",""en"")"),"['Price', 'Paketan', 'Doang', 'Removed', 'Quality', 'Network', 'ugly', 'Fix', 'The Network', 'Blogg', ""]")</f>
        <v>['Price', 'Paketan', 'Doang', 'Removed', 'Quality', 'Network', 'ugly', 'Fix', 'The Network', 'Blogg', "]</v>
      </c>
      <c r="D1081" s="3">
        <v>1.0</v>
      </c>
    </row>
    <row r="1082" ht="15.75" customHeight="1">
      <c r="A1082" s="1">
        <v>1080.0</v>
      </c>
      <c r="B1082" s="3" t="s">
        <v>1083</v>
      </c>
      <c r="C1082" s="3" t="str">
        <f>IFERROR(__xludf.DUMMYFUNCTION("GOOGLETRANSLATE(B1082,""id"",""en"")"),"['Function', 'Redeem', 'Points', 'Quota', 'GB', 'SUCCESS', 'POINT', 'POWER', 'OPERATOR', 'BEST', 'INDONESIA', ""]")</f>
        <v>['Function', 'Redeem', 'Points', 'Quota', 'GB', 'SUCCESS', 'POINT', 'POWER', 'OPERATOR', 'BEST', 'INDONESIA', "]</v>
      </c>
      <c r="D1082" s="3">
        <v>1.0</v>
      </c>
    </row>
    <row r="1083" ht="15.75" customHeight="1">
      <c r="A1083" s="1">
        <v>1081.0</v>
      </c>
      <c r="B1083" s="3" t="s">
        <v>1084</v>
      </c>
      <c r="C1083" s="3" t="str">
        <f>IFERROR(__xludf.DUMMYFUNCTION("GOOGLETRANSLATE(B1083,""id"",""en"")"),"['Telkomsel', 'Yng', 'Low', 'repaired', 'Change', 'Live', 'Custemer', 'Switch', 'Profider', 'Worth', 'Good', 'P.', ' Country ',' Satellite ',' Low ',' Signal ',' Left Behind ',' Lost ',' Profider ',' Private ', ""]")</f>
        <v>['Telkomsel', 'Yng', 'Low', 'repaired', 'Change', 'Live', 'Custemer', 'Switch', 'Profider', 'Worth', 'Good', 'P.', ' Country ',' Satellite ',' Low ',' Signal ',' Left Behind ',' Lost ',' Profider ',' Private ', "]</v>
      </c>
      <c r="D1083" s="3">
        <v>1.0</v>
      </c>
    </row>
    <row r="1084" ht="15.75" customHeight="1">
      <c r="A1084" s="1">
        <v>1082.0</v>
      </c>
      <c r="B1084" s="3" t="s">
        <v>1085</v>
      </c>
      <c r="C1084" s="3" t="str">
        <f>IFERROR(__xludf.DUMMYFUNCTION("GOOGLETRANSLATE(B1084,""id"",""en"")"),"['sorry', 'dberi', 'star', 'friend', 'pulse', 'chick', 'dpakek', ""]")</f>
        <v>['sorry', 'dberi', 'star', 'friend', 'pulse', 'chick', 'dpakek', "]</v>
      </c>
      <c r="D1084" s="3">
        <v>2.0</v>
      </c>
    </row>
    <row r="1085" ht="15.75" customHeight="1">
      <c r="A1085" s="1">
        <v>1083.0</v>
      </c>
      <c r="B1085" s="3" t="s">
        <v>1086</v>
      </c>
      <c r="C1085" s="3" t="str">
        <f>IFERROR(__xludf.DUMMYFUNCTION("GOOGLETRANSLATE(B1085,""id"",""en"")"),"['purpose', 'what', 'network', 'signal', 'muter', 'rich', 'comedy', 'turn', 'finished', 'package', 'expensive', 'doang', ' Update ',' JDI ',' Honest ',' Disappointed ',' Heavy ']")</f>
        <v>['purpose', 'what', 'network', 'signal', 'muter', 'rich', 'comedy', 'turn', 'finished', 'package', 'expensive', 'doang', ' Update ',' JDI ',' Honest ',' Disappointed ',' Heavy ']</v>
      </c>
      <c r="D1085" s="3">
        <v>1.0</v>
      </c>
    </row>
    <row r="1086" ht="15.75" customHeight="1">
      <c r="A1086" s="1">
        <v>1084.0</v>
      </c>
      <c r="B1086" s="3" t="s">
        <v>1087</v>
      </c>
      <c r="C1086" s="3" t="str">
        <f>IFERROR(__xludf.DUMMYFUNCTION("GOOGLETRANSLATE(B1086,""id"",""en"")"),"['Sorry', 'love', 'star', 'play', 'game', 'ngelag', 'quota', 'leftover', 'Telkomsel', 'network', 'red', 'tamarind', ' Mending ',' Change ',' Card ',' Rich ',' Gini ', ""]")</f>
        <v>['Sorry', 'love', 'star', 'play', 'game', 'ngelag', 'quota', 'leftover', 'Telkomsel', 'network', 'red', 'tamarind', ' Mending ',' Change ',' Card ',' Rich ',' Gini ', "]</v>
      </c>
      <c r="D1086" s="3">
        <v>1.0</v>
      </c>
    </row>
    <row r="1087" ht="15.75" customHeight="1">
      <c r="A1087" s="1">
        <v>1085.0</v>
      </c>
      <c r="B1087" s="3" t="s">
        <v>1088</v>
      </c>
      <c r="C1087" s="3" t="str">
        <f>IFERROR(__xludf.DUMMYFUNCTION("GOOGLETRANSLATE(B1087,""id"",""en"")"),"['card', 'sympathy', 'already', 'age', 'package', 'internet', 'expensive']")</f>
        <v>['card', 'sympathy', 'already', 'age', 'package', 'internet', 'expensive']</v>
      </c>
      <c r="D1087" s="3">
        <v>1.0</v>
      </c>
    </row>
    <row r="1088" ht="15.75" customHeight="1">
      <c r="A1088" s="1">
        <v>1086.0</v>
      </c>
      <c r="B1088" s="3" t="s">
        <v>1089</v>
      </c>
      <c r="C1088" s="3" t="str">
        <f>IFERROR(__xludf.DUMMYFUNCTION("GOOGLETRANSLATE(B1088,""id"",""en"")"),"['already', 'bnyak', 'package', 'internet', 'send', 'googling', 'forgiveness']")</f>
        <v>['already', 'bnyak', 'package', 'internet', 'send', 'googling', 'forgiveness']</v>
      </c>
      <c r="D1088" s="3">
        <v>1.0</v>
      </c>
    </row>
    <row r="1089" ht="15.75" customHeight="1">
      <c r="A1089" s="1">
        <v>1087.0</v>
      </c>
      <c r="B1089" s="3" t="s">
        <v>1090</v>
      </c>
      <c r="C1089" s="3" t="str">
        <f>IFERROR(__xludf.DUMMYFUNCTION("GOOGLETRANSLATE(B1089,""id"",""en"")"),"['Hopefully', 'DPAT', 'Really', 'Amin', 'Rob', 'Bal', 'Alamin', ""]")</f>
        <v>['Hopefully', 'DPAT', 'Really', 'Amin', 'Rob', 'Bal', 'Alamin', "]</v>
      </c>
      <c r="D1089" s="3">
        <v>5.0</v>
      </c>
    </row>
    <row r="1090" ht="15.75" customHeight="1">
      <c r="A1090" s="1">
        <v>1088.0</v>
      </c>
      <c r="B1090" s="3" t="s">
        <v>1091</v>
      </c>
      <c r="C1090" s="3" t="str">
        <f>IFERROR(__xludf.DUMMYFUNCTION("GOOGLETRANSLATE(B1090,""id"",""en"")"),"['Min', 'tlg', 'the info', 'card', 'block', 'because', 'run out', 'grace', 'ngatifin', 'tlg', 'explanation']")</f>
        <v>['Min', 'tlg', 'the info', 'card', 'block', 'because', 'run out', 'grace', 'ngatifin', 'tlg', 'explanation']</v>
      </c>
      <c r="D1090" s="3">
        <v>5.0</v>
      </c>
    </row>
    <row r="1091" ht="15.75" customHeight="1">
      <c r="A1091" s="1">
        <v>1089.0</v>
      </c>
      <c r="B1091" s="3" t="s">
        <v>1092</v>
      </c>
      <c r="C1091" s="3" t="str">
        <f>IFERROR(__xludf.DUMMYFUNCTION("GOOGLETRANSLATE(B1091,""id"",""en"")"),"['quota', 'expensive', 'ugly', 'signal', 'hadehhhhhhhhhhhhhhhhhhhhhhhhhhhh', 'eager', '']")</f>
        <v>['quota', 'expensive', 'ugly', 'signal', 'hadehhhhhhhhhhhhhhhhhhhhhhhhhhhh', 'eager', '']</v>
      </c>
      <c r="D1091" s="3">
        <v>1.0</v>
      </c>
    </row>
    <row r="1092" ht="15.75" customHeight="1">
      <c r="A1092" s="1">
        <v>1090.0</v>
      </c>
      <c r="B1092" s="3" t="s">
        <v>1093</v>
      </c>
      <c r="C1092" s="3" t="str">
        <f>IFERROR(__xludf.DUMMYFUNCTION("GOOGLETRANSLATE(B1092,""id"",""en"")"),"['card', 'kayak', 'pig', 'gini', 'sold', 'network', 'slow', 'price', 'expensive', 'anjg', 'regret', 'stay', ' Defended ',' Majunya ',' Gituloh ',' Raying ',' Allah ',' Buy ',' Card ']")</f>
        <v>['card', 'kayak', 'pig', 'gini', 'sold', 'network', 'slow', 'price', 'expensive', 'anjg', 'regret', 'stay', ' Defended ',' Majunya ',' Gituloh ',' Raying ',' Allah ',' Buy ',' Card ']</v>
      </c>
      <c r="D1092" s="3">
        <v>1.0</v>
      </c>
    </row>
    <row r="1093" ht="15.75" customHeight="1">
      <c r="A1093" s="1">
        <v>1091.0</v>
      </c>
      <c r="B1093" s="3" t="s">
        <v>1094</v>
      </c>
      <c r="C1093" s="3" t="str">
        <f>IFERROR(__xludf.DUMMYFUNCTION("GOOGLETRANSLATE(B1093,""id"",""en"")"),"['Jerah', 'Make', 'Network', 'Telkomsel', 'Mengelunjak', 'Package', 'Expensive', 'Terms',' Quota ',' Doang ',' Signal ',' Dropped ',' Mulu ',' Sumpot ',' Credit ',' card ',' forgiveness', 'use', 'Jerah', ""]")</f>
        <v>['Jerah', 'Make', 'Network', 'Telkomsel', 'Mengelunjak', 'Package', 'Expensive', 'Terms',' Quota ',' Doang ',' Signal ',' Dropped ',' Mulu ',' Sumpot ',' Credit ',' card ',' forgiveness', 'use', 'Jerah', "]</v>
      </c>
      <c r="D1093" s="3">
        <v>1.0</v>
      </c>
    </row>
    <row r="1094" ht="15.75" customHeight="1">
      <c r="A1094" s="1">
        <v>1092.0</v>
      </c>
      <c r="B1094" s="3" t="s">
        <v>1095</v>
      </c>
      <c r="C1094" s="3" t="str">
        <f>IFERROR(__xludf.DUMMYFUNCTION("GOOGLETRANSLATE(B1094,""id"",""en"")"),"['ugly', 'method', 'payment', 'funds', 'omitted', 'disappointed', '']")</f>
        <v>['ugly', 'method', 'payment', 'funds', 'omitted', 'disappointed', '']</v>
      </c>
      <c r="D1094" s="3">
        <v>1.0</v>
      </c>
    </row>
    <row r="1095" ht="15.75" customHeight="1">
      <c r="A1095" s="1">
        <v>1093.0</v>
      </c>
      <c r="B1095" s="3" t="s">
        <v>1096</v>
      </c>
      <c r="C1095" s="3" t="str">
        <f>IFERROR(__xludf.DUMMYFUNCTION("GOOGLETRANSLATE(B1095,""id"",""en"")"),"['How', 'Telkomsel', 'Network', 'Please', 'Arrange', 'Udh', 'Cut', 'Holony', 'Balek', 'Season', ""]")</f>
        <v>['How', 'Telkomsel', 'Network', 'Please', 'Arrange', 'Udh', 'Cut', 'Holony', 'Balek', 'Season', "]</v>
      </c>
      <c r="D1095" s="3">
        <v>1.0</v>
      </c>
    </row>
    <row r="1096" ht="15.75" customHeight="1">
      <c r="A1096" s="1">
        <v>1094.0</v>
      </c>
      <c r="B1096" s="3" t="s">
        <v>1097</v>
      </c>
      <c r="C1096" s="3" t="str">
        <f>IFERROR(__xludf.DUMMYFUNCTION("GOOGLETRANSLATE(B1096,""id"",""en"")"),"['Telkomsel', 'Kek', 'Kuntul', 'buy', 'package', 'expensive', 'expensive', 'ehh', 'network', 'error', 'mulu', 'nationaaaaattttttttttttttttttttttttttttttttttttttttttttttttttttttttttt ']")</f>
        <v>['Telkomsel', 'Kek', 'Kuntul', 'buy', 'package', 'expensive', 'expensive', 'ehh', 'network', 'error', 'mulu', 'nationaaaaattttttttttttttttttttttttttttttttttttttttttttttttttttttttttt ']</v>
      </c>
      <c r="D1096" s="3">
        <v>1.0</v>
      </c>
    </row>
    <row r="1097" ht="15.75" customHeight="1">
      <c r="A1097" s="1">
        <v>1095.0</v>
      </c>
      <c r="B1097" s="3" t="s">
        <v>1098</v>
      </c>
      <c r="C1097" s="3" t="str">
        <f>IFERROR(__xludf.DUMMYFUNCTION("GOOGLETRANSLATE(B1097,""id"",""en"")"),"['likes',' fabric ',' concert ',' Sis', 'Zaki', 'Thanks',' Like ',' internet ',' credit ',' make sure ',' internet ',' no ',' expensive ',' a month ', ""]")</f>
        <v>['likes',' fabric ',' concert ',' Sis', 'Zaki', 'Thanks',' Like ',' internet ',' credit ',' make sure ',' internet ',' no ',' expensive ',' a month ', "]</v>
      </c>
      <c r="D1097" s="3">
        <v>5.0</v>
      </c>
    </row>
    <row r="1098" ht="15.75" customHeight="1">
      <c r="A1098" s="1">
        <v>1096.0</v>
      </c>
      <c r="B1098" s="3" t="s">
        <v>1099</v>
      </c>
      <c r="C1098" s="3" t="str">
        <f>IFERROR(__xludf.DUMMYFUNCTION("GOOGLETRANSLATE(B1098,""id"",""en"")"),"['Telkomsel', 'network', 'slow', 'please', 'kayak', 'kek', 'gini', 'mending', 'replace', 'provider']")</f>
        <v>['Telkomsel', 'network', 'slow', 'please', 'kayak', 'kek', 'gini', 'mending', 'replace', 'provider']</v>
      </c>
      <c r="D1098" s="3">
        <v>1.0</v>
      </c>
    </row>
    <row r="1099" ht="15.75" customHeight="1">
      <c r="A1099" s="1">
        <v>1097.0</v>
      </c>
      <c r="B1099" s="3" t="s">
        <v>1100</v>
      </c>
      <c r="C1099" s="3" t="str">
        <f>IFERROR(__xludf.DUMMYFUNCTION("GOOGLETRANSLATE(B1099,""id"",""en"")"),"['old', 'poor', 'net', 'price', 'quota', 'trs', 'network', 'chaotic', '']")</f>
        <v>['old', 'poor', 'net', 'price', 'quota', 'trs', 'network', 'chaotic', '']</v>
      </c>
      <c r="D1099" s="3">
        <v>1.0</v>
      </c>
    </row>
    <row r="1100" ht="15.75" customHeight="1">
      <c r="A1100" s="1">
        <v>1098.0</v>
      </c>
      <c r="B1100" s="3" t="s">
        <v>1101</v>
      </c>
      <c r="C1100" s="3" t="str">
        <f>IFERROR(__xludf.DUMMYFUNCTION("GOOGLETRANSLATE(B1100,""id"",""en"")"),"['Please', 'signal', 'Benerin', 'Nga', 'already', 'stress',' signal ',' Telkom ',' recommendation ',' card ',' told ',' Kompine ',' already ',' many ',' Help ',' Syaa ',' GMN ',' ']")</f>
        <v>['Please', 'signal', 'Benerin', 'Nga', 'already', 'stress',' signal ',' Telkom ',' recommendation ',' card ',' told ',' Kompine ',' already ',' many ',' Help ',' Syaa ',' GMN ',' ']</v>
      </c>
      <c r="D1100" s="3">
        <v>4.0</v>
      </c>
    </row>
    <row r="1101" ht="15.75" customHeight="1">
      <c r="A1101" s="1">
        <v>1099.0</v>
      </c>
      <c r="B1101" s="3" t="s">
        <v>1102</v>
      </c>
      <c r="C1101" s="3" t="str">
        <f>IFERROR(__xludf.DUMMYFUNCTION("GOOGLETRANSLATE(B1101,""id"",""en"")"),"['bad', 'expensive', 'Doank', 'please', 'FIRE', '']")</f>
        <v>['bad', 'expensive', 'Doank', 'please', 'FIRE', '']</v>
      </c>
      <c r="D1101" s="3">
        <v>1.0</v>
      </c>
    </row>
    <row r="1102" ht="15.75" customHeight="1">
      <c r="A1102" s="1">
        <v>1100.0</v>
      </c>
      <c r="B1102" s="3" t="s">
        <v>1103</v>
      </c>
      <c r="C1102" s="3" t="str">
        <f>IFERROR(__xludf.DUMMYFUNCTION("GOOGLETRANSLATE(B1102,""id"",""en"")"),"['Telkomsel', 'how', 'knp', 'signal', 'ugly', 'really', 'bankrupt', 'fix', 'brp', 'ugly', 'really', 'ttolong', ' Donk ',' Package ',' Koata ',' Road ',' Image ',' Moving ',' Search ',' Fortiness', 'Always',' Think ',' Customer ', ""]")</f>
        <v>['Telkomsel', 'how', 'knp', 'signal', 'ugly', 'really', 'bankrupt', 'fix', 'brp', 'ugly', 'really', 'ttolong', ' Donk ',' Package ',' Koata ',' Road ',' Image ',' Moving ',' Search ',' Fortiness', 'Always',' Think ',' Customer ', "]</v>
      </c>
      <c r="D1102" s="3">
        <v>2.0</v>
      </c>
    </row>
    <row r="1103" ht="15.75" customHeight="1">
      <c r="A1103" s="1">
        <v>1101.0</v>
      </c>
      <c r="B1103" s="3" t="s">
        <v>1104</v>
      </c>
      <c r="C1103" s="3" t="str">
        <f>IFERROR(__xludf.DUMMYFUNCTION("GOOGLETRANSLATE(B1103,""id"",""en"")"),"['woi', 'fix', 'signal', 'task', 'school', ""]")</f>
        <v>['woi', 'fix', 'signal', 'task', 'school', "]</v>
      </c>
      <c r="D1103" s="3">
        <v>2.0</v>
      </c>
    </row>
    <row r="1104" ht="15.75" customHeight="1">
      <c r="A1104" s="1">
        <v>1102.0</v>
      </c>
      <c r="B1104" s="3" t="s">
        <v>1105</v>
      </c>
      <c r="C1104" s="3" t="str">
        <f>IFERROR(__xludf.DUMMYFUNCTION("GOOGLETRANSLATE(B1104,""id"",""en"")"),"['Severe', 'BNGT', 'Telkomsel', 'expensive', 'signal', 'Cibanese', 'village', 'Cihowe', 'Cihowe', 'Ciseeng', 'City', 'Bogor', ' signal ',' disturbed ',' klw ',' home ',' lost ',' deliberate ',' love ',' star ',' response ',' as fast ',' Telkomsel ', ""]")</f>
        <v>['Severe', 'BNGT', 'Telkomsel', 'expensive', 'signal', 'Cibanese', 'village', 'Cihowe', 'Cihowe', 'Ciseeng', 'City', 'Bogor', ' signal ',' disturbed ',' klw ',' home ',' lost ',' deliberate ',' love ',' star ',' response ',' as fast ',' Telkomsel ', "]</v>
      </c>
      <c r="D1104" s="3">
        <v>5.0</v>
      </c>
    </row>
    <row r="1105" ht="15.75" customHeight="1">
      <c r="A1105" s="1">
        <v>1103.0</v>
      </c>
      <c r="B1105" s="3" t="s">
        <v>1106</v>
      </c>
      <c r="C1105" s="3" t="str">
        <f>IFERROR(__xludf.DUMMYFUNCTION("GOOGLETRANSLATE(B1105,""id"",""en"")"),"['expensive', 'package', 'signal', 'slow', 'change', 'laen', ""]")</f>
        <v>['expensive', 'package', 'signal', 'slow', 'change', 'laen', "]</v>
      </c>
      <c r="D1105" s="3">
        <v>1.0</v>
      </c>
    </row>
    <row r="1106" ht="15.75" customHeight="1">
      <c r="A1106" s="1">
        <v>1104.0</v>
      </c>
      <c r="B1106" s="3" t="s">
        <v>1107</v>
      </c>
      <c r="C1106" s="3" t="str">
        <f>IFERROR(__xludf.DUMMYFUNCTION("GOOGLETRANSLATE(B1106,""id"",""en"")"),"['Sampe', 'Ancurrrrrr', 'Kayak', 'GiniIIIII', 'Omol', 'Threatened', 'Sanctions',' Code ',' Ethics', 'Gara', 'Maps',' Accurate ',' Fake ',' order ',' well ',' laaaaahhhhhhhhhhhh ',' network ',' Telkomsel ', ""]")</f>
        <v>['Sampe', 'Ancurrrrrr', 'Kayak', 'GiniIIIII', 'Omol', 'Threatened', 'Sanctions',' Code ',' Ethics', 'Gara', 'Maps',' Accurate ',' Fake ',' order ',' well ',' laaaaahhhhhhhhhhhh ',' network ',' Telkomsel ', "]</v>
      </c>
      <c r="D1106" s="3">
        <v>1.0</v>
      </c>
    </row>
    <row r="1107" ht="15.75" customHeight="1">
      <c r="A1107" s="1">
        <v>1105.0</v>
      </c>
      <c r="B1107" s="3" t="s">
        <v>1108</v>
      </c>
      <c r="C1107" s="3" t="str">
        <f>IFERROR(__xludf.DUMMYFUNCTION("GOOGLETRANSLATE(B1107,""id"",""en"")"),"['', 'TLP', 'Customer', 'Slamat', 'noon', 'CPC', 'Chosen', 'Migration', 'Card', 'Hallo', 'TLP', 'Internet', 'Rb ',' RMH ',' internet ',' room ',' signal ',' home ',' and then ',' sometimes', 'sometimes',' lost ',' tlg ',' telkomsel ',' increase ', 'servic"&amp;"e', 'thank', 'love']")</f>
        <v>['', 'TLP', 'Customer', 'Slamat', 'noon', 'CPC', 'Chosen', 'Migration', 'Card', 'Hallo', 'TLP', 'Internet', 'Rb ',' RMH ',' internet ',' room ',' signal ',' home ',' and then ',' sometimes', 'sometimes',' lost ',' tlg ',' telkomsel ',' increase ', 'service', 'thank', 'love']</v>
      </c>
      <c r="D1107" s="3">
        <v>4.0</v>
      </c>
    </row>
    <row r="1108" ht="15.75" customHeight="1">
      <c r="A1108" s="1">
        <v>1106.0</v>
      </c>
      <c r="B1108" s="3" t="s">
        <v>1109</v>
      </c>
      <c r="C1108" s="3" t="str">
        <f>IFERROR(__xludf.DUMMYFUNCTION("GOOGLETRANSLATE(B1108,""id"",""en"")"),"['Disappointed', 'Kouta', 'Package', 'Internet', 'Out', 'Apply', 'Rates',' Normal ',' Rates', 'Normal', 'Drain', 'Out', ' pulse ',' quota ',' internet ',' toooopoooinggal ',' internet ',' suck ',' pulse ',' donk ',' blessing ']")</f>
        <v>['Disappointed', 'Kouta', 'Package', 'Internet', 'Out', 'Apply', 'Rates',' Normal ',' Rates', 'Normal', 'Drain', 'Out', ' pulse ',' quota ',' internet ',' toooopoooinggal ',' internet ',' suck ',' pulse ',' donk ',' blessing ']</v>
      </c>
      <c r="D1108" s="3">
        <v>1.0</v>
      </c>
    </row>
    <row r="1109" ht="15.75" customHeight="1">
      <c r="A1109" s="1">
        <v>1107.0</v>
      </c>
      <c r="B1109" s="3" t="s">
        <v>1110</v>
      </c>
      <c r="C1109" s="3" t="str">
        <f>IFERROR(__xludf.DUMMYFUNCTION("GOOGLETRANSLATE(B1109,""id"",""en"")"),"['internet', 'super', 'slow', 'yes',' mother ',' MB ',' already ',' get ',' FUP ',' oath ',' provider ',' disabled ',' Application ',' Ngebug ',' Update ',' Damaged ',' ']")</f>
        <v>['internet', 'super', 'slow', 'yes',' mother ',' MB ',' already ',' get ',' FUP ',' oath ',' provider ',' disabled ',' Application ',' Ngebug ',' Update ',' Damaged ',' ']</v>
      </c>
      <c r="D1109" s="3">
        <v>1.0</v>
      </c>
    </row>
    <row r="1110" ht="15.75" customHeight="1">
      <c r="A1110" s="1">
        <v>1108.0</v>
      </c>
      <c r="B1110" s="3" t="s">
        <v>1111</v>
      </c>
      <c r="C1110" s="3" t="str">
        <f>IFERROR(__xludf.DUMMYFUNCTION("GOOGLETRANSLATE(B1110,""id"",""en"")"),"['Pay', 'use', 'Fund', 'error', 'balance', 'funds', 'lined', 'gabisa']")</f>
        <v>['Pay', 'use', 'Fund', 'error', 'balance', 'funds', 'lined', 'gabisa']</v>
      </c>
      <c r="D1110" s="3">
        <v>2.0</v>
      </c>
    </row>
    <row r="1111" ht="15.75" customHeight="1">
      <c r="A1111" s="1">
        <v>1109.0</v>
      </c>
      <c r="B1111" s="3" t="s">
        <v>1112</v>
      </c>
      <c r="C1111" s="3" t="str">
        <f>IFERROR(__xludf.DUMMYFUNCTION("GOOGLETRANSLATE(B1111,""id"",""en"")"),"['What', 'Telkomsel', 'Rich', 'Feelings',' Network ',' Service ',' Transfer ',' Credit ',' Enter ',' NMR ',' Purpose ',' Credit ',' Already ',' Cut ',' Call ',' Costemer ',' Telkom ',' Connect ',' Pulse ',' Tetep ',' Cut ',' What ']")</f>
        <v>['What', 'Telkomsel', 'Rich', 'Feelings',' Network ',' Service ',' Transfer ',' Credit ',' Enter ',' NMR ',' Purpose ',' Credit ',' Already ',' Cut ',' Call ',' Costemer ',' Telkom ',' Connect ',' Pulse ',' Tetep ',' Cut ',' What ']</v>
      </c>
      <c r="D1111" s="3">
        <v>3.0</v>
      </c>
    </row>
    <row r="1112" ht="15.75" customHeight="1">
      <c r="A1112" s="1">
        <v>1110.0</v>
      </c>
      <c r="B1112" s="3" t="s">
        <v>1113</v>
      </c>
      <c r="C1112" s="3" t="str">
        <f>IFERROR(__xludf.DUMMYFUNCTION("GOOGLETRANSLATE(B1112,""id"",""en"")"),"['Sumpah', 'Severe', 'Signal', 'Action', 'Class',' City ',' Surabaya ',' Telkomsel ',' ugly ',' Signal ',' Please ',' repaired ',' expensive ',' pulses', '']")</f>
        <v>['Sumpah', 'Severe', 'Signal', 'Action', 'Class',' City ',' Surabaya ',' Telkomsel ',' ugly ',' Signal ',' Please ',' repaired ',' expensive ',' pulses', '']</v>
      </c>
      <c r="D1112" s="3">
        <v>1.0</v>
      </c>
    </row>
    <row r="1113" ht="15.75" customHeight="1">
      <c r="A1113" s="1">
        <v>1111.0</v>
      </c>
      <c r="B1113" s="3" t="s">
        <v>1114</v>
      </c>
      <c r="C1113" s="3" t="str">
        <f>IFERROR(__xludf.DUMMYFUNCTION("GOOGLETRANSLATE(B1113,""id"",""en"")"),"['purpose', 'service', 'buy', 'quota', 'expensive', 'signal', 'work', 'play', 'band']")</f>
        <v>['purpose', 'service', 'buy', 'quota', 'expensive', 'signal', 'work', 'play', 'band']</v>
      </c>
      <c r="D1113" s="3">
        <v>1.0</v>
      </c>
    </row>
    <row r="1114" ht="15.75" customHeight="1">
      <c r="A1114" s="1">
        <v>1112.0</v>
      </c>
      <c r="B1114" s="3" t="s">
        <v>1115</v>
      </c>
      <c r="C1114" s="3" t="str">
        <f>IFERROR(__xludf.DUMMYFUNCTION("GOOGLETRANSLATE(B1114,""id"",""en"")"),"['Sorry', 'magnitude', 'Team', 'Telkomsel', 'Review', 'Vice', 'thorough', 'lgi', 'difficulty', 'enter', 'account', 'sourced', ' Android ',' located ',' position ',' card ',' SIM ',' right ',' notification ',' reply ',' thank ',' thank ',' love ',' respons"&amp;"e ',' fast ' , '']")</f>
        <v>['Sorry', 'magnitude', 'Team', 'Telkomsel', 'Review', 'Vice', 'thorough', 'lgi', 'difficulty', 'enter', 'account', 'sourced', ' Android ',' located ',' position ',' card ',' SIM ',' right ',' notification ',' reply ',' thank ',' thank ',' love ',' response ',' fast ' , '']</v>
      </c>
      <c r="D1114" s="3">
        <v>5.0</v>
      </c>
    </row>
    <row r="1115" ht="15.75" customHeight="1">
      <c r="A1115" s="1">
        <v>1113.0</v>
      </c>
      <c r="B1115" s="3" t="s">
        <v>1116</v>
      </c>
      <c r="C1115" s="3" t="str">
        <f>IFERROR(__xludf.DUMMYFUNCTION("GOOGLETRANSLATE(B1115,""id"",""en"")"),"['love', 'star', 'Telkomsel', 'developed', 'please', 'buy', 'quota', 'game', 'rendem', 'voucher', 'wrong', 'put', ' rendem ',' voucher ',' week ',' quota ',' game ',' leg ',' really ',' play ',' game ',' online ',' plisssss', 'fix', 'fooled' , 'Delete', '"&amp;"Application', 'Fear', 'Damaged', 'Card', 'SIM', 'Save', 'Buy', 'Card', 'SIM']")</f>
        <v>['love', 'star', 'Telkomsel', 'developed', 'please', 'buy', 'quota', 'game', 'rendem', 'voucher', 'wrong', 'put', ' rendem ',' voucher ',' week ',' quota ',' game ',' leg ',' really ',' play ',' game ',' online ',' plisssss', 'fix', 'fooled' , 'Delete', 'Application', 'Fear', 'Damaged', 'Card', 'SIM', 'Save', 'Buy', 'Card', 'SIM']</v>
      </c>
      <c r="D1115" s="3">
        <v>5.0</v>
      </c>
    </row>
    <row r="1116" ht="15.75" customHeight="1">
      <c r="A1116" s="1">
        <v>1114.0</v>
      </c>
      <c r="B1116" s="3" t="s">
        <v>1117</v>
      </c>
      <c r="C1116" s="3" t="str">
        <f>IFERROR(__xludf.DUMMYFUNCTION("GOOGLETRANSLATE(B1116,""id"",""en"")"),"['Telkomsel', 'how', 'here', 'ugly', 'your signal', 'already', 'expensive', 'ugly', 'game', 'stable', 'stable', 'Palace', ' Jumping ',' gamau ',' left ',' customer ',' fix ',' network ',' already ',' expensive ',' slow ']")</f>
        <v>['Telkomsel', 'how', 'here', 'ugly', 'your signal', 'already', 'expensive', 'ugly', 'game', 'stable', 'stable', 'Palace', ' Jumping ',' gamau ',' left ',' customer ',' fix ',' network ',' already ',' expensive ',' slow ']</v>
      </c>
      <c r="D1116" s="3">
        <v>1.0</v>
      </c>
    </row>
    <row r="1117" ht="15.75" customHeight="1">
      <c r="A1117" s="1">
        <v>1115.0</v>
      </c>
      <c r="B1117" s="3" t="s">
        <v>1118</v>
      </c>
      <c r="C1117" s="3" t="str">
        <f>IFERROR(__xludf.DUMMYFUNCTION("GOOGLETRANSLATE(B1117,""id"",""en"")"),"['Sampe', 'loyal', 'use', 'Telkomsel', 'darling', 'quality', 'network', 'Telkomsel', 'downhill', 'severe', 'era', 'pandemic', ' people ',' online ',' provider ',' fortunate ',' my name ',' foreign ',' ears', 'report', 'repairs',' Different ',' era ',' rep"&amp;"ort ',' network ' , 'improved', ""]")</f>
        <v>['Sampe', 'loyal', 'use', 'Telkomsel', 'darling', 'quality', 'network', 'Telkomsel', 'downhill', 'severe', 'era', 'pandemic', ' people ',' online ',' provider ',' fortunate ',' my name ',' foreign ',' ears', 'report', 'repairs',' Different ',' era ',' report ',' network ' , 'improved', "]</v>
      </c>
      <c r="D1117" s="3">
        <v>1.0</v>
      </c>
    </row>
    <row r="1118" ht="15.75" customHeight="1">
      <c r="A1118" s="1">
        <v>1116.0</v>
      </c>
      <c r="B1118" s="3" t="s">
        <v>1119</v>
      </c>
      <c r="C1118" s="3" t="str">
        <f>IFERROR(__xludf.DUMMYFUNCTION("GOOGLETRANSLATE(B1118,""id"",""en"")"),"['Please', 'Adin', 'Package', 'Zoom', 'Meeting', 'Price', 'Naturally', 'Student', 'Student']")</f>
        <v>['Please', 'Adin', 'Package', 'Zoom', 'Meeting', 'Price', 'Naturally', 'Student', 'Student']</v>
      </c>
      <c r="D1118" s="3">
        <v>3.0</v>
      </c>
    </row>
    <row r="1119" ht="15.75" customHeight="1">
      <c r="A1119" s="1">
        <v>1117.0</v>
      </c>
      <c r="B1119" s="3" t="s">
        <v>1120</v>
      </c>
      <c r="C1119" s="3" t="str">
        <f>IFERROR(__xludf.DUMMYFUNCTION("GOOGLETRANSLATE(B1119,""id"",""en"")"),"['Steady', 'Telkomsel', 'Defemer', 'Considered', 'quota', 'Free', 'Customer', 'Setia', 'wkwkwkwk']")</f>
        <v>['Steady', 'Telkomsel', 'Defemer', 'Considered', 'quota', 'Free', 'Customer', 'Setia', 'wkwkwkwk']</v>
      </c>
      <c r="D1119" s="3">
        <v>5.0</v>
      </c>
    </row>
    <row r="1120" ht="15.75" customHeight="1">
      <c r="A1120" s="1">
        <v>1118.0</v>
      </c>
      <c r="B1120" s="3" t="s">
        <v>1121</v>
      </c>
      <c r="C1120" s="3" t="str">
        <f>IFERROR(__xludf.DUMMYFUNCTION("GOOGLETRANSLATE(B1120,""id"",""en"")"),"['Hard', 'really', 'unreg', 'package', 'stop', 'subscribe', 'difficult', 'end', 'end', 'pulse', 'sumps']")</f>
        <v>['Hard', 'really', 'unreg', 'package', 'stop', 'subscribe', 'difficult', 'end', 'end', 'pulse', 'sumps']</v>
      </c>
      <c r="D1120" s="3">
        <v>1.0</v>
      </c>
    </row>
    <row r="1121" ht="15.75" customHeight="1">
      <c r="A1121" s="1">
        <v>1119.0</v>
      </c>
      <c r="B1121" s="3" t="s">
        <v>1122</v>
      </c>
      <c r="C1121" s="3" t="str">
        <f>IFERROR(__xludf.DUMMYFUNCTION("GOOGLETRANSLATE(B1121,""id"",""en"")"),"['Rate', 'Most', 'reviews',' gave ',' star ',' strange ',' Telkomsel ',' expensive ',' price ',' ugly ',' quality ',' signal ',' slow ',' kyk ',' grandma ',' grandma ']")</f>
        <v>['Rate', 'Most', 'reviews',' gave ',' star ',' strange ',' Telkomsel ',' expensive ',' price ',' ugly ',' quality ',' signal ',' slow ',' kyk ',' grandma ',' grandma ']</v>
      </c>
      <c r="D1121" s="3">
        <v>1.0</v>
      </c>
    </row>
    <row r="1122" ht="15.75" customHeight="1">
      <c r="A1122" s="1">
        <v>1120.0</v>
      </c>
      <c r="B1122" s="3" t="s">
        <v>1123</v>
      </c>
      <c r="C1122" s="3" t="str">
        <f>IFERROR(__xludf.DUMMYFUNCTION("GOOGLETRANSLATE(B1122,""id"",""en"")"),"['Most', 'Features',' Open ',' Application ',' Telkomsel ',' Slow ',' Heavy ',' Please ',' Notice ',' Application ',' Light ',' Check ',' Credit ',' Paketan ',' ']")</f>
        <v>['Most', 'Features',' Open ',' Application ',' Telkomsel ',' Slow ',' Heavy ',' Please ',' Notice ',' Application ',' Light ',' Check ',' Credit ',' Paketan ',' ']</v>
      </c>
      <c r="D1122" s="3">
        <v>2.0</v>
      </c>
    </row>
    <row r="1123" ht="15.75" customHeight="1">
      <c r="A1123" s="1">
        <v>1121.0</v>
      </c>
      <c r="B1123" s="3" t="s">
        <v>1124</v>
      </c>
      <c r="C1123" s="3" t="str">
        <f>IFERROR(__xludf.DUMMYFUNCTION("GOOGLETRANSLATE(B1123,""id"",""en"")"),"['Please', 'Sorry', 'Telkomsel', 'decreases', 'quality', 'aspects', 'signal', 'price', 'expensive', '']")</f>
        <v>['Please', 'Sorry', 'Telkomsel', 'decreases', 'quality', 'aspects', 'signal', 'price', 'expensive', '']</v>
      </c>
      <c r="D1123" s="3">
        <v>2.0</v>
      </c>
    </row>
    <row r="1124" ht="15.75" customHeight="1">
      <c r="A1124" s="1">
        <v>1122.0</v>
      </c>
      <c r="B1124" s="3" t="s">
        <v>1125</v>
      </c>
      <c r="C1124" s="3" t="str">
        <f>IFERROR(__xludf.DUMMYFUNCTION("GOOGLETRANSLATE(B1124,""id"",""en"")"),"['disappointed', 'moved', 'operator', 'network', 'internet', 'slow', 'a year', 'ugly', 'relied on', 'pandemic', ""]")</f>
        <v>['disappointed', 'moved', 'operator', 'network', 'internet', 'slow', 'a year', 'ugly', 'relied on', 'pandemic', "]</v>
      </c>
      <c r="D1124" s="3">
        <v>3.0</v>
      </c>
    </row>
    <row r="1125" ht="15.75" customHeight="1">
      <c r="A1125" s="1">
        <v>1123.0</v>
      </c>
      <c r="B1125" s="3" t="s">
        <v>1126</v>
      </c>
      <c r="C1125" s="3" t="str">
        <f>IFERROR(__xludf.DUMMYFUNCTION("GOOGLETRANSLATE(B1125,""id"",""en"")"),"['', 'Telkomsel', 'package', 'expensive', 'service', 'improvement', 'network', 'a week', 'blum', 'change', 'replace', 'card', 'prepaid ']")</f>
        <v>['', 'Telkomsel', 'package', 'expensive', 'service', 'improvement', 'network', 'a week', 'blum', 'change', 'replace', 'card', 'prepaid ']</v>
      </c>
      <c r="D1125" s="3">
        <v>1.0</v>
      </c>
    </row>
    <row r="1126" ht="15.75" customHeight="1">
      <c r="A1126" s="1">
        <v>1124.0</v>
      </c>
      <c r="B1126" s="3" t="s">
        <v>1127</v>
      </c>
      <c r="C1126" s="3" t="str">
        <f>IFERROR(__xludf.DUMMYFUNCTION("GOOGLETRANSLATE(B1126,""id"",""en"")"),"['Telkomsel', 'The network', 'down', 'deteriorating', 'retired', 'rotting', 'Telkomsel', 'good', 'hours',' night ',' morning ',' noon ',' Udh ',' ugly ',' right ',' Severe ',' watch ',' comics', 'open']")</f>
        <v>['Telkomsel', 'The network', 'down', 'deteriorating', 'retired', 'rotting', 'Telkomsel', 'good', 'hours',' night ',' morning ',' noon ',' Udh ',' ugly ',' right ',' Severe ',' watch ',' comics', 'open']</v>
      </c>
      <c r="D1126" s="3">
        <v>1.0</v>
      </c>
    </row>
    <row r="1127" ht="15.75" customHeight="1">
      <c r="A1127" s="1">
        <v>1125.0</v>
      </c>
      <c r="B1127" s="3" t="s">
        <v>1128</v>
      </c>
      <c r="C1127" s="3" t="str">
        <f>IFERROR(__xludf.DUMMYFUNCTION("GOOGLETRANSLATE(B1127,""id"",""en"")"),"['Good', 'really', 'Telkomsel', 'good', 'really', 'expensive', 'signal', 'ugly', 'severe', 'gmna', 'boss', ""]")</f>
        <v>['Good', 'really', 'Telkomsel', 'good', 'really', 'expensive', 'signal', 'ugly', 'severe', 'gmna', 'boss', "]</v>
      </c>
      <c r="D1127" s="3">
        <v>1.0</v>
      </c>
    </row>
    <row r="1128" ht="15.75" customHeight="1">
      <c r="A1128" s="1">
        <v>1126.0</v>
      </c>
      <c r="B1128" s="3" t="s">
        <v>1129</v>
      </c>
      <c r="C1128" s="3" t="str">
        <f>IFERROR(__xludf.DUMMYFUNCTION("GOOGLETRANSLATE(B1128,""id"",""en"")"),"['Disappointed', 'Telkomsel', 'Cook', 'City', 'Network', 'Region', 'City', 'Palembang', 'Kec', 'Kalidoni', 'Kel', 'River', ' Seem ',' Network ',' Error ',' Region ',' Well ',' Friends', 'Kapok', 'Use', 'Telkomsel', ""]")</f>
        <v>['Disappointed', 'Telkomsel', 'Cook', 'City', 'Network', 'Region', 'City', 'Palembang', 'Kec', 'Kalidoni', 'Kel', 'River', ' Seem ',' Network ',' Error ',' Region ',' Well ',' Friends', 'Kapok', 'Use', 'Telkomsel', "]</v>
      </c>
      <c r="D1128" s="3">
        <v>1.0</v>
      </c>
    </row>
    <row r="1129" ht="15.75" customHeight="1">
      <c r="A1129" s="1">
        <v>1127.0</v>
      </c>
      <c r="B1129" s="3" t="s">
        <v>1130</v>
      </c>
      <c r="C1129" s="3" t="str">
        <f>IFERROR(__xludf.DUMMYFUNCTION("GOOGLETRANSLATE(B1129,""id"",""en"")"),"['Please', 'Telkomsel', 'Even though', 'User', 'Class', 'Justice', 'Social', 'Folk', 'Indonesia', ""]")</f>
        <v>['Please', 'Telkomsel', 'Even though', 'User', 'Class', 'Justice', 'Social', 'Folk', 'Indonesia', "]</v>
      </c>
      <c r="D1129" s="3">
        <v>3.0</v>
      </c>
    </row>
    <row r="1130" ht="15.75" customHeight="1">
      <c r="A1130" s="1">
        <v>1128.0</v>
      </c>
      <c r="B1130" s="3" t="s">
        <v>1131</v>
      </c>
      <c r="C1130" s="3" t="str">
        <f>IFERROR(__xludf.DUMMYFUNCTION("GOOGLETRANSLATE(B1130,""id"",""en"")"),"['Ngak', 'Ngastkan', 'Rates', 'Non', 'Package', 'Contents', 'Credit', 'Target', 'Rates', 'Non', 'Package', 'How' Fill ',' pulse ',' missing ',' TSRS ']")</f>
        <v>['Ngak', 'Ngastkan', 'Rates', 'Non', 'Package', 'Contents', 'Credit', 'Target', 'Rates', 'Non', 'Package', 'How' Fill ',' pulse ',' missing ',' TSRS ']</v>
      </c>
      <c r="D1130" s="3">
        <v>5.0</v>
      </c>
    </row>
    <row r="1131" ht="15.75" customHeight="1">
      <c r="A1131" s="1">
        <v>1129.0</v>
      </c>
      <c r="B1131" s="3" t="s">
        <v>1132</v>
      </c>
      <c r="C1131" s="3" t="str">
        <f>IFERROR(__xludf.DUMMYFUNCTION("GOOGLETRANSLATE(B1131,""id"",""en"")"),"['Telkomsel', 'jlk', 'really', 'severe', 'price', 'package', 'expensive', 'provider', 'quality']")</f>
        <v>['Telkomsel', 'jlk', 'really', 'severe', 'price', 'package', 'expensive', 'provider', 'quality']</v>
      </c>
      <c r="D1131" s="3">
        <v>1.0</v>
      </c>
    </row>
    <row r="1132" ht="15.75" customHeight="1">
      <c r="A1132" s="1">
        <v>1130.0</v>
      </c>
      <c r="B1132" s="3" t="s">
        <v>1133</v>
      </c>
      <c r="C1132" s="3" t="str">
        <f>IFERROR(__xludf.DUMMYFUNCTION("GOOGLETRANSLATE(B1132,""id"",""en"")"),"['Kapok', 'Ajir', 'Telkom', 'cell', 'disorder', 'loss', 'business', 'people', 'expensive', 'data']")</f>
        <v>['Kapok', 'Ajir', 'Telkom', 'cell', 'disorder', 'loss', 'business', 'people', 'expensive', 'data']</v>
      </c>
      <c r="D1132" s="3">
        <v>1.0</v>
      </c>
    </row>
    <row r="1133" ht="15.75" customHeight="1">
      <c r="A1133" s="1">
        <v>1131.0</v>
      </c>
      <c r="B1133" s="3" t="s">
        <v>1134</v>
      </c>
      <c r="C1133" s="3" t="str">
        <f>IFERROR(__xludf.DUMMYFUNCTION("GOOGLETRANSLATE(B1133,""id"",""en"")"),"['indicates',' slow ',' prolonged ',' buy ',' package ',' expensive ',' network ',' slow ',' please ',' fix ',' region ',' Sumatra ',' North ',' Kab ',' Tapanuli ',' Star ',' Kasi ',' Network ',' Normal ',' ']")</f>
        <v>['indicates',' slow ',' prolonged ',' buy ',' package ',' expensive ',' network ',' slow ',' please ',' fix ',' region ',' Sumatra ',' North ',' Kab ',' Tapanuli ',' Star ',' Kasi ',' Network ',' Normal ',' ']</v>
      </c>
      <c r="D1133" s="3">
        <v>1.0</v>
      </c>
    </row>
    <row r="1134" ht="15.75" customHeight="1">
      <c r="A1134" s="1">
        <v>1132.0</v>
      </c>
      <c r="B1134" s="3" t="s">
        <v>1135</v>
      </c>
      <c r="C1134" s="3" t="str">
        <f>IFERROR(__xludf.DUMMYFUNCTION("GOOGLETRANSLATE(B1134,""id"",""en"")"),"['Application', 'Sangg', 'Good', 'Liat', 'LIAT']")</f>
        <v>['Application', 'Sangg', 'Good', 'Liat', 'LIAT']</v>
      </c>
      <c r="D1134" s="3">
        <v>5.0</v>
      </c>
    </row>
    <row r="1135" ht="15.75" customHeight="1">
      <c r="A1135" s="1">
        <v>1133.0</v>
      </c>
      <c r="B1135" s="3" t="s">
        <v>1136</v>
      </c>
      <c r="C1135" s="3" t="str">
        <f>IFERROR(__xludf.DUMMYFUNCTION("GOOGLETRANSLATE(B1135,""id"",""en"")"),"['already', 'content', 'data', 'on', 'data', 'slamming', 'sincere', 'diginin', 'mah']")</f>
        <v>['already', 'content', 'data', 'on', 'data', 'slamming', 'sincere', 'diginin', 'mah']</v>
      </c>
      <c r="D1135" s="3">
        <v>1.0</v>
      </c>
    </row>
    <row r="1136" ht="15.75" customHeight="1">
      <c r="A1136" s="1">
        <v>1134.0</v>
      </c>
      <c r="B1136" s="3" t="s">
        <v>1137</v>
      </c>
      <c r="C1136" s="3" t="str">
        <f>IFERROR(__xludf.DUMMYFUNCTION("GOOGLETRANSLATE(B1136,""id"",""en"")"),"['pity', 'mimin', 'balesin', 'opinion', 'bad', 'salute', 'mimin', 'patient', 'really', 'responded', 'spirit', 'mimin', ' ']")</f>
        <v>['pity', 'mimin', 'balesin', 'opinion', 'bad', 'salute', 'mimin', 'patient', 'really', 'responded', 'spirit', 'mimin', ' ']</v>
      </c>
      <c r="D1136" s="3">
        <v>5.0</v>
      </c>
    </row>
    <row r="1137" ht="15.75" customHeight="1">
      <c r="A1137" s="1">
        <v>1135.0</v>
      </c>
      <c r="B1137" s="3" t="s">
        <v>1138</v>
      </c>
      <c r="C1137" s="3" t="str">
        <f>IFERROR(__xludf.DUMMYFUNCTION("GOOGLETRANSLATE(B1137,""id"",""en"")"),"['already', 'buy', 'quota', 'expensive', 'signal', 'ugly', 'ayok', 'telkomsel', 'fix', 'quality', 'its network', 'class',' Online ',' difficult ']")</f>
        <v>['already', 'buy', 'quota', 'expensive', 'signal', 'ugly', 'ayok', 'telkomsel', 'fix', 'quality', 'its network', 'class',' Online ',' difficult ']</v>
      </c>
      <c r="D1137" s="3">
        <v>5.0</v>
      </c>
    </row>
    <row r="1138" ht="15.75" customHeight="1">
      <c r="A1138" s="1">
        <v>1136.0</v>
      </c>
      <c r="B1138" s="3" t="s">
        <v>1139</v>
      </c>
      <c r="C1138" s="3" t="str">
        <f>IFERROR(__xludf.DUMMYFUNCTION("GOOGLETRANSLATE(B1138,""id"",""en"")"),"['disturbance', 'remote', 'bad', 'already', 'expensive', 'ugly', 'cool']")</f>
        <v>['disturbance', 'remote', 'bad', 'already', 'expensive', 'ugly', 'cool']</v>
      </c>
      <c r="D1138" s="3">
        <v>1.0</v>
      </c>
    </row>
    <row r="1139" ht="15.75" customHeight="1">
      <c r="A1139" s="1">
        <v>1137.0</v>
      </c>
      <c r="B1139" s="3" t="s">
        <v>1140</v>
      </c>
      <c r="C1139" s="3" t="str">
        <f>IFERROR(__xludf.DUMMYFUNCTION("GOOGLETRANSLATE(B1139,""id"",""en"")"),"['Advertising', 'network', 'slow', 'error', 'Mulu', 'users',' Telkomsel ',' workers', 'online', 'disappointed', 'job', 'Jdi', ' mess', 'Gara', 'signal', 'error', 'slow', 'tlg', 'fix']")</f>
        <v>['Advertising', 'network', 'slow', 'error', 'Mulu', 'users',' Telkomsel ',' workers', 'online', 'disappointed', 'job', 'Jdi', ' mess', 'Gara', 'signal', 'error', 'slow', 'tlg', 'fix']</v>
      </c>
      <c r="D1139" s="3">
        <v>1.0</v>
      </c>
    </row>
    <row r="1140" ht="15.75" customHeight="1">
      <c r="A1140" s="1">
        <v>1138.0</v>
      </c>
      <c r="B1140" s="3" t="s">
        <v>1141</v>
      </c>
      <c r="C1140" s="3" t="str">
        <f>IFERROR(__xludf.DUMMYFUNCTION("GOOGLETRANSLATE(B1140,""id"",""en"")"),"['mandatory', 'download', 'cheap', 'buy', 'package', 'dapet', 'bonus',' data ',' etc. ',' mandatory ',' download ',' bro ',' sis', 'mandatory', 'waaaaaajiiibbbb']")</f>
        <v>['mandatory', 'download', 'cheap', 'buy', 'package', 'dapet', 'bonus',' data ',' etc. ',' mandatory ',' download ',' bro ',' sis', 'mandatory', 'waaaaaajiiibbbb']</v>
      </c>
      <c r="D1140" s="3">
        <v>5.0</v>
      </c>
    </row>
    <row r="1141" ht="15.75" customHeight="1">
      <c r="A1141" s="1">
        <v>1139.0</v>
      </c>
      <c r="B1141" s="3" t="s">
        <v>1142</v>
      </c>
      <c r="C1141" s="3" t="str">
        <f>IFERROR(__xludf.DUMMYFUNCTION("GOOGLETRANSLATE(B1141,""id"",""en"")"),"['Please', 'company', 'Telkomsel', 'please', 'quality', 'fix', 'enhanced', 'Sumatran', 'North', 'Medan', 'district', 'Asahan', ' network ',' Telkomsel ',' Severe ',' times', 'enhanced', 'network', 'Telkomsel', 'closed', 'his business',' card ',' cover ','"&amp;" expensive ',' expensive ' , 'according to', 'network']")</f>
        <v>['Please', 'company', 'Telkomsel', 'please', 'quality', 'fix', 'enhanced', 'Sumatran', 'North', 'Medan', 'district', 'Asahan', ' network ',' Telkomsel ',' Severe ',' times', 'enhanced', 'network', 'Telkomsel', 'closed', 'his business',' card ',' cover ',' expensive ',' expensive ' , 'according to', 'network']</v>
      </c>
      <c r="D1141" s="3">
        <v>1.0</v>
      </c>
    </row>
    <row r="1142" ht="15.75" customHeight="1">
      <c r="A1142" s="1">
        <v>1140.0</v>
      </c>
      <c r="B1142" s="3" t="s">
        <v>1143</v>
      </c>
      <c r="C1142" s="3" t="str">
        <f>IFERROR(__xludf.DUMMYFUNCTION("GOOGLETRANSLATE(B1142,""id"",""en"")"),"['Out', 'update', 'open', 'Home', 'Telkomsel', '']")</f>
        <v>['Out', 'update', 'open', 'Home', 'Telkomsel', '']</v>
      </c>
      <c r="D1142" s="3">
        <v>5.0</v>
      </c>
    </row>
    <row r="1143" ht="15.75" customHeight="1">
      <c r="A1143" s="1">
        <v>1141.0</v>
      </c>
      <c r="B1143" s="3" t="s">
        <v>1144</v>
      </c>
      <c r="C1143" s="3" t="str">
        <f>IFERROR(__xludf.DUMMYFUNCTION("GOOGLETRANSLATE(B1143,""id"",""en"")"),"['Contents',' Credit ',' Direct ',' Cut ',' Check ',' History ',' Gaada ',' Description ',' Credit ',' Emergency ',' Use it ',' Cuman ',' Times', 'Genesis',' ']")</f>
        <v>['Contents',' Credit ',' Direct ',' Cut ',' Check ',' History ',' Gaada ',' Description ',' Credit ',' Emergency ',' Use it ',' Cuman ',' Times', 'Genesis',' ']</v>
      </c>
      <c r="D1143" s="3">
        <v>1.0</v>
      </c>
    </row>
    <row r="1144" ht="15.75" customHeight="1">
      <c r="A1144" s="1">
        <v>1142.0</v>
      </c>
      <c r="B1144" s="3" t="s">
        <v>1145</v>
      </c>
      <c r="C1144" s="3" t="str">
        <f>IFERROR(__xludf.DUMMYFUNCTION("GOOGLETRANSLATE(B1144,""id"",""en"")"),"['Telkomsel', 'Different', 'Telkomsel', 'Current', 'Okay', 'TPI', 'Sekrang', 'Strange', 'Constraints',' GMN ',' Telkomsel ',' Disappointing ',' loyal customers', '']")</f>
        <v>['Telkomsel', 'Different', 'Telkomsel', 'Current', 'Okay', 'TPI', 'Sekrang', 'Strange', 'Constraints',' GMN ',' Telkomsel ',' Disappointing ',' loyal customers', '']</v>
      </c>
      <c r="D1144" s="3">
        <v>1.0</v>
      </c>
    </row>
    <row r="1145" ht="15.75" customHeight="1">
      <c r="A1145" s="1">
        <v>1143.0</v>
      </c>
      <c r="B1145" s="3" t="s">
        <v>1146</v>
      </c>
      <c r="C1145" s="3" t="str">
        <f>IFERROR(__xludf.DUMMYFUNCTION("GOOGLETRANSLATE(B1145,""id"",""en"")"),"['Credit', 'Reduced', 'Update', 'Application', 'Pakek', 'Ngapa', 'What' do ',' Check ',' Credit ',' Reduced ',' then ',' Mending ',' Move ',' card ',' Next to ',' Telkomsel ',' ORG ',' Please ',' Fix ',' ']")</f>
        <v>['Credit', 'Reduced', 'Update', 'Application', 'Pakek', 'Ngapa', 'What' do ',' Check ',' Credit ',' Reduced ',' then ',' Mending ',' Move ',' card ',' Next to ',' Telkomsel ',' ORG ',' Please ',' Fix ',' ']</v>
      </c>
      <c r="D1145" s="3">
        <v>2.0</v>
      </c>
    </row>
    <row r="1146" ht="15.75" customHeight="1">
      <c r="A1146" s="1">
        <v>1144.0</v>
      </c>
      <c r="B1146" s="3" t="s">
        <v>1147</v>
      </c>
      <c r="C1146" s="3" t="str">
        <f>IFERROR(__xludf.DUMMYFUNCTION("GOOGLETRANSLATE(B1146,""id"",""en"")"),"['The application', 'good', 'just', 'suggestion', 'add', 'feature', 'send', 'quota']")</f>
        <v>['The application', 'good', 'just', 'suggestion', 'add', 'feature', 'send', 'quota']</v>
      </c>
      <c r="D1146" s="3">
        <v>3.0</v>
      </c>
    </row>
    <row r="1147" ht="15.75" customHeight="1">
      <c r="A1147" s="1">
        <v>1145.0</v>
      </c>
      <c r="B1147" s="3" t="s">
        <v>1148</v>
      </c>
      <c r="C1147" s="3" t="str">
        <f>IFERROR(__xludf.DUMMYFUNCTION("GOOGLETRANSLATE(B1147,""id"",""en"")"),"['Helpful', 'easy', 'check', 'contents', 'data', 'poko', 'top', 'markotop', '']")</f>
        <v>['Helpful', 'easy', 'check', 'contents', 'data', 'poko', 'top', 'markotop', '']</v>
      </c>
      <c r="D1147" s="3">
        <v>5.0</v>
      </c>
    </row>
    <row r="1148" ht="15.75" customHeight="1">
      <c r="A1148" s="1">
        <v>1146.0</v>
      </c>
      <c r="B1148" s="3" t="s">
        <v>1149</v>
      </c>
      <c r="C1148" s="3" t="str">
        <f>IFERROR(__xludf.DUMMYFUNCTION("GOOGLETRANSLATE(B1148,""id"",""en"")"),"['woii', 'fix', 'network', 'you', 'buy', 'package', 'Telkomsel', 'expensive', 'expensive', 'signal', 'ugly', 'kek', ' Gini ',' Fast ',' Fix ',' Woii ',' Times', 'Fix', 'Signal', 'Mending', 'Buy', 'Card', 'Telkomsel', ""]")</f>
        <v>['woii', 'fix', 'network', 'you', 'buy', 'package', 'Telkomsel', 'expensive', 'expensive', 'signal', 'ugly', 'kek', ' Gini ',' Fast ',' Fix ',' Woii ',' Times', 'Fix', 'Signal', 'Mending', 'Buy', 'Card', 'Telkomsel', "]</v>
      </c>
      <c r="D1148" s="3">
        <v>1.0</v>
      </c>
    </row>
    <row r="1149" ht="15.75" customHeight="1">
      <c r="A1149" s="1">
        <v>1147.0</v>
      </c>
      <c r="B1149" s="3" t="s">
        <v>1150</v>
      </c>
      <c r="C1149" s="3" t="str">
        <f>IFERROR(__xludf.DUMMYFUNCTION("GOOGLETRANSLATE(B1149,""id"",""en"")"),"['Network', 'ugly', 'comfortable', 'pakek', 'network', 'star', '']")</f>
        <v>['Network', 'ugly', 'comfortable', 'pakek', 'network', 'star', '']</v>
      </c>
      <c r="D1149" s="3">
        <v>1.0</v>
      </c>
    </row>
    <row r="1150" ht="15.75" customHeight="1">
      <c r="A1150" s="1">
        <v>1148.0</v>
      </c>
      <c r="B1150" s="3" t="s">
        <v>1151</v>
      </c>
      <c r="C1150" s="3" t="str">
        <f>IFERROR(__xludf.DUMMYFUNCTION("GOOGLETRANSLATE(B1150,""id"",""en"")"),"['pulse', 'missing', 'disappointed', 'Telkom']")</f>
        <v>['pulse', 'missing', 'disappointed', 'Telkom']</v>
      </c>
      <c r="D1150" s="3">
        <v>2.0</v>
      </c>
    </row>
    <row r="1151" ht="15.75" customHeight="1">
      <c r="A1151" s="1">
        <v>1149.0</v>
      </c>
      <c r="B1151" s="3" t="s">
        <v>1152</v>
      </c>
      <c r="C1151" s="3" t="str">
        <f>IFERROR(__xludf.DUMMYFUNCTION("GOOGLETRANSLATE(B1151,""id"",""en"")"),"['Halloo', 'Telkomsel', 'network', 'internet', 'slow', 'really', 'lose', 'kenceng', 'internet', 'tri', 'please', 'repaired', ' Consumers', 'Disappointed', '']")</f>
        <v>['Halloo', 'Telkomsel', 'network', 'internet', 'slow', 'really', 'lose', 'kenceng', 'internet', 'tri', 'please', 'repaired', ' Consumers', 'Disappointed', '']</v>
      </c>
      <c r="D1151" s="3">
        <v>1.0</v>
      </c>
    </row>
    <row r="1152" ht="15.75" customHeight="1">
      <c r="A1152" s="1">
        <v>1150.0</v>
      </c>
      <c r="B1152" s="3" t="s">
        <v>1153</v>
      </c>
      <c r="C1152" s="3" t="str">
        <f>IFERROR(__xludf.DUMMYFUNCTION("GOOGLETRANSLATE(B1152,""id"",""en"")"),"['Review', 'quota', 'banyaaaak', 'really', 'pulse', 'finished', 'kagak', 'dipake', 'sms', 'call', 'here', '']")</f>
        <v>['Review', 'quota', 'banyaaaak', 'really', 'pulse', 'finished', 'kagak', 'dipake', 'sms', 'call', 'here', '']</v>
      </c>
      <c r="D1152" s="3">
        <v>2.0</v>
      </c>
    </row>
    <row r="1153" ht="15.75" customHeight="1">
      <c r="A1153" s="1">
        <v>1151.0</v>
      </c>
      <c r="B1153" s="3" t="s">
        <v>1154</v>
      </c>
      <c r="C1153" s="3" t="str">
        <f>IFERROR(__xludf.DUMMYFUNCTION("GOOGLETRANSLATE(B1153,""id"",""en"")"),"['Package', 'Telkomsel', 'Busuuuuk', 'Multimedia', 'Dipake', 'YouTube', 'Gabisa', 'Dipake', 'Open', 'Game', 'Gabisa', 'Open', ' Trs', 'quota', 'multimedia', 'GB', 'whataaa', 'price', 'expensive', 'signal', 'quota', 'dead', 'gabisa', 'used', 'customer' , '"&amp;"very disappointed', '']")</f>
        <v>['Package', 'Telkomsel', 'Busuuuuk', 'Multimedia', 'Dipake', 'YouTube', 'Gabisa', 'Dipake', 'Open', 'Game', 'Gabisa', 'Open', ' Trs', 'quota', 'multimedia', 'GB', 'whataaa', 'price', 'expensive', 'signal', 'quota', 'dead', 'gabisa', 'used', 'customer' , 'very disappointed', '']</v>
      </c>
      <c r="D1153" s="3">
        <v>1.0</v>
      </c>
    </row>
    <row r="1154" ht="15.75" customHeight="1">
      <c r="A1154" s="1">
        <v>1152.0</v>
      </c>
      <c r="B1154" s="3" t="s">
        <v>1155</v>
      </c>
      <c r="C1154" s="3" t="str">
        <f>IFERROR(__xludf.DUMMYFUNCTION("GOOGLETRANSLATE(B1154,""id"",""en"")"),"['Yesterday', 'Surprised', 'Notification', 'Telkomsel', 'Hello', 'Appeal', 'Payment', 'Bill', 'Date', 'Date', 'Moon', 'Sign', ' Pay ',' according to ',' request ',' a day ',' payment ',' request ',' Sorry ',' Telkomsel ',' Hello ',' notification ',' Yeste"&amp;"rday ',' Wrong ',' suspect ' , 'Love', 'appreciation', '']")</f>
        <v>['Yesterday', 'Surprised', 'Notification', 'Telkomsel', 'Hello', 'Appeal', 'Payment', 'Bill', 'Date', 'Date', 'Moon', 'Sign', ' Pay ',' according to ',' request ',' a day ',' payment ',' request ',' Sorry ',' Telkomsel ',' Hello ',' notification ',' Yesterday ',' Wrong ',' suspect ' , 'Love', 'appreciation', '']</v>
      </c>
      <c r="D1154" s="3">
        <v>5.0</v>
      </c>
    </row>
    <row r="1155" ht="15.75" customHeight="1">
      <c r="A1155" s="1">
        <v>1153.0</v>
      </c>
      <c r="B1155" s="3" t="s">
        <v>1156</v>
      </c>
      <c r="C1155" s="3" t="str">
        <f>IFERROR(__xludf.DUMMYFUNCTION("GOOGLETRANSLATE(B1155,""id"",""en"")"),"['Application', 'Personal', 'Good', 'really', 'Not bad', 'contents',' reset ',' package ',' data ',' internet ',' tired ',' tired ',' Mari ',' wkwkwk ',' ']")</f>
        <v>['Application', 'Personal', 'Good', 'really', 'Not bad', 'contents',' reset ',' package ',' data ',' internet ',' tired ',' tired ',' Mari ',' wkwkwk ',' ']</v>
      </c>
      <c r="D1155" s="3">
        <v>5.0</v>
      </c>
    </row>
    <row r="1156" ht="15.75" customHeight="1">
      <c r="A1156" s="1">
        <v>1154.0</v>
      </c>
      <c r="B1156" s="3" t="s">
        <v>1157</v>
      </c>
      <c r="C1156" s="3" t="str">
        <f>IFERROR(__xludf.DUMMYFUNCTION("GOOGLETRANSLATE(B1156,""id"",""en"")"),"['Telkomsel', 'Internet', 'SIM', 'Operator', 'Credit', 'Telkomsel', 'SIM', 'Reduced', 'Data', ""]")</f>
        <v>['Telkomsel', 'Internet', 'SIM', 'Operator', 'Credit', 'Telkomsel', 'SIM', 'Reduced', 'Data', "]</v>
      </c>
      <c r="D1156" s="3">
        <v>2.0</v>
      </c>
    </row>
    <row r="1157" ht="15.75" customHeight="1">
      <c r="A1157" s="1">
        <v>1155.0</v>
      </c>
      <c r="B1157" s="3" t="s">
        <v>1158</v>
      </c>
      <c r="C1157" s="3" t="str">
        <f>IFERROR(__xludf.DUMMYFUNCTION("GOOGLETRANSLATE(B1157,""id"",""en"")"),"['', 'Telkomsek', 'Skrng', 'The network', 'Kek', 'Gini', 'Not', 'Satisfying', 'Please', 'Fix', 'The Network', 'Customer', 'Satisfied ',' Customer ',' no ',' blur ']")</f>
        <v>['', 'Telkomsek', 'Skrng', 'The network', 'Kek', 'Gini', 'Not', 'Satisfying', 'Please', 'Fix', 'The Network', 'Customer', 'Satisfied ',' Customer ',' no ',' blur ']</v>
      </c>
      <c r="D1157" s="3">
        <v>1.0</v>
      </c>
    </row>
    <row r="1158" ht="15.75" customHeight="1">
      <c r="A1158" s="1">
        <v>1156.0</v>
      </c>
      <c r="B1158" s="3" t="s">
        <v>1159</v>
      </c>
      <c r="C1158" s="3" t="str">
        <f>IFERROR(__xludf.DUMMYFUNCTION("GOOGLETRANSLATE(B1158,""id"",""en"")"),"['ugly', 'really', 'network', 'internet', 'profit', 'network', 'internet', 'package', 'a month', 'exhausted', 'crowd', ' ']")</f>
        <v>['ugly', 'really', 'network', 'internet', 'profit', 'network', 'internet', 'package', 'a month', 'exhausted', 'crowd', ' ']</v>
      </c>
      <c r="D1158" s="3">
        <v>3.0</v>
      </c>
    </row>
    <row r="1159" ht="15.75" customHeight="1">
      <c r="A1159" s="1">
        <v>1157.0</v>
      </c>
      <c r="B1159" s="3" t="s">
        <v>1160</v>
      </c>
      <c r="C1159" s="3" t="str">
        <f>IFERROR(__xludf.DUMMYFUNCTION("GOOGLETRANSLATE(B1159,""id"",""en"")"),"['Severe', 'severe', 'severe', 'sympathy', 'era', 'now', 'slow', 'really', 'different', 'era', 'TGN', 'good', ' really ',' due to ',' kosupsi ',' impact ',' Quality ',' bad ', ""]")</f>
        <v>['Severe', 'severe', 'severe', 'sympathy', 'era', 'now', 'slow', 'really', 'different', 'era', 'TGN', 'good', ' really ',' due to ',' kosupsi ',' impact ',' Quality ',' bad ', "]</v>
      </c>
      <c r="D1159" s="3">
        <v>1.0</v>
      </c>
    </row>
    <row r="1160" ht="15.75" customHeight="1">
      <c r="A1160" s="1">
        <v>1158.0</v>
      </c>
      <c r="B1160" s="3" t="s">
        <v>1161</v>
      </c>
      <c r="C1160" s="3" t="str">
        <f>IFERROR(__xludf.DUMMYFUNCTION("GOOGLETRANSLATE(B1160,""id"",""en"")"),"['network', 'internet', 'lag', 'play', 'games', 'telkom', 'cable', 'broken', 'benerin', 'entry', 'kompas', 'news']")</f>
        <v>['network', 'internet', 'lag', 'play', 'games', 'telkom', 'cable', 'broken', 'benerin', 'entry', 'kompas', 'news']</v>
      </c>
      <c r="D1160" s="3">
        <v>1.0</v>
      </c>
    </row>
    <row r="1161" ht="15.75" customHeight="1">
      <c r="A1161" s="1">
        <v>1159.0</v>
      </c>
      <c r="B1161" s="3" t="s">
        <v>1162</v>
      </c>
      <c r="C1161" s="3" t="str">
        <f>IFERROR(__xludf.DUMMYFUNCTION("GOOGLETRANSLATE(B1161,""id"",""en"")"),"['Suggestion', 'Telkomsel', 'Please', 'Restore', 'Speed', 'Network', 'Telkomsel', 'Leet', ""]")</f>
        <v>['Suggestion', 'Telkomsel', 'Please', 'Restore', 'Speed', 'Network', 'Telkomsel', 'Leet', "]</v>
      </c>
      <c r="D1161" s="3">
        <v>3.0</v>
      </c>
    </row>
    <row r="1162" ht="15.75" customHeight="1">
      <c r="A1162" s="1">
        <v>1160.0</v>
      </c>
      <c r="B1162" s="3" t="s">
        <v>1163</v>
      </c>
      <c r="C1162" s="3" t="str">
        <f>IFERROR(__xludf.DUMMYFUNCTION("GOOGLETRANSLATE(B1162,""id"",""en"")"),"['The application', 'Good', 'Simple', 'Sometimes', 'Think', 'Telkomsel', 'Expensive', 'Price', 'Package', 'Developed', 'Application']")</f>
        <v>['The application', 'Good', 'Simple', 'Sometimes', 'Think', 'Telkomsel', 'Expensive', 'Price', 'Package', 'Developed', 'Application']</v>
      </c>
      <c r="D1162" s="3">
        <v>3.0</v>
      </c>
    </row>
    <row r="1163" ht="15.75" customHeight="1">
      <c r="A1163" s="1">
        <v>1161.0</v>
      </c>
      <c r="B1163" s="3" t="s">
        <v>1164</v>
      </c>
      <c r="C1163" s="3" t="str">
        <f>IFERROR(__xludf.DUMMYFUNCTION("GOOGLETRANSLATE(B1163,""id"",""en"")"),"['Alhamdulillah', 'Update', 'application', 'hope', 'front', 'enthusiasm', 'Telkomsel', ""]")</f>
        <v>['Alhamdulillah', 'Update', 'application', 'hope', 'front', 'enthusiasm', 'Telkomsel', "]</v>
      </c>
      <c r="D1163" s="3">
        <v>3.0</v>
      </c>
    </row>
    <row r="1164" ht="15.75" customHeight="1">
      <c r="A1164" s="1">
        <v>1162.0</v>
      </c>
      <c r="B1164" s="3" t="s">
        <v>1165</v>
      </c>
      <c r="C1164" s="3" t="str">
        <f>IFERROR(__xludf.DUMMYFUNCTION("GOOGLETRANSLATE(B1164,""id"",""en"")"),"['Kouta', 'Call', 'Hbis', 'Dead', 'Phone', 'Automatism', 'continue', 'Season', 'Eat', 'Credit']")</f>
        <v>['Kouta', 'Call', 'Hbis', 'Dead', 'Phone', 'Automatism', 'continue', 'Season', 'Eat', 'Credit']</v>
      </c>
      <c r="D1164" s="3">
        <v>1.0</v>
      </c>
    </row>
    <row r="1165" ht="15.75" customHeight="1">
      <c r="A1165" s="1">
        <v>1163.0</v>
      </c>
      <c r="B1165" s="3" t="s">
        <v>1166</v>
      </c>
      <c r="C1165" s="3" t="str">
        <f>IFERROR(__xludf.DUMMYFUNCTION("GOOGLETRANSLATE(B1165,""id"",""en"")"),"['hah', 'gajelas',' really ',' signal ',' full ',' package ',' GB ',' apply ',' network ',' no ',' road ',' annoying ',' very']")</f>
        <v>['hah', 'gajelas',' really ',' signal ',' full ',' package ',' GB ',' apply ',' network ',' no ',' road ',' annoying ',' very']</v>
      </c>
      <c r="D1165" s="3">
        <v>1.0</v>
      </c>
    </row>
    <row r="1166" ht="15.75" customHeight="1">
      <c r="A1166" s="1">
        <v>1164.0</v>
      </c>
      <c r="B1166" s="3" t="s">
        <v>1167</v>
      </c>
      <c r="C1166" s="3" t="str">
        <f>IFERROR(__xludf.DUMMYFUNCTION("GOOGLETRANSLATE(B1166,""id"",""en"")"),"['Please', 'Telkomsel', 'Network', 'Region', 'Padam', 'Electricity', 'Network', 'Disappear', 'Padam', 'Electricity', 'Minutes',' Minutes', ' Network ',' appears', 'Thank you', ""]")</f>
        <v>['Please', 'Telkomsel', 'Network', 'Region', 'Padam', 'Electricity', 'Network', 'Disappear', 'Padam', 'Electricity', 'Minutes',' Minutes', ' Network ',' appears', 'Thank you', "]</v>
      </c>
      <c r="D1166" s="3">
        <v>4.0</v>
      </c>
    </row>
    <row r="1167" ht="15.75" customHeight="1">
      <c r="A1167" s="1">
        <v>1165.0</v>
      </c>
      <c r="B1167" s="3" t="s">
        <v>1168</v>
      </c>
      <c r="C1167" s="3" t="str">
        <f>IFERROR(__xludf.DUMMYFUNCTION("GOOGLETRANSLATE(B1167,""id"",""en"")"),"['Get', 'Notif', 'Promo', 'Application', 'Telkomsel', 'Example', 'Promo', 'Pay', 'Rb', 'Get', 'Quota', 'Unlimited', ' Click ',' Direct ',' promo ',' blah ',' blah ',' blah ',' enter ',' application ',' telkomsel ',' check ',' notif ',' message ',' enter '"&amp;" , 'promo', 'promo', 'emang', 'like', 'nge', 'prank', 'so', 'telkomsel', 'note', '']")</f>
        <v>['Get', 'Notif', 'Promo', 'Application', 'Telkomsel', 'Example', 'Promo', 'Pay', 'Rb', 'Get', 'Quota', 'Unlimited', ' Click ',' Direct ',' promo ',' blah ',' blah ',' blah ',' enter ',' application ',' telkomsel ',' check ',' notif ',' message ',' enter ' , 'promo', 'promo', 'emang', 'like', 'nge', 'prank', 'so', 'telkomsel', 'note', '']</v>
      </c>
      <c r="D1167" s="3">
        <v>1.0</v>
      </c>
    </row>
    <row r="1168" ht="15.75" customHeight="1">
      <c r="A1168" s="1">
        <v>1166.0</v>
      </c>
      <c r="B1168" s="3" t="s">
        <v>1169</v>
      </c>
      <c r="C1168" s="3" t="str">
        <f>IFERROR(__xludf.DUMMYFUNCTION("GOOGLETRANSLATE(B1168,""id"",""en"")"),"['Sorry', 'love', 'star', 'network', 'speed', 'internet', 'slow', 'package', 'trick', 'buy', 'quota', 'game', ' mobile ',' legend ',' quota ',' main ',' run out ',' package ',' use ',' play ',' game ',' mobile ',' legend ',' open ',' contents' , 'quota', "&amp;"'main', 'play', 'mobile', 'Legend', 'Cut "",' quota ',' main ',' open ',' quota ',' game ',' amsyooonnnggg ',' ']")</f>
        <v>['Sorry', 'love', 'star', 'network', 'speed', 'internet', 'slow', 'package', 'trick', 'buy', 'quota', 'game', ' mobile ',' legend ',' quota ',' main ',' run out ',' package ',' use ',' play ',' game ',' mobile ',' legend ',' open ',' contents' , 'quota', 'main', 'play', 'mobile', 'Legend', 'Cut ",' quota ',' main ',' open ',' quota ',' game ',' amsyooonnnggg ',' ']</v>
      </c>
      <c r="D1168" s="3">
        <v>1.0</v>
      </c>
    </row>
    <row r="1169" ht="15.75" customHeight="1">
      <c r="A1169" s="1">
        <v>1167.0</v>
      </c>
      <c r="B1169" s="3" t="s">
        <v>1170</v>
      </c>
      <c r="C1169" s="3" t="str">
        <f>IFERROR(__xludf.DUMMYFUNCTION("GOOGLETRANSLATE(B1169,""id"",""en"")"),"['steady', 'promo', 'pulled', 'reward', 'unfortunately', 'lucky', 'lottery', 'Telkomsel', 'success', 'Telkomsel', ""]")</f>
        <v>['steady', 'promo', 'pulled', 'reward', 'unfortunately', 'lucky', 'lottery', 'Telkomsel', 'success', 'Telkomsel', "]</v>
      </c>
      <c r="D1169" s="3">
        <v>5.0</v>
      </c>
    </row>
    <row r="1170" ht="15.75" customHeight="1">
      <c r="A1170" s="1">
        <v>1168.0</v>
      </c>
      <c r="B1170" s="3" t="s">
        <v>1171</v>
      </c>
      <c r="C1170" s="3" t="str">
        <f>IFERROR(__xludf.DUMMYFUNCTION("GOOGLETRANSLATE(B1170,""id"",""en"")"),"['My advice', 'Telkomsel', 'Lahhh', 'Cut', 'Credit', 'Data', 'Out', 'No "",' Kayak ',' Card ',' Sad ',' essence ',' Data ',' run out ',' nnga ',' Cut ',' pulses', 'doang', 'hope', 'users',' Telkomsel ', ""]")</f>
        <v>['My advice', 'Telkomsel', 'Lahhh', 'Cut', 'Credit', 'Data', 'Out', 'No ",' Kayak ',' Card ',' Sad ',' essence ',' Data ',' run out ',' nnga ',' Cut ',' pulses', 'doang', 'hope', 'users',' Telkomsel ', "]</v>
      </c>
      <c r="D1170" s="3">
        <v>1.0</v>
      </c>
    </row>
    <row r="1171" ht="15.75" customHeight="1">
      <c r="A1171" s="1">
        <v>1169.0</v>
      </c>
      <c r="B1171" s="3" t="s">
        <v>1172</v>
      </c>
      <c r="C1171" s="3" t="str">
        <f>IFERROR(__xludf.DUMMYFUNCTION("GOOGLETRANSLATE(B1171,""id"",""en"")"),"['slow', 'quota', 'GB', 'On', 'Sebel', 'deh', ""]")</f>
        <v>['slow', 'quota', 'GB', 'On', 'Sebel', 'deh', "]</v>
      </c>
      <c r="D1171" s="3">
        <v>1.0</v>
      </c>
    </row>
    <row r="1172" ht="15.75" customHeight="1">
      <c r="A1172" s="1">
        <v>1170.0</v>
      </c>
      <c r="B1172" s="3" t="s">
        <v>1173</v>
      </c>
      <c r="C1172" s="3" t="str">
        <f>IFERROR(__xludf.DUMMYFUNCTION("GOOGLETRANSLATE(B1172,""id"",""en"")"),"['Severe', 'Telkomsel', 'Credit', 'Sumpot', 'Reasons',' Use ',' Data ',' Network ',' Rich ',' Customer ',' already ',' familiar ',' LGI ',' Telkomsel ',' fix ',' donk ']")</f>
        <v>['Severe', 'Telkomsel', 'Credit', 'Sumpot', 'Reasons',' Use ',' Data ',' Network ',' Rich ',' Customer ',' already ',' familiar ',' LGI ',' Telkomsel ',' fix ',' donk ']</v>
      </c>
      <c r="D1172" s="3">
        <v>1.0</v>
      </c>
    </row>
    <row r="1173" ht="15.75" customHeight="1">
      <c r="A1173" s="1">
        <v>1171.0</v>
      </c>
      <c r="B1173" s="3" t="s">
        <v>1174</v>
      </c>
      <c r="C1173" s="3" t="str">
        <f>IFERROR(__xludf.DUMMYFUNCTION("GOOGLETRANSLATE(B1173,""id"",""en"")"),"[ 'Application', 'good', 'jsjdjsjdnnznxnxnxnn', 'ndndnnshxbzbzbzbbzhzhzhxhhxhxhbxbxhxbzbzbbzbznznzjjzjzjzjjzjzjzjzjdjnxndnxndjdjjsjsjzjsjsjjwieodofjdjkekrjxjdjjsosks', 'commission', 'expert', 'expert', 'fitriana', 'dipaparkannya', 'food', 'jhhhsbddhdjjsis"&amp;"ushshshjsjsjsjsjjsjshshsshhsshjdhdhdhdhdhhdhdhdjdhhdhhdjdjhdhdhhdhdhdhdhdhhdhdhdhdhhdhdbdbdhdjdjdjdnjdhsgsyskddokontolndjdjdjdndjjdjdjdjdjjdhdgxgsvsukskzkskshxhdhdjsjdhdhjfjdjshdhdjjdjehdidjsjjejdjdjdjdjndjdjdhdhdjjdjdhdjdhdijddhjdjdjdjfhfjjdjdjdjdjdp']")</f>
        <v>[ 'Application', 'good', 'jsjdjsjdnnznxnxnxnn', 'ndndnnshxbzbzbzbbzhzhzhxhhxhxhbxbxhxbzbzbbzbznznzjjzjzjzjjzjzjzjzjdjnxndnxndjdjjsjsjzjsjsjjwieodofjdjkekrjxjdjjsosks', 'commission', 'expert', 'expert', 'fitriana', 'dipaparkannya', 'food', 'jhhhsbddhdjjsisushshshjsjsjsjsjjsjshshsshhsshjdhdhdhdhdhhdhdhdjdhhdhhdjdjhdhdhhdhdhdhdhdhhdhdhdhdhhdhdbdbdhdjdjdjdnjdhsgsyskddokontolndjdjdjdndjjdjdjdjdjjdhdgxgsvsukskzkskshxhdhdjsjdhdhjfjdjshdhdjjdjehdidjsjjejdjdjdjdjndjdjdhdhdjjdjdhdjdhdijddhjdjdjdjfhfjjdjdjdjdjdp']</v>
      </c>
      <c r="D1173" s="3">
        <v>5.0</v>
      </c>
    </row>
    <row r="1174" ht="15.75" customHeight="1">
      <c r="A1174" s="1">
        <v>1172.0</v>
      </c>
      <c r="B1174" s="3" t="s">
        <v>1175</v>
      </c>
      <c r="C1174" s="3" t="str">
        <f>IFERROR(__xludf.DUMMYFUNCTION("GOOGLETRANSLATE(B1174,""id"",""en"")"),"['update', 'already', 'update', 'open', 'Masi', 'packagein', 'data', 'Telkomsel', 'price', 'package', 'data', 'competitor', ' Services', 'Quality', 'Network', 'Minimal', 'Brand', 'Next to', '']")</f>
        <v>['update', 'already', 'update', 'open', 'Masi', 'packagein', 'data', 'Telkomsel', 'price', 'package', 'data', 'competitor', ' Services', 'Quality', 'Network', 'Minimal', 'Brand', 'Next to', '']</v>
      </c>
      <c r="D1174" s="3">
        <v>3.0</v>
      </c>
    </row>
    <row r="1175" ht="15.75" customHeight="1">
      <c r="A1175" s="1">
        <v>1173.0</v>
      </c>
      <c r="B1175" s="3" t="s">
        <v>1176</v>
      </c>
      <c r="C1175" s="3" t="str">
        <f>IFERROR(__xludf.DUMMYFUNCTION("GOOGLETRANSLATE(B1175,""id"",""en"")"),"['Network', 'Telkomsel', 'Good', 'Hope', 'Help', 'Quota', 'Free', 'Student', 'Needed', 'Lecture', 'Online']")</f>
        <v>['Network', 'Telkomsel', 'Good', 'Hope', 'Help', 'Quota', 'Free', 'Student', 'Needed', 'Lecture', 'Online']</v>
      </c>
      <c r="D1175" s="3">
        <v>5.0</v>
      </c>
    </row>
    <row r="1176" ht="15.75" customHeight="1">
      <c r="A1176" s="1">
        <v>1174.0</v>
      </c>
      <c r="B1176" s="3" t="s">
        <v>1177</v>
      </c>
      <c r="C1176" s="3" t="str">
        <f>IFERROR(__xludf.DUMMYFUNCTION("GOOGLETRANSLATE(B1176,""id"",""en"")"),"['program', 'decrease', 'network', 'kah', 'telkomsel', 'here', 'threat']")</f>
        <v>['program', 'decrease', 'network', 'kah', 'telkomsel', 'here', 'threat']</v>
      </c>
      <c r="D1176" s="3">
        <v>1.0</v>
      </c>
    </row>
    <row r="1177" ht="15.75" customHeight="1">
      <c r="A1177" s="1">
        <v>1175.0</v>
      </c>
      <c r="B1177" s="3" t="s">
        <v>1178</v>
      </c>
      <c r="C1177" s="3" t="str">
        <f>IFERROR(__xludf.DUMMYFUNCTION("GOOGLETRANSLATE(B1177,""id"",""en"")"),"['quota', 'internet', 'unlimited', 'thousand', 'list', '']")</f>
        <v>['quota', 'internet', 'unlimited', 'thousand', 'list', '']</v>
      </c>
      <c r="D1177" s="3">
        <v>1.0</v>
      </c>
    </row>
    <row r="1178" ht="15.75" customHeight="1">
      <c r="A1178" s="1">
        <v>1176.0</v>
      </c>
      <c r="B1178" s="3" t="s">
        <v>1179</v>
      </c>
      <c r="C1178" s="3" t="str">
        <f>IFERROR(__xludf.DUMMYFUNCTION("GOOGLETRANSLATE(B1178,""id"",""en"")"),"['Please', 'populat', 'community', 'potatoes', 'compatible']")</f>
        <v>['Please', 'populat', 'community', 'potatoes', 'compatible']</v>
      </c>
      <c r="D1178" s="3">
        <v>2.0</v>
      </c>
    </row>
    <row r="1179" ht="15.75" customHeight="1">
      <c r="A1179" s="1">
        <v>1177.0</v>
      </c>
      <c r="B1179" s="3" t="s">
        <v>1180</v>
      </c>
      <c r="C1179" s="3" t="str">
        <f>IFERROR(__xludf.DUMMYFUNCTION("GOOGLETRANSLATE(B1179,""id"",""en"")"),"['Date', 'September', 'I', 'PKASA', 'update', 'version', 'version', 'tdak', 'open', 'morning', 'open', 'right', ' hours', 'noon', 'direct', 'switch', 'update', 'version', 'display', 'menu', 'good', 'bnyak', 'promo', 'interesting', 'version' , 'promo', 'tu"&amp;"rn', 'price', 'expensive', 'my', 'version', 'reply', 'Masi', 'message', 'text', 'automatic', 'message', ' response', '']")</f>
        <v>['Date', 'September', 'I', 'PKASA', 'update', 'version', 'version', 'tdak', 'open', 'morning', 'open', 'right', ' hours', 'noon', 'direct', 'switch', 'update', 'version', 'display', 'menu', 'good', 'bnyak', 'promo', 'interesting', 'version' , 'promo', 'turn', 'price', 'expensive', 'my', 'version', 'reply', 'Masi', 'message', 'text', 'automatic', 'message', ' response', '']</v>
      </c>
      <c r="D1179" s="3">
        <v>1.0</v>
      </c>
    </row>
    <row r="1180" ht="15.75" customHeight="1">
      <c r="A1180" s="1">
        <v>1178.0</v>
      </c>
      <c r="B1180" s="3" t="s">
        <v>1181</v>
      </c>
      <c r="C1180" s="3" t="str">
        <f>IFERROR(__xludf.DUMMYFUNCTION("GOOGLETRANSLATE(B1180,""id"",""en"")"),"['Love', 'Bintang', 'Read', 'Telkomsel', 'Kenpa', 'Telkomsel', 'The network', 'bad', 'already', 'mah', 'expensive', 'package', ' The network is', 'Hancuurr', 'hancuurr', 'nih', 'customers',' Telkomsel ',' already ',' yrs', 'here', 'broken', 'gini', 'bnyak"&amp;"', 'customer' , 'Telkomsel', 'moved', 'operator', 'understand', ""]")</f>
        <v>['Love', 'Bintang', 'Read', 'Telkomsel', 'Kenpa', 'Telkomsel', 'The network', 'bad', 'already', 'mah', 'expensive', 'package', ' The network is', 'Hancuurr', 'hancuurr', 'nih', 'customers',' Telkomsel ',' already ',' yrs', 'here', 'broken', 'gini', 'bnyak', 'customer' , 'Telkomsel', 'moved', 'operator', 'understand', "]</v>
      </c>
      <c r="D1180" s="3">
        <v>5.0</v>
      </c>
    </row>
    <row r="1181" ht="15.75" customHeight="1">
      <c r="A1181" s="1">
        <v>1179.0</v>
      </c>
      <c r="B1181" s="3" t="s">
        <v>1182</v>
      </c>
      <c r="C1181" s="3" t="str">
        <f>IFERROR(__xludf.DUMMYFUNCTION("GOOGLETRANSLATE(B1181,""id"",""en"")"),"['Help', 'Lottery', 'Telkomsel', 'Point', 'Win', '']")</f>
        <v>['Help', 'Lottery', 'Telkomsel', 'Point', 'Win', '']</v>
      </c>
      <c r="D1181" s="3">
        <v>4.0</v>
      </c>
    </row>
    <row r="1182" ht="15.75" customHeight="1">
      <c r="A1182" s="1">
        <v>1180.0</v>
      </c>
      <c r="B1182" s="3" t="s">
        <v>1183</v>
      </c>
      <c r="C1182" s="3" t="str">
        <f>IFERROR(__xludf.DUMMYFUNCTION("GOOGLETRANSLATE(B1182,""id"",""en"")"),"['Help', 'application', 'easy', 'buy', 'package', 'data']")</f>
        <v>['Help', 'application', 'easy', 'buy', 'package', 'data']</v>
      </c>
      <c r="D1182" s="3">
        <v>5.0</v>
      </c>
    </row>
    <row r="1183" ht="15.75" customHeight="1">
      <c r="A1183" s="1">
        <v>1181.0</v>
      </c>
      <c r="B1183" s="3" t="s">
        <v>1184</v>
      </c>
      <c r="C1183" s="3" t="str">
        <f>IFERROR(__xludf.DUMMYFUNCTION("GOOGLETRANSLATE(B1183,""id"",""en"")"),"['expensive', 'doang', 'signal', 'rotten', 'ugly', 'signal', 'emang', 'already', 'moved', '']")</f>
        <v>['expensive', 'doang', 'signal', 'rotten', 'ugly', 'signal', 'emang', 'already', 'moved', '']</v>
      </c>
      <c r="D1183" s="3">
        <v>1.0</v>
      </c>
    </row>
    <row r="1184" ht="15.75" customHeight="1">
      <c r="A1184" s="1">
        <v>1182.0</v>
      </c>
      <c r="B1184" s="3" t="s">
        <v>1185</v>
      </c>
      <c r="C1184" s="3" t="str">
        <f>IFERROR(__xludf.DUMMYFUNCTION("GOOGLETRANSLATE(B1184,""id"",""en"")"),"['wonder', 'already', 'tens',' use ',' Telkomsel ',' package ',' expensive ',' maklumi ',' pulse ',' chopped ',' transaction ',' use ',' SIM ',' SIM ',' Cut ',' Pulses', 'Borrow', 'Credit', 'Notif', 'Cut', 'Heraaaaaan', 'ugly', 'really', 'response', 'plea"&amp;"se' , 'admin', '']")</f>
        <v>['wonder', 'already', 'tens',' use ',' Telkomsel ',' package ',' expensive ',' maklumi ',' pulse ',' chopped ',' transaction ',' use ',' SIM ',' SIM ',' Cut ',' Pulses', 'Borrow', 'Credit', 'Notif', 'Cut', 'Heraaaaaan', 'ugly', 'really', 'response', 'please' , 'admin', '']</v>
      </c>
      <c r="D1184" s="3">
        <v>1.0</v>
      </c>
    </row>
    <row r="1185" ht="15.75" customHeight="1">
      <c r="A1185" s="1">
        <v>1183.0</v>
      </c>
      <c r="B1185" s="3" t="s">
        <v>1186</v>
      </c>
      <c r="C1185" s="3" t="str">
        <f>IFERROR(__xludf.DUMMYFUNCTION("GOOGLETRANSLATE(B1185,""id"",""en"")"),"['Download', 'Mending', 'Change', 'Card', 'Vocer', 'Pakek', 'Pulse', 'Ribet', 'Ngelag', 'Expensive', 'Mines',' Very ',' disabled', '']")</f>
        <v>['Download', 'Mending', 'Change', 'Card', 'Vocer', 'Pakek', 'Pulse', 'Ribet', 'Ngelag', 'Expensive', 'Mines',' Very ',' disabled', '']</v>
      </c>
      <c r="D1185" s="3">
        <v>1.0</v>
      </c>
    </row>
    <row r="1186" ht="15.75" customHeight="1">
      <c r="A1186" s="1">
        <v>1184.0</v>
      </c>
      <c r="B1186" s="3" t="s">
        <v>1187</v>
      </c>
      <c r="C1186" s="3" t="str">
        <f>IFERROR(__xludf.DUMMYFUNCTION("GOOGLETRANSLATE(B1186,""id"",""en"")"),"['promotion', 'internet', 'enter', 'network', 'chaotic', 'buy', 'nga', '']")</f>
        <v>['promotion', 'internet', 'enter', 'network', 'chaotic', 'buy', 'nga', '']</v>
      </c>
      <c r="D1186" s="3">
        <v>1.0</v>
      </c>
    </row>
    <row r="1187" ht="15.75" customHeight="1">
      <c r="A1187" s="1">
        <v>1185.0</v>
      </c>
      <c r="B1187" s="3" t="s">
        <v>1188</v>
      </c>
      <c r="C1187" s="3" t="str">
        <f>IFERROR(__xludf.DUMMYFUNCTION("GOOGLETRANSLATE(B1187,""id"",""en"")"),"['Thank you', 'Telkomsel', 'accompany', 'surfing', 'in the world', 'Maya', 'confused', 'buy', 'package', 'internet', 'fast', 'times',' endless', 'sosmed', 'song', 'etc.', 'slow', 'forgiveness',' the world ',' hereafter ',' run out ',' package ',' separate"&amp;"d ',' the package ',' Bagusan ' , 'unite', 'usage', 'internet', 'kayak', 'operator', 'blue', 'purple', 'awbit', 'separated', 'separate', 'expensive', 'network', ' Leet ',' ']")</f>
        <v>['Thank you', 'Telkomsel', 'accompany', 'surfing', 'in the world', 'Maya', 'confused', 'buy', 'package', 'internet', 'fast', 'times',' endless', 'sosmed', 'song', 'etc.', 'slow', 'forgiveness',' the world ',' hereafter ',' run out ',' package ',' separated ',' the package ',' Bagusan ' , 'unite', 'usage', 'internet', 'kayak', 'operator', 'blue', 'purple', 'awbit', 'separated', 'separate', 'expensive', 'network', ' Leet ',' ']</v>
      </c>
      <c r="D1187" s="3">
        <v>5.0</v>
      </c>
    </row>
    <row r="1188" ht="15.75" customHeight="1">
      <c r="A1188" s="1">
        <v>1186.0</v>
      </c>
      <c r="B1188" s="3" t="s">
        <v>1189</v>
      </c>
      <c r="C1188" s="3" t="str">
        <f>IFERROR(__xludf.DUMMYFUNCTION("GOOGLETRANSLATE(B1188,""id"",""en"")"),"['price', 'expensive', 'network', 'bad', 'quota', 'run out', 'direct', 'cut', 'pulse', 'regular', 'like', 'gini', ' Customers', 'Run', '']")</f>
        <v>['price', 'expensive', 'network', 'bad', 'quota', 'run out', 'direct', 'cut', 'pulse', 'regular', 'like', 'gini', ' Customers', 'Run', '']</v>
      </c>
      <c r="D1188" s="3">
        <v>1.0</v>
      </c>
    </row>
    <row r="1189" ht="15.75" customHeight="1">
      <c r="A1189" s="1">
        <v>1187.0</v>
      </c>
      <c r="B1189" s="3" t="s">
        <v>1190</v>
      </c>
      <c r="C1189" s="3" t="str">
        <f>IFERROR(__xludf.DUMMYFUNCTION("GOOGLETRANSLATE(B1189,""id"",""en"")"),"['Good', 'Eee', 'Telkomsel', 'kog', 'the opposite', 'network', 'poor', ""]")</f>
        <v>['Good', 'Eee', 'Telkomsel', 'kog', 'the opposite', 'network', 'poor', "]</v>
      </c>
      <c r="D1189" s="3">
        <v>2.0</v>
      </c>
    </row>
    <row r="1190" ht="15.75" customHeight="1">
      <c r="A1190" s="1">
        <v>1188.0</v>
      </c>
      <c r="B1190" s="3" t="s">
        <v>1191</v>
      </c>
      <c r="C1190" s="3" t="str">
        <f>IFERROR(__xludf.DUMMYFUNCTION("GOOGLETRANSLATE(B1190,""id"",""en"")"),"['rotten', 'signal', 'rotten', 'network', 'best', 'skrg', 'competitors',' ugly ',' skrg ',' telkomsel ',' lose ',' bau ',' ']")</f>
        <v>['rotten', 'signal', 'rotten', 'network', 'best', 'skrg', 'competitors',' ugly ',' skrg ',' telkomsel ',' lose ',' bau ',' ']</v>
      </c>
      <c r="D1190" s="3">
        <v>1.0</v>
      </c>
    </row>
    <row r="1191" ht="15.75" customHeight="1">
      <c r="A1191" s="1">
        <v>1189.0</v>
      </c>
      <c r="B1191" s="3" t="s">
        <v>1192</v>
      </c>
      <c r="C1191" s="3" t="str">
        <f>IFERROR(__xludf.DUMMYFUNCTION("GOOGLETRANSLATE(B1191,""id"",""en"")"),"['application', 'strange', 'pulse', 'run out', 'open', 'application', 'doang', '']")</f>
        <v>['application', 'strange', 'pulse', 'run out', 'open', 'application', 'doang', '']</v>
      </c>
      <c r="D1191" s="3">
        <v>1.0</v>
      </c>
    </row>
    <row r="1192" ht="15.75" customHeight="1">
      <c r="A1192" s="1">
        <v>1190.0</v>
      </c>
      <c r="B1192" s="3" t="s">
        <v>1193</v>
      </c>
      <c r="C1192" s="3" t="str">
        <f>IFERROR(__xludf.DUMMYFUNCTION("GOOGLETRANSLATE(B1192,""id"",""en"")"),"['Telkomsel', 'Lma', 'Network', 'bad', 'please', 'Jngan', 'disappointing', 'Perciles',' Stia ',' Telkomsel ',' already ',' repellent ',' region ',' Lampung ',' tegineneng ']")</f>
        <v>['Telkomsel', 'Lma', 'Network', 'bad', 'please', 'Jngan', 'disappointing', 'Perciles',' Stia ',' Telkomsel ',' already ',' repellent ',' region ',' Lampung ',' tegineneng ']</v>
      </c>
      <c r="D1192" s="3">
        <v>1.0</v>
      </c>
    </row>
    <row r="1193" ht="15.75" customHeight="1">
      <c r="A1193" s="1">
        <v>1191.0</v>
      </c>
      <c r="B1193" s="3" t="s">
        <v>1194</v>
      </c>
      <c r="C1193" s="3" t="str">
        <f>IFERROR(__xludf.DUMMYFUNCTION("GOOGLETRANSLATE(B1193,""id"",""en"")"),"['Telkomsel', 'Belom', 'Gift', 'Please', 'Consider', 'Management', 'Telkomsel']")</f>
        <v>['Telkomsel', 'Belom', 'Gift', 'Please', 'Consider', 'Management', 'Telkomsel']</v>
      </c>
      <c r="D1193" s="3">
        <v>5.0</v>
      </c>
    </row>
    <row r="1194" ht="15.75" customHeight="1">
      <c r="A1194" s="1">
        <v>1192.0</v>
      </c>
      <c r="B1194" s="3" t="s">
        <v>1195</v>
      </c>
      <c r="C1194" s="3" t="str">
        <f>IFERROR(__xludf.DUMMYFUNCTION("GOOGLETRANSLATE(B1194,""id"",""en"")"),"['Telkomsel', 'Telkomsel', 'Network', 'Internet', 'Normal', 'Ngeluh', 'Performance', 'Telkomsel', ""]")</f>
        <v>['Telkomsel', 'Telkomsel', 'Network', 'Internet', 'Normal', 'Ngeluh', 'Performance', 'Telkomsel', "]</v>
      </c>
      <c r="D1194" s="3">
        <v>1.0</v>
      </c>
    </row>
    <row r="1195" ht="15.75" customHeight="1">
      <c r="A1195" s="1">
        <v>1193.0</v>
      </c>
      <c r="B1195" s="3" t="s">
        <v>1196</v>
      </c>
      <c r="C1195" s="3" t="str">
        <f>IFERROR(__xludf.DUMMYFUNCTION("GOOGLETRANSLATE(B1195,""id"",""en"")"),"['buy', 'package', 'data', 'difficult', 'forgiveness', 'here', 'strange', 'Telkomsel']")</f>
        <v>['buy', 'package', 'data', 'difficult', 'forgiveness', 'here', 'strange', 'Telkomsel']</v>
      </c>
      <c r="D1195" s="3">
        <v>1.0</v>
      </c>
    </row>
    <row r="1196" ht="15.75" customHeight="1">
      <c r="A1196" s="1">
        <v>1194.0</v>
      </c>
      <c r="B1196" s="3" t="s">
        <v>1197</v>
      </c>
      <c r="C1196" s="3" t="str">
        <f>IFERROR(__xludf.DUMMYFUNCTION("GOOGLETRANSLATE(B1196,""id"",""en"")"),"['Application', 'Telkomsel', 'Bad', 'Veronika', 'Reply', 'Robot', 'The Application']")</f>
        <v>['Application', 'Telkomsel', 'Bad', 'Veronika', 'Reply', 'Robot', 'The Application']</v>
      </c>
      <c r="D1196" s="3">
        <v>1.0</v>
      </c>
    </row>
    <row r="1197" ht="15.75" customHeight="1">
      <c r="A1197" s="1">
        <v>1195.0</v>
      </c>
      <c r="B1197" s="3" t="s">
        <v>1198</v>
      </c>
      <c r="C1197" s="3" t="str">
        <f>IFERROR(__xludf.DUMMYFUNCTION("GOOGLETRANSLATE(B1197,""id"",""en"")"),"['Love', 'suggestion', 'APK', 'buy', 'quota', 'internet', 'apk', 'useful', 'seam', 'price', 'call', 'buy', ' quota ',' Kayak ',' Seam ',' Phone ',' Mending ',' Situ ',' APK ',' Useful ']")</f>
        <v>['Love', 'suggestion', 'APK', 'buy', 'quota', 'internet', 'apk', 'useful', 'seam', 'price', 'call', 'buy', ' quota ',' Kayak ',' Seam ',' Phone ',' Mending ',' Situ ',' APK ',' Useful ']</v>
      </c>
      <c r="D1197" s="3">
        <v>2.0</v>
      </c>
    </row>
    <row r="1198" ht="15.75" customHeight="1">
      <c r="A1198" s="1">
        <v>1196.0</v>
      </c>
      <c r="B1198" s="3" t="s">
        <v>1199</v>
      </c>
      <c r="C1198" s="3" t="str">
        <f>IFERROR(__xludf.DUMMYFUNCTION("GOOGLETRANSLATE(B1198,""id"",""en"")"),"['quota', 'buy', 'expensive', 'Cuan', 'network', 'super', 'slow', 'according to', 'ad', 'sampaah']")</f>
        <v>['quota', 'buy', 'expensive', 'Cuan', 'network', 'super', 'slow', 'according to', 'ad', 'sampaah']</v>
      </c>
      <c r="D1198" s="3">
        <v>1.0</v>
      </c>
    </row>
    <row r="1199" ht="15.75" customHeight="1">
      <c r="A1199" s="1">
        <v>1197.0</v>
      </c>
      <c r="B1199" s="3" t="s">
        <v>1200</v>
      </c>
      <c r="C1199" s="3" t="str">
        <f>IFERROR(__xludf.DUMMYFUNCTION("GOOGLETRANSLATE(B1199,""id"",""en"")"),"['Woii', 'Telkomsel', 'pulse', 'right', 'buy', 'package', 'description', 'pulse', 'Telkomsel', ""]")</f>
        <v>['Woii', 'Telkomsel', 'pulse', 'right', 'buy', 'package', 'description', 'pulse', 'Telkomsel', "]</v>
      </c>
      <c r="D1199" s="3">
        <v>1.0</v>
      </c>
    </row>
    <row r="1200" ht="15.75" customHeight="1">
      <c r="A1200" s="1">
        <v>1198.0</v>
      </c>
      <c r="B1200" s="3" t="s">
        <v>1201</v>
      </c>
      <c r="C1200" s="3" t="str">
        <f>IFERROR(__xludf.DUMMYFUNCTION("GOOGLETRANSLATE(B1200,""id"",""en"")"),"['said', 'kayak', 'earth', 'sky', 'Telkomsel', 'quota', 'expensive', 'quality', 'signal', 'mode', 'conch']")</f>
        <v>['said', 'kayak', 'earth', 'sky', 'Telkomsel', 'quota', 'expensive', 'quality', 'signal', 'mode', 'conch']</v>
      </c>
      <c r="D1200" s="3">
        <v>1.0</v>
      </c>
    </row>
    <row r="1201" ht="15.75" customHeight="1">
      <c r="A1201" s="1">
        <v>1199.0</v>
      </c>
      <c r="B1201" s="3" t="s">
        <v>1202</v>
      </c>
      <c r="C1201" s="3" t="str">
        <f>IFERROR(__xludf.DUMMYFUNCTION("GOOGLETRANSLATE(B1201,""id"",""en"")"),"['Telkomsel', 'ugly', 'card', 'prime', 'AJG', 'Telkomsel', 'ugly', 'AJG', 'application', 'Sndiri', ""]")</f>
        <v>['Telkomsel', 'ugly', 'card', 'prime', 'AJG', 'Telkomsel', 'ugly', 'AJG', 'application', 'Sndiri', "]</v>
      </c>
      <c r="D1201" s="3">
        <v>4.0</v>
      </c>
    </row>
    <row r="1202" ht="15.75" customHeight="1">
      <c r="A1202" s="1">
        <v>1200.0</v>
      </c>
      <c r="B1202" s="3" t="s">
        <v>1203</v>
      </c>
      <c r="C1202" s="3" t="str">
        <f>IFERROR(__xludf.DUMMYFUNCTION("GOOGLETRANSLATE(B1202,""id"",""en"")"),"['usually', 'sucked', 'pulse', 'eable', 'contents',' pulse ',' thousand ',' activation ',' banking ',' bank ',' pulse ',' Habia ',' First ',' Check ',' Use ',' Data ',' Full ',' WiFi ',' Package ',' Combo ',' Sakti ']")</f>
        <v>['usually', 'sucked', 'pulse', 'eable', 'contents',' pulse ',' thousand ',' activation ',' banking ',' bank ',' pulse ',' Habia ',' First ',' Check ',' Use ',' Data ',' Full ',' WiFi ',' Package ',' Combo ',' Sakti ']</v>
      </c>
      <c r="D1202" s="3">
        <v>1.0</v>
      </c>
    </row>
    <row r="1203" ht="15.75" customHeight="1">
      <c r="A1203" s="1">
        <v>1201.0</v>
      </c>
      <c r="B1203" s="3" t="s">
        <v>1204</v>
      </c>
      <c r="C1203" s="3" t="str">
        <f>IFERROR(__xludf.DUMMYFUNCTION("GOOGLETRANSLATE(B1203,""id"",""en"")"),"['The application', 'wrong', 'gabisa', 'download', 'application', 'renew', 'already', 'slow', 'really', 'business',' buy ',' save ',' Updated ',' entry ',' emang ',' really ',' updated ',' ']")</f>
        <v>['The application', 'wrong', 'gabisa', 'download', 'application', 'renew', 'already', 'slow', 'really', 'business',' buy ',' save ',' Updated ',' entry ',' emang ',' really ',' updated ',' ']</v>
      </c>
      <c r="D1203" s="3">
        <v>4.0</v>
      </c>
    </row>
    <row r="1204" ht="15.75" customHeight="1">
      <c r="A1204" s="1">
        <v>1202.0</v>
      </c>
      <c r="B1204" s="3" t="s">
        <v>1205</v>
      </c>
      <c r="C1204" s="3" t="str">
        <f>IFERROR(__xludf.DUMMYFUNCTION("GOOGLETRANSLATE(B1204,""id"",""en"")"),"['What's', 'job', 'network', 'destroyed', 'price', 'package', 'expensive', 'expensive', 'provider', ""]")</f>
        <v>['What's', 'job', 'network', 'destroyed', 'price', 'package', 'expensive', 'expensive', 'provider', "]</v>
      </c>
      <c r="D1204" s="3">
        <v>1.0</v>
      </c>
    </row>
    <row r="1205" ht="15.75" customHeight="1">
      <c r="A1205" s="1">
        <v>1203.0</v>
      </c>
      <c r="B1205" s="3" t="s">
        <v>1206</v>
      </c>
      <c r="C1205" s="3" t="str">
        <f>IFERROR(__xludf.DUMMYFUNCTION("GOOGLETRANSLATE(B1205,""id"",""en"")"),"['like', 'products', 'country', 'yellow', 'cheap', 'package', '']")</f>
        <v>['like', 'products', 'country', 'yellow', 'cheap', 'package', '']</v>
      </c>
      <c r="D1205" s="3">
        <v>3.0</v>
      </c>
    </row>
    <row r="1206" ht="15.75" customHeight="1">
      <c r="A1206" s="1">
        <v>1204.0</v>
      </c>
      <c r="B1206" s="3" t="s">
        <v>1207</v>
      </c>
      <c r="C1206" s="3" t="str">
        <f>IFERROR(__xludf.DUMMYFUNCTION("GOOGLETRANSLATE(B1206,""id"",""en"")"),"['network', 'Telkomsel', 'slow', 'kayak', 'send', 'sms', 'hard', 'forgiveness', 'failed', 'network', 'embossed', 'sink']")</f>
        <v>['network', 'Telkomsel', 'slow', 'kayak', 'send', 'sms', 'hard', 'forgiveness', 'failed', 'network', 'embossed', 'sink']</v>
      </c>
      <c r="D1206" s="3">
        <v>2.0</v>
      </c>
    </row>
    <row r="1207" ht="15.75" customHeight="1">
      <c r="A1207" s="1">
        <v>1205.0</v>
      </c>
      <c r="B1207" s="3" t="s">
        <v>1208</v>
      </c>
      <c r="C1207" s="3" t="str">
        <f>IFERROR(__xludf.DUMMYFUNCTION("GOOGLETRANSLATE(B1207,""id"",""en"")"),"['Credit', 'Edible', 'Application', 'Follow', 'SPRTI', 'GAMES', 'Club', 'Fun', 'Games',' Days', 'Etc.', 'Number', ' Digit ',' in ',' charge ',' message ',' enter ',' Where ',' repeat ',' reset ',' number ',' digit ',' ber ',' Different ',' Please ' , 'Tel"&amp;"komsel', 'pay attention', 'imperfect', 'comfortable', 'users', 'Telkomsel']")</f>
        <v>['Credit', 'Edible', 'Application', 'Follow', 'SPRTI', 'GAMES', 'Club', 'Fun', 'Games',' Days', 'Etc.', 'Number', ' Digit ',' in ',' charge ',' message ',' enter ',' Where ',' repeat ',' reset ',' number ',' digit ',' ber ',' Different ',' Please ' , 'Telkomsel', 'pay attention', 'imperfect', 'comfortable', 'users', 'Telkomsel']</v>
      </c>
      <c r="D1207" s="3">
        <v>1.0</v>
      </c>
    </row>
    <row r="1208" ht="15.75" customHeight="1">
      <c r="A1208" s="1">
        <v>1206.0</v>
      </c>
      <c r="B1208" s="3" t="s">
        <v>1209</v>
      </c>
      <c r="C1208" s="3" t="str">
        <f>IFERROR(__xludf.DUMMYFUNCTION("GOOGLETRANSLATE(B1208,""id"",""en"")"),"['Credit', 'Cut', 'Open', 'Telkomsel', 'Package', 'Data', 'Card', 'SIM', 'Please', 'Explanation', 'Sampe', 'Clarity']")</f>
        <v>['Credit', 'Cut', 'Open', 'Telkomsel', 'Package', 'Data', 'Card', 'SIM', 'Please', 'Explanation', 'Sampe', 'Clarity']</v>
      </c>
      <c r="D1208" s="3">
        <v>2.0</v>
      </c>
    </row>
    <row r="1209" ht="15.75" customHeight="1">
      <c r="A1209" s="1">
        <v>1207.0</v>
      </c>
      <c r="B1209" s="3" t="s">
        <v>1210</v>
      </c>
      <c r="C1209" s="3" t="str">
        <f>IFERROR(__xludf.DUMMYFUNCTION("GOOGLETRANSLATE(B1209,""id"",""en"")"),"['Severe', 'SIH', 'Signal', 'Network', 'Slow', 'Credit', 'Like', 'Cut', 'Quota', 'Expensive', 'Wonder', 'Gua']")</f>
        <v>['Severe', 'SIH', 'Signal', 'Network', 'Slow', 'Credit', 'Like', 'Cut', 'Quota', 'Expensive', 'Wonder', 'Gua']</v>
      </c>
      <c r="D1209" s="3">
        <v>1.0</v>
      </c>
    </row>
    <row r="1210" ht="15.75" customHeight="1">
      <c r="A1210" s="1">
        <v>1208.0</v>
      </c>
      <c r="B1210" s="3" t="s">
        <v>1211</v>
      </c>
      <c r="C1210" s="3" t="str">
        <f>IFERROR(__xludf.DUMMYFUNCTION("GOOGLETRANSLATE(B1210,""id"",""en"")"),"['easy', 'fill', 'pulse', 'package', 'data', 'info', 'otherNay', 'signal', 'poor', 'dead', 'live', 'pdhal', ' card ',' Hello ']")</f>
        <v>['easy', 'fill', 'pulse', 'package', 'data', 'info', 'otherNay', 'signal', 'poor', 'dead', 'live', 'pdhal', ' card ',' Hello ']</v>
      </c>
      <c r="D1210" s="3">
        <v>5.0</v>
      </c>
    </row>
    <row r="1211" ht="15.75" customHeight="1">
      <c r="A1211" s="1">
        <v>1209.0</v>
      </c>
      <c r="B1211" s="3" t="s">
        <v>1212</v>
      </c>
      <c r="C1211" s="3" t="str">
        <f>IFERROR(__xludf.DUMMYFUNCTION("GOOGLETRANSLATE(B1211,""id"",""en"")"),"['use', 'Telkomsel', 'sympathy', 'profit', 'cheap', 'signal', 'strong', 'tower', '']")</f>
        <v>['use', 'Telkomsel', 'sympathy', 'profit', 'cheap', 'signal', 'strong', 'tower', '']</v>
      </c>
      <c r="D1211" s="3">
        <v>5.0</v>
      </c>
    </row>
    <row r="1212" ht="15.75" customHeight="1">
      <c r="A1212" s="1">
        <v>1210.0</v>
      </c>
      <c r="B1212" s="3" t="s">
        <v>1213</v>
      </c>
      <c r="C1212" s="3" t="str">
        <f>IFERROR(__xludf.DUMMYFUNCTION("GOOGLETRANSLATE(B1212,""id"",""en"")"),"['Switch', 'Points',' Voucher ',' Reply ',' Sorry ',' Category ',' Program ',' Date ',' Expiration ',' September ',' Switch ',' Date ',' September ',' Please ',' Fast ',' Respond ',' Problems', 'Thanks']")</f>
        <v>['Switch', 'Points',' Voucher ',' Reply ',' Sorry ',' Category ',' Program ',' Date ',' Expiration ',' September ',' Switch ',' Date ',' September ',' Please ',' Fast ',' Respond ',' Problems', 'Thanks']</v>
      </c>
      <c r="D1212" s="3">
        <v>1.0</v>
      </c>
    </row>
    <row r="1213" ht="15.75" customHeight="1">
      <c r="A1213" s="1">
        <v>1211.0</v>
      </c>
      <c r="B1213" s="3" t="s">
        <v>1214</v>
      </c>
      <c r="C1213" s="3" t="str">
        <f>IFERROR(__xludf.DUMMYFUNCTION("GOOGLETRANSLATE(B1213,""id"",""en"")"),"['Telkomsel', 'Network', 'Kayak', 'Taik', 'Disconnect', 'Disconnect', 'Pay', 'Sell', 'Bener', ""]")</f>
        <v>['Telkomsel', 'Network', 'Kayak', 'Taik', 'Disconnect', 'Disconnect', 'Pay', 'Sell', 'Bener', "]</v>
      </c>
      <c r="D1213" s="3">
        <v>1.0</v>
      </c>
    </row>
    <row r="1214" ht="15.75" customHeight="1">
      <c r="A1214" s="1">
        <v>1212.0</v>
      </c>
      <c r="B1214" s="3" t="s">
        <v>1215</v>
      </c>
      <c r="C1214" s="3" t="str">
        <f>IFERROR(__xludf.DUMMYFUNCTION("GOOGLETRANSLATE(B1214,""id"",""en"")"),"['Feature', 'Complete', 'Media', 'Advertising', 'Operator', 'Service', 'Features', 'NUL', ""]")</f>
        <v>['Feature', 'Complete', 'Media', 'Advertising', 'Operator', 'Service', 'Features', 'NUL', "]</v>
      </c>
      <c r="D1214" s="3">
        <v>1.0</v>
      </c>
    </row>
    <row r="1215" ht="15.75" customHeight="1">
      <c r="A1215" s="1">
        <v>1213.0</v>
      </c>
      <c r="B1215" s="3" t="s">
        <v>1216</v>
      </c>
      <c r="C1215" s="3" t="str">
        <f>IFERROR(__xludf.DUMMYFUNCTION("GOOGLETRANSLATE(B1215,""id"",""en"")"),"['name', 'omdo', 'quota', 'expensive', 'signal', 'destroyed', 'petition', 'collect', 'data', 'user', 'Telkomsel', 'satisfied', ' Signal ',' ']")</f>
        <v>['name', 'omdo', 'quota', 'expensive', 'signal', 'destroyed', 'petition', 'collect', 'data', 'user', 'Telkomsel', 'satisfied', ' Signal ',' ']</v>
      </c>
      <c r="D1215" s="3">
        <v>1.0</v>
      </c>
    </row>
    <row r="1216" ht="15.75" customHeight="1">
      <c r="A1216" s="1">
        <v>1214.0</v>
      </c>
      <c r="B1216" s="3" t="s">
        <v>1217</v>
      </c>
      <c r="C1216" s="3" t="str">
        <f>IFERROR(__xludf.DUMMYFUNCTION("GOOGLETRANSLATE(B1216,""id"",""en"")"),"['signal', 'emang', 'market', 'where', 'price', 'no', 'sometimes', 'difficult', 'signal']")</f>
        <v>['signal', 'emang', 'market', 'where', 'price', 'no', 'sometimes', 'difficult', 'signal']</v>
      </c>
      <c r="D1216" s="3">
        <v>2.0</v>
      </c>
    </row>
    <row r="1217" ht="15.75" customHeight="1">
      <c r="A1217" s="1">
        <v>1215.0</v>
      </c>
      <c r="B1217" s="3" t="s">
        <v>1218</v>
      </c>
      <c r="C1217" s="3" t="str">
        <f>IFERROR(__xludf.DUMMYFUNCTION("GOOGLETRANSLATE(B1217,""id"",""en"")"),"['oath', 'loss',' really ',' use ',' Telkomsel ',' network ',' morning ',' morning ',' Nge ',' game ',' Udh ',' red ',' ping ',' direct ',' disconnect ',' hadeh ',' repent ',' cave ',' use ',' telkom ',' telkom ',' broken ',' the network ', ""]")</f>
        <v>['oath', 'loss',' really ',' use ',' Telkomsel ',' network ',' morning ',' morning ',' Nge ',' game ',' Udh ',' red ',' ping ',' direct ',' disconnect ',' hadeh ',' repent ',' cave ',' use ',' telkom ',' telkom ',' broken ',' the network ', "]</v>
      </c>
      <c r="D1217" s="3">
        <v>1.0</v>
      </c>
    </row>
    <row r="1218" ht="15.75" customHeight="1">
      <c r="A1218" s="1">
        <v>1216.0</v>
      </c>
      <c r="B1218" s="3" t="s">
        <v>1219</v>
      </c>
      <c r="C1218" s="3" t="str">
        <f>IFERROR(__xludf.DUMMYFUNCTION("GOOGLETRANSLATE(B1218,""id"",""en"")"),"['Bonus',' Daily ',' Check ',' Embed ',' Embed ',' Claim ',' Cut ',' Credit ',' Points', 'Telkomsel', 'Tapi', 'Darling', ' active ',' short ',' rich ',' that's', 'no', 'intention', 'reward', 'eliminated', 'interesting', 'aaaahh', 'alreadyaaahh', '']")</f>
        <v>['Bonus',' Daily ',' Check ',' Embed ',' Embed ',' Claim ',' Cut ',' Credit ',' Points', 'Telkomsel', 'Tapi', 'Darling', ' active ',' short ',' rich ',' that's', 'no', 'intention', 'reward', 'eliminated', 'interesting', 'aaaahh', 'alreadyaaahh', '']</v>
      </c>
      <c r="D1218" s="3">
        <v>2.0</v>
      </c>
    </row>
    <row r="1219" ht="15.75" customHeight="1">
      <c r="A1219" s="1">
        <v>1217.0</v>
      </c>
      <c r="B1219" s="3" t="s">
        <v>1220</v>
      </c>
      <c r="C1219" s="3" t="str">
        <f>IFERROR(__xludf.DUMMYFUNCTION("GOOGLETRANSLATE(B1219,""id"",""en"")"),"['Sorry', 'user', 'Disappointed', 'Qeatured', 'Wrong', 'Send', 'Credit', 'In the future', 'please', 'Telkomsel', 'sensitive', 'customer', ' block ',' nominal ',' pulse ',' wrong ',' send ',' complaints', 'sender', 'pulse', 'disappointed', 'Telkomsel', 'ha"&amp;"ve', 'features',' pure ' , 'Error', 'Customer', 'Considered', 'Suggest', 'Contact', 'Personal', 'Number', 'Send', 'Credit']")</f>
        <v>['Sorry', 'user', 'Disappointed', 'Qeatured', 'Wrong', 'Send', 'Credit', 'In the future', 'please', 'Telkomsel', 'sensitive', 'customer', ' block ',' nominal ',' pulse ',' wrong ',' send ',' complaints', 'sender', 'pulse', 'disappointed', 'Telkomsel', 'have', 'features',' pure ' , 'Error', 'Customer', 'Considered', 'Suggest', 'Contact', 'Personal', 'Number', 'Send', 'Credit']</v>
      </c>
      <c r="D1219" s="3">
        <v>1.0</v>
      </c>
    </row>
    <row r="1220" ht="15.75" customHeight="1">
      <c r="A1220" s="1">
        <v>1218.0</v>
      </c>
      <c r="B1220" s="3" t="s">
        <v>1221</v>
      </c>
      <c r="C1220" s="3" t="str">
        <f>IFERROR(__xludf.DUMMYFUNCTION("GOOGLETRANSLATE(B1220,""id"",""en"")"),"['', 'contributions', 'customers', 'Soke', 'Search', 'Untung', 'Doank', 'TDAK', 'Benefits', 'Customer']")</f>
        <v>['', 'contributions', 'customers', 'Soke', 'Search', 'Untung', 'Doank', 'TDAK', 'Benefits', 'Customer']</v>
      </c>
      <c r="D1220" s="3">
        <v>1.0</v>
      </c>
    </row>
    <row r="1221" ht="15.75" customHeight="1">
      <c r="A1221" s="1">
        <v>1219.0</v>
      </c>
      <c r="B1221" s="3" t="s">
        <v>1222</v>
      </c>
      <c r="C1221" s="3" t="str">
        <f>IFERROR(__xludf.DUMMYFUNCTION("GOOGLETRANSLATE(B1221,""id"",""en"")"),"['quota', 'quota', 'main', 'quota', 'sosmed', 'sosmed', 'quota', 'utam', 'quota', 'sosmed', 'date', 'active', ' use ',' corruption ',' forced ',' buy ',' tap ',' leftover ',' quota ',' where ',' yaa ',' wkwkw ']")</f>
        <v>['quota', 'quota', 'main', 'quota', 'sosmed', 'sosmed', 'quota', 'utam', 'quota', 'sosmed', 'date', 'active', ' use ',' corruption ',' forced ',' buy ',' tap ',' leftover ',' quota ',' where ',' yaa ',' wkwkw ']</v>
      </c>
      <c r="D1221" s="3">
        <v>1.0</v>
      </c>
    </row>
    <row r="1222" ht="15.75" customHeight="1">
      <c r="A1222" s="1">
        <v>1220.0</v>
      </c>
      <c r="B1222" s="3" t="s">
        <v>1223</v>
      </c>
      <c r="C1222" s="3" t="str">
        <f>IFERROR(__xludf.DUMMYFUNCTION("GOOGLETRANSLATE(B1222,""id"",""en"")"),"['package', 'internet', 'Video', 'week', 'cave', 'buy', 'cave', 'star', 'response', ""]")</f>
        <v>['package', 'internet', 'Video', 'week', 'cave', 'buy', 'cave', 'star', 'response', "]</v>
      </c>
      <c r="D1222" s="3">
        <v>1.0</v>
      </c>
    </row>
    <row r="1223" ht="15.75" customHeight="1">
      <c r="A1223" s="1">
        <v>1221.0</v>
      </c>
      <c r="B1223" s="3" t="s">
        <v>1224</v>
      </c>
      <c r="C1223" s="3" t="str">
        <f>IFERROR(__xludf.DUMMYFUNCTION("GOOGLETRANSLATE(B1223,""id"",""en"")"),"['use', 'easy', 'purchase', 'package', 'data', 'repeated', 'in month']")</f>
        <v>['use', 'easy', 'purchase', 'package', 'data', 'repeated', 'in month']</v>
      </c>
      <c r="D1223" s="3">
        <v>4.0</v>
      </c>
    </row>
    <row r="1224" ht="15.75" customHeight="1">
      <c r="A1224" s="1">
        <v>1222.0</v>
      </c>
      <c r="B1224" s="3" t="s">
        <v>1225</v>
      </c>
      <c r="C1224" s="3" t="str">
        <f>IFERROR(__xludf.DUMMYFUNCTION("GOOGLETRANSLATE(B1224,""id"",""en"")"),"['Telkomsel', 'Network', 'Severe', 'Skli', 'Please', 'Fix', 'User', 'Telkomsel']")</f>
        <v>['Telkomsel', 'Network', 'Severe', 'Skli', 'Please', 'Fix', 'User', 'Telkomsel']</v>
      </c>
      <c r="D1224" s="3">
        <v>1.0</v>
      </c>
    </row>
    <row r="1225" ht="15.75" customHeight="1">
      <c r="A1225" s="1">
        <v>1223.0</v>
      </c>
      <c r="B1225" s="3" t="s">
        <v>1226</v>
      </c>
      <c r="C1225" s="3" t="str">
        <f>IFERROR(__xludf.DUMMYFUNCTION("GOOGLETRANSLATE(B1225,""id"",""en"")"),"['thank', 'love', 'Telkomsel', 'accompany', 'my day', 'full', 'kenglagan', ""]")</f>
        <v>['thank', 'love', 'Telkomsel', 'accompany', 'my day', 'full', 'kenglagan', "]</v>
      </c>
      <c r="D1225" s="3">
        <v>1.0</v>
      </c>
    </row>
    <row r="1226" ht="15.75" customHeight="1">
      <c r="A1226" s="1">
        <v>1224.0</v>
      </c>
      <c r="B1226" s="3" t="s">
        <v>1227</v>
      </c>
      <c r="C1226" s="3" t="str">
        <f>IFERROR(__xludf.DUMMYFUNCTION("GOOGLETRANSLATE(B1226,""id"",""en"")"),"['Try', 'deh', 'innovation', 'klw', 'quota', 'run out', 'data', 'direct', 'off', 'rich', 'next door', ' Direct ',' sucked ',' pulse ',' ']")</f>
        <v>['Try', 'deh', 'innovation', 'klw', 'quota', 'run out', 'data', 'direct', 'off', 'rich', 'next door', ' Direct ',' sucked ',' pulse ',' ']</v>
      </c>
      <c r="D1226" s="3">
        <v>3.0</v>
      </c>
    </row>
    <row r="1227" ht="15.75" customHeight="1">
      <c r="A1227" s="1">
        <v>1225.0</v>
      </c>
      <c r="B1227" s="3" t="s">
        <v>1228</v>
      </c>
      <c r="C1227" s="3" t="str">
        <f>IFERROR(__xludf.DUMMYFUNCTION("GOOGLETRANSLATE(B1227,""id"",""en"")"),"['Vacuum', 'pulse', 'notification', 'fix', 'system', 'minimal', 'provider', 'next door']")</f>
        <v>['Vacuum', 'pulse', 'notification', 'fix', 'system', 'minimal', 'provider', 'next door']</v>
      </c>
      <c r="D1227" s="3">
        <v>1.0</v>
      </c>
    </row>
    <row r="1228" ht="15.75" customHeight="1">
      <c r="A1228" s="1">
        <v>1226.0</v>
      </c>
      <c r="B1228" s="3" t="s">
        <v>1229</v>
      </c>
      <c r="C1228" s="3" t="str">
        <f>IFERROR(__xludf.DUMMYFUNCTION("GOOGLETRANSLATE(B1228,""id"",""en"")"),"['Kink', 'slow', 'connection', 'bad', 'signal', 'disconnected', 'signal', 'good', 'most', 'ad']")</f>
        <v>['Kink', 'slow', 'connection', 'bad', 'signal', 'disconnected', 'signal', 'good', 'most', 'ad']</v>
      </c>
      <c r="D1228" s="3">
        <v>3.0</v>
      </c>
    </row>
    <row r="1229" ht="15.75" customHeight="1">
      <c r="A1229" s="1">
        <v>1227.0</v>
      </c>
      <c r="B1229" s="3" t="s">
        <v>1230</v>
      </c>
      <c r="C1229" s="3" t="str">
        <f>IFERROR(__xludf.DUMMYFUNCTION("GOOGLETRANSLATE(B1229,""id"",""en"")"),"['network', 'internet', 'stable', 'area', 'jkt', 'tariff', 'expensive', '']")</f>
        <v>['network', 'internet', 'stable', 'area', 'jkt', 'tariff', 'expensive', '']</v>
      </c>
      <c r="D1229" s="3">
        <v>5.0</v>
      </c>
    </row>
    <row r="1230" ht="15.75" customHeight="1">
      <c r="A1230" s="1">
        <v>1228.0</v>
      </c>
      <c r="B1230" s="3" t="s">
        <v>1231</v>
      </c>
      <c r="C1230" s="3" t="str">
        <f>IFERROR(__xludf.DUMMYFUNCTION("GOOGLETRANSLATE(B1230,""id"",""en"")"),"['Please', 'Sorry', 'Understand', 'Application', 'Open', 'Purpose', 'Love', 'Star', ""]")</f>
        <v>['Please', 'Sorry', 'Understand', 'Application', 'Open', 'Purpose', 'Love', 'Star', "]</v>
      </c>
      <c r="D1230" s="3">
        <v>1.0</v>
      </c>
    </row>
    <row r="1231" ht="15.75" customHeight="1">
      <c r="A1231" s="1">
        <v>1229.0</v>
      </c>
      <c r="B1231" s="3" t="s">
        <v>1232</v>
      </c>
      <c r="C1231" s="3" t="str">
        <f>IFERROR(__xludf.DUMMYFUNCTION("GOOGLETRANSLATE(B1231,""id"",""en"")"),"['network', 'internet', 'use', 'wifi', 'provider', 'automatic', 'active', 'quota', 'daily', 'spt', 'thief', 'pulse', ' Telkomsel ',' Tel ',' BKN ',' Internet ',' ']")</f>
        <v>['network', 'internet', 'use', 'wifi', 'provider', 'automatic', 'active', 'quota', 'daily', 'spt', 'thief', 'pulse', ' Telkomsel ',' Tel ',' BKN ',' Internet ',' ']</v>
      </c>
      <c r="D1231" s="3">
        <v>1.0</v>
      </c>
    </row>
    <row r="1232" ht="15.75" customHeight="1">
      <c r="A1232" s="1">
        <v>1230.0</v>
      </c>
      <c r="B1232" s="3" t="s">
        <v>1233</v>
      </c>
      <c r="C1232" s="3" t="str">
        <f>IFERROR(__xludf.DUMMYFUNCTION("GOOGLETRANSLATE(B1232,""id"",""en"")"),"['Good', 'promo', 'cheapest', 'gift', 'interesting', 'chance', 'win', 'come', 'hunt']")</f>
        <v>['Good', 'promo', 'cheapest', 'gift', 'interesting', 'chance', 'win', 'come', 'hunt']</v>
      </c>
      <c r="D1232" s="3">
        <v>5.0</v>
      </c>
    </row>
    <row r="1233" ht="15.75" customHeight="1">
      <c r="A1233" s="1">
        <v>1231.0</v>
      </c>
      <c r="B1233" s="3" t="s">
        <v>1234</v>
      </c>
      <c r="C1233" s="3" t="str">
        <f>IFERROR(__xludf.DUMMYFUNCTION("GOOGLETRANSLATE(B1233,""id"",""en"")"),"['', 'Telkomsel', 'Best', 'subscribe', 'Thank you', 'Make Easy', 'Affairs', '']")</f>
        <v>['', 'Telkomsel', 'Best', 'subscribe', 'Thank you', 'Make Easy', 'Affairs', '']</v>
      </c>
      <c r="D1233" s="3">
        <v>5.0</v>
      </c>
    </row>
    <row r="1234" ht="15.75" customHeight="1">
      <c r="A1234" s="1">
        <v>1232.0</v>
      </c>
      <c r="B1234" s="3" t="s">
        <v>1235</v>
      </c>
      <c r="C1234" s="3" t="str">
        <f>IFERROR(__xludf.DUMMYFUNCTION("GOOGLETRANSLATE(B1234,""id"",""en"")"),"['Good', 'card', 'Indosat', 'fast', 'network', 'cheap']")</f>
        <v>['Good', 'card', 'Indosat', 'fast', 'network', 'cheap']</v>
      </c>
      <c r="D1234" s="3">
        <v>3.0</v>
      </c>
    </row>
    <row r="1235" ht="15.75" customHeight="1">
      <c r="A1235" s="1">
        <v>1233.0</v>
      </c>
      <c r="B1235" s="3" t="s">
        <v>1236</v>
      </c>
      <c r="C1235" s="3" t="str">
        <f>IFERROR(__xludf.DUMMYFUNCTION("GOOGLETRANSLATE(B1235,""id"",""en"")"),"['use', 'pulse', 'use', 'enter', 'sense', 'Cut', 'pdhl', 'take', 'package', 'internet', 'enter', 'sense']")</f>
        <v>['use', 'pulse', 'use', 'enter', 'sense', 'Cut', 'pdhl', 'take', 'package', 'internet', 'enter', 'sense']</v>
      </c>
      <c r="D1235" s="3">
        <v>1.0</v>
      </c>
    </row>
    <row r="1236" ht="15.75" customHeight="1">
      <c r="A1236" s="1">
        <v>1234.0</v>
      </c>
      <c r="B1236" s="3" t="s">
        <v>1237</v>
      </c>
      <c r="C1236" s="3" t="str">
        <f>IFERROR(__xludf.DUMMYFUNCTION("GOOGLETRANSLATE(B1236,""id"",""en"")"),"['Main', 'Cut', 'Credit', 'Wonder', 'Telkomsel', 'Service']")</f>
        <v>['Main', 'Cut', 'Credit', 'Wonder', 'Telkomsel', 'Service']</v>
      </c>
      <c r="D1236" s="3">
        <v>1.0</v>
      </c>
    </row>
    <row r="1237" ht="15.75" customHeight="1">
      <c r="A1237" s="1">
        <v>1235.0</v>
      </c>
      <c r="B1237" s="3" t="s">
        <v>1238</v>
      </c>
      <c r="C1237" s="3" t="str">
        <f>IFERROR(__xludf.DUMMYFUNCTION("GOOGLETRANSLATE(B1237,""id"",""en"")"),"['leftover', 'pulse', 'Ludes',' disappear ',' Where ',' home ',' wifi ',' rare ',' data ',' strange ',' quota ',' data ',' Her, 'really', 'wasteful', 'dpake', 'sosmed', 'please', 'leftover', 'pulse', 'really', 'sucked', '']")</f>
        <v>['leftover', 'pulse', 'Ludes',' disappear ',' Where ',' home ',' wifi ',' rare ',' data ',' strange ',' quota ',' data ',' Her, 'really', 'wasteful', 'dpake', 'sosmed', 'please', 'leftover', 'pulse', 'really', 'sucked', '']</v>
      </c>
      <c r="D1237" s="3">
        <v>1.0</v>
      </c>
    </row>
    <row r="1238" ht="15.75" customHeight="1">
      <c r="A1238" s="1">
        <v>1236.0</v>
      </c>
      <c r="B1238" s="3" t="s">
        <v>1239</v>
      </c>
      <c r="C1238" s="3" t="str">
        <f>IFERROR(__xludf.DUMMYFUNCTION("GOOGLETRANSLATE(B1238,""id"",""en"")"),"['Please', 'appears',' hour ',' prayer ',' screen ',' main ',' biyar ',' nga ',' open ',' application ',' see ',' prayer ',' thank you']")</f>
        <v>['Please', 'appears',' hour ',' prayer ',' screen ',' main ',' biyar ',' nga ',' open ',' application ',' see ',' prayer ',' thank you']</v>
      </c>
      <c r="D1238" s="3">
        <v>5.0</v>
      </c>
    </row>
    <row r="1239" ht="15.75" customHeight="1">
      <c r="A1239" s="1">
        <v>1237.0</v>
      </c>
      <c r="B1239" s="3" t="s">
        <v>1240</v>
      </c>
      <c r="C1239" s="3" t="str">
        <f>IFERROR(__xludf.DUMMYFUNCTION("GOOGLETRANSLATE(B1239,""id"",""en"")"),"['Provider', 'Telkomsel', 'Honest', 'Disappointed', 'UDH', 'Subscriptions',' Ngegame ',' Ngelag ',' Mulu ',' Price ',' Expensive ',' Please ',' repaired ',' disappointed ',' really ']")</f>
        <v>['Provider', 'Telkomsel', 'Honest', 'Disappointed', 'UDH', 'Subscriptions',' Ngegame ',' Ngelag ',' Mulu ',' Price ',' Expensive ',' Please ',' repaired ',' disappointed ',' really ']</v>
      </c>
      <c r="D1239" s="3">
        <v>3.0</v>
      </c>
    </row>
    <row r="1240" ht="15.75" customHeight="1">
      <c r="A1240" s="1">
        <v>1238.0</v>
      </c>
      <c r="B1240" s="3" t="s">
        <v>1241</v>
      </c>
      <c r="C1240" s="3" t="str">
        <f>IFERROR(__xludf.DUMMYFUNCTION("GOOGLETRANSLATE(B1240,""id"",""en"")"),"['Update', 'Download', 'Play', 'Store', 'Click', 'Open', 'Display', 'Have', 'Update', 'Results',' Muter ',' Muter ',' Eastern ',' ']")</f>
        <v>['Update', 'Download', 'Play', 'Store', 'Click', 'Open', 'Display', 'Have', 'Update', 'Results',' Muter ',' Muter ',' Eastern ',' ']</v>
      </c>
      <c r="D1240" s="3">
        <v>2.0</v>
      </c>
    </row>
    <row r="1241" ht="15.75" customHeight="1">
      <c r="A1241" s="1">
        <v>1239.0</v>
      </c>
      <c r="B1241" s="3" t="s">
        <v>1242</v>
      </c>
      <c r="C1241" s="3" t="str">
        <f>IFERROR(__xludf.DUMMYFUNCTION("GOOGLETRANSLATE(B1241,""id"",""en"")"),"['pulseku', 'cut', 'automatic', 'because' upgrade ',' application ',' premiun ',' get ',' contact ',' pdhl ',' feeling ',' in ',' Application ',' GC ',' Credit ',' Auto ',' Corn "", '']")</f>
        <v>['pulseku', 'cut', 'automatic', 'because' upgrade ',' application ',' premiun ',' get ',' contact ',' pdhl ',' feeling ',' in ',' Application ',' GC ',' Credit ',' Auto ',' Corn ", '']</v>
      </c>
      <c r="D1241" s="3">
        <v>1.0</v>
      </c>
    </row>
    <row r="1242" ht="15.75" customHeight="1">
      <c r="A1242" s="1">
        <v>1240.0</v>
      </c>
      <c r="B1242" s="3" t="s">
        <v>1243</v>
      </c>
      <c r="C1242" s="3" t="str">
        <f>IFERROR(__xludf.DUMMYFUNCTION("GOOGLETRANSLATE(B1242,""id"",""en"")"),"['Easy', 'hopefully', 'Telkomsel', 'Protection', 'Lord', 'fix', 'cable', 'sea', 'broken']")</f>
        <v>['Easy', 'hopefully', 'Telkomsel', 'Protection', 'Lord', 'fix', 'cable', 'sea', 'broken']</v>
      </c>
      <c r="D1242" s="3">
        <v>5.0</v>
      </c>
    </row>
    <row r="1243" ht="15.75" customHeight="1">
      <c r="A1243" s="1">
        <v>1241.0</v>
      </c>
      <c r="B1243" s="3" t="s">
        <v>1244</v>
      </c>
      <c r="C1243" s="3" t="str">
        <f>IFERROR(__xludf.DUMMYFUNCTION("GOOGLETRANSLATE(B1243,""id"",""en"")"),"['Telkomsel', 'please', 'internet', 'stabilized', 'UTS', 'Online', 'Karna', 'Network']")</f>
        <v>['Telkomsel', 'please', 'internet', 'stabilized', 'UTS', 'Online', 'Karna', 'Network']</v>
      </c>
      <c r="D1243" s="3">
        <v>1.0</v>
      </c>
    </row>
    <row r="1244" ht="15.75" customHeight="1">
      <c r="A1244" s="1">
        <v>1242.0</v>
      </c>
      <c r="B1244" s="3" t="s">
        <v>1245</v>
      </c>
      <c r="C1244" s="3" t="str">
        <f>IFERROR(__xludf.DUMMYFUNCTION("GOOGLETRANSLATE(B1244,""id"",""en"")"),"['Credit', 'Cut', 'Mulu', 'Forgot', 'Extension', 'Package', 'Quota', 'Kenpa', 'Direct', 'Dead', 'Internet', ""]")</f>
        <v>['Credit', 'Cut', 'Mulu', 'Forgot', 'Extension', 'Package', 'Quota', 'Kenpa', 'Direct', 'Dead', 'Internet', "]</v>
      </c>
      <c r="D1244" s="3">
        <v>2.0</v>
      </c>
    </row>
    <row r="1245" ht="15.75" customHeight="1">
      <c r="A1245" s="1">
        <v>1243.0</v>
      </c>
      <c r="B1245" s="3" t="s">
        <v>1246</v>
      </c>
      <c r="C1245" s="3" t="str">
        <f>IFERROR(__xludf.DUMMYFUNCTION("GOOGLETRANSLATE(B1245,""id"",""en"")"),"['', 'Tuhaannn', 'Yesterday', 'quota', 'already', 'run out', ""]")</f>
        <v>['', 'Tuhaannn', 'Yesterday', 'quota', 'already', 'run out', "]</v>
      </c>
      <c r="D1245" s="3">
        <v>1.0</v>
      </c>
    </row>
    <row r="1246" ht="15.75" customHeight="1">
      <c r="A1246" s="1">
        <v>1244.0</v>
      </c>
      <c r="B1246" s="3" t="s">
        <v>1247</v>
      </c>
      <c r="C1246" s="3" t="str">
        <f>IFERROR(__xludf.DUMMYFUNCTION("GOOGLETRANSLATE(B1246,""id"",""en"")"),"['use', 'apk', 'like', 'good', 'hope', 'consistent', 'trmksh', ""]")</f>
        <v>['use', 'apk', 'like', 'good', 'hope', 'consistent', 'trmksh', "]</v>
      </c>
      <c r="D1246" s="3">
        <v>5.0</v>
      </c>
    </row>
    <row r="1247" ht="15.75" customHeight="1">
      <c r="A1247" s="1">
        <v>1245.0</v>
      </c>
      <c r="B1247" s="3" t="s">
        <v>1248</v>
      </c>
      <c r="C1247" s="3" t="str">
        <f>IFERROR(__xludf.DUMMYFUNCTION("GOOGLETRANSLATE(B1247,""id"",""en"")"),"['Contents',' pulse ',' pdhl ',' balance ',' UDH ',' Cut ',' Description ',' Disruption ',' Mulu ',' smpe ',' Delete ',' Install ',' reset ',' many ',' TTP ', ""]")</f>
        <v>['Contents',' pulse ',' pdhl ',' balance ',' UDH ',' Cut ',' Description ',' Disruption ',' Mulu ',' smpe ',' Delete ',' Install ',' reset ',' many ',' TTP ', "]</v>
      </c>
      <c r="D1247" s="3">
        <v>1.0</v>
      </c>
    </row>
    <row r="1248" ht="15.75" customHeight="1">
      <c r="A1248" s="1">
        <v>1246.0</v>
      </c>
      <c r="B1248" s="3" t="s">
        <v>1249</v>
      </c>
      <c r="C1248" s="3" t="str">
        <f>IFERROR(__xludf.DUMMYFUNCTION("GOOGLETRANSLATE(B1248,""id"",""en"")"),"['Package', 'Data', 'Fall', 'TEMPO', 'Direct', 'Nyedot', 'Credit', 'Mending', 'Active', 'Internet', 'Malem', 'Sudden', ' Credit ',' Gara ',' Cut ',' Internet ',' ']")</f>
        <v>['Package', 'Data', 'Fall', 'TEMPO', 'Direct', 'Nyedot', 'Credit', 'Mending', 'Active', 'Internet', 'Malem', 'Sudden', ' Credit ',' Gara ',' Cut ',' Internet ',' ']</v>
      </c>
      <c r="D1248" s="3">
        <v>5.0</v>
      </c>
    </row>
    <row r="1249" ht="15.75" customHeight="1">
      <c r="A1249" s="1">
        <v>1247.0</v>
      </c>
      <c r="B1249" s="3" t="s">
        <v>1250</v>
      </c>
      <c r="C1249" s="3" t="str">
        <f>IFERROR(__xludf.DUMMYFUNCTION("GOOGLETRANSLATE(B1249,""id"",""en"")"),"['Dear', 'MyTelkomsel', 'Dear', 'Please', 'Network', 'Benerin', 'Like', 'Leg', 'Pas',' Play ',' Game ',' Emotion ',' Comfortable ',' play ',' already ',' package ',' expensive ',' network ',' bacikk ',' ']")</f>
        <v>['Dear', 'MyTelkomsel', 'Dear', 'Please', 'Network', 'Benerin', 'Like', 'Leg', 'Pas',' Play ',' Game ',' Emotion ',' Comfortable ',' play ',' already ',' package ',' expensive ',' network ',' bacikk ',' ']</v>
      </c>
      <c r="D1249" s="3">
        <v>1.0</v>
      </c>
    </row>
    <row r="1250" ht="15.75" customHeight="1">
      <c r="A1250" s="1">
        <v>1248.0</v>
      </c>
      <c r="B1250" s="3" t="s">
        <v>1251</v>
      </c>
      <c r="C1250" s="3" t="str">
        <f>IFERROR(__xludf.DUMMYFUNCTION("GOOGLETRANSLATE(B1250,""id"",""en"")"),"['bad', 'signal', 'Telkomsel', 'Severe', 'Region', 'Nias', 'West', 'Becus', 'Operator', 'Disappointed', ""]")</f>
        <v>['bad', 'signal', 'Telkomsel', 'Severe', 'Region', 'Nias', 'West', 'Becus', 'Operator', 'Disappointed', "]</v>
      </c>
      <c r="D1250" s="3">
        <v>1.0</v>
      </c>
    </row>
    <row r="1251" ht="15.75" customHeight="1">
      <c r="A1251" s="1">
        <v>1249.0</v>
      </c>
      <c r="B1251" s="3" t="s">
        <v>1252</v>
      </c>
      <c r="C1251" s="3" t="str">
        <f>IFERROR(__xludf.DUMMYFUNCTION("GOOGLETRANSLATE(B1251,""id"",""en"")"),"['Telkomsel', 'Jos',' Walo ',' at the end of ',' Indonesia ',' East ',' Serasa ',' in the city ',' Indonesia ',' West ',' network ',' already ',' Thank you ',' Telkomsel ']")</f>
        <v>['Telkomsel', 'Jos',' Walo ',' at the end of ',' Indonesia ',' East ',' Serasa ',' in the city ',' Indonesia ',' West ',' network ',' already ',' Thank you ',' Telkomsel ']</v>
      </c>
      <c r="D1251" s="3">
        <v>5.0</v>
      </c>
    </row>
    <row r="1252" ht="15.75" customHeight="1">
      <c r="A1252" s="1">
        <v>1250.0</v>
      </c>
      <c r="B1252" s="3" t="s">
        <v>1253</v>
      </c>
      <c r="C1252" s="3" t="str">
        <f>IFERROR(__xludf.DUMMYFUNCTION("GOOGLETRANSLATE(B1252,""id"",""en"")"),"['network', 'slow', 'difficult', 'search', 'order', 'driver', 'motorcycle taxi', 'online', 'expensive', 'network', 'sometimes',' ngak ',' Connect ',' City ']")</f>
        <v>['network', 'slow', 'difficult', 'search', 'order', 'driver', 'motorcycle taxi', 'online', 'expensive', 'network', 'sometimes',' ngak ',' Connect ',' City ']</v>
      </c>
      <c r="D1252" s="3">
        <v>1.0</v>
      </c>
    </row>
    <row r="1253" ht="15.75" customHeight="1">
      <c r="A1253" s="1">
        <v>1251.0</v>
      </c>
      <c r="B1253" s="3" t="s">
        <v>1254</v>
      </c>
      <c r="C1253" s="3" t="str">
        <f>IFERROR(__xludf.DUMMYFUNCTION("GOOGLETRANSLATE(B1253,""id"",""en"")"),"['Severe', 'pulses', 'scorched', 'call', 'fill', 'credit', 'severe', 'Telkomsel', ""]")</f>
        <v>['Severe', 'pulses', 'scorched', 'call', 'fill', 'credit', 'severe', 'Telkomsel', "]</v>
      </c>
      <c r="D1253" s="3">
        <v>1.0</v>
      </c>
    </row>
    <row r="1254" ht="15.75" customHeight="1">
      <c r="A1254" s="1">
        <v>1252.0</v>
      </c>
      <c r="B1254" s="3" t="s">
        <v>1255</v>
      </c>
      <c r="C1254" s="3" t="str">
        <f>IFERROR(__xludf.DUMMYFUNCTION("GOOGLETRANSLATE(B1254,""id"",""en"")"),"['Price', 'expensive', 'network', 'ngelag', 'severe', 'package', 'data', 'cave', 'buy', 'already', 'gada', 'come on', ' Makek ',' Elite ',' Please ',' Definition ',' cell ',' cave ',' really ',' buy ',' gamemax ',' ntar ',' dapet ',' voucher ' , 'Game', '"&amp;"Cave', 'Gadadaet', 'SMS', 'Code', 'Voucher', 'Nipu', 'or', 'How', 'Cave', 'Wrong', 'Kah', ' Ato ',' weve ',' Lunya ',' GANANIAT ',' Give ', ""]")</f>
        <v>['Price', 'expensive', 'network', 'ngelag', 'severe', 'package', 'data', 'cave', 'buy', 'already', 'gada', 'come on', ' Makek ',' Elite ',' Please ',' Definition ',' cell ',' cave ',' really ',' buy ',' gamemax ',' ntar ',' dapet ',' voucher ' , 'Game', 'Cave', 'Gadadaet', 'SMS', 'Code', 'Voucher', 'Nipu', 'or', 'How', 'Cave', 'Wrong', 'Kah', ' Ato ',' weve ',' Lunya ',' GANANIAT ',' Give ', "]</v>
      </c>
      <c r="D1254" s="3">
        <v>1.0</v>
      </c>
    </row>
    <row r="1255" ht="15.75" customHeight="1">
      <c r="A1255" s="1">
        <v>1253.0</v>
      </c>
      <c r="B1255" s="3" t="s">
        <v>1256</v>
      </c>
      <c r="C1255" s="3" t="str">
        <f>IFERROR(__xludf.DUMMYFUNCTION("GOOGLETRANSLATE(B1255,""id"",""en"")"),"['like', 'promo', 'information', 'lottery', 'prize', ""]")</f>
        <v>['like', 'promo', 'information', 'lottery', 'prize', "]</v>
      </c>
      <c r="D1255" s="3">
        <v>5.0</v>
      </c>
    </row>
    <row r="1256" ht="15.75" customHeight="1">
      <c r="A1256" s="1">
        <v>1254.0</v>
      </c>
      <c r="B1256" s="3" t="s">
        <v>1257</v>
      </c>
      <c r="C1256" s="3" t="str">
        <f>IFERROR(__xludf.DUMMYFUNCTION("GOOGLETRANSLATE(B1256,""id"",""en"")"),"['program', 'Daily', 'check', 'date', 'September', 'check', 'date', 'sept', 'succeed', 'setting', 'notification', 'date', ' Sept ',' Record ',' TGL ',' Sept ',' Check ',' Date ',' Sept ',' Many ',' Check ',' TTP ',' appears', 'date', 'Check' , 'succeed']")</f>
        <v>['program', 'Daily', 'check', 'date', 'September', 'check', 'date', 'sept', 'succeed', 'setting', 'notification', 'date', ' Sept ',' Record ',' TGL ',' Sept ',' Check ',' Date ',' Sept ',' Many ',' Check ',' TTP ',' appears', 'date', 'Check' , 'succeed']</v>
      </c>
      <c r="D1256" s="3">
        <v>2.0</v>
      </c>
    </row>
    <row r="1257" ht="15.75" customHeight="1">
      <c r="A1257" s="1">
        <v>1255.0</v>
      </c>
      <c r="B1257" s="3" t="s">
        <v>1258</v>
      </c>
      <c r="C1257" s="3" t="str">
        <f>IFERROR(__xludf.DUMMYFUNCTION("GOOGLETRANSLATE(B1257,""id"",""en"")"),"['Thank you', 'Telkomsel', 'Application', 'It's easy', 'users',' users', 'loyal', 'Try', 'Customer', 'Post', 'Pay', 'card', ' Hello ',' Sympathy ',' Daily ',' Checkin ',' Promos', 'Like', 'Increase', 'Promo', 'Quality', 'The Network', '']")</f>
        <v>['Thank you', 'Telkomsel', 'Application', 'It's easy', 'users',' users', 'loyal', 'Try', 'Customer', 'Post', 'Pay', 'card', ' Hello ',' Sympathy ',' Daily ',' Checkin ',' Promos', 'Like', 'Increase', 'Promo', 'Quality', 'The Network', '']</v>
      </c>
      <c r="D1257" s="3">
        <v>4.0</v>
      </c>
    </row>
    <row r="1258" ht="15.75" customHeight="1">
      <c r="A1258" s="1">
        <v>1256.0</v>
      </c>
      <c r="B1258" s="3" t="s">
        <v>1259</v>
      </c>
      <c r="C1258" s="3" t="str">
        <f>IFERROR(__xludf.DUMMYFUNCTION("GOOGLETRANSLATE(B1258,""id"",""en"")"),"['admin', 'abis',' buy ',' quota ',' gamesmax ',' silver ',' claim ',' voucher ',' mobile ',' legend ',' redeem ',' writing ',' Code ',' Voucher ',' Enter ',' Wrong ',' What ',' Admin ',' Claim ',' Voucher ',' Please ',' Send ',' Reset ',' Voucher ',' Ben"&amp;"er ' , 'Used', 'Dipake', 'People']")</f>
        <v>['admin', 'abis',' buy ',' quota ',' gamesmax ',' silver ',' claim ',' voucher ',' mobile ',' legend ',' redeem ',' writing ',' Code ',' Voucher ',' Enter ',' Wrong ',' What ',' Admin ',' Claim ',' Voucher ',' Please ',' Send ',' Reset ',' Voucher ',' Bener ' , 'Used', 'Dipake', 'People']</v>
      </c>
      <c r="D1258" s="3">
        <v>1.0</v>
      </c>
    </row>
    <row r="1259" ht="15.75" customHeight="1">
      <c r="A1259" s="1">
        <v>1257.0</v>
      </c>
      <c r="B1259" s="3" t="s">
        <v>1260</v>
      </c>
      <c r="C1259" s="3" t="str">
        <f>IFERROR(__xludf.DUMMYFUNCTION("GOOGLETRANSLATE(B1259,""id"",""en"")"),"['update', 'ugly', 'skrg', 'buy', 'package', '']")</f>
        <v>['update', 'ugly', 'skrg', 'buy', 'package', '']</v>
      </c>
      <c r="D1259" s="3">
        <v>1.0</v>
      </c>
    </row>
    <row r="1260" ht="15.75" customHeight="1">
      <c r="A1260" s="1">
        <v>1258.0</v>
      </c>
      <c r="B1260" s="3" t="s">
        <v>1261</v>
      </c>
      <c r="C1260" s="3" t="str">
        <f>IFERROR(__xludf.DUMMYFUNCTION("GOOGLETRANSLATE(B1260,""id"",""en"")"),"['Please', 'transaction', 'card', 'pulse', 'cut', 'card', 'internet', 'card', 'pulses', 'strangehhh']")</f>
        <v>['Please', 'transaction', 'card', 'pulse', 'cut', 'card', 'internet', 'card', 'pulses', 'strangehhh']</v>
      </c>
      <c r="D1260" s="3">
        <v>1.0</v>
      </c>
    </row>
    <row r="1261" ht="15.75" customHeight="1">
      <c r="A1261" s="1">
        <v>1259.0</v>
      </c>
      <c r="B1261" s="3" t="s">
        <v>1262</v>
      </c>
      <c r="C1261" s="3" t="str">
        <f>IFERROR(__xludf.DUMMYFUNCTION("GOOGLETRANSLATE(B1261,""id"",""en"")"),"['experience', 'helped', 'Telkomsel', 'buy', 'pulse', 'directly', 'run out', 'pulses',' Tampa ',' run ',' counter ',' confused ',' Looking ',' seller ',' pulses', 'night', 'counter', 'pulses',' home ',' ']")</f>
        <v>['experience', 'helped', 'Telkomsel', 'buy', 'pulse', 'directly', 'run out', 'pulses',' Tampa ',' run ',' counter ',' confused ',' Looking ',' seller ',' pulses', 'night', 'counter', 'pulses',' home ',' ']</v>
      </c>
      <c r="D1261" s="3">
        <v>5.0</v>
      </c>
    </row>
    <row r="1262" ht="15.75" customHeight="1">
      <c r="A1262" s="1">
        <v>1260.0</v>
      </c>
      <c r="B1262" s="3" t="s">
        <v>1263</v>
      </c>
      <c r="C1262" s="3" t="str">
        <f>IFERROR(__xludf.DUMMYFUNCTION("GOOGLETRANSLATE(B1262,""id"",""en"")"),"['strange', 'noise', 'network', 'yak', 'telkomsel', 'smooth', 'smooth', 'sajah', 'change', 'times',' number ',' tetep ',' Telkomsel ',' Heart ',' Network ',' Bad ',' Sepans', 'Thank', 'Love', 'Telkomsel', 'accompany', 'I hope', 'next', '']")</f>
        <v>['strange', 'noise', 'network', 'yak', 'telkomsel', 'smooth', 'smooth', 'sajah', 'change', 'times',' number ',' tetep ',' Telkomsel ',' Heart ',' Network ',' Bad ',' Sepans', 'Thank', 'Love', 'Telkomsel', 'accompany', 'I hope', 'next', '']</v>
      </c>
      <c r="D1262" s="3">
        <v>5.0</v>
      </c>
    </row>
    <row r="1263" ht="15.75" customHeight="1">
      <c r="A1263" s="1">
        <v>1261.0</v>
      </c>
      <c r="B1263" s="3" t="s">
        <v>1264</v>
      </c>
      <c r="C1263" s="3" t="str">
        <f>IFERROR(__xludf.DUMMYFUNCTION("GOOGLETRANSLATE(B1263,""id"",""en"")"),"['Download', 'max', 'how', keep ',' convenience ',' satisfaction ',' customer ',' ignore ',' many ',' times ',' gave ',' input ',' Hnya ',' limited ',' yeah ',' policy ', ""]")</f>
        <v>['Download', 'max', 'how', keep ',' convenience ',' satisfaction ',' customer ',' ignore ',' many ',' times ',' gave ',' input ',' Hnya ',' limited ',' yeah ',' policy ', "]</v>
      </c>
      <c r="D1263" s="3">
        <v>1.0</v>
      </c>
    </row>
    <row r="1264" ht="15.75" customHeight="1">
      <c r="A1264" s="1">
        <v>1262.0</v>
      </c>
      <c r="B1264" s="3" t="s">
        <v>1265</v>
      </c>
      <c r="C1264" s="3" t="str">
        <f>IFERROR(__xludf.DUMMYFUNCTION("GOOGLETRANSLATE(B1264,""id"",""en"")"),"['Sousiny', 'ugly', 'cell', 'kayak', 'expensive', 'user', 'loyal', 'more', 'annual', 'signal', 'lemoottttttttttttttttttttttttttttttttttttttttttttttt")</f>
        <v>['Sousiny', 'ugly', 'cell', 'kayak', 'expensive', 'user', 'loyal', 'more', 'annual', 'signal', 'lemoottttttttttttttttttttttttttttttttttttttttttttttt</v>
      </c>
      <c r="D1264" s="3">
        <v>3.0</v>
      </c>
    </row>
    <row r="1265" ht="15.75" customHeight="1">
      <c r="A1265" s="1">
        <v>1263.0</v>
      </c>
      <c r="B1265" s="3" t="s">
        <v>1266</v>
      </c>
      <c r="C1265" s="3" t="str">
        <f>IFERROR(__xludf.DUMMYFUNCTION("GOOGLETRANSLATE(B1265,""id"",""en"")"),"['Contents',' Credit ',' Telkomsel ',' Pay ',' Via ',' Virtual ',' account ',' BCA ',' Enter ',' Credit ',' Rb ',' Rb ',' iklasin ',' hundreds', 'Bener', 'Telkomsel']")</f>
        <v>['Contents',' Credit ',' Telkomsel ',' Pay ',' Via ',' Virtual ',' account ',' BCA ',' Enter ',' Credit ',' Rb ',' Rb ',' iklasin ',' hundreds', 'Bener', 'Telkomsel']</v>
      </c>
      <c r="D1265" s="3">
        <v>1.0</v>
      </c>
    </row>
    <row r="1266" ht="15.75" customHeight="1">
      <c r="A1266" s="1">
        <v>1264.0</v>
      </c>
      <c r="B1266" s="3" t="s">
        <v>1267</v>
      </c>
      <c r="C1266" s="3" t="str">
        <f>IFERROR(__xludf.DUMMYFUNCTION("GOOGLETRANSLATE(B1266,""id"",""en"")"),"['Telkomsel', 'good', 'network', 'down', 'drastic', 'buffer', 'network', 'service', 'offeral', 'ok', ""]")</f>
        <v>['Telkomsel', 'good', 'network', 'down', 'drastic', 'buffer', 'network', 'service', 'offeral', 'ok', "]</v>
      </c>
      <c r="D1266" s="3">
        <v>1.0</v>
      </c>
    </row>
    <row r="1267" ht="15.75" customHeight="1">
      <c r="A1267" s="1">
        <v>1265.0</v>
      </c>
      <c r="B1267" s="3" t="s">
        <v>1268</v>
      </c>
      <c r="C1267" s="3" t="str">
        <f>IFERROR(__xludf.DUMMYFUNCTION("GOOGLETRANSLATE(B1267,""id"",""en"")"),"['signal', 'Telkomsel', 'area', 'rural', 'sometimes',' smooth ',' Please ',' at the level ',' quality ',' signal ',' people ',' village ',' Thanks']")</f>
        <v>['signal', 'Telkomsel', 'area', 'rural', 'sometimes',' smooth ',' Please ',' at the level ',' quality ',' signal ',' people ',' village ',' Thanks']</v>
      </c>
      <c r="D1267" s="3">
        <v>5.0</v>
      </c>
    </row>
    <row r="1268" ht="15.75" customHeight="1">
      <c r="A1268" s="1">
        <v>1266.0</v>
      </c>
      <c r="B1268" s="3" t="s">
        <v>1269</v>
      </c>
      <c r="C1268" s="3" t="str">
        <f>IFERROR(__xludf.DUMMYFUNCTION("GOOGLETRANSLATE(B1268,""id"",""en"")"),"['profit', 'quota', 'additional', 'check', 'day', 'subscribe', 'quota', 'aliminitit', 'thank you', 'telkomsel', 'hope', 'mandate', ' Blessings', 'Aamiin', '']")</f>
        <v>['profit', 'quota', 'additional', 'check', 'day', 'subscribe', 'quota', 'aliminitit', 'thank you', 'telkomsel', 'hope', 'mandate', ' Blessings', 'Aamiin', '']</v>
      </c>
      <c r="D1268" s="3">
        <v>5.0</v>
      </c>
    </row>
    <row r="1269" ht="15.75" customHeight="1">
      <c r="A1269" s="1">
        <v>1267.0</v>
      </c>
      <c r="B1269" s="3" t="s">
        <v>1270</v>
      </c>
      <c r="C1269" s="3" t="str">
        <f>IFERROR(__xludf.DUMMYFUNCTION("GOOGLETRANSLATE(B1269,""id"",""en"")"),"['It's easy', 'shopping', 'pulses',' counter ',' application ',' method ',' payment ',' price ',' cheap ',' point ',' increase ',' then ',' Telkomsel ']")</f>
        <v>['It's easy', 'shopping', 'pulses',' counter ',' application ',' method ',' payment ',' price ',' cheap ',' point ',' increase ',' then ',' Telkomsel ']</v>
      </c>
      <c r="D1269" s="3">
        <v>5.0</v>
      </c>
    </row>
    <row r="1270" ht="15.75" customHeight="1">
      <c r="A1270" s="1">
        <v>1268.0</v>
      </c>
      <c r="B1270" s="3" t="s">
        <v>1271</v>
      </c>
      <c r="C1270" s="3" t="str">
        <f>IFERROR(__xludf.DUMMYFUNCTION("GOOGLETRANSLATE(B1270,""id"",""en"")"),"['Package', 'Unlimited', 'Boong', 'Boongan', 'FUP', 'Trap', 'Batman', 'Abisin', 'Package', 'Main', 'Dipake', 'Unlimited', ' Chat ',' mean ',' taught ',' org ',' Indonesia ',' diligent ',' ngumpi ',' activity ',' alay ',' cheating ',' Telkomsel ',' looked "&amp;"',' money ' , 'Semarunya', 'Kaleee', ""]")</f>
        <v>['Package', 'Unlimited', 'Boong', 'Boongan', 'FUP', 'Trap', 'Batman', 'Abisin', 'Package', 'Main', 'Dipake', 'Unlimited', ' Chat ',' mean ',' taught ',' org ',' Indonesia ',' diligent ',' ngumpi ',' activity ',' alay ',' cheating ',' Telkomsel ',' looked ',' money ' , 'Semarunya', 'Kaleee', "]</v>
      </c>
      <c r="D1270" s="3">
        <v>1.0</v>
      </c>
    </row>
    <row r="1271" ht="15.75" customHeight="1">
      <c r="A1271" s="1">
        <v>1269.0</v>
      </c>
      <c r="B1271" s="3" t="s">
        <v>1272</v>
      </c>
      <c r="C1271" s="3" t="str">
        <f>IFERROR(__xludf.DUMMYFUNCTION("GOOGLETRANSLATE(B1271,""id"",""en"")"),"['', 'payment', 'buy', 'package', 'pulse', 'doang', 'ngak', 'payment', 'fund']")</f>
        <v>['', 'payment', 'buy', 'package', 'pulse', 'doang', 'ngak', 'payment', 'fund']</v>
      </c>
      <c r="D1271" s="3">
        <v>2.0</v>
      </c>
    </row>
    <row r="1272" ht="15.75" customHeight="1">
      <c r="A1272" s="1">
        <v>1270.0</v>
      </c>
      <c r="B1272" s="3" t="s">
        <v>1273</v>
      </c>
      <c r="C1272" s="3" t="str">
        <f>IFERROR(__xludf.DUMMYFUNCTION("GOOGLETRANSLATE(B1272,""id"",""en"")"),"['like', 'surprised', 'Telkomsel', 'Bangat', 'credit', 'missing', 'disappointing', 'Bangat', 'please', 'HBis',' features', 'Nguncin', ' pulse ',' that's', 'safe', 'like', 'ilang', 'jijas',' live ',' data ',' package ',' please ',' dahhh ']")</f>
        <v>['like', 'surprised', 'Telkomsel', 'Bangat', 'credit', 'missing', 'disappointing', 'Bangat', 'please', 'HBis',' features', 'Nguncin', ' pulse ',' that's', 'safe', 'like', 'ilang', 'jijas',' live ',' data ',' package ',' please ',' dahhh ']</v>
      </c>
      <c r="D1272" s="3">
        <v>1.0</v>
      </c>
    </row>
    <row r="1273" ht="15.75" customHeight="1">
      <c r="A1273" s="1">
        <v>1271.0</v>
      </c>
      <c r="B1273" s="3" t="s">
        <v>1274</v>
      </c>
      <c r="C1273" s="3" t="str">
        <f>IFERROR(__xludf.DUMMYFUNCTION("GOOGLETRANSLATE(B1273,""id"",""en"")"),"['afternoon', 'buy', 'quota', 'already', 'success', 'notification', 'failed', 'activate', 'package', 'pulses', 'sumps', 'teach']")</f>
        <v>['afternoon', 'buy', 'quota', 'already', 'success', 'notification', 'failed', 'activate', 'package', 'pulses', 'sumps', 'teach']</v>
      </c>
      <c r="D1273" s="3">
        <v>1.0</v>
      </c>
    </row>
    <row r="1274" ht="15.75" customHeight="1">
      <c r="A1274" s="1">
        <v>1272.0</v>
      </c>
      <c r="B1274" s="3" t="s">
        <v>1275</v>
      </c>
      <c r="C1274" s="3" t="str">
        <f>IFERROR(__xludf.DUMMYFUNCTION("GOOGLETRANSLATE(B1274,""id"",""en"")"),"['Profit', 'service', 'SPRTI', 'Press', 'going forward', 'bankrupt', 'so', '']")</f>
        <v>['Profit', 'service', 'SPRTI', 'Press', 'going forward', 'bankrupt', 'so', '']</v>
      </c>
      <c r="D1274" s="3">
        <v>1.0</v>
      </c>
    </row>
    <row r="1275" ht="15.75" customHeight="1">
      <c r="A1275" s="1">
        <v>1273.0</v>
      </c>
      <c r="B1275" s="3" t="s">
        <v>1276</v>
      </c>
      <c r="C1275" s="3" t="str">
        <f>IFERROR(__xludf.DUMMYFUNCTION("GOOGLETRANSLATE(B1275,""id"",""en"")"),"['Network', 'ugly', 'disorder', 'system', 'price', 'expensive', 'guarantee', ""]")</f>
        <v>['Network', 'ugly', 'disorder', 'system', 'price', 'expensive', 'guarantee', "]</v>
      </c>
      <c r="D1275" s="3">
        <v>1.0</v>
      </c>
    </row>
    <row r="1276" ht="15.75" customHeight="1">
      <c r="A1276" s="1">
        <v>1274.0</v>
      </c>
      <c r="B1276" s="3" t="s">
        <v>1277</v>
      </c>
      <c r="C1276" s="3" t="str">
        <f>IFERROR(__xludf.DUMMYFUNCTION("GOOGLETRANSLATE(B1276,""id"",""en"")"),"['Network', 'Telkomsel', 'Disconnect', 'Customer', 'Disappointed', '']")</f>
        <v>['Network', 'Telkomsel', 'Disconnect', 'Customer', 'Disappointed', '']</v>
      </c>
      <c r="D1276" s="3">
        <v>2.0</v>
      </c>
    </row>
    <row r="1277" ht="15.75" customHeight="1">
      <c r="A1277" s="1">
        <v>1275.0</v>
      </c>
      <c r="B1277" s="3" t="s">
        <v>1278</v>
      </c>
      <c r="C1277" s="3" t="str">
        <f>IFERROR(__xludf.DUMMYFUNCTION("GOOGLETRANSLATE(B1277,""id"",""en"")"),"['Credit', 'entry', 'History', 'Transaction', 'FAILURE', 'SUCCESS', 'CLAIM', 'PRMBlayaran', 'Gopay']")</f>
        <v>['Credit', 'entry', 'History', 'Transaction', 'FAILURE', 'SUCCESS', 'CLAIM', 'PRMBlayaran', 'Gopay']</v>
      </c>
      <c r="D1277" s="3">
        <v>1.0</v>
      </c>
    </row>
    <row r="1278" ht="15.75" customHeight="1">
      <c r="A1278" s="1">
        <v>1276.0</v>
      </c>
      <c r="B1278" s="3" t="s">
        <v>1279</v>
      </c>
      <c r="C1278" s="3" t="str">
        <f>IFERROR(__xludf.DUMMYFUNCTION("GOOGLETRANSLATE(B1278,""id"",""en"")"),"['Star', 'package', 'internet', 'maximum', 'speed', 'data', 'Limit', 'bright', 'Satisfied', 'Looks',' Most ',' Star ',' Telkomsel ',' introphyt ',' disappointed ',' buy ',' package ',' open ',' application ',' quantity ',' little ',' loading ',' teeruuuuu"&amp;"s', ""]")</f>
        <v>['Star', 'package', 'internet', 'maximum', 'speed', 'data', 'Limit', 'bright', 'Satisfied', 'Looks',' Most ',' Star ',' Telkomsel ',' introphyt ',' disappointed ',' buy ',' package ',' open ',' application ',' quantity ',' little ',' loading ',' teeruuuuus', "]</v>
      </c>
      <c r="D1278" s="3">
        <v>1.0</v>
      </c>
    </row>
    <row r="1279" ht="15.75" customHeight="1">
      <c r="A1279" s="1">
        <v>1277.0</v>
      </c>
      <c r="B1279" s="3" t="s">
        <v>1280</v>
      </c>
      <c r="C1279" s="3" t="str">
        <f>IFERROR(__xludf.DUMMYFUNCTION("GOOGLETRANSLATE(B1279,""id"",""en"")"),"['Application', 'already', 'Download', 'Kaga', 'Discard', 'Discard', 'Quota', 'Cave', 'Mending', 'Apus',' Application ',' Useful ',' really ',' term ',' garbage ',' mah ',' already ',' cave ',' waste ',' cave ',' burn ']")</f>
        <v>['Application', 'already', 'Download', 'Kaga', 'Discard', 'Discard', 'Quota', 'Cave', 'Mending', 'Apus',' Application ',' Useful ',' really ',' term ',' garbage ',' mah ',' already ',' cave ',' waste ',' cave ',' burn ']</v>
      </c>
      <c r="D1279" s="3">
        <v>1.0</v>
      </c>
    </row>
    <row r="1280" ht="15.75" customHeight="1">
      <c r="A1280" s="1">
        <v>1278.0</v>
      </c>
      <c r="B1280" s="3" t="s">
        <v>1281</v>
      </c>
      <c r="C1280" s="3" t="str">
        <f>IFERROR(__xludf.DUMMYFUNCTION("GOOGLETRANSLATE(B1280,""id"",""en"")"),"['steady', 'min', 'times',' promo ',' package ',' unlimited ',' happy ',' really ',' hopefully ',' unlimited ',' permanent ',' MyTelkomsel ']")</f>
        <v>['steady', 'min', 'times',' promo ',' package ',' unlimited ',' happy ',' really ',' hopefully ',' unlimited ',' permanent ',' MyTelkomsel ']</v>
      </c>
      <c r="D1280" s="3">
        <v>5.0</v>
      </c>
    </row>
    <row r="1281" ht="15.75" customHeight="1">
      <c r="A1281" s="1">
        <v>1279.0</v>
      </c>
      <c r="B1281" s="3" t="s">
        <v>1282</v>
      </c>
      <c r="C1281" s="3" t="str">
        <f>IFERROR(__xludf.DUMMYFUNCTION("GOOGLETRANSLATE(B1281,""id"",""en"")"),"['What', 'all', 'Provider', 'Recommended', 'Forced', 'Forced', ""]")</f>
        <v>['What', 'all', 'Provider', 'Recommended', 'Forced', 'Forced', "]</v>
      </c>
      <c r="D1281" s="3">
        <v>5.0</v>
      </c>
    </row>
    <row r="1282" ht="15.75" customHeight="1">
      <c r="A1282" s="1">
        <v>1280.0</v>
      </c>
      <c r="B1282" s="3" t="s">
        <v>1283</v>
      </c>
      <c r="C1282" s="3" t="str">
        <f>IFERROR(__xludf.DUMMYFUNCTION("GOOGLETRANSLATE(B1282,""id"",""en"")"),"['easy', 'buy', 'package', 'app', 'like', 'app', 'promo']")</f>
        <v>['easy', 'buy', 'package', 'app', 'like', 'app', 'promo']</v>
      </c>
      <c r="D1282" s="3">
        <v>4.0</v>
      </c>
    </row>
    <row r="1283" ht="15.75" customHeight="1">
      <c r="A1283" s="1">
        <v>1281.0</v>
      </c>
      <c r="B1283" s="3" t="s">
        <v>1284</v>
      </c>
      <c r="C1283" s="3" t="str">
        <f>IFERROR(__xludf.DUMMYFUNCTION("GOOGLETRANSLATE(B1283,""id"",""en"")"),"['Credit', 'Cave', 'Cut', 'Package', 'Severe', 'oath', 'Credit', 'Cave', 'Cut', 'Package', 'Data', 'Package', ' Calls', 'SMS', 'Cut', 'Credit', 'I', 'Please', 'Telkomsel', 'Urus']")</f>
        <v>['Credit', 'Cave', 'Cut', 'Package', 'Severe', 'oath', 'Credit', 'Cave', 'Cut', 'Package', 'Data', 'Package', ' Calls', 'SMS', 'Cut', 'Credit', 'I', 'Please', 'Telkomsel', 'Urus']</v>
      </c>
      <c r="D1283" s="3">
        <v>1.0</v>
      </c>
    </row>
    <row r="1284" ht="15.75" customHeight="1">
      <c r="A1284" s="1">
        <v>1282.0</v>
      </c>
      <c r="B1284" s="3" t="s">
        <v>1285</v>
      </c>
      <c r="C1284" s="3" t="str">
        <f>IFERROR(__xludf.DUMMYFUNCTION("GOOGLETRANSLATE(B1284,""id"",""en"")"),"['Disappointed', 'Telkomsel', 'Network', 'Internetny', 'skrang', 'slow', 'package', 'expensive', 'bgi', 'sebagian', 'jdi', ' Msalah ',' according to ',' servant ',' Imprembge ',' Internet ',' Bgus', 'Pling', 'stable', 'TPI', 'HRGA', 'PKET', 'Mhal', 'Conse"&amp;"quations' , 'skrang', 'ckup', 'bad', 'very', 'bad', 'opinion', '']")</f>
        <v>['Disappointed', 'Telkomsel', 'Network', 'Internetny', 'skrang', 'slow', 'package', 'expensive', 'bgi', 'sebagian', 'jdi', ' Msalah ',' according to ',' servant ',' Imprembge ',' Internet ',' Bgus', 'Pling', 'stable', 'TPI', 'HRGA', 'PKET', 'Mhal', 'Consequations' , 'skrang', 'ckup', 'bad', 'very', 'bad', 'opinion', '']</v>
      </c>
      <c r="D1284" s="3">
        <v>1.0</v>
      </c>
    </row>
    <row r="1285" ht="15.75" customHeight="1">
      <c r="A1285" s="1">
        <v>1283.0</v>
      </c>
      <c r="B1285" s="3" t="s">
        <v>1286</v>
      </c>
      <c r="C1285" s="3" t="str">
        <f>IFERROR(__xludf.DUMMYFUNCTION("GOOGLETRANSLATE(B1285,""id"",""en"")"),"['Pekahhhhhh', 'uninstall', 'disorder', 'buy', 'quota', 'buy', 'package', '']")</f>
        <v>['Pekahhhhhh', 'uninstall', 'disorder', 'buy', 'quota', 'buy', 'package', '']</v>
      </c>
      <c r="D1285" s="3">
        <v>1.0</v>
      </c>
    </row>
    <row r="1286" ht="15.75" customHeight="1">
      <c r="A1286" s="1">
        <v>1284.0</v>
      </c>
      <c r="B1286" s="3" t="s">
        <v>1287</v>
      </c>
      <c r="C1286" s="3" t="str">
        <f>IFERROR(__xludf.DUMMYFUNCTION("GOOGLETRANSLATE(B1286,""id"",""en"")"),"['hi', 'ksh', 'star', 'yaa', 'sorry', 'fill', 'pulse', 'pdhl', 'msh', 'end', 'card', 'please', ' Telkomsel ']")</f>
        <v>['hi', 'ksh', 'star', 'yaa', 'sorry', 'fill', 'pulse', 'pdhl', 'msh', 'end', 'card', 'please', ' Telkomsel ']</v>
      </c>
      <c r="D1286" s="3">
        <v>4.0</v>
      </c>
    </row>
    <row r="1287" ht="15.75" customHeight="1">
      <c r="A1287" s="1">
        <v>1285.0</v>
      </c>
      <c r="B1287" s="3" t="s">
        <v>1288</v>
      </c>
      <c r="C1287" s="3" t="str">
        <f>IFERROR(__xludf.DUMMYFUNCTION("GOOGLETRANSLATE(B1287,""id"",""en"")"),"['signal', 'slow', 'King', 'Telkomsel', 'Severe', 'really']")</f>
        <v>['signal', 'slow', 'King', 'Telkomsel', 'Severe', 'really']</v>
      </c>
      <c r="D1287" s="3">
        <v>1.0</v>
      </c>
    </row>
    <row r="1288" ht="15.75" customHeight="1">
      <c r="A1288" s="1">
        <v>1286.0</v>
      </c>
      <c r="B1288" s="3" t="s">
        <v>1289</v>
      </c>
      <c r="C1288" s="3" t="str">
        <f>IFERROR(__xludf.DUMMYFUNCTION("GOOGLETRANSLATE(B1288,""id"",""en"")"),"['Koq', 'strange', 'min', 'just', 'quota', 'msh', 'koq', 'suck', 'pulse', 'main', 'right', 'replace', ' package ',' deliberate ',' contents', 'pulse', 'package', 'suck', 'pulse', 'gtu', 'loss',' contents', 'pulse', 'replace', 'loss' , 'Min', 'harmed', ""]")</f>
        <v>['Koq', 'strange', 'min', 'just', 'quota', 'msh', 'koq', 'suck', 'pulse', 'main', 'right', 'replace', ' package ',' deliberate ',' contents', 'pulse', 'package', 'suck', 'pulse', 'gtu', 'loss',' contents', 'pulse', 'replace', 'loss' , 'Min', 'harmed', "]</v>
      </c>
      <c r="D1288" s="3">
        <v>1.0</v>
      </c>
    </row>
    <row r="1289" ht="15.75" customHeight="1">
      <c r="A1289" s="1">
        <v>1287.0</v>
      </c>
      <c r="B1289" s="3" t="s">
        <v>1290</v>
      </c>
      <c r="C1289" s="3" t="str">
        <f>IFERROR(__xludf.DUMMYFUNCTION("GOOGLETRANSLATE(B1289,""id"",""en"")"),"['jerk', 'network', 'slow', 'pulse', 'nyedot', 'stop', 'package', 'gda', 'choice', 'stop', 'bangse', ""]")</f>
        <v>['jerk', 'network', 'slow', 'pulse', 'nyedot', 'stop', 'package', 'gda', 'choice', 'stop', 'bangse', "]</v>
      </c>
      <c r="D1289" s="3">
        <v>1.0</v>
      </c>
    </row>
    <row r="1290" ht="15.75" customHeight="1">
      <c r="A1290" s="1">
        <v>1288.0</v>
      </c>
      <c r="B1290" s="3" t="s">
        <v>1291</v>
      </c>
      <c r="C1290" s="3" t="str">
        <f>IFERROR(__xludf.DUMMYFUNCTION("GOOGLETRANSLATE(B1290,""id"",""en"")"),"['Love', 'Bintang', 'Network', 'Telkomsel', 'ugly', 'Please', 'Fix', 'Network', 'Slow', 'Mulu', 'Kayak', ""]")</f>
        <v>['Love', 'Bintang', 'Network', 'Telkomsel', 'ugly', 'Please', 'Fix', 'Network', 'Slow', 'Mulu', 'Kayak', "]</v>
      </c>
      <c r="D1290" s="3">
        <v>1.0</v>
      </c>
    </row>
    <row r="1291" ht="15.75" customHeight="1">
      <c r="A1291" s="1">
        <v>1289.0</v>
      </c>
      <c r="B1291" s="3" t="s">
        <v>1292</v>
      </c>
      <c r="C1291" s="3" t="str">
        <f>IFERROR(__xludf.DUMMYFUNCTION("GOOGLETRANSLATE(B1291,""id"",""en"")"),"['Season', 'users', 'Tekomsel', 'Points', 'Layday', 'Undi', 'Hepi', 'year', 'Exchange', 'Points', 'Prizes', ""]")</f>
        <v>['Season', 'users', 'Tekomsel', 'Points', 'Layday', 'Undi', 'Hepi', 'year', 'Exchange', 'Points', 'Prizes', "]</v>
      </c>
      <c r="D1291" s="3">
        <v>1.0</v>
      </c>
    </row>
    <row r="1292" ht="15.75" customHeight="1">
      <c r="A1292" s="1">
        <v>1290.0</v>
      </c>
      <c r="B1292" s="3" t="s">
        <v>1293</v>
      </c>
      <c r="C1292" s="3" t="str">
        <f>IFERROR(__xludf.DUMMYFUNCTION("GOOGLETRANSLATE(B1292,""id"",""en"")"),"['suggestion', 'users',' application ',' Telkomsel ',' pulse ',' please ',' live ',' channel ',' data ',' automatic ',' pulse ',' pulses', ' live ',' channel ',' data ',' right ',' open ',' application ',' automatic ',' pulse ',' reduction ',' wonder ',' "&amp;"the application ',' wonder ',' list ' , 'pulse', 'data', 'application', 'hope', 'pket', 'internet', 'wifi', 'list', 'application', 'data', 'automatic', 'pulse', ' Calys', '']")</f>
        <v>['suggestion', 'users',' application ',' Telkomsel ',' pulse ',' please ',' live ',' channel ',' data ',' automatic ',' pulse ',' pulses', ' live ',' channel ',' data ',' right ',' open ',' application ',' automatic ',' pulse ',' reduction ',' wonder ',' the application ',' wonder ',' list ' , 'pulse', 'data', 'application', 'hope', 'pket', 'internet', 'wifi', 'list', 'application', 'data', 'automatic', 'pulse', ' Calys', '']</v>
      </c>
      <c r="D1292" s="3">
        <v>5.0</v>
      </c>
    </row>
    <row r="1293" ht="15.75" customHeight="1">
      <c r="A1293" s="1">
        <v>1291.0</v>
      </c>
      <c r="B1293" s="3" t="s">
        <v>1294</v>
      </c>
      <c r="C1293" s="3" t="str">
        <f>IFERROR(__xludf.DUMMYFUNCTION("GOOGLETRANSLATE(B1293,""id"",""en"")"),"['Nomah', 'min', 'buy', 'package', 'use', 'payment', 'kah', 'sorry', 'star']")</f>
        <v>['Nomah', 'min', 'buy', 'package', 'use', 'payment', 'kah', 'sorry', 'star']</v>
      </c>
      <c r="D1293" s="3">
        <v>3.0</v>
      </c>
    </row>
    <row r="1294" ht="15.75" customHeight="1">
      <c r="A1294" s="1">
        <v>1292.0</v>
      </c>
      <c r="B1294" s="3" t="s">
        <v>1295</v>
      </c>
      <c r="C1294" s="3" t="str">
        <f>IFERROR(__xludf.DUMMYFUNCTION("GOOGLETRANSLATE(B1294,""id"",""en"")"),"['Hayoo', 'slow', 'customer', 'guard', 'quality', 'use', 'Telkomsel', '']")</f>
        <v>['Hayoo', 'slow', 'customer', 'guard', 'quality', 'use', 'Telkomsel', '']</v>
      </c>
      <c r="D1294" s="3">
        <v>1.0</v>
      </c>
    </row>
    <row r="1295" ht="15.75" customHeight="1">
      <c r="A1295" s="1">
        <v>1293.0</v>
      </c>
      <c r="B1295" s="3" t="s">
        <v>1296</v>
      </c>
      <c r="C1295" s="3" t="str">
        <f>IFERROR(__xludf.DUMMYFUNCTION("GOOGLETRANSLATE(B1295,""id"",""en"")"),"['network', 'Telkomsel', 'UDH', 'as good', 'oath', 'Different', 'really', 'pdhl', 'user', 'loyal', 'Telkomsel', 'chao', ' really ',' suggestion ',' mending ',' rame ',' rame ',' love ',' rating ',' star ',' deterred ',' direct ',' conscious', 'fix', 'sign"&amp;"al' ]")</f>
        <v>['network', 'Telkomsel', 'UDH', 'as good', 'oath', 'Different', 'really', 'pdhl', 'user', 'loyal', 'Telkomsel', 'chao', ' really ',' suggestion ',' mending ',' rame ',' rame ',' love ',' rating ',' star ',' deterred ',' direct ',' conscious', 'fix', 'signal' ]</v>
      </c>
      <c r="D1295" s="3">
        <v>1.0</v>
      </c>
    </row>
    <row r="1296" ht="15.75" customHeight="1">
      <c r="A1296" s="1">
        <v>1294.0</v>
      </c>
      <c r="B1296" s="3" t="s">
        <v>1297</v>
      </c>
      <c r="C1296" s="3" t="str">
        <f>IFERROR(__xludf.DUMMYFUNCTION("GOOGLETRANSLATE(B1296,""id"",""en"")"),"['price', 'according to', 'quality', 'user', 'loyal', 'fed up', 'you', 'sell', 'expensive', 'internet', 'smooth', 'buy', ' Move ',' Operator ',' Next to ',' Thanks']")</f>
        <v>['price', 'according to', 'quality', 'user', 'loyal', 'fed up', 'you', 'sell', 'expensive', 'internet', 'smooth', 'buy', ' Move ',' Operator ',' Next to ',' Thanks']</v>
      </c>
      <c r="D1296" s="3">
        <v>1.0</v>
      </c>
    </row>
    <row r="1297" ht="15.75" customHeight="1">
      <c r="A1297" s="1">
        <v>1295.0</v>
      </c>
      <c r="B1297" s="3" t="s">
        <v>1298</v>
      </c>
      <c r="C1297" s="3" t="str">
        <f>IFERROR(__xludf.DUMMYFUNCTION("GOOGLETRANSLATE(B1297,""id"",""en"")"),"['package', 'expensive', 'signal', 'slow', 'kayak', 'entok', 'road', 'complete', '']")</f>
        <v>['package', 'expensive', 'signal', 'slow', 'kayak', 'entok', 'road', 'complete', '']</v>
      </c>
      <c r="D1297" s="3">
        <v>1.0</v>
      </c>
    </row>
    <row r="1298" ht="15.75" customHeight="1">
      <c r="A1298" s="1">
        <v>1296.0</v>
      </c>
      <c r="B1298" s="3" t="s">
        <v>1299</v>
      </c>
      <c r="C1298" s="3" t="str">
        <f>IFERROR(__xludf.DUMMYFUNCTION("GOOGLETRANSLATE(B1298,""id"",""en"")"),"['Telkomsel', 'please', 'network', 'fix', 'already', 'package', 'expensive', 'appeal', 'network', 'GSM', 'Slide', 'disappear', ' Jakarta ',' LHO ',' OPOL ',' troubles ',' signal ',' influential ',' order ',' enter ',' please ',' fix ',' as soon as possibl"&amp;"e]")</f>
        <v>['Telkomsel', 'please', 'network', 'fix', 'already', 'package', 'expensive', 'appeal', 'network', 'GSM', 'Slide', 'disappear', ' Jakarta ',' LHO ',' OPOL ',' troubles ',' signal ',' influential ',' order ',' enter ',' please ',' fix ',' as soon as possible]</v>
      </c>
      <c r="D1298" s="3">
        <v>2.0</v>
      </c>
    </row>
    <row r="1299" ht="15.75" customHeight="1">
      <c r="A1299" s="1">
        <v>1297.0</v>
      </c>
      <c r="B1299" s="3" t="s">
        <v>1300</v>
      </c>
      <c r="C1299" s="3" t="str">
        <f>IFERROR(__xludf.DUMMYFUNCTION("GOOGLETRANSLATE(B1299,""id"",""en"")"),"[ 'Apelikasi', 'bagu', 'tapiiiiiiiiiiiiiiiiiiiiiiiiiiiiiiiiiiiiiiiiiiiiiiiiiiiiiiiiiiiiiiiiiiiiiiiiiiiiiiiiiiiiiiiiiiiiiiiiiiiiiiiiiiiiiiiiiiiiiiiiiiiiiiiiiiiiiiiiiiiiiiiiiiiiiiiiiiiiiiiiiiiiiiiiiiiiiiiiiiiiiiiiiiiiiiiiiiiiiiiiiiiiiiiiiiiiiiiiiiiiiiiiiiii"&amp;"iiiiiiiiiiiiiiiiiiiiiiiiiiiiiiiiiiiiiiiiiiiiiiiiiiisiyal', 'ugly', 'really', 'quota', 'expensive']")</f>
        <v>[ 'Apelikasi', 'bagu', 'tapiiiiiiiiiiiiiiiiiiiiiiiiiiiiiiiiiiiiiiiiiiiiiiiiiiiiiiiiiiiiiiiiiiiiiiiiiiiiiiiiiiiiiiiiiiiiiiiiiiiiiiiiiiiiiiiiiiiiiiiiiiiiiiiiiiiiiiiiiiiiiiiiiiiiiiiiiiiiiiiiiiiiiiiiiiiiiiiiiiiiiiiiiiiiiiiiiiiiiiiiiiiiiiiiiiiiiiiiiiiiiiiiiiiiiiiiiiiiiiiiiiiiiiiiiiiiiiiiiiiiiiiiiiiiiiiiiiiiiiisiyal', 'ugly', 'really', 'quota', 'expensive']</v>
      </c>
      <c r="D1299" s="3">
        <v>1.0</v>
      </c>
    </row>
    <row r="1300" ht="15.75" customHeight="1">
      <c r="A1300" s="1">
        <v>1298.0</v>
      </c>
      <c r="B1300" s="3" t="s">
        <v>1301</v>
      </c>
      <c r="C1300" s="3" t="str">
        <f>IFERROR(__xludf.DUMMYFUNCTION("GOOGLETRANSLATE(B1300,""id"",""en"")"),"['Good', 'increase', 'then', 'quality', 'quantity', 'bonus', 'price', 'product', 'expensive', 'trima', 'love', ""]")</f>
        <v>['Good', 'increase', 'then', 'quality', 'quantity', 'bonus', 'price', 'product', 'expensive', 'trima', 'love', "]</v>
      </c>
      <c r="D1300" s="3">
        <v>5.0</v>
      </c>
    </row>
    <row r="1301" ht="15.75" customHeight="1">
      <c r="A1301" s="1">
        <v>1299.0</v>
      </c>
      <c r="B1301" s="3" t="s">
        <v>1302</v>
      </c>
      <c r="C1301" s="3" t="str">
        <f>IFERROR(__xludf.DUMMYFUNCTION("GOOGLETRANSLATE(B1301,""id"",""en"")"),"['Telkomsel', 'here', 'Rich', 'Taii', 'Network', 'Season', 'Play', 'Game', 'Easy', 'Ngelag', 'Please', 'Fix', ' network']")</f>
        <v>['Telkomsel', 'here', 'Rich', 'Taii', 'Network', 'Season', 'Play', 'Game', 'Easy', 'Ngelag', 'Please', 'Fix', ' network']</v>
      </c>
      <c r="D1301" s="3">
        <v>1.0</v>
      </c>
    </row>
    <row r="1302" ht="15.75" customHeight="1">
      <c r="A1302" s="1">
        <v>1300.0</v>
      </c>
      <c r="B1302" s="3" t="s">
        <v>1303</v>
      </c>
      <c r="C1302" s="3" t="str">
        <f>IFERROR(__xludf.DUMMYFUNCTION("GOOGLETRANSLATE(B1302,""id"",""en"")"),"['package', 'expensive', 'network', 'difficult', 'tried', 'provider', 'next door', 'good', 'cheap', 'heart', 'udh', 'stuck', ' Please ',' Definition ',' SMG ',' Good ',' User ',' Disappointed ',' Thank ',' Kantuh ']")</f>
        <v>['package', 'expensive', 'network', 'difficult', 'tried', 'provider', 'next door', 'good', 'cheap', 'heart', 'udh', 'stuck', ' Please ',' Definition ',' SMG ',' Good ',' User ',' Disappointed ',' Thank ',' Kantuh ']</v>
      </c>
      <c r="D1302" s="3">
        <v>2.0</v>
      </c>
    </row>
    <row r="1303" ht="15.75" customHeight="1">
      <c r="A1303" s="1">
        <v>1301.0</v>
      </c>
      <c r="B1303" s="3" t="s">
        <v>1304</v>
      </c>
      <c r="C1303" s="3" t="str">
        <f>IFERROR(__xludf.DUMMYFUNCTION("GOOGLETRANSLATE(B1303,""id"",""en"")"),"['Telkomsel', 'fill in', 'credit', 'rb', 'packagein', 'ngeleg', 'ngeleg', 'severe', 'please', 'Telkomsel', 'buy', 'expensive', ' expensive ',' gini ']")</f>
        <v>['Telkomsel', 'fill in', 'credit', 'rb', 'packagein', 'ngeleg', 'ngeleg', 'severe', 'please', 'Telkomsel', 'buy', 'expensive', ' expensive ',' gini ']</v>
      </c>
      <c r="D1303" s="3">
        <v>1.0</v>
      </c>
    </row>
    <row r="1304" ht="15.75" customHeight="1">
      <c r="A1304" s="1">
        <v>1302.0</v>
      </c>
      <c r="B1304" s="3" t="s">
        <v>1305</v>
      </c>
      <c r="C1304" s="3" t="str">
        <f>IFERROR(__xludf.DUMMYFUNCTION("GOOGLETRANSLATE(B1304,""id"",""en"")"),"['package', 'data', 'expensive', 'network', 'reach', 'Indonesia', 'reach', 'said', 'check', 'pulse', 'internet', 'learn', ' Online ',' Telkomsel ',' Try ',' Rich ',' Propider ',' Cheap ',' Package ',' Data ',' Pandemic ',' Kasi ',' Promo ',' Cheap ', ""]")</f>
        <v>['package', 'data', 'expensive', 'network', 'reach', 'Indonesia', 'reach', 'said', 'check', 'pulse', 'internet', 'learn', ' Online ',' Telkomsel ',' Try ',' Rich ',' Propider ',' Cheap ',' Package ',' Data ',' Pandemic ',' Kasi ',' Promo ',' Cheap ', "]</v>
      </c>
      <c r="D1304" s="3">
        <v>4.0</v>
      </c>
    </row>
    <row r="1305" ht="15.75" customHeight="1">
      <c r="A1305" s="1">
        <v>1303.0</v>
      </c>
      <c r="B1305" s="3" t="s">
        <v>1306</v>
      </c>
      <c r="C1305" s="3" t="str">
        <f>IFERROR(__xludf.DUMMYFUNCTION("GOOGLETRANSLATE(B1305,""id"",""en"")"),"['Signal', 'severe', 'class', 'city', 'Batam', 'Telkomsel', 'signal', 'Lemott', 'poor', 'fix']")</f>
        <v>['Signal', 'severe', 'class', 'city', 'Batam', 'Telkomsel', 'signal', 'Lemott', 'poor', 'fix']</v>
      </c>
      <c r="D1305" s="3">
        <v>1.0</v>
      </c>
    </row>
    <row r="1306" ht="15.75" customHeight="1">
      <c r="A1306" s="1">
        <v>1304.0</v>
      </c>
      <c r="B1306" s="3" t="s">
        <v>1307</v>
      </c>
      <c r="C1306" s="3" t="str">
        <f>IFERROR(__xludf.DUMMYFUNCTION("GOOGLETRANSLATE(B1306,""id"",""en"")"),"['Network', 'Telkomsel', 'LEGE', 'PEAH', 'LIFE', 'City', 'Lazy', 'Use', 'Package', 'Telkomsel', 'Use', 'Call']")</f>
        <v>['Network', 'Telkomsel', 'LEGE', 'PEAH', 'LIFE', 'City', 'Lazy', 'Use', 'Package', 'Telkomsel', 'Use', 'Call']</v>
      </c>
      <c r="D1306" s="3">
        <v>3.0</v>
      </c>
    </row>
    <row r="1307" ht="15.75" customHeight="1">
      <c r="A1307" s="1">
        <v>1305.0</v>
      </c>
      <c r="B1307" s="3" t="s">
        <v>1308</v>
      </c>
      <c r="C1307" s="3" t="str">
        <f>IFERROR(__xludf.DUMMYFUNCTION("GOOGLETRANSLATE(B1307,""id"",""en"")"),"['bad', 'severe', 'buy', 'pulse', 'buy', 'GB', 'unlimited', 'price', 'rb', 'buy', 'taik', 'pass',' purchased ',' kouta ',' pulse ',' top ',' rb ',' tetep ',' lohhh ']")</f>
        <v>['bad', 'severe', 'buy', 'pulse', 'buy', 'GB', 'unlimited', 'price', 'rb', 'buy', 'taik', 'pass',' purchased ',' kouta ',' pulse ',' top ',' rb ',' tetep ',' lohhh ']</v>
      </c>
      <c r="D1307" s="3">
        <v>5.0</v>
      </c>
    </row>
    <row r="1308" ht="15.75" customHeight="1">
      <c r="A1308" s="1">
        <v>1306.0</v>
      </c>
      <c r="B1308" s="3" t="s">
        <v>1309</v>
      </c>
      <c r="C1308" s="3" t="str">
        <f>IFERROR(__xludf.DUMMYFUNCTION("GOOGLETRANSLATE(B1308,""id"",""en"")"),"['Network', 'good', 'bonus', 'user', 'loyal', 'Telkomsel', 'wear', 'card', 'Telkomsel', ""]")</f>
        <v>['Network', 'good', 'bonus', 'user', 'loyal', 'Telkomsel', 'wear', 'card', 'Telkomsel', "]</v>
      </c>
      <c r="D1308" s="3">
        <v>5.0</v>
      </c>
    </row>
    <row r="1309" ht="15.75" customHeight="1">
      <c r="A1309" s="1">
        <v>1307.0</v>
      </c>
      <c r="B1309" s="3" t="s">
        <v>1310</v>
      </c>
      <c r="C1309" s="3" t="str">
        <f>IFERROR(__xludf.DUMMYFUNCTION("GOOGLETRANSLATE(B1309,""id"",""en"")"),"['already', 'customers',' loyal ',' quota ',' expensive ',' expensive ',' buy ',' internet ',' slow ',' sampe ',' dinpake ',' disappointed ',' Heavy ',' how ',' loyal ']")</f>
        <v>['already', 'customers',' loyal ',' quota ',' expensive ',' expensive ',' buy ',' internet ',' slow ',' sampe ',' dinpake ',' disappointed ',' Heavy ',' how ',' loyal ']</v>
      </c>
      <c r="D1309" s="3">
        <v>3.0</v>
      </c>
    </row>
    <row r="1310" ht="15.75" customHeight="1">
      <c r="A1310" s="1">
        <v>1308.0</v>
      </c>
      <c r="B1310" s="3" t="s">
        <v>1311</v>
      </c>
      <c r="C1310" s="3" t="str">
        <f>IFERROR(__xludf.DUMMYFUNCTION("GOOGLETRANSLATE(B1310,""id"",""en"")"),"['Review', 'Mines',' Telkomsel ',' Taun ',' Sympathy ',' Ksini ',' Disappointed ',' Signal ',' Nasea ',' Package ',' Data ',' Expensive ',' buy ',' package ',' Disney ',' Holstar ',' yaudah ',' expensive ',' network ',' fix ',' yes', 'writing', 'signal', "&amp;"'rich', ""]")</f>
        <v>['Review', 'Mines',' Telkomsel ',' Taun ',' Sympathy ',' Ksini ',' Disappointed ',' Signal ',' Nasea ',' Package ',' Data ',' Expensive ',' buy ',' package ',' Disney ',' Holstar ',' yaudah ',' expensive ',' network ',' fix ',' yes', 'writing', 'signal', 'rich', "]</v>
      </c>
      <c r="D1310" s="3">
        <v>2.0</v>
      </c>
    </row>
    <row r="1311" ht="15.75" customHeight="1">
      <c r="A1311" s="1">
        <v>1309.0</v>
      </c>
      <c r="B1311" s="3" t="s">
        <v>1312</v>
      </c>
      <c r="C1311" s="3" t="str">
        <f>IFERROR(__xludf.DUMMYFUNCTION("GOOGLETRANSLATE(B1311,""id"",""en"")"),"['card', 'kek', 'ajink', 'kek', 'gini', 'mending', 'ajink', 'card', 'pulp', 'ajink', 'think', 'user', ' Telkomsel ',' internet ',' free ',' kagak ',' ajink ',' pay ',' pulp ',' card ',' anjink ']")</f>
        <v>['card', 'kek', 'ajink', 'kek', 'gini', 'mending', 'ajink', 'card', 'pulp', 'ajink', 'think', 'user', ' Telkomsel ',' internet ',' free ',' kagak ',' ajink ',' pay ',' pulp ',' card ',' anjink ']</v>
      </c>
      <c r="D1311" s="3">
        <v>1.0</v>
      </c>
    </row>
    <row r="1312" ht="15.75" customHeight="1">
      <c r="A1312" s="1">
        <v>1310.0</v>
      </c>
      <c r="B1312" s="3" t="s">
        <v>1313</v>
      </c>
      <c r="C1312" s="3" t="str">
        <f>IFERROR(__xludf.DUMMYFUNCTION("GOOGLETRANSLATE(B1312,""id"",""en"")"),"['Telkomsel', 'weak', 'signal', 'disorder', 'Mulu', 'respect', 'Telkomsel', 'Please', 'repaired', 'his joining', 'connects',' trimakasih ',' ']")</f>
        <v>['Telkomsel', 'weak', 'signal', 'disorder', 'Mulu', 'respect', 'Telkomsel', 'Please', 'repaired', 'his joining', 'connects',' trimakasih ',' ']</v>
      </c>
      <c r="D1312" s="3">
        <v>2.0</v>
      </c>
    </row>
    <row r="1313" ht="15.75" customHeight="1">
      <c r="A1313" s="1">
        <v>1311.0</v>
      </c>
      <c r="B1313" s="3" t="s">
        <v>1314</v>
      </c>
      <c r="C1313" s="3" t="str">
        <f>IFERROR(__xludf.DUMMYFUNCTION("GOOGLETRANSLATE(B1313,""id"",""en"")"),"['network', 'telkom', 'slow', 'nggk', 'please', 'admin', 'check', 'tower', 'area', 'opera', 'capacity']")</f>
        <v>['network', 'telkom', 'slow', 'nggk', 'please', 'admin', 'check', 'tower', 'area', 'opera', 'capacity']</v>
      </c>
      <c r="D1313" s="3">
        <v>2.0</v>
      </c>
    </row>
    <row r="1314" ht="15.75" customHeight="1">
      <c r="A1314" s="1">
        <v>1312.0</v>
      </c>
      <c r="B1314" s="3" t="s">
        <v>1315</v>
      </c>
      <c r="C1314" s="3" t="str">
        <f>IFERROR(__xludf.DUMMYFUNCTION("GOOGLETRANSLATE(B1314,""id"",""en"")"),"['Telkomsel', 'GB', 'thousand', 'thousand', 'slow', 'kek', 'gini', 'replace', 'card', 'bother', 'because' banking ',' Register ',' Pakek ',' number ',' Telkomsel ',' take care ',' bank ',' bother ',' ']")</f>
        <v>['Telkomsel', 'GB', 'thousand', 'thousand', 'slow', 'kek', 'gini', 'replace', 'card', 'bother', 'because' banking ',' Register ',' Pakek ',' number ',' Telkomsel ',' take care ',' bank ',' bother ',' ']</v>
      </c>
      <c r="D1314" s="3">
        <v>1.0</v>
      </c>
    </row>
    <row r="1315" ht="15.75" customHeight="1">
      <c r="A1315" s="1">
        <v>1313.0</v>
      </c>
      <c r="B1315" s="3" t="s">
        <v>1316</v>
      </c>
      <c r="C1315" s="3" t="str">
        <f>IFERROR(__xludf.DUMMYFUNCTION("GOOGLETRANSLATE(B1315,""id"",""en"")"),"['Anjirr', 'disappointed', 'Bangat', 'oath', 'quota', 'internet', 'slow', 'braseeeee', 'what', 'already', 'buy', 'package', ' Expensive ',' Gini ',' Telkomsel ',' Change ',' Data ', ""]")</f>
        <v>['Anjirr', 'disappointed', 'Bangat', 'oath', 'quota', 'internet', 'slow', 'braseeeee', 'what', 'already', 'buy', 'package', ' Expensive ',' Gini ',' Telkomsel ',' Change ',' Data ', "]</v>
      </c>
      <c r="D1315" s="3">
        <v>1.0</v>
      </c>
    </row>
    <row r="1316" ht="15.75" customHeight="1">
      <c r="A1316" s="1">
        <v>1314.0</v>
      </c>
      <c r="B1316" s="3" t="s">
        <v>1317</v>
      </c>
      <c r="C1316" s="3" t="str">
        <f>IFERROR(__xludf.DUMMYFUNCTION("GOOGLETRANSLATE(B1316,""id"",""en"")"),"['open', 'application', 'slow', 'check', 'quota', 'difficult', 'told', 'contact', 'website', 'telkomsel', 'user', 'lsg', ' column ',' comment ',' price ',' expensive ',' service ',' good ',' tlg ',' fix ',' performance ',' Telkomsel ', ""]")</f>
        <v>['open', 'application', 'slow', 'check', 'quota', 'difficult', 'told', 'contact', 'website', 'telkomsel', 'user', 'lsg', ' column ',' comment ',' price ',' expensive ',' service ',' good ',' tlg ',' fix ',' performance ',' Telkomsel ', "]</v>
      </c>
      <c r="D1316" s="3">
        <v>1.0</v>
      </c>
    </row>
    <row r="1317" ht="15.75" customHeight="1">
      <c r="A1317" s="1">
        <v>1315.0</v>
      </c>
      <c r="B1317" s="3" t="s">
        <v>1318</v>
      </c>
      <c r="C1317" s="3" t="str">
        <f>IFERROR(__xludf.DUMMYFUNCTION("GOOGLETRANSLATE(B1317,""id"",""en"")"),"['speed', 'internet', 'speeding', 'game', 'codm', 'sometimes',' lost ',' signal ',' price ',' package ',' dependent ',' use ',' cards', 'card', 'prime', 'cheap', '']")</f>
        <v>['speed', 'internet', 'speeding', 'game', 'codm', 'sometimes',' lost ',' signal ',' price ',' package ',' dependent ',' use ',' cards', 'card', 'prime', 'cheap', '']</v>
      </c>
      <c r="D1317" s="3">
        <v>3.0</v>
      </c>
    </row>
    <row r="1318" ht="15.75" customHeight="1">
      <c r="A1318" s="1">
        <v>1316.0</v>
      </c>
      <c r="B1318" s="3" t="s">
        <v>1319</v>
      </c>
      <c r="C1318" s="3" t="str">
        <f>IFERROR(__xludf.DUMMYFUNCTION("GOOGLETRANSLATE(B1318,""id"",""en"")"),"['network', 'Telkomsel', 'ugly', 'open', 'Telkomsel', 'slow', 'really', 'loading', 'Gosh', 'annoying', 'detrimental', 'customer', ' Wasted ',' quota ',' drained ',' slow ',' loading ',' quota ',' expensive ',' network ',' slow ', ""]")</f>
        <v>['network', 'Telkomsel', 'ugly', 'open', 'Telkomsel', 'slow', 'really', 'loading', 'Gosh', 'annoying', 'detrimental', 'customer', ' Wasted ',' quota ',' drained ',' slow ',' loading ',' quota ',' expensive ',' network ',' slow ', "]</v>
      </c>
      <c r="D1318" s="3">
        <v>1.0</v>
      </c>
    </row>
    <row r="1319" ht="15.75" customHeight="1">
      <c r="A1319" s="1">
        <v>1317.0</v>
      </c>
      <c r="B1319" s="3" t="s">
        <v>1320</v>
      </c>
      <c r="C1319" s="3" t="str">
        <f>IFERROR(__xludf.DUMMYFUNCTION("GOOGLETRANSLATE(B1319,""id"",""en"")"),"['loyal', 'star', 'Krna', 'improvement', 'network', 'stable', 'poor', ""]")</f>
        <v>['loyal', 'star', 'Krna', 'improvement', 'network', 'stable', 'poor', "]</v>
      </c>
      <c r="D1319" s="3">
        <v>1.0</v>
      </c>
    </row>
    <row r="1320" ht="15.75" customHeight="1">
      <c r="A1320" s="1">
        <v>1318.0</v>
      </c>
      <c r="B1320" s="3" t="s">
        <v>1321</v>
      </c>
      <c r="C1320" s="3" t="str">
        <f>IFERROR(__xludf.DUMMYFUNCTION("GOOGLETRANSLATE(B1320,""id"",""en"")"),"['Not bad', 'improvement', 'hope', 'in the future', 'increases', 'makes it easier', 'user', '']")</f>
        <v>['Not bad', 'improvement', 'hope', 'in the future', 'increases', 'makes it easier', 'user', '']</v>
      </c>
      <c r="D1320" s="3">
        <v>4.0</v>
      </c>
    </row>
    <row r="1321" ht="15.75" customHeight="1">
      <c r="A1321" s="1">
        <v>1319.0</v>
      </c>
      <c r="B1321" s="3" t="s">
        <v>1322</v>
      </c>
      <c r="C1321" s="3" t="str">
        <f>IFERROR(__xludf.DUMMYFUNCTION("GOOGLETRANSLATE(B1321,""id"",""en"")"),"['Disappointed', 'buy', 'pulse', 'rb', 'sumps',' rb ',' right ',' check ',' stay ',' rb ',' sleep ',' disappointed ',' Telkomsel ',' difficult ',' collect ',' money ',' buy ',' pulse ',' sisihin ',' money ',' snack ',' telkomsel ',' lived ',' suck ',' sad"&amp;" ' , 'Tauuu', 'buy', 'pulse', 'upil', 'huhu']")</f>
        <v>['Disappointed', 'buy', 'pulse', 'rb', 'sumps',' rb ',' right ',' check ',' stay ',' rb ',' sleep ',' disappointed ',' Telkomsel ',' difficult ',' collect ',' money ',' buy ',' pulse ',' sisihin ',' money ',' snack ',' telkomsel ',' lived ',' suck ',' sad ' , 'Tauuu', 'buy', 'pulse', 'upil', 'huhu']</v>
      </c>
      <c r="D1321" s="3">
        <v>1.0</v>
      </c>
    </row>
    <row r="1322" ht="15.75" customHeight="1">
      <c r="A1322" s="1">
        <v>1320.0</v>
      </c>
      <c r="B1322" s="3" t="s">
        <v>1323</v>
      </c>
      <c r="C1322" s="3" t="str">
        <f>IFERROR(__xludf.DUMMYFUNCTION("GOOGLETRANSLATE(B1322,""id"",""en"")"),"['Hello', 'unlimited', 'according to', 'unlimited', 'kayak', 'cheating', 'customer', 'unlimited', 'multimedia', 'appendix', 'cheating', 'consumers',' Prepaid ',' Application ',' Unlimited ',' Dipake ',' Quota ',' Padit ',' Mobile ',' Legends', 'WhatsApp',"&amp;" 'Application', 'Cheating', 'Name', 'Udh' , 'spirit', 'moved', 'postpaid', 'bills',' controlled ',' service ',' zero ',' uug ',' told ',' move ',' package ',' Benwaled ',' promised ',' save ',' operator ',' save ',' your eyes']")</f>
        <v>['Hello', 'unlimited', 'according to', 'unlimited', 'kayak', 'cheating', 'customer', 'unlimited', 'multimedia', 'appendix', 'cheating', 'consumers',' Prepaid ',' Application ',' Unlimited ',' Dipake ',' Quota ',' Padit ',' Mobile ',' Legends', 'WhatsApp', 'Application', 'Cheating', 'Name', 'Udh' , 'spirit', 'moved', 'postpaid', 'bills',' controlled ',' service ',' zero ',' uug ',' told ',' move ',' package ',' Benwaled ',' promised ',' save ',' operator ',' save ',' your eyes']</v>
      </c>
      <c r="D1322" s="3">
        <v>1.0</v>
      </c>
    </row>
    <row r="1323" ht="15.75" customHeight="1">
      <c r="A1323" s="1">
        <v>1321.0</v>
      </c>
      <c r="B1323" s="3" t="s">
        <v>1324</v>
      </c>
      <c r="C1323" s="3" t="str">
        <f>IFERROR(__xludf.DUMMYFUNCTION("GOOGLETRANSLATE(B1323,""id"",""en"")"),"['times',' contents', 'package', 'internet', 'application', 'combo', 'omg', 'GB', 'GB', 'package', 'omg', 'hbs',' the rest ',' quota ',' internet ',' used ',' have ',' package ',' pulse ',' sumps', 'contents',' package ',' quota ',' hrs', 'left' , 'packag"&amp;"e', 'quota', 'increase', 'accumulation', 'scorched', 'quota', 'entry', 'sense', ""]")</f>
        <v>['times',' contents', 'package', 'internet', 'application', 'combo', 'omg', 'GB', 'GB', 'package', 'omg', 'hbs',' the rest ',' quota ',' internet ',' used ',' have ',' package ',' pulse ',' sumps', 'contents',' package ',' quota ',' hrs', 'left' , 'package', 'quota', 'increase', 'accumulation', 'scorched', 'quota', 'entry', 'sense', "]</v>
      </c>
      <c r="D1323" s="3">
        <v>2.0</v>
      </c>
    </row>
    <row r="1324" ht="15.75" customHeight="1">
      <c r="A1324" s="1">
        <v>1322.0</v>
      </c>
      <c r="B1324" s="3" t="s">
        <v>1325</v>
      </c>
      <c r="C1324" s="3" t="str">
        <f>IFERROR(__xludf.DUMMYFUNCTION("GOOGLETRANSLATE(B1324,""id"",""en"")"),"['Buy', 'Diamond', 'Bitang', 'Severe', '']")</f>
        <v>['Buy', 'Diamond', 'Bitang', 'Severe', '']</v>
      </c>
      <c r="D1324" s="3">
        <v>1.0</v>
      </c>
    </row>
    <row r="1325" ht="15.75" customHeight="1">
      <c r="A1325" s="1">
        <v>1323.0</v>
      </c>
      <c r="B1325" s="3" t="s">
        <v>1326</v>
      </c>
      <c r="C1325" s="3" t="str">
        <f>IFERROR(__xludf.DUMMYFUNCTION("GOOGLETRANSLATE(B1325,""id"",""en"")"),"['price', 'customize', 'quality', 'network', 'internet', 'price', 'quality', 'lose', 'provider', 'neighbor', 'suggestion', 'see', ' expensive ',' expensive ',' turn ',' card ',' ']")</f>
        <v>['price', 'customize', 'quality', 'network', 'internet', 'price', 'quality', 'lose', 'provider', 'neighbor', 'suggestion', 'see', ' expensive ',' expensive ',' turn ',' card ',' ']</v>
      </c>
      <c r="D1325" s="3">
        <v>1.0</v>
      </c>
    </row>
    <row r="1326" ht="15.75" customHeight="1">
      <c r="A1326" s="1">
        <v>1324.0</v>
      </c>
      <c r="B1326" s="3" t="s">
        <v>1327</v>
      </c>
      <c r="C1326" s="3" t="str">
        <f>IFERROR(__xludf.DUMMYFUNCTION("GOOGLETRANSLATE(B1326,""id"",""en"")"),"['Exchange', 'Points', 'Credit', 'Take', 'Gthmah', 'Points', 'Apply']")</f>
        <v>['Exchange', 'Points', 'Credit', 'Take', 'Gthmah', 'Points', 'Apply']</v>
      </c>
      <c r="D1326" s="3">
        <v>1.0</v>
      </c>
    </row>
    <row r="1327" ht="15.75" customHeight="1">
      <c r="A1327" s="1">
        <v>1325.0</v>
      </c>
      <c r="B1327" s="3" t="s">
        <v>1328</v>
      </c>
      <c r="C1327" s="3" t="str">
        <f>IFERROR(__xludf.DUMMYFUNCTION("GOOGLETRANSLATE(B1327,""id"",""en"")"),"['Comfortable', 'use', 'Telkomsel', 'slow', 'network', 'quota', 'expensive', 'moved', 'neighbor']")</f>
        <v>['Comfortable', 'use', 'Telkomsel', 'slow', 'network', 'quota', 'expensive', 'moved', 'neighbor']</v>
      </c>
      <c r="D1327" s="3">
        <v>1.0</v>
      </c>
    </row>
    <row r="1328" ht="15.75" customHeight="1">
      <c r="A1328" s="1">
        <v>1326.0</v>
      </c>
      <c r="B1328" s="3" t="s">
        <v>1329</v>
      </c>
      <c r="C1328" s="3" t="str">
        <f>IFERROR(__xludf.DUMMYFUNCTION("GOOGLETRANSLATE(B1328,""id"",""en"")"),"['Update', 'HPNSAYA', 'already', 'Full', 'Load', 'Application', 'Learning', 'Untung', 'Online', 'Please', 'Reducin', 'Dungsss',' very', '']")</f>
        <v>['Update', 'HPNSAYA', 'already', 'Full', 'Load', 'Application', 'Learning', 'Untung', 'Online', 'Please', 'Reducin', 'Dungsss',' very', '']</v>
      </c>
      <c r="D1328" s="3">
        <v>3.0</v>
      </c>
    </row>
    <row r="1329" ht="15.75" customHeight="1">
      <c r="A1329" s="1">
        <v>1327.0</v>
      </c>
      <c r="B1329" s="3" t="s">
        <v>1330</v>
      </c>
      <c r="C1329" s="3" t="str">
        <f>IFERROR(__xludf.DUMMYFUNCTION("GOOGLETRANSLATE(B1329,""id"",""en"")"),"['Dear', 'Telkomsel', 'UDH', 'loyal', 'yrs',' replace ',' card ',' skrg ',' brought ',' tired ',' already ',' grapari ',' Come on ',' signalq ',' bet "", 'queue', 'smpe', 'response', 'please', 'pay', 'bill', 'card', 'hello', 'automatic', 'changed' , 'TTP'"&amp;", 'Upgrade', 'SMS', 'Bankingq', 'On', 'KPAN', 'MONEY', 'Enter', 'Moor', 'Details',' Money ',' Bln ',' Berepotin ',' service ',' quality ',' garbage ']")</f>
        <v>['Dear', 'Telkomsel', 'UDH', 'loyal', 'yrs',' replace ',' card ',' skrg ',' brought ',' tired ',' already ',' grapari ',' Come on ',' signalq ',' bet ", 'queue', 'smpe', 'response', 'please', 'pay', 'bill', 'card', 'hello', 'automatic', 'changed' , 'TTP', 'Upgrade', 'SMS', 'Bankingq', 'On', 'KPAN', 'MONEY', 'Enter', 'Moor', 'Details',' Money ',' Bln ',' Berepotin ',' service ',' quality ',' garbage ']</v>
      </c>
      <c r="D1329" s="3">
        <v>1.0</v>
      </c>
    </row>
    <row r="1330" ht="15.75" customHeight="1">
      <c r="A1330" s="1">
        <v>1328.0</v>
      </c>
      <c r="B1330" s="3" t="s">
        <v>1331</v>
      </c>
      <c r="C1330" s="3" t="str">
        <f>IFERROR(__xludf.DUMMYFUNCTION("GOOGLETRANSLATE(B1330,""id"",""en"")"),"['The network', 'severe', 'siqnal', 'lost', 'slow', 'buffering', 'mulu', 'already', 'pay', 'expensive', 'expensive', 'network', ' Error ',' Mulu ',' balance ',' pulse ',' sumps', 'ngak', 'name', 'provider', 'biggest', 'diindonesia', 'shy', 'nation', ""]")</f>
        <v>['The network', 'severe', 'siqnal', 'lost', 'slow', 'buffering', 'mulu', 'already', 'pay', 'expensive', 'expensive', 'network', ' Error ',' Mulu ',' balance ',' pulse ',' sumps', 'ngak', 'name', 'provider', 'biggest', 'diindonesia', 'shy', 'nation', "]</v>
      </c>
      <c r="D1330" s="3">
        <v>1.0</v>
      </c>
    </row>
    <row r="1331" ht="15.75" customHeight="1">
      <c r="A1331" s="1">
        <v>1329.0</v>
      </c>
      <c r="B1331" s="3" t="s">
        <v>1332</v>
      </c>
      <c r="C1331" s="3" t="str">
        <f>IFERROR(__xludf.DUMMYFUNCTION("GOOGLETRANSLATE(B1331,""id"",""en"")"),"['Jamin', 'Network', 'good', 'smooth', 'slow', 'severe', 'search', 'google', 'watch', 'slow', 'really', 'guarantee', ' Yanga ',' network ',' smooth ',' please ',' Dragus', 'network', 'Telkomsel', 'user', 'comfortable']")</f>
        <v>['Jamin', 'Network', 'good', 'smooth', 'slow', 'severe', 'search', 'google', 'watch', 'slow', 'really', 'guarantee', ' Yanga ',' network ',' smooth ',' please ',' Dragus', 'network', 'Telkomsel', 'user', 'comfortable']</v>
      </c>
      <c r="D1331" s="3">
        <v>2.0</v>
      </c>
    </row>
    <row r="1332" ht="15.75" customHeight="1">
      <c r="A1332" s="1">
        <v>1330.0</v>
      </c>
      <c r="B1332" s="3" t="s">
        <v>1333</v>
      </c>
      <c r="C1332" s="3" t="str">
        <f>IFERROR(__xludf.DUMMYFUNCTION("GOOGLETRANSLATE(B1332,""id"",""en"")"),"['Update', 'already', 'updated', 'MLH', 'opened', 'internet', 'expensive', 'network', 'slow', 'HBs',' rain ',' signal ',' ilang ',' severe ',' Telkomsel ',' thisii ']")</f>
        <v>['Update', 'already', 'updated', 'MLH', 'opened', 'internet', 'expensive', 'network', 'slow', 'HBs',' rain ',' signal ',' ilang ',' severe ',' Telkomsel ',' thisii ']</v>
      </c>
      <c r="D1332" s="3">
        <v>1.0</v>
      </c>
    </row>
    <row r="1333" ht="15.75" customHeight="1">
      <c r="A1333" s="1">
        <v>1331.0</v>
      </c>
      <c r="B1333" s="3" t="s">
        <v>1334</v>
      </c>
      <c r="C1333" s="3" t="str">
        <f>IFERROR(__xludf.DUMMYFUNCTION("GOOGLETRANSLATE(B1333,""id"",""en"")"),"['Slow', 'Costs', 'Transfer', 'Credit', 'expensive', 'Tianger', 'expensive', 'Hallo', 'Telkomsel', 'Fix']")</f>
        <v>['Slow', 'Costs', 'Transfer', 'Credit', 'expensive', 'Tianger', 'expensive', 'Hallo', 'Telkomsel', 'Fix']</v>
      </c>
      <c r="D1333" s="3">
        <v>2.0</v>
      </c>
    </row>
    <row r="1334" ht="15.75" customHeight="1">
      <c r="A1334" s="1">
        <v>1332.0</v>
      </c>
      <c r="B1334" s="3" t="s">
        <v>1335</v>
      </c>
      <c r="C1334" s="3" t="str">
        <f>IFERROR(__xludf.DUMMYFUNCTION("GOOGLETRANSLATE(B1334,""id"",""en"")"),"['apps', 'broken', 'bug', 'stop', 'taste', 'minimal', 'speks', ""]")</f>
        <v>['apps', 'broken', 'bug', 'stop', 'taste', 'minimal', 'speks', "]</v>
      </c>
      <c r="D1334" s="3">
        <v>3.0</v>
      </c>
    </row>
    <row r="1335" ht="15.75" customHeight="1">
      <c r="A1335" s="1">
        <v>1333.0</v>
      </c>
      <c r="B1335" s="3" t="s">
        <v>1336</v>
      </c>
      <c r="C1335" s="3" t="str">
        <f>IFERROR(__xludf.DUMMYFUNCTION("GOOGLETRANSLATE(B1335,""id"",""en"")"),"['already', 'update', 'kgak', 'open', 'already', 'so', 'signal', 'slow', 'intention', 'operator', 'kgak', 'ngnt', ' ']")</f>
        <v>['already', 'update', 'kgak', 'open', 'already', 'so', 'signal', 'slow', 'intention', 'operator', 'kgak', 'ngnt', ' ']</v>
      </c>
      <c r="D1335" s="3">
        <v>1.0</v>
      </c>
    </row>
    <row r="1336" ht="15.75" customHeight="1">
      <c r="A1336" s="1">
        <v>1334.0</v>
      </c>
      <c r="B1336" s="3" t="s">
        <v>1337</v>
      </c>
      <c r="C1336" s="3" t="str">
        <f>IFERROR(__xludf.DUMMYFUNCTION("GOOGLETRANSLATE(B1336,""id"",""en"")"),"['Credit', 'Cutting', 'Krna', 'Forgot', 'Matiin', 'Data', 'Cellular', 'Quota', 'Hbis',' Please ',' Feature ',' Key ',' Credit ',' Genesis', 'LGI', '']")</f>
        <v>['Credit', 'Cutting', 'Krna', 'Forgot', 'Matiin', 'Data', 'Cellular', 'Quota', 'Hbis',' Please ',' Feature ',' Key ',' Credit ',' Genesis', 'LGI', '']</v>
      </c>
      <c r="D1336" s="3">
        <v>1.0</v>
      </c>
    </row>
    <row r="1337" ht="15.75" customHeight="1">
      <c r="A1337" s="1">
        <v>1335.0</v>
      </c>
      <c r="B1337" s="3" t="s">
        <v>1338</v>
      </c>
      <c r="C1337" s="3" t="str">
        <f>IFERROR(__xludf.DUMMYFUNCTION("GOOGLETRANSLATE(B1337,""id"",""en"")"),"['application', 'help', 'makes it easy', 'transaction', 'promo', 'information', 'feature', 'latest', 'ter', 'update', 'user', 'card', ' Telkomsel ',' serious', 'application', 'Good', '']")</f>
        <v>['application', 'help', 'makes it easy', 'transaction', 'promo', 'information', 'feature', 'latest', 'ter', 'update', 'user', 'card', ' Telkomsel ',' serious', 'application', 'Good', '']</v>
      </c>
      <c r="D1337" s="3">
        <v>5.0</v>
      </c>
    </row>
    <row r="1338" ht="15.75" customHeight="1">
      <c r="A1338" s="1">
        <v>1336.0</v>
      </c>
      <c r="B1338" s="3" t="s">
        <v>1339</v>
      </c>
      <c r="C1338" s="3" t="str">
        <f>IFERROR(__xludf.DUMMYFUNCTION("GOOGLETRANSLATE(B1338,""id"",""en"")"),"['Immediately', 'Indihome', 'Experiencing', 'Disruption', 'Package', 'Data', 'Telkomsel', 'Meeting', 'Online', 'Following', 'Current', ' The signal ',' Good ',' ']")</f>
        <v>['Immediately', 'Indihome', 'Experiencing', 'Disruption', 'Package', 'Data', 'Telkomsel', 'Meeting', 'Online', 'Following', 'Current', ' The signal ',' Good ',' ']</v>
      </c>
      <c r="D1338" s="3">
        <v>4.0</v>
      </c>
    </row>
    <row r="1339" ht="15.75" customHeight="1">
      <c r="A1339" s="1">
        <v>1337.0</v>
      </c>
      <c r="B1339" s="3" t="s">
        <v>1340</v>
      </c>
      <c r="C1339" s="3" t="str">
        <f>IFERROR(__xludf.DUMMYFUNCTION("GOOGLETRANSLATE(B1339,""id"",""en"")"),"['Sorry', 'knp', 'udh', 'buy', 'package', 'pulse', 'lost', 'package', 'ngk', 'kantel', 'pulse', 'hbis']")</f>
        <v>['Sorry', 'knp', 'udh', 'buy', 'package', 'pulse', 'lost', 'package', 'ngk', 'kantel', 'pulse', 'hbis']</v>
      </c>
      <c r="D1339" s="3">
        <v>3.0</v>
      </c>
    </row>
    <row r="1340" ht="15.75" customHeight="1">
      <c r="A1340" s="1">
        <v>1338.0</v>
      </c>
      <c r="B1340" s="3" t="s">
        <v>1341</v>
      </c>
      <c r="C1340" s="3" t="str">
        <f>IFERROR(__xludf.DUMMYFUNCTION("GOOGLETRANSLATE(B1340,""id"",""en"")"),"['signal', 'severe', 'price', 'muahal', 'ignorant', 'boss', 'number', 'business', 'already', 'dispose']")</f>
        <v>['signal', 'severe', 'price', 'muahal', 'ignorant', 'boss', 'number', 'business', 'already', 'dispose']</v>
      </c>
      <c r="D1340" s="3">
        <v>1.0</v>
      </c>
    </row>
    <row r="1341" ht="15.75" customHeight="1">
      <c r="A1341" s="1">
        <v>1339.0</v>
      </c>
      <c r="B1341" s="3" t="s">
        <v>1342</v>
      </c>
      <c r="C1341" s="3" t="str">
        <f>IFERROR(__xludf.DUMMYFUNCTION("GOOGLETRANSLATE(B1341,""id"",""en"")"),"['Please', 'min', 'already', 'tsel', 'bad', 'really', 'net', 'use', 'tsel', 'already', 'package', 'expensive', ' Pancel ',' Stay ',' Tsel ',' Network ',' Good ',' It's', 'Severe', 'Very', 'Sousal', '']")</f>
        <v>['Please', 'min', 'already', 'tsel', 'bad', 'really', 'net', 'use', 'tsel', 'already', 'package', 'expensive', ' Pancel ',' Stay ',' Tsel ',' Network ',' Good ',' It's', 'Severe', 'Very', 'Sousal', '']</v>
      </c>
      <c r="D1341" s="3">
        <v>1.0</v>
      </c>
    </row>
    <row r="1342" ht="15.75" customHeight="1">
      <c r="A1342" s="1">
        <v>1340.0</v>
      </c>
      <c r="B1342" s="3" t="s">
        <v>1343</v>
      </c>
      <c r="C1342" s="3" t="str">
        <f>IFERROR(__xludf.DUMMYFUNCTION("GOOGLETRANSLATE(B1342,""id"",""en"")"),"['Please', 'fix', 'school', 'sometimes', 'experience', 'lag']")</f>
        <v>['Please', 'fix', 'school', 'sometimes', 'experience', 'lag']</v>
      </c>
      <c r="D1342" s="3">
        <v>4.0</v>
      </c>
    </row>
    <row r="1343" ht="15.75" customHeight="1">
      <c r="A1343" s="1">
        <v>1341.0</v>
      </c>
      <c r="B1343" s="3" t="s">
        <v>1344</v>
      </c>
      <c r="C1343" s="3" t="str">
        <f>IFERROR(__xludf.DUMMYFUNCTION("GOOGLETRANSLATE(B1343,""id"",""en"")"),"['price', 'expensive', 'quality', 'downhill', 'internet', 'good', 'Indonesia', 'quality', 'kek', 'gini', ""]")</f>
        <v>['price', 'expensive', 'quality', 'downhill', 'internet', 'good', 'Indonesia', 'quality', 'kek', 'gini', "]</v>
      </c>
      <c r="D1343" s="3">
        <v>1.0</v>
      </c>
    </row>
    <row r="1344" ht="15.75" customHeight="1">
      <c r="A1344" s="1">
        <v>1342.0</v>
      </c>
      <c r="B1344" s="3" t="s">
        <v>1345</v>
      </c>
      <c r="C1344" s="3" t="str">
        <f>IFERROR(__xludf.DUMMYFUNCTION("GOOGLETRANSLATE(B1344,""id"",""en"")"),"['quota', 'gamemax', 'silver', 'functioning', 'ngeapain', 'sell', 'try', 'play', 'game', 'mlbb', 'pub', 'etc.', ' Results', 'Mending', 'Package', 'Gamemax', 'Silver', 'Delete', 'Victim', ""]")</f>
        <v>['quota', 'gamemax', 'silver', 'functioning', 'ngeapain', 'sell', 'try', 'play', 'game', 'mlbb', 'pub', 'etc.', ' Results', 'Mending', 'Package', 'Gamemax', 'Silver', 'Delete', 'Victim', "]</v>
      </c>
      <c r="D1344" s="3">
        <v>1.0</v>
      </c>
    </row>
    <row r="1345" ht="15.75" customHeight="1">
      <c r="A1345" s="1">
        <v>1343.0</v>
      </c>
      <c r="B1345" s="3" t="s">
        <v>1346</v>
      </c>
      <c r="C1345" s="3" t="str">
        <f>IFERROR(__xludf.DUMMYFUNCTION("GOOGLETRANSLATE(B1345,""id"",""en"")"),"['Management', 'Most', 'Corruption', 'The Network', 'Ancur', 'Mending', 'Tumbangin', 'Tower', 'Tower', 'Sepay', 'Already', 'Price', ' quota ',' expensive ',' forgiveness', 'service', 'threat', 'pedahal', 'BUMN', 'threat', 'the network', 'stupid', 'his man"&amp;"agement', 'his commissioner', 'idiot' , 'Bangt', 'Mending', 'Disband']")</f>
        <v>['Management', 'Most', 'Corruption', 'The Network', 'Ancur', 'Mending', 'Tumbangin', 'Tower', 'Tower', 'Sepay', 'Already', 'Price', ' quota ',' expensive ',' forgiveness', 'service', 'threat', 'pedahal', 'BUMN', 'threat', 'the network', 'stupid', 'his management', 'his commissioner', 'idiot' , 'Bangt', 'Mending', 'Disband']</v>
      </c>
      <c r="D1345" s="3">
        <v>1.0</v>
      </c>
    </row>
    <row r="1346" ht="15.75" customHeight="1">
      <c r="A1346" s="1">
        <v>1344.0</v>
      </c>
      <c r="B1346" s="3" t="s">
        <v>1347</v>
      </c>
      <c r="C1346" s="3" t="str">
        <f>IFERROR(__xludf.DUMMYFUNCTION("GOOGLETRANSLATE(B1346,""id"",""en"")"),"['Gajelas',' network ',' Telkomsel ',' Yakali ',' urban ',' network ',' just ',' quota ',' doang ',' expensive ',' network ',' bad ',' Provider ']")</f>
        <v>['Gajelas',' network ',' Telkomsel ',' Yakali ',' urban ',' network ',' just ',' quota ',' doang ',' expensive ',' network ',' bad ',' Provider ']</v>
      </c>
      <c r="D1346" s="3">
        <v>1.0</v>
      </c>
    </row>
    <row r="1347" ht="15.75" customHeight="1">
      <c r="A1347" s="1">
        <v>1345.0</v>
      </c>
      <c r="B1347" s="3" t="s">
        <v>1348</v>
      </c>
      <c r="C1347" s="3" t="str">
        <f>IFERROR(__xludf.DUMMYFUNCTION("GOOGLETRANSLATE(B1347,""id"",""en"")"),"['Beginner', 'Install', 'Application', 'SBLM', 'Love', 'Value', 'Best', 'Try', ""]")</f>
        <v>['Beginner', 'Install', 'Application', 'SBLM', 'Love', 'Value', 'Best', 'Try', "]</v>
      </c>
      <c r="D1347" s="3">
        <v>4.0</v>
      </c>
    </row>
    <row r="1348" ht="15.75" customHeight="1">
      <c r="A1348" s="1">
        <v>1346.0</v>
      </c>
      <c r="B1348" s="3" t="s">
        <v>1349</v>
      </c>
      <c r="C1348" s="3" t="str">
        <f>IFERROR(__xludf.DUMMYFUNCTION("GOOGLETRANSLATE(B1348,""id"",""en"")"),"['Please', 'repaired', 'Kouta', 'AKTF', 'Kouta', 'Internet', 'Data', 'On', 'Credit', 'Di Consed', 'Sumpot', ""]")</f>
        <v>['Please', 'repaired', 'Kouta', 'AKTF', 'Kouta', 'Internet', 'Data', 'On', 'Credit', 'Di Consed', 'Sumpot', "]</v>
      </c>
      <c r="D1348" s="3">
        <v>3.0</v>
      </c>
    </row>
    <row r="1349" ht="15.75" customHeight="1">
      <c r="A1349" s="1">
        <v>1347.0</v>
      </c>
      <c r="B1349" s="3" t="s">
        <v>1350</v>
      </c>
      <c r="C1349" s="3" t="str">
        <f>IFERROR(__xludf.DUMMYFUNCTION("GOOGLETRANSLATE(B1349,""id"",""en"")"),"['right', 'open', 'APK', 'told', 'Update', 'turn', 'already', 'Update', 'Tetep', 'Sruh', 'Update', 'Telkomsel', ' Open ',' Bener ',' ']")</f>
        <v>['right', 'open', 'APK', 'told', 'Update', 'turn', 'already', 'Update', 'Tetep', 'Sruh', 'Update', 'Telkomsel', ' Open ',' Bener ',' ']</v>
      </c>
      <c r="D1349" s="3">
        <v>1.0</v>
      </c>
    </row>
    <row r="1350" ht="15.75" customHeight="1">
      <c r="A1350" s="1">
        <v>1348.0</v>
      </c>
      <c r="B1350" s="3" t="s">
        <v>1351</v>
      </c>
      <c r="C1350" s="3" t="str">
        <f>IFERROR(__xludf.DUMMYFUNCTION("GOOGLETRANSLATE(B1350,""id"",""en"")"),"['Contents',' Package ',' Combo ',' Sakti ',' Monthly ',' thousand ',' Credit ',' Cut ',' Wait ',' Wait ',' Refund ',' already ',' a week ',' news', 'already', 'complain', 'times',' paraaahhhhh ',' be helped ',' pulses']")</f>
        <v>['Contents',' Package ',' Combo ',' Sakti ',' Monthly ',' thousand ',' Credit ',' Cut ',' Wait ',' Wait ',' Refund ',' already ',' a week ',' news', 'already', 'complain', 'times',' paraaahhhhh ',' be helped ',' pulses']</v>
      </c>
      <c r="D1350" s="3">
        <v>1.0</v>
      </c>
    </row>
    <row r="1351" ht="15.75" customHeight="1">
      <c r="A1351" s="1">
        <v>1349.0</v>
      </c>
      <c r="B1351" s="3" t="s">
        <v>1352</v>
      </c>
      <c r="C1351" s="3" t="str">
        <f>IFERROR(__xludf.DUMMYFUNCTION("GOOGLETRANSLATE(B1351,""id"",""en"")"),"['check', 'review', 'positive', 'contents',' reviews', 'negative', 'check', 'review', 'negative', 'severe', 'contents',' Telkomsel ',' Fix ',' bankrupt ',' abandoned ',' your customer ',' ']")</f>
        <v>['check', 'review', 'positive', 'contents',' reviews', 'negative', 'check', 'review', 'negative', 'severe', 'contents',' Telkomsel ',' Fix ',' bankrupt ',' abandoned ',' your customer ',' ']</v>
      </c>
      <c r="D1351" s="3">
        <v>2.0</v>
      </c>
    </row>
    <row r="1352" ht="15.75" customHeight="1">
      <c r="A1352" s="1">
        <v>1350.0</v>
      </c>
      <c r="B1352" s="3" t="s">
        <v>1353</v>
      </c>
      <c r="C1352" s="3" t="str">
        <f>IFERROR(__xludf.DUMMYFUNCTION("GOOGLETRANSLATE(B1352,""id"",""en"")"),"['Help', 'choose', 'purchase', 'package', 'pulse', 'discount', 'price']")</f>
        <v>['Help', 'choose', 'purchase', 'package', 'pulse', 'discount', 'price']</v>
      </c>
      <c r="D1352" s="3">
        <v>5.0</v>
      </c>
    </row>
    <row r="1353" ht="15.75" customHeight="1">
      <c r="A1353" s="1">
        <v>1351.0</v>
      </c>
      <c r="B1353" s="3" t="s">
        <v>1354</v>
      </c>
      <c r="C1353" s="3" t="str">
        <f>IFERROR(__xludf.DUMMYFUNCTION("GOOGLETRANSLATE(B1353,""id"",""en"")"),"['shoulders',' star ',' Telkomsel ',' slow ',' severe ',' jerang ',' mending ',' sell ',' package ',' expensive ',' deh ',' bagan ',' im ',' Telkomsel ',' honest ',' disappointed ',' ama ',' card ',' expensive ']")</f>
        <v>['shoulders',' star ',' Telkomsel ',' slow ',' severe ',' jerang ',' mending ',' sell ',' package ',' expensive ',' deh ',' bagan ',' im ',' Telkomsel ',' honest ',' disappointed ',' ama ',' card ',' expensive ']</v>
      </c>
      <c r="D1353" s="3">
        <v>1.0</v>
      </c>
    </row>
    <row r="1354" ht="15.75" customHeight="1">
      <c r="A1354" s="1">
        <v>1352.0</v>
      </c>
      <c r="B1354" s="3" t="s">
        <v>1355</v>
      </c>
      <c r="C1354" s="3" t="str">
        <f>IFERROR(__xludf.DUMMYFUNCTION("GOOGLETRANSLATE(B1354,""id"",""en"")"),"['Try', 'Mode', 'Off', 'Line', 'Application', 'Telkomsel', 'Buy', 'Package', 'Data', 'Nebeng', 'HostPot', 'right', ' Data ',' run out ',' recommended ',' really ',' thanks', '']")</f>
        <v>['Try', 'Mode', 'Off', 'Line', 'Application', 'Telkomsel', 'Buy', 'Package', 'Data', 'Nebeng', 'HostPot', 'right', ' Data ',' run out ',' recommended ',' really ',' thanks', '']</v>
      </c>
      <c r="D1354" s="3">
        <v>4.0</v>
      </c>
    </row>
    <row r="1355" ht="15.75" customHeight="1">
      <c r="A1355" s="1">
        <v>1353.0</v>
      </c>
      <c r="B1355" s="3" t="s">
        <v>1356</v>
      </c>
      <c r="C1355" s="3" t="str">
        <f>IFERROR(__xludf.DUMMYFUNCTION("GOOGLETRANSLATE(B1355,""id"",""en"")"),"['Please', 'Telkomsel', 'Network', 'Telkomsel', 'Fix', 'Harm', 'User', 'Yesterday', 'Sampe', 'Morning', 'Network', 'Experience', ' Severe ',' Considered ',' Absent ',' Teacher ',' Gara ',' Condition ',' Network ',' Normal ']")</f>
        <v>['Please', 'Telkomsel', 'Network', 'Telkomsel', 'Fix', 'Harm', 'User', 'Yesterday', 'Sampe', 'Morning', 'Network', 'Experience', ' Severe ',' Considered ',' Absent ',' Teacher ',' Gara ',' Condition ',' Network ',' Normal ']</v>
      </c>
      <c r="D1355" s="3">
        <v>1.0</v>
      </c>
    </row>
    <row r="1356" ht="15.75" customHeight="1">
      <c r="A1356" s="1">
        <v>1354.0</v>
      </c>
      <c r="B1356" s="3" t="s">
        <v>1357</v>
      </c>
      <c r="C1356" s="3" t="str">
        <f>IFERROR(__xludf.DUMMYFUNCTION("GOOGLETRANSLATE(B1356,""id"",""en"")"),"['woi', 'tsel', 'knp', 'cave', 'package', 'gabisa', 'pulse', 'cave', 'abis',' sumps', 'package', 'entry', ' Bner ',' ']")</f>
        <v>['woi', 'tsel', 'knp', 'cave', 'package', 'gabisa', 'pulse', 'cave', 'abis',' sumps', 'package', 'entry', ' Bner ',' ']</v>
      </c>
      <c r="D1356" s="3">
        <v>1.0</v>
      </c>
    </row>
    <row r="1357" ht="15.75" customHeight="1">
      <c r="A1357" s="1">
        <v>1355.0</v>
      </c>
      <c r="B1357" s="3" t="s">
        <v>1358</v>
      </c>
      <c r="C1357" s="3" t="str">
        <f>IFERROR(__xludf.DUMMYFUNCTION("GOOGLETRANSLATE(B1357,""id"",""en"")"),"['Sorry', 'Min', 'Love', 'Bintang', 'Buy', 'Quota', 'Sakti', 'Combo', 'Multimedia', 'Quota', 'Access',' Shopee ',' slow ',' already ',' smooth ',' kayak ',' Tiktok ',' Yutube ',' shopee ',' slow ',' already ',' buy ',' expensive ', ""]")</f>
        <v>['Sorry', 'Min', 'Love', 'Bintang', 'Buy', 'Quota', 'Sakti', 'Combo', 'Multimedia', 'Quota', 'Access',' Shopee ',' slow ',' already ',' smooth ',' kayak ',' Tiktok ',' Yutube ',' shopee ',' slow ',' already ',' buy ',' expensive ', "]</v>
      </c>
      <c r="D1357" s="3">
        <v>2.0</v>
      </c>
    </row>
    <row r="1358" ht="15.75" customHeight="1">
      <c r="A1358" s="1">
        <v>1356.0</v>
      </c>
      <c r="B1358" s="3" t="s">
        <v>1359</v>
      </c>
      <c r="C1358" s="3" t="str">
        <f>IFERROR(__xludf.DUMMYFUNCTION("GOOGLETRANSLATE(B1358,""id"",""en"")"),"['Switch', 'IM', 'price', 'DPAT', 'quota', 'GB', 'clock', 'share', 'quality', 'Telkomsel', 'pdahal', 'sympathy', ' Loop ',' use ',' pulse ',' buy ',' quota ',' point ',' exchange ',' jwban ',' access', 'learn', 'telkomsel', 'dpat', 'promo' , 'Cheap', 'Tel"&amp;"komsel', 'already', 'buy', 'expensive', 'quality']")</f>
        <v>['Switch', 'IM', 'price', 'DPAT', 'quota', 'GB', 'clock', 'share', 'quality', 'Telkomsel', 'pdahal', 'sympathy', ' Loop ',' use ',' pulse ',' buy ',' quota ',' point ',' exchange ',' jwban ',' access', 'learn', 'telkomsel', 'dpat', 'promo' , 'Cheap', 'Telkomsel', 'already', 'buy', 'expensive', 'quality']</v>
      </c>
      <c r="D1358" s="3">
        <v>1.0</v>
      </c>
    </row>
    <row r="1359" ht="15.75" customHeight="1">
      <c r="A1359" s="1">
        <v>1357.0</v>
      </c>
      <c r="B1359" s="3" t="s">
        <v>1360</v>
      </c>
      <c r="C1359" s="3" t="str">
        <f>IFERROR(__xludf.DUMMYFUNCTION("GOOGLETRANSLATE(B1359,""id"",""en"")"),"['Telkomsel', 'signal', 'slow', 'suggestion', 'ush', 'buy', 'quota', 'telkomsel', 'yng', 'right', 'signal', 'ugly', ' Telkomsel ']")</f>
        <v>['Telkomsel', 'signal', 'slow', 'suggestion', 'ush', 'buy', 'quota', 'telkomsel', 'yng', 'right', 'signal', 'ugly', ' Telkomsel ']</v>
      </c>
      <c r="D1359" s="3">
        <v>1.0</v>
      </c>
    </row>
    <row r="1360" ht="15.75" customHeight="1">
      <c r="A1360" s="1">
        <v>1358.0</v>
      </c>
      <c r="B1360" s="3" t="s">
        <v>1361</v>
      </c>
      <c r="C1360" s="3" t="str">
        <f>IFERROR(__xludf.DUMMYFUNCTION("GOOGLETRANSLATE(B1360,""id"",""en"")"),"['easy', 'buy', 'package', 'pulse', 'fast', 'check', 'package', 'left']")</f>
        <v>['easy', 'buy', 'package', 'pulse', 'fast', 'check', 'package', 'left']</v>
      </c>
      <c r="D1360" s="3">
        <v>4.0</v>
      </c>
    </row>
    <row r="1361" ht="15.75" customHeight="1">
      <c r="A1361" s="1">
        <v>1359.0</v>
      </c>
      <c r="B1361" s="3" t="s">
        <v>1362</v>
      </c>
      <c r="C1361" s="3" t="str">
        <f>IFERROR(__xludf.DUMMYFUNCTION("GOOGLETRANSLATE(B1361,""id"",""en"")"),"['hmm', 'strength', 'network', 'kayak', 'limit', 'open', 'mobile', 'legend', 'network', 'direct', 'down', 'open', ' APK ',' Not bad ',' smooth ',' slow ',' quota ',' quota ',' local ',' open ',' APK ',' mobile ',' legend ',' quota ',' game ' , 'Painty', '"&amp;"UDH', 'Kyk', 'Axi', ""]")</f>
        <v>['hmm', 'strength', 'network', 'kayak', 'limit', 'open', 'mobile', 'legend', 'network', 'direct', 'down', 'open', ' APK ',' Not bad ',' smooth ',' slow ',' quota ',' quota ',' local ',' open ',' APK ',' mobile ',' legend ',' quota ',' game ' , 'Painty', 'UDH', 'Kyk', 'Axi', "]</v>
      </c>
      <c r="D1361" s="3">
        <v>1.0</v>
      </c>
    </row>
    <row r="1362" ht="15.75" customHeight="1">
      <c r="A1362" s="1">
        <v>1360.0</v>
      </c>
      <c r="B1362" s="3" t="s">
        <v>1363</v>
      </c>
      <c r="C1362" s="3" t="str">
        <f>IFERROR(__xludf.DUMMYFUNCTION("GOOGLETRANSLATE(B1362,""id"",""en"")"),"['expensive', 'purchase', 'package', 'quota', 'comparing', 'inverted', 'speed', 'internet', 'slow', 'package', 'bundling', 'internet', ' Ngilake ',' tip ',' tip ',' drained ',' pulse ',' please ',' made ',' package ',' internet ',' complete ',' all ',' on"&amp;"e ',' all ' , 'service', 'cost', 'sdkit', 'cheap', 'then', 'apply', 'package', 'already', 'finished', 'pulse', 'sucked', 'finished', ' off ',' sucked ',' pulses', 'please', 'noticed', 'complaints',' customer ',' loyal ']")</f>
        <v>['expensive', 'purchase', 'package', 'quota', 'comparing', 'inverted', 'speed', 'internet', 'slow', 'package', 'bundling', 'internet', ' Ngilake ',' tip ',' tip ',' drained ',' pulse ',' please ',' made ',' package ',' internet ',' complete ',' all ',' one ',' all ' , 'service', 'cost', 'sdkit', 'cheap', 'then', 'apply', 'package', 'already', 'finished', 'pulse', 'sucked', 'finished', ' off ',' sucked ',' pulses', 'please', 'noticed', 'complaints',' customer ',' loyal ']</v>
      </c>
      <c r="D1362" s="3">
        <v>1.0</v>
      </c>
    </row>
    <row r="1363" ht="15.75" customHeight="1">
      <c r="A1363" s="1">
        <v>1361.0</v>
      </c>
      <c r="B1363" s="3" t="s">
        <v>1364</v>
      </c>
      <c r="C1363" s="3" t="str">
        <f>IFERROR(__xludf.DUMMYFUNCTION("GOOGLETRANSLATE(B1363,""id"",""en"")"),"['Sorry', 'Switch', 'card', 'Hello', 'Qeatured', 'Turnling', 'Switch', 'Number', 'Contact', 'Buy', 'Package', 'Details',' Bills', 'Gapari', 'Network', 'Good', 'Thank you', 'Tekomsel', 'Switch', 'Card', '']")</f>
        <v>['Sorry', 'Switch', 'card', 'Hello', 'Qeatured', 'Turnling', 'Switch', 'Number', 'Contact', 'Buy', 'Package', 'Details',' Bills', 'Gapari', 'Network', 'Good', 'Thank you', 'Tekomsel', 'Switch', 'Card', '']</v>
      </c>
      <c r="D1363" s="3">
        <v>1.0</v>
      </c>
    </row>
    <row r="1364" ht="15.75" customHeight="1">
      <c r="A1364" s="1">
        <v>1362.0</v>
      </c>
      <c r="B1364" s="3" t="s">
        <v>1365</v>
      </c>
      <c r="C1364" s="3" t="str">
        <f>IFERROR(__xludf.DUMMYFUNCTION("GOOGLETRANSLATE(B1364,""id"",""en"")"),"['buy', 'package', 'unlimited', 'quota', 'main', 'run out', 'package', 'unlimited', 'use', 'emang', 'zoning', 'appears',' Eliglible ',' buy ',' package ',' expensive ',' use ',' fraud ',' Telkomsel ',' healthy ']")</f>
        <v>['buy', 'package', 'unlimited', 'quota', 'main', 'run out', 'package', 'unlimited', 'use', 'emang', 'zoning', 'appears',' Eliglible ',' buy ',' package ',' expensive ',' use ',' fraud ',' Telkomsel ',' healthy ']</v>
      </c>
      <c r="D1364" s="3">
        <v>1.0</v>
      </c>
    </row>
    <row r="1365" ht="15.75" customHeight="1">
      <c r="A1365" s="1">
        <v>1363.0</v>
      </c>
      <c r="B1365" s="3" t="s">
        <v>1366</v>
      </c>
      <c r="C1365" s="3" t="str">
        <f>IFERROR(__xludf.DUMMYFUNCTION("GOOGLETRANSLATE(B1365,""id"",""en"")"),"['practical', 'buy', 'pulse', 'package', 'data', 'check', 'pulse', 'package', 'data', 'send', 'pulse', 'package', ' data ',' interesting ',' program ',' dailycek ',' play ',' game ',' fortunate ']")</f>
        <v>['practical', 'buy', 'pulse', 'package', 'data', 'check', 'pulse', 'package', 'data', 'send', 'pulse', 'package', ' data ',' interesting ',' program ',' dailycek ',' play ',' game ',' fortunate ']</v>
      </c>
      <c r="D1365" s="3">
        <v>5.0</v>
      </c>
    </row>
    <row r="1366" ht="15.75" customHeight="1">
      <c r="A1366" s="1">
        <v>1364.0</v>
      </c>
      <c r="B1366" s="3" t="s">
        <v>1367</v>
      </c>
      <c r="C1366" s="3" t="str">
        <f>IFERROR(__xludf.DUMMYFUNCTION("GOOGLETRANSLATE(B1366,""id"",""en"")"),"['Disappointed', 'Telkomsel', 'Karna', 'here', 'price', 'quota', 'expensive', 'already', 'that's',' signal ',' slow ',' please ',' Telkomsel ',' Please ',' Fix ',' Price ',' Quotes', 'Moved', 'Duludulu', 'Kasian', 'Student', 'at home', 'Price', 'quota', '"&amp;"expensive' , 'already', 'that's', 'please', 'restore', 'quota', 'unlimited', 'monthly', 'Please', 'very very "",' Telkomsel ',' because ',' quota ',' Cheap ',' Student ',' ']")</f>
        <v>['Disappointed', 'Telkomsel', 'Karna', 'here', 'price', 'quota', 'expensive', 'already', 'that's',' signal ',' slow ',' please ',' Telkomsel ',' Please ',' Fix ',' Price ',' Quotes', 'Moved', 'Duludulu', 'Kasian', 'Student', 'at home', 'Price', 'quota', 'expensive' , 'already', 'that's', 'please', 'restore', 'quota', 'unlimited', 'monthly', 'Please', 'very very ",' Telkomsel ',' because ',' quota ',' Cheap ',' Student ',' ']</v>
      </c>
      <c r="D1366" s="3">
        <v>1.0</v>
      </c>
    </row>
    <row r="1367" ht="15.75" customHeight="1">
      <c r="A1367" s="1">
        <v>1365.0</v>
      </c>
      <c r="B1367" s="3" t="s">
        <v>1368</v>
      </c>
      <c r="C1367" s="3" t="str">
        <f>IFERROR(__xludf.DUMMYFUNCTION("GOOGLETRANSLATE(B1367,""id"",""en"")"),"['network', 'internet', 'stable', 'network', 'full', 'rates', 'expensive']")</f>
        <v>['network', 'internet', 'stable', 'network', 'full', 'rates', 'expensive']</v>
      </c>
      <c r="D1367" s="3">
        <v>3.0</v>
      </c>
    </row>
    <row r="1368" ht="15.75" customHeight="1">
      <c r="A1368" s="1">
        <v>1366.0</v>
      </c>
      <c r="B1368" s="3" t="s">
        <v>1369</v>
      </c>
      <c r="C1368" s="3" t="str">
        <f>IFERROR(__xludf.DUMMYFUNCTION("GOOGLETRANSLATE(B1368,""id"",""en"")"),"['disappointing', 'disappointing', 'purchase', 'quota', 'internet', 'expensive', 'disappointed', '']")</f>
        <v>['disappointing', 'disappointing', 'purchase', 'quota', 'internet', 'expensive', 'disappointed', '']</v>
      </c>
      <c r="D1368" s="3">
        <v>1.0</v>
      </c>
    </row>
    <row r="1369" ht="15.75" customHeight="1">
      <c r="A1369" s="1">
        <v>1367.0</v>
      </c>
      <c r="B1369" s="3" t="s">
        <v>1370</v>
      </c>
      <c r="C1369" s="3" t="str">
        <f>IFERROR(__xludf.DUMMYFUNCTION("GOOGLETRANSLATE(B1369,""id"",""en"")"),"['signal', 'bad', 'play', 'game', 'lag', 'price', 'quota', 'expensive', 'TPI', 'service', 'bad', 'repaired', ' Stop ',' Telkomsel ',' ']")</f>
        <v>['signal', 'bad', 'play', 'game', 'lag', 'price', 'quota', 'expensive', 'TPI', 'service', 'bad', 'repaired', ' Stop ',' Telkomsel ',' ']</v>
      </c>
      <c r="D1369" s="3">
        <v>1.0</v>
      </c>
    </row>
    <row r="1370" ht="15.75" customHeight="1">
      <c r="A1370" s="1">
        <v>1368.0</v>
      </c>
      <c r="B1370" s="3" t="s">
        <v>1371</v>
      </c>
      <c r="C1370" s="3" t="str">
        <f>IFERROR(__xludf.DUMMYFUNCTION("GOOGLETRANSLATE(B1370,""id"",""en"")"),"['Sentome', 'fast', 'network', 'ugly', 'buy', 'package', 'expensive', 'network', 'ugly', 'delicious', 'use', 'tri']")</f>
        <v>['Sentome', 'fast', 'network', 'ugly', 'buy', 'package', 'expensive', 'network', 'ugly', 'delicious', 'use', 'tri']</v>
      </c>
      <c r="D1370" s="3">
        <v>1.0</v>
      </c>
    </row>
    <row r="1371" ht="15.75" customHeight="1">
      <c r="A1371" s="1">
        <v>1369.0</v>
      </c>
      <c r="B1371" s="3" t="s">
        <v>1372</v>
      </c>
      <c r="C1371" s="3" t="str">
        <f>IFERROR(__xludf.DUMMYFUNCTION("GOOGLETRANSLATE(B1371,""id"",""en"")"),"['I', 'Asik', 'Telkomsel', 'smooth', 'Jaya', 'slow', 'suggestion', 'quota', 'multimedia', 'made', 'slow', 'donk', ' Shame ',' So slow ',' slow ',' ']")</f>
        <v>['I', 'Asik', 'Telkomsel', 'smooth', 'Jaya', 'slow', 'suggestion', 'quota', 'multimedia', 'made', 'slow', 'donk', ' Shame ',' So slow ',' slow ',' ']</v>
      </c>
      <c r="D1371" s="3">
        <v>5.0</v>
      </c>
    </row>
    <row r="1372" ht="15.75" customHeight="1">
      <c r="A1372" s="1">
        <v>1370.0</v>
      </c>
      <c r="B1372" s="3" t="s">
        <v>1373</v>
      </c>
      <c r="C1372" s="3" t="str">
        <f>IFERROR(__xludf.DUMMYFUNCTION("GOOGLETRANSLATE(B1372,""id"",""en"")"),"['difficult', 'mah', 'the application', 'upgrade', 'cellphone', 'user', 'loyal', 'Telkomsel', 'proclaim', 'network', 'the strongest', 'the widest', ' Indonesia ',' in fact ',' signal ',' ugly ',' price ',' quota ',' area ',' mountains', 'signal', 'Ancurrr"&amp;"r']")</f>
        <v>['difficult', 'mah', 'the application', 'upgrade', 'cellphone', 'user', 'loyal', 'Telkomsel', 'proclaim', 'network', 'the strongest', 'the widest', ' Indonesia ',' in fact ',' signal ',' ugly ',' price ',' quota ',' area ',' mountains', 'signal', 'Ancurrrr']</v>
      </c>
      <c r="D1372" s="3">
        <v>1.0</v>
      </c>
    </row>
    <row r="1373" ht="15.75" customHeight="1">
      <c r="A1373" s="1">
        <v>1371.0</v>
      </c>
      <c r="B1373" s="3" t="s">
        <v>1374</v>
      </c>
      <c r="C1373" s="3" t="str">
        <f>IFERROR(__xludf.DUMMYFUNCTION("GOOGLETRANSLATE(B1373,""id"",""en"")"),"['', 'description', 'subscription', 'premiere', 'video', 'right', 'tried', 'said', 'number', 'subscribe', 'sms',' free ',' subscribe ',' Disney ',' hotstar ',' plus', 'tried', 'login', 'apps',' hotstar ',' kagak ',' sms', 'call', 'login', 'program', 'chec"&amp;"k', 'apps',' wrong ',' only ',' balance ',' link ',' worth ',' rb ',' gierch ',' claim ',' said ',' error ',' balance ',' kagak ',' wkwkwk ',' provider ',' operator ',' The ',' Best ',' abal ',' fate ', ""]")</f>
        <v>['', 'description', 'subscription', 'premiere', 'video', 'right', 'tried', 'said', 'number', 'subscribe', 'sms',' free ',' subscribe ',' Disney ',' hotstar ',' plus', 'tried', 'login', 'apps',' hotstar ',' kagak ',' sms', 'call', 'login', 'program', 'check', 'apps',' wrong ',' only ',' balance ',' link ',' worth ',' rb ',' gierch ',' claim ',' said ',' error ',' balance ',' kagak ',' wkwkwk ',' provider ',' operator ',' The ',' Best ',' abal ',' fate ', "]</v>
      </c>
      <c r="D1373" s="3">
        <v>1.0</v>
      </c>
    </row>
    <row r="1374" ht="15.75" customHeight="1">
      <c r="A1374" s="1">
        <v>1372.0</v>
      </c>
      <c r="B1374" s="3" t="s">
        <v>1375</v>
      </c>
      <c r="C1374" s="3" t="str">
        <f>IFERROR(__xludf.DUMMYFUNCTION("GOOGLETRANSLATE(B1374,""id"",""en"")"),"['operational', 'network', 'best', 'Indonesia', 'unfortunate', 'price', 'package', 'internet', 'expensive', 'honest', 'package', 'Telkomsel', ' expensive ',' use ',' surterm ',' package ',' expensive ',' package ',' price ',' different ', ""]")</f>
        <v>['operational', 'network', 'best', 'Indonesia', 'unfortunate', 'price', 'package', 'internet', 'expensive', 'honest', 'package', 'Telkomsel', ' expensive ',' use ',' surterm ',' package ',' expensive ',' package ',' price ',' different ', "]</v>
      </c>
      <c r="D1374" s="3">
        <v>3.0</v>
      </c>
    </row>
    <row r="1375" ht="15.75" customHeight="1">
      <c r="A1375" s="1">
        <v>1373.0</v>
      </c>
      <c r="B1375" s="3" t="s">
        <v>1376</v>
      </c>
      <c r="C1375" s="3" t="str">
        <f>IFERROR(__xludf.DUMMYFUNCTION("GOOGLETRANSLATE(B1375,""id"",""en"")"),"['Shame', 'You', 'Telkomsel', 'Notif', 'Transaction', 'Error', 'Disorders',' Credit ',' Debit ',' Genesis', 'Double', 'Double', ' Charging ',' Really ',' Disappointing ',' Error ',' Transactions', 'Process',' Consumers', 'Disappointed', 'Telkomsel', 'Repo"&amp;"rts',' Institutions', 'Protection', 'Consumers' ]")</f>
        <v>['Shame', 'You', 'Telkomsel', 'Notif', 'Transaction', 'Error', 'Disorders',' Credit ',' Debit ',' Genesis', 'Double', 'Double', ' Charging ',' Really ',' Disappointing ',' Error ',' Transactions', 'Process',' Consumers', 'Disappointed', 'Telkomsel', 'Reports',' Institutions', 'Protection', 'Consumers' ]</v>
      </c>
      <c r="D1375" s="3">
        <v>1.0</v>
      </c>
    </row>
    <row r="1376" ht="15.75" customHeight="1">
      <c r="A1376" s="1">
        <v>1374.0</v>
      </c>
      <c r="B1376" s="3" t="s">
        <v>1377</v>
      </c>
      <c r="C1376" s="3" t="str">
        <f>IFERROR(__xludf.DUMMYFUNCTION("GOOGLETRANSLATE(B1376,""id"",""en"")"),"['Men', 'package', 'extra', 'unilimited', 'ngak', 'buy', 'ngak', 'friend']")</f>
        <v>['Men', 'package', 'extra', 'unilimited', 'ngak', 'buy', 'ngak', 'friend']</v>
      </c>
      <c r="D1376" s="3">
        <v>1.0</v>
      </c>
    </row>
    <row r="1377" ht="15.75" customHeight="1">
      <c r="A1377" s="1">
        <v>1375.0</v>
      </c>
      <c r="B1377" s="3" t="s">
        <v>1378</v>
      </c>
      <c r="C1377" s="3" t="str">
        <f>IFERROR(__xludf.DUMMYFUNCTION("GOOGLETRANSLATE(B1377,""id"",""en"")"),"['bill', 'please', 'love', 'details', 'detail', 'customer', '']")</f>
        <v>['bill', 'please', 'love', 'details', 'detail', 'customer', '']</v>
      </c>
      <c r="D1377" s="3">
        <v>5.0</v>
      </c>
    </row>
    <row r="1378" ht="15.75" customHeight="1">
      <c r="A1378" s="1">
        <v>1376.0</v>
      </c>
      <c r="B1378" s="3" t="s">
        <v>1379</v>
      </c>
      <c r="C1378" s="3" t="str">
        <f>IFERROR(__xludf.DUMMYFUNCTION("GOOGLETRANSLATE(B1378,""id"",""en"")"),"['Star', 'want', 'service', 'application']")</f>
        <v>['Star', 'want', 'service', 'application']</v>
      </c>
      <c r="D1378" s="3">
        <v>1.0</v>
      </c>
    </row>
    <row r="1379" ht="15.75" customHeight="1">
      <c r="A1379" s="1">
        <v>1377.0</v>
      </c>
      <c r="B1379" s="3" t="s">
        <v>1380</v>
      </c>
      <c r="C1379" s="3" t="str">
        <f>IFERROR(__xludf.DUMMYFUNCTION("GOOGLETRANSLATE(B1379,""id"",""en"")"),"['Telkomsel', 'intention', 'thief', 'quota', 'main', 'pulse', 'reduced', 'run out', 'really', 'disappointed', 'heavy', 'Telkomsel', ' ']")</f>
        <v>['Telkomsel', 'intention', 'thief', 'quota', 'main', 'pulse', 'reduced', 'run out', 'really', 'disappointed', 'heavy', 'Telkomsel', ' ']</v>
      </c>
      <c r="D1379" s="3">
        <v>1.0</v>
      </c>
    </row>
    <row r="1380" ht="15.75" customHeight="1">
      <c r="A1380" s="1">
        <v>1378.0</v>
      </c>
      <c r="B1380" s="3" t="s">
        <v>1381</v>
      </c>
      <c r="C1380" s="3" t="str">
        <f>IFERROR(__xludf.DUMMYFUNCTION("GOOGLETRANSLATE(B1380,""id"",""en"")"),"['skrg', 'check', 'quota', 'stick', 'Telkomsel', 'direct', 'nongol', 'sisah', 'quota', 'ilang', 'what', 'please', ' His instructions', 'trimakasih', ""]")</f>
        <v>['skrg', 'check', 'quota', 'stick', 'Telkomsel', 'direct', 'nongol', 'sisah', 'quota', 'ilang', 'what', 'please', ' His instructions', 'trimakasih', "]</v>
      </c>
      <c r="D1380" s="3">
        <v>1.0</v>
      </c>
    </row>
    <row r="1381" ht="15.75" customHeight="1">
      <c r="A1381" s="1">
        <v>1379.0</v>
      </c>
      <c r="B1381" s="3" t="s">
        <v>1382</v>
      </c>
      <c r="C1381" s="3" t="str">
        <f>IFERROR(__xludf.DUMMYFUNCTION("GOOGLETRANSLATE(B1381,""id"",""en"")"),"['Recomend', 'Disruption', 'Difficult', 'Signal', 'Hoping', 'Wear', 'Telkomsel', 'Network', 'Best', 'Disappointing', '']")</f>
        <v>['Recomend', 'Disruption', 'Difficult', 'Signal', 'Hoping', 'Wear', 'Telkomsel', 'Network', 'Best', 'Disappointing', '']</v>
      </c>
      <c r="D1381" s="3">
        <v>1.0</v>
      </c>
    </row>
    <row r="1382" ht="15.75" customHeight="1">
      <c r="A1382" s="1">
        <v>1380.0</v>
      </c>
      <c r="B1382" s="3" t="s">
        <v>1383</v>
      </c>
      <c r="C1382" s="3" t="str">
        <f>IFERROR(__xludf.DUMMYFUNCTION("GOOGLETRANSLATE(B1382,""id"",""en"")"),"['Upset', 'application', 'knapa', 'cave', 'buy', 'package', 'knapa', 'just', 'nyampe', 'cave', 'buy', 'pulse', ' Sumpot ',' Sampe ',' Network ',' Slow ',' Very ',' Cave ',' Disappointed ',' Telkomsel ', ""]")</f>
        <v>['Upset', 'application', 'knapa', 'cave', 'buy', 'package', 'knapa', 'just', 'nyampe', 'cave', 'buy', 'pulse', ' Sumpot ',' Sampe ',' Network ',' Slow ',' Very ',' Cave ',' Disappointed ',' Telkomsel ', "]</v>
      </c>
      <c r="D1382" s="3">
        <v>1.0</v>
      </c>
    </row>
    <row r="1383" ht="15.75" customHeight="1">
      <c r="A1383" s="1">
        <v>1381.0</v>
      </c>
      <c r="B1383" s="3" t="s">
        <v>1384</v>
      </c>
      <c r="C1383" s="3" t="str">
        <f>IFERROR(__xludf.DUMMYFUNCTION("GOOGLETRANSLATE(B1383,""id"",""en"")"),"['Tsel', 'UDH', 'buy', 'quota', 'price', 'expensive', 'network', 'good', 'bapuk', 'plus',' slow ',' customer ',' Faithful ',' Tsel ',' maybe ',' bgs', 'might', 'bad', '']")</f>
        <v>['Tsel', 'UDH', 'buy', 'quota', 'price', 'expensive', 'network', 'good', 'bapuk', 'plus',' slow ',' customer ',' Faithful ',' Tsel ',' maybe ',' bgs', 'might', 'bad', '']</v>
      </c>
      <c r="D1383" s="3">
        <v>1.0</v>
      </c>
    </row>
    <row r="1384" ht="15.75" customHeight="1">
      <c r="A1384" s="1">
        <v>1382.0</v>
      </c>
      <c r="B1384" s="3" t="s">
        <v>1385</v>
      </c>
      <c r="C1384" s="3" t="str">
        <f>IFERROR(__xludf.DUMMYFUNCTION("GOOGLETRANSLATE(B1384,""id"",""en"")"),"['use', 'application', 'Telkomsel', 'convenience', 'convenience', '']")</f>
        <v>['use', 'application', 'Telkomsel', 'convenience', 'convenience', '']</v>
      </c>
      <c r="D1384" s="3">
        <v>5.0</v>
      </c>
    </row>
    <row r="1385" ht="15.75" customHeight="1">
      <c r="A1385" s="1">
        <v>1383.0</v>
      </c>
      <c r="B1385" s="3" t="s">
        <v>1386</v>
      </c>
      <c r="C1385" s="3" t="str">
        <f>IFERROR(__xludf.DUMMYFUNCTION("GOOGLETRANSLATE(B1385,""id"",""en"")"),"['Sayangkan', 'Price', 'PKET', 'Internet', 'TPI', 'Quality', 'Network', 'Telkomsel', 'ugly', 'Shrites',' Business', 'Improvement', ' Telkomsel ',' area ',' already ',' jringan ',' chaotic ',' please ',' note ',' complaints', 'consumers',' ']")</f>
        <v>['Sayangkan', 'Price', 'PKET', 'Internet', 'TPI', 'Quality', 'Network', 'Telkomsel', 'ugly', 'Shrites',' Business', 'Improvement', ' Telkomsel ',' area ',' already ',' jringan ',' chaotic ',' please ',' note ',' complaints', 'consumers',' ']</v>
      </c>
      <c r="D1385" s="3">
        <v>2.0</v>
      </c>
    </row>
    <row r="1386" ht="15.75" customHeight="1">
      <c r="A1386" s="1">
        <v>1384.0</v>
      </c>
      <c r="B1386" s="3" t="s">
        <v>1387</v>
      </c>
      <c r="C1386" s="3" t="str">
        <f>IFERROR(__xludf.DUMMYFUNCTION("GOOGLETRANSLATE(B1386,""id"",""en"")"),"['What', 'tsel', 'ngeleg', 'take', 'pulse', 'internet', 'already', 'pulse', 'anying', 'news', 'difficult', 'bangse']")</f>
        <v>['What', 'tsel', 'ngeleg', 'take', 'pulse', 'internet', 'already', 'pulse', 'anying', 'news', 'difficult', 'bangse']</v>
      </c>
      <c r="D1386" s="3">
        <v>1.0</v>
      </c>
    </row>
    <row r="1387" ht="15.75" customHeight="1">
      <c r="A1387" s="1">
        <v>1385.0</v>
      </c>
      <c r="B1387" s="3" t="s">
        <v>1388</v>
      </c>
      <c r="C1387" s="3" t="str">
        <f>IFERROR(__xludf.DUMMYFUNCTION("GOOGLETRANSLATE(B1387,""id"",""en"")"),"['oath', 'Ryesel', 'really', 'buy', 'card', 'Telkomel', 'buy', 'card', 'Telkomsel', 'because', 'signal', 'bad', ' Until ',' signal ',' ChangeNn ',' ']")</f>
        <v>['oath', 'Ryesel', 'really', 'buy', 'card', 'Telkomel', 'buy', 'card', 'Telkomsel', 'because', 'signal', 'bad', ' Until ',' signal ',' ChangeNn ',' ']</v>
      </c>
      <c r="D1387" s="3">
        <v>1.0</v>
      </c>
    </row>
    <row r="1388" ht="15.75" customHeight="1">
      <c r="A1388" s="1">
        <v>1386.0</v>
      </c>
      <c r="B1388" s="3" t="s">
        <v>1389</v>
      </c>
      <c r="C1388" s="3" t="str">
        <f>IFERROR(__xludf.DUMMYFUNCTION("GOOGLETRANSLATE(B1388,""id"",""en"")"),"['network', 'Buriq', 'play', 'game', 'difficult', 'really', 'already', 'ngeleg', 'play', 'game', 'broken', 'company', ' Telkomsel ',' repay ',' moved ',' network ',' Next to ',' Dancok ',' Telkomsel ']")</f>
        <v>['network', 'Buriq', 'play', 'game', 'difficult', 'really', 'already', 'ngeleg', 'play', 'game', 'broken', 'company', ' Telkomsel ',' repay ',' moved ',' network ',' Next to ',' Dancok ',' Telkomsel ']</v>
      </c>
      <c r="D1388" s="3">
        <v>1.0</v>
      </c>
    </row>
    <row r="1389" ht="15.75" customHeight="1">
      <c r="A1389" s="1">
        <v>1387.0</v>
      </c>
      <c r="B1389" s="3" t="s">
        <v>1390</v>
      </c>
      <c r="C1389" s="3" t="str">
        <f>IFERROR(__xludf.DUMMYFUNCTION("GOOGLETRANSLATE(B1389,""id"",""en"")"),"['out', 'min', 'top', 'diamon', 'mobile', 'legends', 'exchange', 'coin', 'star', 'plis', 'min']")</f>
        <v>['out', 'min', 'top', 'diamon', 'mobile', 'legends', 'exchange', 'coin', 'star', 'plis', 'min']</v>
      </c>
      <c r="D1389" s="3">
        <v>5.0</v>
      </c>
    </row>
    <row r="1390" ht="15.75" customHeight="1">
      <c r="A1390" s="1">
        <v>1388.0</v>
      </c>
      <c r="B1390" s="3" t="s">
        <v>1391</v>
      </c>
      <c r="C1390" s="3" t="str">
        <f>IFERROR(__xludf.DUMMYFUNCTION("GOOGLETRANSLATE(B1390,""id"",""en"")"),"['Problem', 'quota', 'government', 'connection', 'good', 'access',' internet ',' free ',' buy ',' package ',' internet ',' package ',' pulses', 'truncated', 'reasonable', 'clock', 'pulse', 'reduced', 'rupiah', 'notification', 'pulse', 'truncated', 'buy', "&amp;"'package', 'internet' , 'disappointed', '']")</f>
        <v>['Problem', 'quota', 'government', 'connection', 'good', 'access',' internet ',' free ',' buy ',' package ',' internet ',' package ',' pulses', 'truncated', 'reasonable', 'clock', 'pulse', 'reduced', 'rupiah', 'notification', 'pulse', 'truncated', 'buy', 'package', 'internet' , 'disappointed', '']</v>
      </c>
      <c r="D1390" s="3">
        <v>2.0</v>
      </c>
    </row>
    <row r="1391" ht="15.75" customHeight="1">
      <c r="A1391" s="1">
        <v>1389.0</v>
      </c>
      <c r="B1391" s="3" t="s">
        <v>1392</v>
      </c>
      <c r="C1391" s="3" t="str">
        <f>IFERROR(__xludf.DUMMYFUNCTION("GOOGLETRANSLATE(B1391,""id"",""en"")"),"['Severe', 'Betah', 'Customer', 'Telkomsel', 'Closed', 'Network', 'Morotin', 'Customer']")</f>
        <v>['Severe', 'Betah', 'Customer', 'Telkomsel', 'Closed', 'Network', 'Morotin', 'Customer']</v>
      </c>
      <c r="D1391" s="3">
        <v>1.0</v>
      </c>
    </row>
    <row r="1392" ht="15.75" customHeight="1">
      <c r="A1392" s="1">
        <v>1390.0</v>
      </c>
      <c r="B1392" s="3" t="s">
        <v>1393</v>
      </c>
      <c r="C1392" s="3" t="str">
        <f>IFERROR(__xludf.DUMMYFUNCTION("GOOGLETRANSLATE(B1392,""id"",""en"")"),"['', 'buy', 'package', 'network', 'broken', 'trs',' kpn ',' normally ',' tlong ',' confirm ',' customer ',' kcewa ',' customer ',' Telkomsel ',' might ',' KSNI ',' KNP ',' Tlong ',' CPT ',' repaired ',' before ',' bnyak ',' loss', 'Customer', 'TTAP', 'Kce"&amp;"wa', 'thank you']")</f>
        <v>['', 'buy', 'package', 'network', 'broken', 'trs',' kpn ',' normally ',' tlong ',' confirm ',' customer ',' kcewa ',' customer ',' Telkomsel ',' might ',' KSNI ',' KNP ',' Tlong ',' CPT ',' repaired ',' before ',' bnyak ',' loss', 'Customer', 'TTAP', 'Kcewa', 'thank you']</v>
      </c>
      <c r="D1392" s="3">
        <v>1.0</v>
      </c>
    </row>
    <row r="1393" ht="15.75" customHeight="1">
      <c r="A1393" s="1">
        <v>1391.0</v>
      </c>
      <c r="B1393" s="3" t="s">
        <v>1394</v>
      </c>
      <c r="C1393" s="3" t="str">
        <f>IFERROR(__xludf.DUMMYFUNCTION("GOOGLETRANSLATE(B1393,""id"",""en"")"),"['right', 'BLM', 'buy', 'quota', 'good', 'right', 'udh', 'buy', 'signal', 'ilang', 'kdang', 'cmn', ' Batang ',' Full ',' Disappointed ',' ']")</f>
        <v>['right', 'BLM', 'buy', 'quota', 'good', 'right', 'udh', 'buy', 'signal', 'ilang', 'kdang', 'cmn', ' Batang ',' Full ',' Disappointed ',' ']</v>
      </c>
      <c r="D1393" s="3">
        <v>1.0</v>
      </c>
    </row>
    <row r="1394" ht="15.75" customHeight="1">
      <c r="A1394" s="1">
        <v>1392.0</v>
      </c>
      <c r="B1394" s="3" t="s">
        <v>1395</v>
      </c>
      <c r="C1394" s="3" t="str">
        <f>IFERROR(__xludf.DUMMYFUNCTION("GOOGLETRANSLATE(B1394,""id"",""en"")"),"['Please', 'Check', 'Network', 'Area', 'Situbondo', 'City', 'Javanese', 'East', 'Dri', 'Yesterday', 'afternoon', 'Sinyal', ' difficult ',' package ',' expensive ',' signal ',' nolll ']")</f>
        <v>['Please', 'Check', 'Network', 'Area', 'Situbondo', 'City', 'Javanese', 'East', 'Dri', 'Yesterday', 'afternoon', 'Sinyal', ' difficult ',' package ',' expensive ',' signal ',' nolll ']</v>
      </c>
      <c r="D1394" s="3">
        <v>1.0</v>
      </c>
    </row>
    <row r="1395" ht="15.75" customHeight="1">
      <c r="A1395" s="1">
        <v>1393.0</v>
      </c>
      <c r="B1395" s="3" t="s">
        <v>1396</v>
      </c>
      <c r="C1395" s="3" t="str">
        <f>IFERROR(__xludf.DUMMYFUNCTION("GOOGLETRANSLATE(B1395,""id"",""en"")"),"['Review', 'Muji', 'Muji', 'Telkomsel', 'Good', 'Change', 'Already', 'Unlimitid', 'Game', 'Heavenly', 'Dusakan', 'Sensity', ' Planggan ',' ']")</f>
        <v>['Review', 'Muji', 'Muji', 'Telkomsel', 'Good', 'Change', 'Already', 'Unlimitid', 'Game', 'Heavenly', 'Dusakan', 'Sensity', ' Planggan ',' ']</v>
      </c>
      <c r="D1395" s="3">
        <v>1.0</v>
      </c>
    </row>
    <row r="1396" ht="15.75" customHeight="1">
      <c r="A1396" s="1">
        <v>1394.0</v>
      </c>
      <c r="B1396" s="3" t="s">
        <v>1397</v>
      </c>
      <c r="C1396" s="3" t="str">
        <f>IFERROR(__xludf.DUMMYFUNCTION("GOOGLETRANSLATE(B1396,""id"",""en"")"),"['Kalopun', 'People', 'Ngeluh', 'Telkomsel', 'Dsini', 'Likeaaa', 'The network', 'Madriding', 'Lined', 'Increases',' Then ',' Service ',' Your best ',' ']")</f>
        <v>['Kalopun', 'People', 'Ngeluh', 'Telkomsel', 'Dsini', 'Likeaaa', 'The network', 'Madriding', 'Lined', 'Increases',' Then ',' Service ',' Your best ',' ']</v>
      </c>
      <c r="D1396" s="3">
        <v>5.0</v>
      </c>
    </row>
    <row r="1397" ht="15.75" customHeight="1">
      <c r="A1397" s="1">
        <v>1395.0</v>
      </c>
      <c r="B1397" s="3" t="s">
        <v>1398</v>
      </c>
      <c r="C1397" s="3" t="str">
        <f>IFERROR(__xludf.DUMMYFUNCTION("GOOGLETRANSLATE(B1397,""id"",""en"")"),"['Network', 'ugly', 'rich', 'Telkomsel', 'best', 'network', 'bad']")</f>
        <v>['Network', 'ugly', 'rich', 'Telkomsel', 'best', 'network', 'bad']</v>
      </c>
      <c r="D1397" s="3">
        <v>1.0</v>
      </c>
    </row>
    <row r="1398" ht="15.75" customHeight="1">
      <c r="A1398" s="1">
        <v>1396.0</v>
      </c>
      <c r="B1398" s="3" t="s">
        <v>1399</v>
      </c>
      <c r="C1398" s="3" t="str">
        <f>IFERROR(__xludf.DUMMYFUNCTION("GOOGLETRANSLATE(B1398,""id"",""en"")"),"['Baby', 'Troble', 'Network', 'Off', 'Compensation', 'Quota', 'Free', 'Provider', 'Shy', 'Rates', '']")</f>
        <v>['Baby', 'Troble', 'Network', 'Off', 'Compensation', 'Quota', 'Free', 'Provider', 'Shy', 'Rates', '']</v>
      </c>
      <c r="D1398" s="3">
        <v>1.0</v>
      </c>
    </row>
    <row r="1399" ht="15.75" customHeight="1">
      <c r="A1399" s="1">
        <v>1397.0</v>
      </c>
      <c r="B1399" s="3" t="s">
        <v>1400</v>
      </c>
      <c r="C1399" s="3" t="str">
        <f>IFERROR(__xludf.DUMMYFUNCTION("GOOGLETRANSLATE(B1399,""id"",""en"")"),"['Please', 'Donk', 'Admin', 'Fix', 'Network', 'Main', 'Game', 'lag', 'Bangat', ""]")</f>
        <v>['Please', 'Donk', 'Admin', 'Fix', 'Network', 'Main', 'Game', 'lag', 'Bangat', "]</v>
      </c>
      <c r="D1399" s="3">
        <v>1.0</v>
      </c>
    </row>
    <row r="1400" ht="15.75" customHeight="1">
      <c r="A1400" s="1">
        <v>1398.0</v>
      </c>
      <c r="B1400" s="3" t="s">
        <v>1401</v>
      </c>
      <c r="C1400" s="3" t="str">
        <f>IFERROR(__xludf.DUMMYFUNCTION("GOOGLETRANSLATE(B1400,""id"",""en"")"),"['Please', 'Search', 'Money', 'Semarya', 'Quota', 'Child', 'School', 'Learning', 'Needed', 'Quota', 'Internet', 'Entertainment', ' Forced ',' Mandatory ',' Buy ',' Quota ',' Entertainment ',' Needs', 'Internet', 'Learning', 'School', 'Online', 'Stop', 'Bu"&amp;"ndling', 'quota' , 'Advantages',' Partnership ',' Please ',' Creative ',' Package ',' Sell ',' Team ',' Sales', 'Marketing', 'work', 'Telkomsel', 'Lho', ' Thinking ',' great ',' ']")</f>
        <v>['Please', 'Search', 'Money', 'Semarya', 'Quota', 'Child', 'School', 'Learning', 'Needed', 'Quota', 'Internet', 'Entertainment', ' Forced ',' Mandatory ',' Buy ',' Quota ',' Entertainment ',' Needs', 'Internet', 'Learning', 'School', 'Online', 'Stop', 'Bundling', 'quota' , 'Advantages',' Partnership ',' Please ',' Creative ',' Package ',' Sell ',' Team ',' Sales', 'Marketing', 'work', 'Telkomsel', 'Lho', ' Thinking ',' great ',' ']</v>
      </c>
      <c r="D1400" s="3">
        <v>1.0</v>
      </c>
    </row>
    <row r="1401" ht="15.75" customHeight="1">
      <c r="A1401" s="1">
        <v>1399.0</v>
      </c>
      <c r="B1401" s="3" t="s">
        <v>1402</v>
      </c>
      <c r="C1401" s="3" t="str">
        <f>IFERROR(__xludf.DUMMYFUNCTION("GOOGLETRANSLATE(B1401,""id"",""en"")"),"['Telkomsel', 'please', 'sediain', 'settings',' pulse ',' used ',' yesterday ',' contents', 'pulse', 'run out', 'notification', 'contents',' Paketan ',' Sia ',' Sia ',' Fill ',' ']")</f>
        <v>['Telkomsel', 'please', 'sediain', 'settings',' pulse ',' used ',' yesterday ',' contents', 'pulse', 'run out', 'notification', 'contents',' Paketan ',' Sia ',' Sia ',' Fill ',' ']</v>
      </c>
      <c r="D1401" s="3">
        <v>3.0</v>
      </c>
    </row>
    <row r="1402" ht="15.75" customHeight="1">
      <c r="A1402" s="1">
        <v>1400.0</v>
      </c>
      <c r="B1402" s="3" t="s">
        <v>1403</v>
      </c>
      <c r="C1402" s="3" t="str">
        <f>IFERROR(__xludf.DUMMYFUNCTION("GOOGLETRANSLATE(B1402,""id"",""en"")"),"['Comfortable', 'service', 'Telkomsel', 'quota', 'learn', 'quota', 'bnyak', 'price', 'bought', 'expensive', 'looks',' ngk ',' On the contrary ',' palm ',' hand ',' Lansangang ',' Please ',' help ',' Telkomsel ',' set ',' usage ',' quota ',' quota ',' wast"&amp;"ed ',' sia ' , 'Karna', 'Search', 'Money', 'Doly Hula', 'Mass',' Kek ',' Gini ',' Difficult ',' Please ',' Help ',' Telkomsel ',' already ',' slow ',' already ',' quota ',' expensive ',' slow ',' ']")</f>
        <v>['Comfortable', 'service', 'Telkomsel', 'quota', 'learn', 'quota', 'bnyak', 'price', 'bought', 'expensive', 'looks',' ngk ',' On the contrary ',' palm ',' hand ',' Lansangang ',' Please ',' help ',' Telkomsel ',' set ',' usage ',' quota ',' quota ',' wasted ',' sia ' , 'Karna', 'Search', 'Money', 'Doly Hula', 'Mass',' Kek ',' Gini ',' Difficult ',' Please ',' Help ',' Telkomsel ',' already ',' slow ',' already ',' quota ',' expensive ',' slow ',' ']</v>
      </c>
      <c r="D1402" s="3">
        <v>1.0</v>
      </c>
    </row>
    <row r="1403" ht="15.75" customHeight="1">
      <c r="A1403" s="1">
        <v>1401.0</v>
      </c>
      <c r="B1403" s="3" t="s">
        <v>1404</v>
      </c>
      <c r="C1403" s="3" t="str">
        <f>IFERROR(__xludf.DUMMYFUNCTION("GOOGLETRANSLATE(B1403,""id"",""en"")"),"['Telkomsel', 'Change', 'improved', 'deteriorating', 'quota', 'expensive', 'get', 'plus', 'slow', 'already', 'bankrupt', 'how' ']")</f>
        <v>['Telkomsel', 'Change', 'improved', 'deteriorating', 'quota', 'expensive', 'get', 'plus', 'slow', 'already', 'bankrupt', 'how' ']</v>
      </c>
      <c r="D1403" s="3">
        <v>1.0</v>
      </c>
    </row>
    <row r="1404" ht="15.75" customHeight="1">
      <c r="A1404" s="1">
        <v>1402.0</v>
      </c>
      <c r="B1404" s="3" t="s">
        <v>1405</v>
      </c>
      <c r="C1404" s="3" t="str">
        <f>IFERROR(__xludf.DUMMYFUNCTION("GOOGLETRANSLATE(B1404,""id"",""en"")"),"['Cost', 'Admin', 'Transfer', 'Credit', 'Expensive', 'Plis', 'Return', 'Costs', 'Transfer', 'Credit', ""]")</f>
        <v>['Cost', 'Admin', 'Transfer', 'Credit', 'Expensive', 'Plis', 'Return', 'Costs', 'Transfer', 'Credit', "]</v>
      </c>
      <c r="D1404" s="3">
        <v>1.0</v>
      </c>
    </row>
    <row r="1405" ht="15.75" customHeight="1">
      <c r="A1405" s="1">
        <v>1403.0</v>
      </c>
      <c r="B1405" s="3" t="s">
        <v>1406</v>
      </c>
      <c r="C1405" s="3" t="str">
        <f>IFERROR(__xludf.DUMMYFUNCTION("GOOGLETRANSLATE(B1405,""id"",""en"")"),"['', 'garbage', 'buy', 'credit', 'RB', 'Exchange', 'quota', 'GB', 'goes',' smooth ',' quota ',' missing ',' pulses ',' out ',' on the day ',' use ',' run ',' smooth ',' history ',' purchase ',' please ',' repaired ',' in the future ',' detrimental ',' ple"&amp;"ase ', 'Reduce', 'corruption']")</f>
        <v>['', 'garbage', 'buy', 'credit', 'RB', 'Exchange', 'quota', 'GB', 'goes',' smooth ',' quota ',' missing ',' pulses ',' out ',' on the day ',' use ',' run ',' smooth ',' history ',' purchase ',' please ',' repaired ',' in the future ',' detrimental ',' please ', 'Reduce', 'corruption']</v>
      </c>
      <c r="D1405" s="3">
        <v>1.0</v>
      </c>
    </row>
    <row r="1406" ht="15.75" customHeight="1">
      <c r="A1406" s="1">
        <v>1404.0</v>
      </c>
      <c r="B1406" s="3" t="s">
        <v>1407</v>
      </c>
      <c r="C1406" s="3" t="str">
        <f>IFERROR(__xludf.DUMMYFUNCTION("GOOGLETRANSLATE(B1406,""id"",""en"")"),"['majority', 'star', 'emang', 'right', 'application', 'service', 'customer', 'care', 'sekalo', 'respond', 'package', 'internet', ' extended ',' as a result ',' buy ',' change ',' package ',' different ',' month ',' application ',' slow ',' replace ',' pro"&amp;"vider ',' prioritizing ',' satisfaction ' , 'Customer', '']")</f>
        <v>['majority', 'star', 'emang', 'right', 'application', 'service', 'customer', 'care', 'sekalo', 'respond', 'package', 'internet', ' extended ',' as a result ',' buy ',' change ',' package ',' different ',' month ',' application ',' slow ',' replace ',' provider ',' prioritizing ',' satisfaction ' , 'Customer', '']</v>
      </c>
      <c r="D1406" s="3">
        <v>1.0</v>
      </c>
    </row>
    <row r="1407" ht="15.75" customHeight="1">
      <c r="A1407" s="1">
        <v>1405.0</v>
      </c>
      <c r="B1407" s="3" t="s">
        <v>1408</v>
      </c>
      <c r="C1407" s="3" t="str">
        <f>IFERROR(__xludf.DUMMYFUNCTION("GOOGLETRANSLATE(B1407,""id"",""en"")"),"['buy', 'pulse', 'transaction', 'Telkomsel', 'credit', 'entry', 'rb', 'transact', 'it seems',' pulse ',' sufficient ',' right ',' Check ',' pulse ',' intact ',' reduced ',' because ',' gabisa ',' transactions', 'tomorrow', 'check', 'pulse', 'stay', 'rb', "&amp;"'results' , 'experience', 'loss', 'please', 'return', 'pulse', 'missing', ""]")</f>
        <v>['buy', 'pulse', 'transaction', 'Telkomsel', 'credit', 'entry', 'rb', 'transact', 'it seems',' pulse ',' sufficient ',' right ',' Check ',' pulse ',' intact ',' reduced ',' because ',' gabisa ',' transactions', 'tomorrow', 'check', 'pulse', 'stay', 'rb', 'results' , 'experience', 'loss', 'please', 'return', 'pulse', 'missing', "]</v>
      </c>
      <c r="D1407" s="3">
        <v>1.0</v>
      </c>
    </row>
    <row r="1408" ht="15.75" customHeight="1">
      <c r="A1408" s="1">
        <v>1406.0</v>
      </c>
      <c r="B1408" s="3" t="s">
        <v>1409</v>
      </c>
      <c r="C1408" s="3" t="str">
        <f>IFERROR(__xludf.DUMMYFUNCTION("GOOGLETRANSLATE(B1408,""id"",""en"")"),"['Disappointed', 'heavy', 'Telkomsel', 'package', 'emergency', 'ilangin', 'package', 'expensive', 'signal', 'bad', 'Damn', 'shallow', ' ']")</f>
        <v>['Disappointed', 'heavy', 'Telkomsel', 'package', 'emergency', 'ilangin', 'package', 'expensive', 'signal', 'bad', 'Damn', 'shallow', ' ']</v>
      </c>
      <c r="D1408" s="3">
        <v>1.0</v>
      </c>
    </row>
    <row r="1409" ht="15.75" customHeight="1">
      <c r="A1409" s="1">
        <v>1407.0</v>
      </c>
      <c r="B1409" s="3" t="s">
        <v>1410</v>
      </c>
      <c r="C1409" s="3" t="str">
        <f>IFERROR(__xludf.DUMMYFUNCTION("GOOGLETRANSLATE(B1409,""id"",""en"")"),"['', 'lost', 'GNT', 'KRTU', 'HLNG', 'Grapari', 'Ribet', 'KTA', 'Nik', 'org', 'Registered', 'Krt', 'then then ',' Org ',' Grapari ',' SRU ',' CRI ',' NIK ',' Org ',' strange ',' GMN ',' CRI ',' NMR ',' Indonesia ',' GNI ', 'wrong', 'knp', 'nmr', 'sya', 'bk"&amp;"n', 'nik', 'pdhal', 'registration', 'pke', 'nik', 'sndri', 'nmr', 'notif ',' Bank ',' slah ',' krt ',' sya ',' gmn ', ""]")</f>
        <v>['', 'lost', 'GNT', 'KRTU', 'HLNG', 'Grapari', 'Ribet', 'KTA', 'Nik', 'org', 'Registered', 'Krt', 'then then ',' Org ',' Grapari ',' SRU ',' CRI ',' NIK ',' Org ',' strange ',' GMN ',' CRI ',' NMR ',' Indonesia ',' GNI ', 'wrong', 'knp', 'nmr', 'sya', 'bkn', 'nik', 'pdhal', 'registration', 'pke', 'nik', 'sndri', 'nmr', 'notif ',' Bank ',' slah ',' krt ',' sya ',' gmn ', "]</v>
      </c>
      <c r="D1409" s="3">
        <v>1.0</v>
      </c>
    </row>
    <row r="1410" ht="15.75" customHeight="1">
      <c r="A1410" s="1">
        <v>1408.0</v>
      </c>
      <c r="B1410" s="3" t="s">
        <v>1411</v>
      </c>
      <c r="C1410" s="3" t="str">
        <f>IFERROR(__xludf.DUMMYFUNCTION("GOOGLETRANSLATE(B1410,""id"",""en"")"),"['Review', 'is', 'public', 'Includes', 'info', 'account', 'device', 'thank', 'love', ""]")</f>
        <v>['Review', 'is', 'public', 'Includes', 'info', 'account', 'device', 'thank', 'love', "]</v>
      </c>
      <c r="D1410" s="3">
        <v>5.0</v>
      </c>
    </row>
    <row r="1411" ht="15.75" customHeight="1">
      <c r="A1411" s="1">
        <v>1409.0</v>
      </c>
      <c r="B1411" s="3" t="s">
        <v>1412</v>
      </c>
      <c r="C1411" s="3" t="str">
        <f>IFERROR(__xludf.DUMMYFUNCTION("GOOGLETRANSLATE(B1411,""id"",""en"")"),"['oath', 'Disappointed', 'really', 'Points',' Telkomsel ',' exchanged ',' data ',' internet ',' failed ',' Moor ',' Please ',' repaired ',' Min ']")</f>
        <v>['oath', 'Disappointed', 'really', 'Points',' Telkomsel ',' exchanged ',' data ',' internet ',' failed ',' Moor ',' Please ',' repaired ',' Min ']</v>
      </c>
      <c r="D1411" s="3">
        <v>1.0</v>
      </c>
    </row>
    <row r="1412" ht="15.75" customHeight="1">
      <c r="A1412" s="1">
        <v>1410.0</v>
      </c>
      <c r="B1412" s="3" t="s">
        <v>1413</v>
      </c>
      <c r="C1412" s="3" t="str">
        <f>IFERROR(__xludf.DUMMYFUNCTION("GOOGLETRANSLATE(B1412,""id"",""en"")"),"['Please', 'Love', 'Pangaman', 'Stop', 'Data', 'On', 'Quota', 'Out', 'Quota', 'Out', 'Help', 'Often', ' Credit ',' used ',' internet ',' ']")</f>
        <v>['Please', 'Love', 'Pangaman', 'Stop', 'Data', 'On', 'Quota', 'Out', 'Quota', 'Out', 'Help', 'Often', ' Credit ',' used ',' internet ',' ']</v>
      </c>
      <c r="D1412" s="3">
        <v>3.0</v>
      </c>
    </row>
    <row r="1413" ht="15.75" customHeight="1">
      <c r="A1413" s="1">
        <v>1411.0</v>
      </c>
      <c r="B1413" s="3" t="s">
        <v>1414</v>
      </c>
      <c r="C1413" s="3" t="str">
        <f>IFERROR(__xludf.DUMMYFUNCTION("GOOGLETRANSLATE(B1413,""id"",""en"")"),"['Sell', 'quota', 'expensive', 'then', 'network', 'ngeleg', 'abiezzz', '']")</f>
        <v>['Sell', 'quota', 'expensive', 'then', 'network', 'ngeleg', 'abiezzz', '']</v>
      </c>
      <c r="D1413" s="3">
        <v>1.0</v>
      </c>
    </row>
    <row r="1414" ht="15.75" customHeight="1">
      <c r="A1414" s="1">
        <v>1412.0</v>
      </c>
      <c r="B1414" s="3" t="s">
        <v>1415</v>
      </c>
      <c r="C1414" s="3" t="str">
        <f>IFERROR(__xludf.DUMMYFUNCTION("GOOGLETRANSLATE(B1414,""id"",""en"")"),"['Can't', 'Cernaedah', 'Veronika', 'Help', 'Ribet', 'Mentang', 'Package', 'Special', 'Difficult', 'Transaction', 'Emotion', 'Customer', ' Already ',' Network ',' Bentar ',' ilang ',' Bentar ',' kdang ',' slow ',' ']")</f>
        <v>['Can't', 'Cernaedah', 'Veronika', 'Help', 'Ribet', 'Mentang', 'Package', 'Special', 'Difficult', 'Transaction', 'Emotion', 'Customer', ' Already ',' Network ',' Bentar ',' ilang ',' Bentar ',' kdang ',' slow ',' ']</v>
      </c>
      <c r="D1414" s="3">
        <v>1.0</v>
      </c>
    </row>
    <row r="1415" ht="15.75" customHeight="1">
      <c r="A1415" s="1">
        <v>1413.0</v>
      </c>
      <c r="B1415" s="3" t="s">
        <v>1416</v>
      </c>
      <c r="C1415" s="3" t="str">
        <f>IFERROR(__xludf.DUMMYFUNCTION("GOOGLETRANSLATE(B1415,""id"",""en"")"),"['Star', 'ngiming', 'ngiming', 'network', 'disorder', 'date', 'der', 'date', 'restart', 'network', 'ilang', 'total', ' SMS ',' TLP ',' Internet ',' enter ',' Try ',' restart ',' kyk ',' gini ',' then ',' der ',' until ',' network ',' finished ' , 'Fix', '"&amp;"Loss', 'Hasilis', 'Online', ""]")</f>
        <v>['Star', 'ngiming', 'ngiming', 'network', 'disorder', 'date', 'der', 'date', 'restart', 'network', 'ilang', 'total', ' SMS ',' TLP ',' Internet ',' enter ',' Try ',' restart ',' kyk ',' gini ',' then ',' der ',' until ',' network ',' finished ' , 'Fix', 'Loss', 'Hasilis', 'Online', "]</v>
      </c>
      <c r="D1415" s="3">
        <v>5.0</v>
      </c>
    </row>
    <row r="1416" ht="15.75" customHeight="1">
      <c r="A1416" s="1">
        <v>1414.0</v>
      </c>
      <c r="B1416" s="3" t="s">
        <v>1417</v>
      </c>
      <c r="C1416" s="3" t="str">
        <f>IFERROR(__xludf.DUMMYFUNCTION("GOOGLETRANSLATE(B1416,""id"",""en"")"),"['Internet', 'Local', 'Used', 'Week', 'Out', 'Half', 'Package', 'Multimedia', 'Mubadzir', 'Karna', 'Disappointed', ' Package ',' Multimedia ',' Change ',' Internet ',' Local ',' ']")</f>
        <v>['Internet', 'Local', 'Used', 'Week', 'Out', 'Half', 'Package', 'Multimedia', 'Mubadzir', 'Karna', 'Disappointed', ' Package ',' Multimedia ',' Change ',' Internet ',' Local ',' ']</v>
      </c>
      <c r="D1416" s="3">
        <v>1.0</v>
      </c>
    </row>
    <row r="1417" ht="15.75" customHeight="1">
      <c r="A1417" s="1">
        <v>1415.0</v>
      </c>
      <c r="B1417" s="3" t="s">
        <v>1418</v>
      </c>
      <c r="C1417" s="3" t="str">
        <f>IFERROR(__xludf.DUMMYFUNCTION("GOOGLETRANSLATE(B1417,""id"",""en"")"),"['BLG', 'Telkomsel', 'Haram', 'Help', 'Bonus', 'Package', 'Cheap', '']")</f>
        <v>['BLG', 'Telkomsel', 'Haram', 'Help', 'Bonus', 'Package', 'Cheap', '']</v>
      </c>
      <c r="D1417" s="3">
        <v>5.0</v>
      </c>
    </row>
    <row r="1418" ht="15.75" customHeight="1">
      <c r="A1418" s="1">
        <v>1416.0</v>
      </c>
      <c r="B1418" s="3" t="s">
        <v>1419</v>
      </c>
      <c r="C1418" s="3" t="str">
        <f>IFERROR(__xludf.DUMMYFUNCTION("GOOGLETRANSLATE(B1418,""id"",""en"")"),"['Thank you', 'Missing', 'Current', 'Communication', 'Just', 'Telkomsel', ""]")</f>
        <v>['Thank you', 'Missing', 'Current', 'Communication', 'Just', 'Telkomsel', "]</v>
      </c>
      <c r="D1418" s="3">
        <v>5.0</v>
      </c>
    </row>
    <row r="1419" ht="15.75" customHeight="1">
      <c r="A1419" s="1">
        <v>1417.0</v>
      </c>
      <c r="B1419" s="3" t="s">
        <v>1420</v>
      </c>
      <c r="C1419" s="3" t="str">
        <f>IFERROR(__xludf.DUMMYFUNCTION("GOOGLETRANSLATE(B1419,""id"",""en"")"),"['expensive', 'quota', 'separated', 'separated', 'orng', 'cheated', ""]")</f>
        <v>['expensive', 'quota', 'separated', 'separated', 'orng', 'cheated', "]</v>
      </c>
      <c r="D1419" s="3">
        <v>1.0</v>
      </c>
    </row>
    <row r="1420" ht="15.75" customHeight="1">
      <c r="A1420" s="1">
        <v>1418.0</v>
      </c>
      <c r="B1420" s="3" t="s">
        <v>1421</v>
      </c>
      <c r="C1420" s="3" t="str">
        <f>IFERROR(__xludf.DUMMYFUNCTION("GOOGLETRANSLATE(B1420,""id"",""en"")"),"['quota', 'price', 'expensive', 'signal', 'internet', 'cellular', 'area', 'sub-district', 'Cibarusah', 'stable', 'loss', ""]")</f>
        <v>['quota', 'price', 'expensive', 'signal', 'internet', 'cellular', 'area', 'sub-district', 'Cibarusah', 'stable', 'loss', "]</v>
      </c>
      <c r="D1420" s="3">
        <v>1.0</v>
      </c>
    </row>
    <row r="1421" ht="15.75" customHeight="1">
      <c r="A1421" s="1">
        <v>1419.0</v>
      </c>
      <c r="B1421" s="3" t="s">
        <v>1422</v>
      </c>
      <c r="C1421" s="3" t="str">
        <f>IFERROR(__xludf.DUMMYFUNCTION("GOOGLETRANSLATE(B1421,""id"",""en"")"),"['', 'City', 'Duri', 'Network', 'Telkomsel', 'Kayak', 'Main', 'Forest', 'Please', 'City', 'Duri', 'Fix', 'The network ',' Telkomsel ',' Bangrut ',' Network ',' Error ']")</f>
        <v>['', 'City', 'Duri', 'Network', 'Telkomsel', 'Kayak', 'Main', 'Forest', 'Please', 'City', 'Duri', 'Fix', 'The network ',' Telkomsel ',' Bangrut ',' Network ',' Error ']</v>
      </c>
      <c r="D1421" s="3">
        <v>1.0</v>
      </c>
    </row>
    <row r="1422" ht="15.75" customHeight="1">
      <c r="A1422" s="1">
        <v>1420.0</v>
      </c>
      <c r="B1422" s="3" t="s">
        <v>1423</v>
      </c>
      <c r="C1422" s="3" t="str">
        <f>IFERROR(__xludf.DUMMYFUNCTION("GOOGLETRANSLATE(B1422,""id"",""en"")"),"['Mohom', 'Sorry', 'Telkomsel', 'Dear', 'Price', 'Quota', 'Dibangding', 'Card', 'Quota', 'Help', 'Card', 'Telekomsel', ' in the future ',' pandemic ',' difficult ',' network ',' ngelag ',' parahhhhhh ',' fast ',' repaired ',' relying on ',' quota ',' Keme"&amp;"ndikbud ',' worked out ',' task ' , 'continued', 'resigned', 'yaa', 'generation', 'bubbruk', 'learn', 'effectiveff', '']")</f>
        <v>['Mohom', 'Sorry', 'Telkomsel', 'Dear', 'Price', 'Quota', 'Dibangding', 'Card', 'Quota', 'Help', 'Card', 'Telekomsel', ' in the future ',' pandemic ',' difficult ',' network ',' ngelag ',' parahhhhhh ',' fast ',' repaired ',' relying on ',' quota ',' Kemendikbud ',' worked out ',' task ' , 'continued', 'resigned', 'yaa', 'generation', 'bubbruk', 'learn', 'effectiveff', '']</v>
      </c>
      <c r="D1422" s="3">
        <v>1.0</v>
      </c>
    </row>
    <row r="1423" ht="15.75" customHeight="1">
      <c r="A1423" s="1">
        <v>1421.0</v>
      </c>
      <c r="B1423" s="3" t="s">
        <v>1424</v>
      </c>
      <c r="C1423" s="3" t="str">
        <f>IFERROR(__xludf.DUMMYFUNCTION("GOOGLETRANSLATE(B1423,""id"",""en"")"),"['application', 'good', 'lottery', 'gift', 'darling', 'lucky', 'lottery', 'Telkomsel', '']")</f>
        <v>['application', 'good', 'lottery', 'gift', 'darling', 'lucky', 'lottery', 'Telkomsel', '']</v>
      </c>
      <c r="D1423" s="3">
        <v>5.0</v>
      </c>
    </row>
    <row r="1424" ht="15.75" customHeight="1">
      <c r="A1424" s="1">
        <v>1422.0</v>
      </c>
      <c r="B1424" s="3" t="s">
        <v>1425</v>
      </c>
      <c r="C1424" s="3" t="str">
        <f>IFERROR(__xludf.DUMMYFUNCTION("GOOGLETRANSLATE(B1424,""id"",""en"")"),"['poor', 'pulse', 'run out', 'transaction', 'anything', 'data', 'cellular', 'use', 'wifi', 'complain', 'compliabet', 'kebangeten', ' Thinking ',' Telkomsel ',' number ',' ']")</f>
        <v>['poor', 'pulse', 'run out', 'transaction', 'anything', 'data', 'cellular', 'use', 'wifi', 'complain', 'compliabet', 'kebangeten', ' Thinking ',' Telkomsel ',' number ',' ']</v>
      </c>
      <c r="D1424" s="3">
        <v>1.0</v>
      </c>
    </row>
    <row r="1425" ht="15.75" customHeight="1">
      <c r="A1425" s="1">
        <v>1423.0</v>
      </c>
      <c r="B1425" s="3" t="s">
        <v>1426</v>
      </c>
      <c r="C1425" s="3" t="str">
        <f>IFERROR(__xludf.DUMMYFUNCTION("GOOGLETRANSLATE(B1425,""id"",""en"")"),"['entry', 'application', 'use', 'number', 'complicated', 'really', 'verification', 'link', 'sms',' stay ',' enter ',' hrs', ' automatically ',' login ',' enter ',' complicated ',' please ',' permission ',' disappointing ']")</f>
        <v>['entry', 'application', 'use', 'number', 'complicated', 'really', 'verification', 'link', 'sms',' stay ',' enter ',' hrs', ' automatically ',' login ',' enter ',' complicated ',' please ',' permission ',' disappointing ']</v>
      </c>
      <c r="D1425" s="3">
        <v>1.0</v>
      </c>
    </row>
    <row r="1426" ht="15.75" customHeight="1">
      <c r="A1426" s="1">
        <v>1424.0</v>
      </c>
      <c r="B1426" s="3" t="s">
        <v>1427</v>
      </c>
      <c r="C1426" s="3" t="str">
        <f>IFERROR(__xludf.DUMMYFUNCTION("GOOGLETRANSLATE(B1426,""id"",""en"")"),"['customers',' loyal ',' Telkomsel ',' complain ',' network ',' Telkomsel ',' here ',' Makjn ',' bad ',' Please ',' Help ',' Telkomsel ',' Fix ',' Network ',' Thank you ']")</f>
        <v>['customers',' loyal ',' Telkomsel ',' complain ',' network ',' Telkomsel ',' here ',' Makjn ',' bad ',' Please ',' Help ',' Telkomsel ',' Fix ',' Network ',' Thank you ']</v>
      </c>
      <c r="D1426" s="3">
        <v>2.0</v>
      </c>
    </row>
    <row r="1427" ht="15.75" customHeight="1">
      <c r="A1427" s="1">
        <v>1425.0</v>
      </c>
      <c r="B1427" s="3" t="s">
        <v>1428</v>
      </c>
      <c r="C1427" s="3" t="str">
        <f>IFERROR(__xludf.DUMMYFUNCTION("GOOGLETRANSLATE(B1427,""id"",""en"")"),"['card', 'for' pingi ',' upgrade ',' replace ',' card ']")</f>
        <v>['card', 'for' pingi ',' upgrade ',' replace ',' card ']</v>
      </c>
      <c r="D1427" s="3">
        <v>5.0</v>
      </c>
    </row>
    <row r="1428" ht="15.75" customHeight="1">
      <c r="A1428" s="1">
        <v>1426.0</v>
      </c>
      <c r="B1428" s="3" t="s">
        <v>1429</v>
      </c>
      <c r="C1428" s="3" t="str">
        <f>IFERROR(__xludf.DUMMYFUNCTION("GOOGLETRANSLATE(B1428,""id"",""en"")"),"['Customer', 'Telkomsel', 'annoyed', 'signal', 'ugly', 'slow', ""]")</f>
        <v>['Customer', 'Telkomsel', 'annoyed', 'signal', 'ugly', 'slow', "]</v>
      </c>
      <c r="D1428" s="3">
        <v>5.0</v>
      </c>
    </row>
    <row r="1429" ht="15.75" customHeight="1">
      <c r="A1429" s="1">
        <v>1427.0</v>
      </c>
      <c r="B1429" s="3" t="s">
        <v>1430</v>
      </c>
      <c r="C1429" s="3" t="str">
        <f>IFERROR(__xludf.DUMMYFUNCTION("GOOGLETRANSLATE(B1429,""id"",""en"")"),"['BYK', 'Points',' NGK ',' Abisin ',' SMS ',' intention ',' gave ',' promo ',' NGK ',' Burn ',' Points', 'Can', ' Points', 'customers',' loyal ',' ']")</f>
        <v>['BYK', 'Points',' NGK ',' Abisin ',' SMS ',' intention ',' gave ',' promo ',' NGK ',' Burn ',' Points', 'Can', ' Points', 'customers',' loyal ',' ']</v>
      </c>
      <c r="D1429" s="3">
        <v>4.0</v>
      </c>
    </row>
    <row r="1430" ht="15.75" customHeight="1">
      <c r="A1430" s="1">
        <v>1428.0</v>
      </c>
      <c r="B1430" s="3" t="s">
        <v>1431</v>
      </c>
      <c r="C1430" s="3" t="str">
        <f>IFERROR(__xludf.DUMMYFUNCTION("GOOGLETRANSLATE(B1430,""id"",""en"")"),"['The network', 'ugly', 'Try', 'fix', 'the application', 'update', 'enthusiasts', 'move', 'oprator', ""]")</f>
        <v>['The network', 'ugly', 'Try', 'fix', 'the application', 'update', 'enthusiasts', 'move', 'oprator', "]</v>
      </c>
      <c r="D1430" s="3">
        <v>5.0</v>
      </c>
    </row>
    <row r="1431" ht="15.75" customHeight="1">
      <c r="A1431" s="1">
        <v>1429.0</v>
      </c>
      <c r="B1431" s="3" t="s">
        <v>1432</v>
      </c>
      <c r="C1431" s="3" t="str">
        <f>IFERROR(__xludf.DUMMYFUNCTION("GOOGLETRANSLATE(B1431,""id"",""en"")"),"['Disruption', 'network', 'times',' repairs', 'maximum', 'disappointed', 'really', 'ekngk', 'understand', 'worker', 'tsel', 'uda', ' Trying ',' klw ',' uda ',' week ',' night ',' until ',' Wednesday ',' maximum ',' ekrb ',' sequence ',' price ',' tsel ','"&amp;" price ' , 'price', 'guarantee', 'quality', '']")</f>
        <v>['Disruption', 'network', 'times',' repairs', 'maximum', 'disappointed', 'really', 'ekngk', 'understand', 'worker', 'tsel', 'uda', ' Trying ',' klw ',' uda ',' week ',' night ',' until ',' Wednesday ',' maximum ',' ekrb ',' sequence ',' price ',' tsel ',' price ' , 'price', 'guarantee', 'quality', '']</v>
      </c>
      <c r="D1431" s="3">
        <v>1.0</v>
      </c>
    </row>
    <row r="1432" ht="15.75" customHeight="1">
      <c r="A1432" s="1">
        <v>1430.0</v>
      </c>
      <c r="B1432" s="3" t="s">
        <v>1433</v>
      </c>
      <c r="C1432" s="3" t="str">
        <f>IFERROR(__xludf.DUMMYFUNCTION("GOOGLETRANSLATE(B1432,""id"",""en"")"),"['', 'Telkomsel', 'nich', 'no', 'professional', 'package', 'run out', 'decide', 'internet', 'play', 'take', 'pulse', 'interner ',' Approval ',' greedy ', ""]")</f>
        <v>['', 'Telkomsel', 'nich', 'no', 'professional', 'package', 'run out', 'decide', 'internet', 'play', 'take', 'pulse', 'interner ',' Approval ',' greedy ', "]</v>
      </c>
      <c r="D1432" s="3">
        <v>3.0</v>
      </c>
    </row>
    <row r="1433" ht="15.75" customHeight="1">
      <c r="A1433" s="1">
        <v>1431.0</v>
      </c>
      <c r="B1433" s="3" t="s">
        <v>1434</v>
      </c>
      <c r="C1433" s="3" t="str">
        <f>IFERROR(__xludf.DUMMYFUNCTION("GOOGLETRANSLATE(B1433,""id"",""en"")"),"['Network', 'worst', 'Indonesia', 'network', 'Telkomsel', 'quota', 'expensive', 'network', 'cheap', 'regret', 'buy', 'Telkomsel', ' Telkomsel ',' slow ',' repair ',' network ',' slow ',' axis', 'network', 'stable', 'compared to', 'Telkomsel', 'users',' Te"&amp;"lkomsel ',' use ' , 'Telkomsel', 'deh', 'Asked', 'loss', 'card', 'just', 'famous', 'grease', 'bad']")</f>
        <v>['Network', 'worst', 'Indonesia', 'network', 'Telkomsel', 'quota', 'expensive', 'network', 'cheap', 'regret', 'buy', 'Telkomsel', ' Telkomsel ',' slow ',' repair ',' network ',' slow ',' axis', 'network', 'stable', 'compared to', 'Telkomsel', 'users',' Telkomsel ',' use ' , 'Telkomsel', 'deh', 'Asked', 'loss', 'card', 'just', 'famous', 'grease', 'bad']</v>
      </c>
      <c r="D1433" s="3">
        <v>1.0</v>
      </c>
    </row>
    <row r="1434" ht="15.75" customHeight="1">
      <c r="A1434" s="1">
        <v>1432.0</v>
      </c>
      <c r="B1434" s="3" t="s">
        <v>1435</v>
      </c>
      <c r="C1434" s="3" t="str">
        <f>IFERROR(__xludf.DUMMYFUNCTION("GOOGLETRANSLATE(B1434,""id"",""en"")"),"['Update', 'Maless', 'Network', 'Internenet', 'Lemottt', 'Bangett', 'Yak', ""]")</f>
        <v>['Update', 'Maless', 'Network', 'Internenet', 'Lemottt', 'Bangett', 'Yak', "]</v>
      </c>
      <c r="D1434" s="3">
        <v>3.0</v>
      </c>
    </row>
    <row r="1435" ht="15.75" customHeight="1">
      <c r="A1435" s="1">
        <v>1433.0</v>
      </c>
      <c r="B1435" s="3" t="s">
        <v>1436</v>
      </c>
      <c r="C1435" s="3" t="str">
        <f>IFERROR(__xludf.DUMMYFUNCTION("GOOGLETRANSLATE(B1435,""id"",""en"")"),"['His name', 'Applikasih', 'krenlj', 'enenenenennrnr', 'bnnnnnnnnnjhnbnbhbbbbbbbbbbbbbbbbbbbbbbbbbbbbbbbbbbbbbbbbbbbbbbbbbbbbbbbb")</f>
        <v>['His name', 'Applikasih', 'krenlj', 'enenenenennrnr', 'bnnnnnnnnnjhnbnbhbbbbbbbbbbbbbbbbbbbbbbbbbbbbbbbbbbbbbbbbbbbbbbbbbbbbbbbb</v>
      </c>
      <c r="D1435" s="3">
        <v>5.0</v>
      </c>
    </row>
    <row r="1436" ht="15.75" customHeight="1">
      <c r="A1436" s="1">
        <v>1434.0</v>
      </c>
      <c r="B1436" s="3" t="s">
        <v>1437</v>
      </c>
      <c r="C1436" s="3" t="str">
        <f>IFERROR(__xludf.DUMMYFUNCTION("GOOGLETRANSLATE(B1436,""id"",""en"")"),"['Extra', 'unlimited', 'SBLOM', 'buy', 'turn', 'contents', 'ilang', 'gnti', 'card', 'invite', 'service', 'bad']")</f>
        <v>['Extra', 'unlimited', 'SBLOM', 'buy', 'turn', 'contents', 'ilang', 'gnti', 'card', 'invite', 'service', 'bad']</v>
      </c>
      <c r="D1436" s="3">
        <v>1.0</v>
      </c>
    </row>
    <row r="1437" ht="15.75" customHeight="1">
      <c r="A1437" s="1">
        <v>1435.0</v>
      </c>
      <c r="B1437" s="3" t="s">
        <v>1438</v>
      </c>
      <c r="C1437" s="3" t="str">
        <f>IFERROR(__xludf.DUMMYFUNCTION("GOOGLETRANSLATE(B1437,""id"",""en"")"),"['Mantab', 'Telkomsel', 'Hopefully', 'related', 'service', 'network', 'resolved']")</f>
        <v>['Mantab', 'Telkomsel', 'Hopefully', 'related', 'service', 'network', 'resolved']</v>
      </c>
      <c r="D1437" s="3">
        <v>5.0</v>
      </c>
    </row>
    <row r="1438" ht="15.75" customHeight="1">
      <c r="A1438" s="1">
        <v>1436.0</v>
      </c>
      <c r="B1438" s="3" t="s">
        <v>1439</v>
      </c>
      <c r="C1438" s="3" t="str">
        <f>IFERROR(__xludf.DUMMYFUNCTION("GOOGLETRANSLATE(B1438,""id"",""en"")"),"['knp', 'msh', 'blm', 'tower', 'signal', 'bar', 'sad']")</f>
        <v>['knp', 'msh', 'blm', 'tower', 'signal', 'bar', 'sad']</v>
      </c>
      <c r="D1438" s="3">
        <v>1.0</v>
      </c>
    </row>
    <row r="1439" ht="15.75" customHeight="1">
      <c r="A1439" s="1">
        <v>1437.0</v>
      </c>
      <c r="B1439" s="3" t="s">
        <v>1440</v>
      </c>
      <c r="C1439" s="3" t="str">
        <f>IFERROR(__xludf.DUMMYFUNCTION("GOOGLETRANSLATE(B1439,""id"",""en"")"),"['Disappointed', 'Telkomsel', 'open', 'The application', 'buy', 'package', 'Need', 'Online', 'face', 'Latah', 'White', 'Mulu', ' Emotions', 'Child', 'Constrained', 'Learning', 'Dised', 'Move', 'Move', 'Service', 'Dibroch', ""]")</f>
        <v>['Disappointed', 'Telkomsel', 'open', 'The application', 'buy', 'package', 'Need', 'Online', 'face', 'Latah', 'White', 'Mulu', ' Emotions', 'Child', 'Constrained', 'Learning', 'Dised', 'Move', 'Move', 'Service', 'Dibroch', "]</v>
      </c>
      <c r="D1439" s="3">
        <v>1.0</v>
      </c>
    </row>
    <row r="1440" ht="15.75" customHeight="1">
      <c r="A1440" s="1">
        <v>1438.0</v>
      </c>
      <c r="B1440" s="3" t="s">
        <v>1441</v>
      </c>
      <c r="C1440" s="3" t="str">
        <f>IFERROR(__xludf.DUMMYFUNCTION("GOOGLETRANSLATE(B1440,""id"",""en"")"),"['already', 'buy', 'credit', 'deliberate', 'save', 'right', 'check', 'balance', 'application', 'kayak', 'gini', 'please', ' org ',' loss', 'buy', 'borrow', 'buy', 'pulse', 'already', 'enter', 'right', 'check', 'balance', 'person', 'loss' , 'Please', 'Fix'"&amp;", 'Review', 'Rate', '']")</f>
        <v>['already', 'buy', 'credit', 'deliberate', 'save', 'right', 'check', 'balance', 'application', 'kayak', 'gini', 'please', ' org ',' loss', 'buy', 'borrow', 'buy', 'pulse', 'already', 'enter', 'right', 'check', 'balance', 'person', 'loss' , 'Please', 'Fix', 'Review', 'Rate', '']</v>
      </c>
      <c r="D1440" s="3">
        <v>1.0</v>
      </c>
    </row>
    <row r="1441" ht="15.75" customHeight="1">
      <c r="A1441" s="1">
        <v>1439.0</v>
      </c>
      <c r="B1441" s="3" t="s">
        <v>1442</v>
      </c>
      <c r="C1441" s="3" t="str">
        <f>IFERROR(__xludf.DUMMYFUNCTION("GOOGLETRANSLATE(B1441,""id"",""en"")"),"['contents',' pulse ',' cut ',' event ',' event ',' gokil ',' bnyk ',' user ',' expensive ',' slow ',' hadeeehh ',' mentally ',' corrupt ',' heritage ',' VOC ',' msh ']")</f>
        <v>['contents',' pulse ',' cut ',' event ',' event ',' gokil ',' bnyk ',' user ',' expensive ',' slow ',' hadeeehh ',' mentally ',' corrupt ',' heritage ',' VOC ',' msh ']</v>
      </c>
      <c r="D1441" s="3">
        <v>1.0</v>
      </c>
    </row>
    <row r="1442" ht="15.75" customHeight="1">
      <c r="A1442" s="1">
        <v>1440.0</v>
      </c>
      <c r="B1442" s="3" t="s">
        <v>1443</v>
      </c>
      <c r="C1442" s="3" t="str">
        <f>IFERROR(__xludf.DUMMYFUNCTION("GOOGLETRANSLATE(B1442,""id"",""en"")"),"['Telkomsel', 'pulses', 'run out', 'fill', 'turn on', 'data', 'cellular', ""]")</f>
        <v>['Telkomsel', 'pulses', 'run out', 'fill', 'turn on', 'data', 'cellular', "]</v>
      </c>
      <c r="D1442" s="3">
        <v>2.0</v>
      </c>
    </row>
    <row r="1443" ht="15.75" customHeight="1">
      <c r="A1443" s="1">
        <v>1441.0</v>
      </c>
      <c r="B1443" s="3" t="s">
        <v>1444</v>
      </c>
      <c r="C1443" s="3" t="str">
        <f>IFERROR(__xludf.DUMMYFUNCTION("GOOGLETRANSLATE(B1443,""id"",""en"")"),"['Please', 'Tambagin', 'Vitur', 'Locking', 'Credit', 'Buy', 'Quota', 'Cheerful', 'Finish', 'Transaction', 'Cut', 'Credit', ' Purchases', 'cheerful', 'failed', 'Ouch', 'How', 'Discard', 'Discard', 'Money', 'Doang', 'That's',' mah ',' complement ',' Kya ' ,"&amp;" 'Gini', 'beg', 'love', 'vitur', 'locking', 'pulse', 'right', 'access', 'data', 'pulses', 'safe', '']")</f>
        <v>['Please', 'Tambagin', 'Vitur', 'Locking', 'Credit', 'Buy', 'Quota', 'Cheerful', 'Finish', 'Transaction', 'Cut', 'Credit', ' Purchases', 'cheerful', 'failed', 'Ouch', 'How', 'Discard', 'Discard', 'Money', 'Doang', 'That's',' mah ',' complement ',' Kya ' , 'Gini', 'beg', 'love', 'vitur', 'locking', 'pulse', 'right', 'access', 'data', 'pulses', 'safe', '']</v>
      </c>
      <c r="D1443" s="3">
        <v>2.0</v>
      </c>
    </row>
    <row r="1444" ht="15.75" customHeight="1">
      <c r="A1444" s="1">
        <v>1442.0</v>
      </c>
      <c r="B1444" s="3" t="s">
        <v>1445</v>
      </c>
      <c r="C1444" s="3" t="str">
        <f>IFERROR(__xludf.DUMMYFUNCTION("GOOGLETRANSLATE(B1444,""id"",""en"")"),"['expensive', 'package', 'internet', 'updated']")</f>
        <v>['expensive', 'package', 'internet', 'updated']</v>
      </c>
      <c r="D1444" s="3">
        <v>1.0</v>
      </c>
    </row>
    <row r="1445" ht="15.75" customHeight="1">
      <c r="A1445" s="1">
        <v>1443.0</v>
      </c>
      <c r="B1445" s="3" t="s">
        <v>1446</v>
      </c>
      <c r="C1445" s="3" t="str">
        <f>IFERROR(__xludf.DUMMYFUNCTION("GOOGLETRANSLATE(B1445,""id"",""en"")"),"['country', 'Indonesia', 'application', 'use', 'bhsa', 'Indonesia', 'people', 'adjust', 'bhsa', 'adjust', 'bhsa', 'in the country', ' ']")</f>
        <v>['country', 'Indonesia', 'application', 'use', 'bhsa', 'Indonesia', 'people', 'adjust', 'bhsa', 'adjust', 'bhsa', 'in the country', ' ']</v>
      </c>
      <c r="D1445" s="3">
        <v>5.0</v>
      </c>
    </row>
    <row r="1446" ht="15.75" customHeight="1">
      <c r="A1446" s="1">
        <v>1444.0</v>
      </c>
      <c r="B1446" s="3" t="s">
        <v>1447</v>
      </c>
      <c r="C1446" s="3" t="str">
        <f>IFERROR(__xludf.DUMMYFUNCTION("GOOGLETRANSLATE(B1446,""id"",""en"")"),"['', 'situ', 'written', 'quota', 'cheap', 'buy', 'buy', 'quota', 'price', 'bought', 'application', 'application', 'ktnya ',' disorder ',' msh ',' ttp ',' disorder ',' poor ']")</f>
        <v>['', 'situ', 'written', 'quota', 'cheap', 'buy', 'buy', 'quota', 'price', 'bought', 'application', 'application', 'ktnya ',' disorder ',' msh ',' ttp ',' disorder ',' poor ']</v>
      </c>
      <c r="D1446" s="3">
        <v>1.0</v>
      </c>
    </row>
    <row r="1447" ht="15.75" customHeight="1">
      <c r="A1447" s="1">
        <v>1445.0</v>
      </c>
      <c r="B1447" s="3" t="s">
        <v>1448</v>
      </c>
      <c r="C1447" s="3" t="str">
        <f>IFERROR(__xludf.DUMMYFUNCTION("GOOGLETRANSLATE(B1447,""id"",""en"")"),"['Telkomsel', 'Normal', 'Kasian', 'fate', 'child', 'school', 'online', 'already', 'buy', 'package', 'price', 'expensive', ' slow ',' difficult ',' use ',' absent ',' open ',' link ',' difficult ',' muter ',' muter ',' mulu ']")</f>
        <v>['Telkomsel', 'Normal', 'Kasian', 'fate', 'child', 'school', 'online', 'already', 'buy', 'package', 'price', 'expensive', ' slow ',' difficult ',' use ',' absent ',' open ',' link ',' difficult ',' muter ',' muter ',' mulu ']</v>
      </c>
      <c r="D1447" s="3">
        <v>1.0</v>
      </c>
    </row>
    <row r="1448" ht="15.75" customHeight="1">
      <c r="A1448" s="1">
        <v>1446.0</v>
      </c>
      <c r="B1448" s="3" t="s">
        <v>1449</v>
      </c>
      <c r="C1448" s="3" t="str">
        <f>IFERROR(__xludf.DUMMYFUNCTION("GOOGLETRANSLATE(B1448,""id"",""en"")"),"['thank', 'love', 'Telkomsel', 'network', 'strong', 'remote', 'Jaya', 'Telkomsel', ""]")</f>
        <v>['thank', 'love', 'Telkomsel', 'network', 'strong', 'remote', 'Jaya', 'Telkomsel', "]</v>
      </c>
      <c r="D1448" s="3">
        <v>5.0</v>
      </c>
    </row>
    <row r="1449" ht="15.75" customHeight="1">
      <c r="A1449" s="1">
        <v>1447.0</v>
      </c>
      <c r="B1449" s="3" t="s">
        <v>1450</v>
      </c>
      <c r="C1449" s="3" t="str">
        <f>IFERROR(__xludf.DUMMYFUNCTION("GOOGLETRANSLATE(B1449,""id"",""en"")"),"['pulse', 'lost', 'rb', 'purchase', 'anything', 'package', 'internet', 'active', 'chat', 'the reason', 'duh', 'severe', ' very', '']")</f>
        <v>['pulse', 'lost', 'rb', 'purchase', 'anything', 'package', 'internet', 'active', 'chat', 'the reason', 'duh', 'severe', ' very', '']</v>
      </c>
      <c r="D1449" s="3">
        <v>1.0</v>
      </c>
    </row>
    <row r="1450" ht="15.75" customHeight="1">
      <c r="A1450" s="1">
        <v>1448.0</v>
      </c>
      <c r="B1450" s="3" t="s">
        <v>1451</v>
      </c>
      <c r="C1450" s="3" t="str">
        <f>IFERROR(__xludf.DUMMYFUNCTION("GOOGLETRANSLATE(B1450,""id"",""en"")"),"['buy', 'package', 'OMG', 'GB', 'feeling', 'rare', 'right', 'check', 'stay', 'wasteful', 'sometimes',' signal ',' BANGJE ',' Streaming ',' Loading ',' Maen ',' Game ',' Ngelag ',' PKE ',' GB ',' Watch ',' YouTube ',' Etc. ',' Abis', 'quota' , 'Maen', 'Gam"&amp;"e', 'smooth', 'every time', 'please', 'fix', 'service', 'change', 'krtu', 'packetan', '']")</f>
        <v>['buy', 'package', 'OMG', 'GB', 'feeling', 'rare', 'right', 'check', 'stay', 'wasteful', 'sometimes',' signal ',' BANGJE ',' Streaming ',' Loading ',' Maen ',' Game ',' Ngelag ',' PKE ',' GB ',' Watch ',' YouTube ',' Etc. ',' Abis', 'quota' , 'Maen', 'Game', 'smooth', 'every time', 'please', 'fix', 'service', 'change', 'krtu', 'packetan', '']</v>
      </c>
      <c r="D1450" s="3">
        <v>5.0</v>
      </c>
    </row>
    <row r="1451" ht="15.75" customHeight="1">
      <c r="A1451" s="1">
        <v>1449.0</v>
      </c>
      <c r="B1451" s="3" t="s">
        <v>811</v>
      </c>
      <c r="C1451" s="3" t="str">
        <f>IFERROR(__xludf.DUMMYFUNCTION("GOOGLETRANSLATE(B1451,""id"",""en"")"),"['Application', 'Good', '']")</f>
        <v>['Application', 'Good', '']</v>
      </c>
      <c r="D1451" s="3">
        <v>5.0</v>
      </c>
    </row>
    <row r="1452" ht="15.75" customHeight="1">
      <c r="A1452" s="1">
        <v>1450.0</v>
      </c>
      <c r="B1452" s="3" t="s">
        <v>1452</v>
      </c>
      <c r="C1452" s="3" t="str">
        <f>IFERROR(__xludf.DUMMYFUNCTION("GOOGLETRANSLATE(B1452,""id"",""en"")"),"['Please', 'Constraints', 'Application', 'Telkomsel', 'Open', 'Application', '']")</f>
        <v>['Please', 'Constraints', 'Application', 'Telkomsel', 'Open', 'Application', '']</v>
      </c>
      <c r="D1452" s="3">
        <v>1.0</v>
      </c>
    </row>
    <row r="1453" ht="15.75" customHeight="1">
      <c r="A1453" s="1">
        <v>1451.0</v>
      </c>
      <c r="B1453" s="3" t="s">
        <v>1453</v>
      </c>
      <c r="C1453" s="3" t="str">
        <f>IFERROR(__xludf.DUMMYFUNCTION("GOOGLETRANSLATE(B1453,""id"",""en"")"),"['Application', 'updated', 'heavy', 'network', 'slow', 'a little', 'already', 'road', 'application', 'the network', 'Telkomsel', 'suggestion', ' Strengthen ',' signal ',' update ',' min ',' customer ',' loyal ',' loyal ',' disappointment ',' tutody ', ""]")</f>
        <v>['Application', 'updated', 'heavy', 'network', 'slow', 'a little', 'already', 'road', 'application', 'the network', 'Telkomsel', 'suggestion', ' Strengthen ',' signal ',' update ',' min ',' customer ',' loyal ',' loyal ',' disappointment ',' tutody ', "]</v>
      </c>
      <c r="D1453" s="3">
        <v>2.0</v>
      </c>
    </row>
    <row r="1454" ht="15.75" customHeight="1">
      <c r="A1454" s="1">
        <v>1452.0</v>
      </c>
      <c r="B1454" s="3" t="s">
        <v>1454</v>
      </c>
      <c r="C1454" s="3" t="str">
        <f>IFERROR(__xludf.DUMMYFUNCTION("GOOGLETRANSLATE(B1454,""id"",""en"")"),"['APAN', 'Cook', 'Kouta', 'Learning', 'Open', 'Link', 'Lesson', 'Quota', 'Learning', 'No', 'Bukak', 'Link', ' school ',' idiot ',' really ',' network ',' ']")</f>
        <v>['APAN', 'Cook', 'Kouta', 'Learning', 'Open', 'Link', 'Lesson', 'Quota', 'Learning', 'No', 'Bukak', 'Link', ' school ',' idiot ',' really ',' network ',' ']</v>
      </c>
      <c r="D1454" s="3">
        <v>1.0</v>
      </c>
    </row>
    <row r="1455" ht="15.75" customHeight="1">
      <c r="A1455" s="1">
        <v>1453.0</v>
      </c>
      <c r="B1455" s="3" t="s">
        <v>1455</v>
      </c>
      <c r="C1455" s="3" t="str">
        <f>IFERROR(__xludf.DUMMYFUNCTION("GOOGLETRANSLATE(B1455,""id"",""en"")"),"['Thanks',' Telkomsel ',' Provide ',' Network ',' Remote ',' Negeri ',' Ngualized ',' Tower ',' Kampung ',' User ',' Cover ',' Costs', ' Making ',' Tower ',' Power ',' Network ',' Village ',' Glad ',' Send ',' Data ',' Online ',' Office ',' Balai ',' Vill"&amp;"age ',' Region ' , 'Blank', 'Spot']")</f>
        <v>['Thanks',' Telkomsel ',' Provide ',' Network ',' Remote ',' Negeri ',' Ngualized ',' Tower ',' Kampung ',' User ',' Cover ',' Costs', ' Making ',' Tower ',' Power ',' Network ',' Village ',' Glad ',' Send ',' Data ',' Online ',' Office ',' Balai ',' Village ',' Region ' , 'Blank', 'Spot']</v>
      </c>
      <c r="D1455" s="3">
        <v>5.0</v>
      </c>
    </row>
    <row r="1456" ht="15.75" customHeight="1">
      <c r="A1456" s="1">
        <v>1454.0</v>
      </c>
      <c r="B1456" s="3" t="s">
        <v>1456</v>
      </c>
      <c r="C1456" s="3" t="str">
        <f>IFERROR(__xludf.DUMMYFUNCTION("GOOGLETRANSLATE(B1456,""id"",""en"")"),"['Please', 'repair', 'difficulty', 'enter', 'warning', 'closed', 'application', 'network', 'stable', 'upgrade', 'system', 'heavy', ' Please, 'Improvements', 'Love', 'Star', 'Features', 'Cool', 'Promo', 'Interesting', '']")</f>
        <v>['Please', 'repair', 'difficulty', 'enter', 'warning', 'closed', 'application', 'network', 'stable', 'upgrade', 'system', 'heavy', ' Please, 'Improvements', 'Love', 'Star', 'Features', 'Cool', 'Promo', 'Interesting', '']</v>
      </c>
      <c r="D1456" s="3">
        <v>5.0</v>
      </c>
    </row>
    <row r="1457" ht="15.75" customHeight="1">
      <c r="A1457" s="1">
        <v>1455.0</v>
      </c>
      <c r="B1457" s="3" t="s">
        <v>1457</v>
      </c>
      <c r="C1457" s="3" t="str">
        <f>IFERROR(__xludf.DUMMYFUNCTION("GOOGLETRANSLATE(B1457,""id"",""en"")"),"['Please', 'Telkomsel', 'pulse', 'run out', 'sucked', 'contents',' pulse ',' run out ',' pulse ',' kampttttt ',' regret ',' use ',' Cards', 'Telkomsel', 'Thinking', 'Buy', ""]")</f>
        <v>['Please', 'Telkomsel', 'pulse', 'run out', 'sucked', 'contents',' pulse ',' run out ',' pulse ',' kampttttt ',' regret ',' use ',' Cards', 'Telkomsel', 'Thinking', 'Buy', "]</v>
      </c>
      <c r="D1457" s="3">
        <v>1.0</v>
      </c>
    </row>
    <row r="1458" ht="15.75" customHeight="1">
      <c r="A1458" s="1">
        <v>1456.0</v>
      </c>
      <c r="B1458" s="3" t="s">
        <v>1458</v>
      </c>
      <c r="C1458" s="3" t="str">
        <f>IFERROR(__xludf.DUMMYFUNCTION("GOOGLETRANSLATE(B1458,""id"",""en"")"),"['Lottery', 'get', 'Exchange', 'Coin', 'tired', 'hand', 'yes', 'lottery']")</f>
        <v>['Lottery', 'get', 'Exchange', 'Coin', 'tired', 'hand', 'yes', 'lottery']</v>
      </c>
      <c r="D1458" s="3">
        <v>2.0</v>
      </c>
    </row>
    <row r="1459" ht="15.75" customHeight="1">
      <c r="A1459" s="1">
        <v>1457.0</v>
      </c>
      <c r="B1459" s="3" t="s">
        <v>1459</v>
      </c>
      <c r="C1459" s="3" t="str">
        <f>IFERROR(__xludf.DUMMYFUNCTION("GOOGLETRANSLATE(B1459,""id"",""en"")"),"['Notif', 'transaction', 'failed', 'executed', 'times',' quota ',' redundant ',' use ',' package ',' combo ',' magic ',' internet ',' Walking ',' Network ',' Network ',' Internet ']")</f>
        <v>['Notif', 'transaction', 'failed', 'executed', 'times',' quota ',' redundant ',' use ',' package ',' combo ',' magic ',' internet ',' Walking ',' Network ',' Network ',' Internet ']</v>
      </c>
      <c r="D1459" s="3">
        <v>1.0</v>
      </c>
    </row>
    <row r="1460" ht="15.75" customHeight="1">
      <c r="A1460" s="1">
        <v>1458.0</v>
      </c>
      <c r="B1460" s="3" t="s">
        <v>1460</v>
      </c>
      <c r="C1460" s="3" t="str">
        <f>IFERROR(__xludf.DUMMYFUNCTION("GOOGLETRANSLATE(B1460,""id"",""en"")"),"['Telkomsel', 'accompany', 'Honest', 'use', 'Provider', 'SIM', 'Telkomsel', 'slow', 'Severe', 'because', 'number', 'application', ' Chat ',' Registered ',' Use ',' Number ',' Telkomsel ',' Thinking ',' Tuk ',' Leave ',' Performance ',' Different ',' SIM '"&amp;",' Provider ',' Price ' , 'Telkomsel', 'best', 'high', 'please', 'think', 'tuk', 'improving', 'abandoned', 'number', 'active', 'just', 'list', ' etc. ',' thank ',' love ',' ']")</f>
        <v>['Telkomsel', 'accompany', 'Honest', 'use', 'Provider', 'SIM', 'Telkomsel', 'slow', 'Severe', 'because', 'number', 'application', ' Chat ',' Registered ',' Use ',' Number ',' Telkomsel ',' Thinking ',' Tuk ',' Leave ',' Performance ',' Different ',' SIM ',' Provider ',' Price ' , 'Telkomsel', 'best', 'high', 'please', 'think', 'tuk', 'improving', 'abandoned', 'number', 'active', 'just', 'list', ' etc. ',' thank ',' love ',' ']</v>
      </c>
      <c r="D1460" s="3">
        <v>2.0</v>
      </c>
    </row>
    <row r="1461" ht="15.75" customHeight="1">
      <c r="A1461" s="1">
        <v>1459.0</v>
      </c>
      <c r="B1461" s="3" t="s">
        <v>1461</v>
      </c>
      <c r="C1461" s="3" t="str">
        <f>IFERROR(__xludf.DUMMYFUNCTION("GOOGLETRANSLATE(B1461,""id"",""en"")"),"['method', 'payment', 'link', 'sometimes', 'appears', 'kdang', 'appears', 'method', 'payment', 'pulse', 'mhn', 'repair']")</f>
        <v>['method', 'payment', 'link', 'sometimes', 'appears', 'kdang', 'appears', 'method', 'payment', 'pulse', 'mhn', 'repair']</v>
      </c>
      <c r="D1461" s="3">
        <v>1.0</v>
      </c>
    </row>
    <row r="1462" ht="15.75" customHeight="1">
      <c r="A1462" s="1">
        <v>1460.0</v>
      </c>
      <c r="B1462" s="3" t="s">
        <v>1462</v>
      </c>
      <c r="C1462" s="3" t="str">
        <f>IFERROR(__xludf.DUMMYFUNCTION("GOOGLETRANSLATE(B1462,""id"",""en"")"),"['Love', 'star', 'please', 'repaired', 'network', 'internet', 'slow', 'normal', 'love', 'star', 'direct', 'thank', ' love']")</f>
        <v>['Love', 'star', 'please', 'repaired', 'network', 'internet', 'slow', 'normal', 'love', 'star', 'direct', 'thank', ' love']</v>
      </c>
      <c r="D1462" s="3">
        <v>1.0</v>
      </c>
    </row>
    <row r="1463" ht="15.75" customHeight="1">
      <c r="A1463" s="1">
        <v>1461.0</v>
      </c>
      <c r="B1463" s="3" t="s">
        <v>1463</v>
      </c>
      <c r="C1463" s="3" t="str">
        <f>IFERROR(__xludf.DUMMYFUNCTION("GOOGLETRANSLATE(B1463,""id"",""en"")"),"['Actually', 'application', 'good', 'deadline', 'card', 'simple', '']")</f>
        <v>['Actually', 'application', 'good', 'deadline', 'card', 'simple', '']</v>
      </c>
      <c r="D1463" s="3">
        <v>5.0</v>
      </c>
    </row>
    <row r="1464" ht="15.75" customHeight="1">
      <c r="A1464" s="1">
        <v>1462.0</v>
      </c>
      <c r="B1464" s="3" t="s">
        <v>1464</v>
      </c>
      <c r="C1464" s="3" t="str">
        <f>IFERROR(__xludf.DUMMYFUNCTION("GOOGLETRANSLATE(B1464,""id"",""en"")"),"['skrg', 'Telkomsel', 'thieves',' package ',' internet ',' run out ',' notification ',' pulse ',' main ',' razor ',' dry ',' love ',' Suggestions', 'Star', 'response', 'skrg', 'star', '']")</f>
        <v>['skrg', 'Telkomsel', 'thieves',' package ',' internet ',' run out ',' notification ',' pulse ',' main ',' razor ',' dry ',' love ',' Suggestions', 'Star', 'response', 'skrg', 'star', '']</v>
      </c>
      <c r="D1464" s="3">
        <v>1.0</v>
      </c>
    </row>
    <row r="1465" ht="15.75" customHeight="1">
      <c r="A1465" s="1">
        <v>1463.0</v>
      </c>
      <c r="B1465" s="3" t="s">
        <v>1465</v>
      </c>
      <c r="C1465" s="3" t="str">
        <f>IFERROR(__xludf.DUMMYFUNCTION("GOOGLETRANSLATE(B1465,""id"",""en"")"),"['already', 'check', 'just', 'claim', 'repeated', 'cheating', 'just', 'replace']")</f>
        <v>['already', 'check', 'just', 'claim', 'repeated', 'cheating', 'just', 'replace']</v>
      </c>
      <c r="D1465" s="3">
        <v>1.0</v>
      </c>
    </row>
    <row r="1466" ht="15.75" customHeight="1">
      <c r="A1466" s="1">
        <v>1464.0</v>
      </c>
      <c r="B1466" s="3" t="s">
        <v>1466</v>
      </c>
      <c r="C1466" s="3" t="str">
        <f>IFERROR(__xludf.DUMMYFUNCTION("GOOGLETRANSLATE(B1466,""id"",""en"")"),"['already', 'slow', 'pulse', 'like', 'ilang', 'Telkomsel', 'thief', 'poor', 'poor']")</f>
        <v>['already', 'slow', 'pulse', 'like', 'ilang', 'Telkomsel', 'thief', 'poor', 'poor']</v>
      </c>
      <c r="D1466" s="3">
        <v>1.0</v>
      </c>
    </row>
    <row r="1467" ht="15.75" customHeight="1">
      <c r="A1467" s="1">
        <v>1465.0</v>
      </c>
      <c r="B1467" s="3" t="s">
        <v>1467</v>
      </c>
      <c r="C1467" s="3" t="str">
        <f>IFERROR(__xludf.DUMMYFUNCTION("GOOGLETRANSLATE(B1467,""id"",""en"")"),"['Thank you', 'like', 'Application', 'Card', 'Telkomsel', 'Sousal', 'Ngelag', 'Makasi', 'Min', ""]")</f>
        <v>['Thank you', 'like', 'Application', 'Card', 'Telkomsel', 'Sousal', 'Ngelag', 'Makasi', 'Min', "]</v>
      </c>
      <c r="D1467" s="3">
        <v>5.0</v>
      </c>
    </row>
    <row r="1468" ht="15.75" customHeight="1">
      <c r="A1468" s="1">
        <v>1466.0</v>
      </c>
      <c r="B1468" s="3" t="s">
        <v>1468</v>
      </c>
      <c r="C1468" s="3" t="str">
        <f>IFERROR(__xludf.DUMMYFUNCTION("GOOGLETRANSLATE(B1468,""id"",""en"")"),"['', 'check', 'Full', 'bonus', 'prize', 'ilang', 'claims', 'strange', 'take', 'luck', 'sndiri']")</f>
        <v>['', 'check', 'Full', 'bonus', 'prize', 'ilang', 'claims', 'strange', 'take', 'luck', 'sndiri']</v>
      </c>
      <c r="D1468" s="3">
        <v>1.0</v>
      </c>
    </row>
    <row r="1469" ht="15.75" customHeight="1">
      <c r="A1469" s="1">
        <v>1467.0</v>
      </c>
      <c r="B1469" s="3" t="s">
        <v>1469</v>
      </c>
      <c r="C1469" s="3" t="str">
        <f>IFERROR(__xludf.DUMMYFUNCTION("GOOGLETRANSLATE(B1469,""id"",""en"")"),"['Good', 'check', 'quota', 'price', 'just', 'thank', 'love', 'Telkomsel', ""]")</f>
        <v>['Good', 'check', 'quota', 'price', 'just', 'thank', 'love', 'Telkomsel', "]</v>
      </c>
      <c r="D1469" s="3">
        <v>5.0</v>
      </c>
    </row>
    <row r="1470" ht="15.75" customHeight="1">
      <c r="A1470" s="1">
        <v>1468.0</v>
      </c>
      <c r="B1470" s="3" t="s">
        <v>1470</v>
      </c>
      <c r="C1470" s="3" t="str">
        <f>IFERROR(__xludf.DUMMYFUNCTION("GOOGLETRANSLATE(B1470,""id"",""en"")"),"['Please', 'feature', 'safe', 'credit', 'pulses',' really ',' reduced ',' fast ',' really ',' reduced ',' pulses', 'ilang', ' No ',' make ',' Sense ',' quota ',' ']")</f>
        <v>['Please', 'feature', 'safe', 'credit', 'pulses',' really ',' reduced ',' fast ',' really ',' reduced ',' pulses', 'ilang', ' No ',' make ',' Sense ',' quota ',' ']</v>
      </c>
      <c r="D1470" s="3">
        <v>3.0</v>
      </c>
    </row>
    <row r="1471" ht="15.75" customHeight="1">
      <c r="A1471" s="1">
        <v>1469.0</v>
      </c>
      <c r="B1471" s="3" t="s">
        <v>1471</v>
      </c>
      <c r="C1471" s="3" t="str">
        <f>IFERROR(__xludf.DUMMYFUNCTION("GOOGLETRANSLATE(B1471,""id"",""en"")"),"['Severe', 'Credit', 'Reduced', 'Wased', '']")</f>
        <v>['Severe', 'Credit', 'Reduced', 'Wased', '']</v>
      </c>
      <c r="D1471" s="3">
        <v>1.0</v>
      </c>
    </row>
    <row r="1472" ht="15.75" customHeight="1">
      <c r="A1472" s="1">
        <v>1470.0</v>
      </c>
      <c r="B1472" s="3" t="s">
        <v>1472</v>
      </c>
      <c r="C1472" s="3" t="str">
        <f>IFERROR(__xludf.DUMMYFUNCTION("GOOGLETRANSLATE(B1472,""id"",""en"")"),"['Application', 'Help', 'Media', 'Social', 'Thank you', 'Hopefully', 'APK', 'Useful', 'Society', 'Need it']")</f>
        <v>['Application', 'Help', 'Media', 'Social', 'Thank you', 'Hopefully', 'APK', 'Useful', 'Society', 'Need it']</v>
      </c>
      <c r="D1472" s="3">
        <v>5.0</v>
      </c>
    </row>
    <row r="1473" ht="15.75" customHeight="1">
      <c r="A1473" s="1">
        <v>1471.0</v>
      </c>
      <c r="B1473" s="3" t="s">
        <v>1473</v>
      </c>
      <c r="C1473" s="3" t="str">
        <f>IFERROR(__xludf.DUMMYFUNCTION("GOOGLETRANSLATE(B1473,""id"",""en"")"),"['Please', 'gift', 'because', 'child', 'need it', 'maxh', 'advanced', 'The', 'One', 'Indonesia', 'Amin', ""]")</f>
        <v>['Please', 'gift', 'because', 'child', 'need it', 'maxh', 'advanced', 'The', 'One', 'Indonesia', 'Amin', "]</v>
      </c>
      <c r="D1473" s="3">
        <v>5.0</v>
      </c>
    </row>
    <row r="1474" ht="15.75" customHeight="1">
      <c r="A1474" s="1">
        <v>1472.0</v>
      </c>
      <c r="B1474" s="3" t="s">
        <v>1474</v>
      </c>
      <c r="C1474" s="3" t="str">
        <f>IFERROR(__xludf.DUMMYFUNCTION("GOOGLETRANSLATE(B1474,""id"",""en"")"),"['', 'money', 'wasted', 'vain', 'vain', 'buy', 'package', 'unlimited', 'quota', 'internet', 'finished', 'left', 'unlimited ',' used ',' except ',' Yutub ',' browser ',' Google ',' classrom ',' gmeet ',' please ',' repaired ',' disappointing ', ""]")</f>
        <v>['', 'money', 'wasted', 'vain', 'vain', 'buy', 'package', 'unlimited', 'quota', 'internet', 'finished', 'left', 'unlimited ',' used ',' except ',' Yutub ',' browser ',' Google ',' classrom ',' gmeet ',' please ',' repaired ',' disappointing ', "]</v>
      </c>
      <c r="D1474" s="3">
        <v>1.0</v>
      </c>
    </row>
    <row r="1475" ht="15.75" customHeight="1">
      <c r="A1475" s="1">
        <v>1473.0</v>
      </c>
      <c r="B1475" s="3" t="s">
        <v>1475</v>
      </c>
      <c r="C1475" s="3" t="str">
        <f>IFERROR(__xludf.DUMMYFUNCTION("GOOGLETRANSLATE(B1475,""id"",""en"")"),"['Sorry', 'Lower', 'Her Star', 'Disright', 'Yesterday', 'Quota', 'Emergency', 'Network', 'Lemot', 'Customized', 'Package', 'Price', ' The price ',' Different ',' Customer ',' Need ',' Quota ',' Active ',' Daily ',' checkin ',' multiplied ',' quota ',' Bon"&amp;"us', 'Google', 'Play' , 'DLL', 'Points', 'Rare', 'People', 'Use', '']")</f>
        <v>['Sorry', 'Lower', 'Her Star', 'Disright', 'Yesterday', 'Quota', 'Emergency', 'Network', 'Lemot', 'Customized', 'Package', 'Price', ' The price ',' Different ',' Customer ',' Need ',' Quota ',' Active ',' Daily ',' checkin ',' multiplied ',' quota ',' Bonus', 'Google', 'Play' , 'DLL', 'Points', 'Rare', 'People', 'Use', '']</v>
      </c>
      <c r="D1475" s="3">
        <v>1.0</v>
      </c>
    </row>
    <row r="1476" ht="15.75" customHeight="1">
      <c r="A1476" s="1">
        <v>1474.0</v>
      </c>
      <c r="B1476" s="3" t="s">
        <v>1476</v>
      </c>
      <c r="C1476" s="3" t="str">
        <f>IFERROR(__xludf.DUMMYFUNCTION("GOOGLETRANSLATE(B1476,""id"",""en"")"),"['price', 'package', 'severe', 'really', 'high', 'exchange', 'point', 'product', 'telkomsel', 'pulse', 'how', 'Telkomsel', ' skarang ',' ngak ',' jalas', 'disappointed', 'all', 'Telkomsel', 'network', 'slow', 'package', 'expensive', 'exchange', 'point', '"&amp;"pulses' , 'User', 'product', 'Telkomsel', 'skarang', 'disappointed']")</f>
        <v>['price', 'package', 'severe', 'really', 'high', 'exchange', 'point', 'product', 'telkomsel', 'pulse', 'how', 'Telkomsel', ' skarang ',' ngak ',' jalas', 'disappointed', 'all', 'Telkomsel', 'network', 'slow', 'package', 'expensive', 'exchange', 'point', 'pulses' , 'User', 'product', 'Telkomsel', 'skarang', 'disappointed']</v>
      </c>
      <c r="D1476" s="3">
        <v>1.0</v>
      </c>
    </row>
    <row r="1477" ht="15.75" customHeight="1">
      <c r="A1477" s="1">
        <v>1475.0</v>
      </c>
      <c r="B1477" s="3" t="s">
        <v>1477</v>
      </c>
      <c r="C1477" s="3" t="str">
        <f>IFERROR(__xludf.DUMMYFUNCTION("GOOGLETRANSLATE(B1477,""id"",""en"")"),"['hope', 'feature', 'pulse', 'package', 'turn', 'data', 'interesting', 'pulse', 'automatic', 'agara', 'buy', 'package', ' Telkomsel ',' reduce ',' pulse ']")</f>
        <v>['hope', 'feature', 'pulse', 'package', 'turn', 'data', 'interesting', 'pulse', 'automatic', 'agara', 'buy', 'package', ' Telkomsel ',' reduce ',' pulse ']</v>
      </c>
      <c r="D1477" s="3">
        <v>1.0</v>
      </c>
    </row>
    <row r="1478" ht="15.75" customHeight="1">
      <c r="A1478" s="1">
        <v>1476.0</v>
      </c>
      <c r="B1478" s="3" t="s">
        <v>1478</v>
      </c>
      <c r="C1478" s="3" t="str">
        <f>IFERROR(__xludf.DUMMYFUNCTION("GOOGLETRANSLATE(B1478,""id"",""en"")"),"['Telkomsel', 'Tipu', 'Cashback', 'Coins', 'Shopee', 'Fill', 'Credit', 'Get', 'Contents', 'Credit', 'MyTelkomsel', ""]")</f>
        <v>['Telkomsel', 'Tipu', 'Cashback', 'Coins', 'Shopee', 'Fill', 'Credit', 'Get', 'Contents', 'Credit', 'MyTelkomsel', "]</v>
      </c>
      <c r="D1478" s="3">
        <v>1.0</v>
      </c>
    </row>
    <row r="1479" ht="15.75" customHeight="1">
      <c r="A1479" s="1">
        <v>1477.0</v>
      </c>
      <c r="B1479" s="3" t="s">
        <v>1479</v>
      </c>
      <c r="C1479" s="3" t="str">
        <f>IFERROR(__xludf.DUMMYFUNCTION("GOOGLETRANSLATE(B1479,""id"",""en"")"),"['Exchange', 'Points',' Undi ',' Hepi ',' Win ',' Gift ',' winner ',' No ',' Prove ',' Details', 'doubt', 'trick', ' program ',' winner ',' Where ',' process', 'acceptance', 'nooo', 'Layi', 'Tipu', ""]")</f>
        <v>['Exchange', 'Points',' Undi ',' Hepi ',' Win ',' Gift ',' winner ',' No ',' Prove ',' Details', 'doubt', 'trick', ' program ',' winner ',' Where ',' process', 'acceptance', 'nooo', 'Layi', 'Tipu', "]</v>
      </c>
      <c r="D1479" s="3">
        <v>1.0</v>
      </c>
    </row>
    <row r="1480" ht="15.75" customHeight="1">
      <c r="A1480" s="1">
        <v>1478.0</v>
      </c>
      <c r="B1480" s="3" t="s">
        <v>1480</v>
      </c>
      <c r="C1480" s="3" t="str">
        <f>IFERROR(__xludf.DUMMYFUNCTION("GOOGLETRANSLATE(B1480,""id"",""en"")"),"['cave', 'prank', 'taik', 'buy', 'kouta', 'mesk', 'pulse', 'pakek', 'leftover', 'pulse', 'cave', 'got', ' Times', 'Promo', 'Bener', 'Hoax', '']")</f>
        <v>['cave', 'prank', 'taik', 'buy', 'kouta', 'mesk', 'pulse', 'pakek', 'leftover', 'pulse', 'cave', 'got', ' Times', 'Promo', 'Bener', 'Hoax', '']</v>
      </c>
      <c r="D1480" s="3">
        <v>1.0</v>
      </c>
    </row>
    <row r="1481" ht="15.75" customHeight="1">
      <c r="A1481" s="1">
        <v>1479.0</v>
      </c>
      <c r="B1481" s="3" t="s">
        <v>1481</v>
      </c>
      <c r="C1481" s="3" t="str">
        <f>IFERROR(__xludf.DUMMYFUNCTION("GOOGLETRANSLATE(B1481,""id"",""en"")"),"['apk', 'emng', 'good', 'really', 'buy', 'package', 'easy', 'min', 'yesterday', 'knp', 'apk', 'see', ' the rest of ',' package ',' his writing ',' error ',' that's', 'nge', 'check', 'sms',' udh ',' thanks', 'min', '']")</f>
        <v>['apk', 'emng', 'good', 'really', 'buy', 'package', 'easy', 'min', 'yesterday', 'knp', 'apk', 'see', ' the rest of ',' package ',' his writing ',' error ',' that's', 'nge', 'check', 'sms',' udh ',' thanks', 'min', '']</v>
      </c>
      <c r="D1481" s="3">
        <v>4.0</v>
      </c>
    </row>
    <row r="1482" ht="15.75" customHeight="1">
      <c r="A1482" s="1">
        <v>1480.0</v>
      </c>
      <c r="B1482" s="3" t="s">
        <v>1482</v>
      </c>
      <c r="C1482" s="3" t="str">
        <f>IFERROR(__xludf.DUMMYFUNCTION("GOOGLETRANSLATE(B1482,""id"",""en"")"),"['already', 'updated', 'update', 'gaje', 'times', 'it', 'work', 'noh', 'bug', 'gini', 'dibialdin', '']")</f>
        <v>['already', 'updated', 'update', 'gaje', 'times', 'it', 'work', 'noh', 'bug', 'gini', 'dibialdin', '']</v>
      </c>
      <c r="D1482" s="3">
        <v>1.0</v>
      </c>
    </row>
    <row r="1483" ht="15.75" customHeight="1">
      <c r="A1483" s="1">
        <v>1481.0</v>
      </c>
      <c r="B1483" s="3" t="s">
        <v>1483</v>
      </c>
      <c r="C1483" s="3" t="str">
        <f>IFERROR(__xludf.DUMMYFUNCTION("GOOGLETRANSLATE(B1483,""id"",""en"")"),"['check', 'additional', 'quota', 'reality', 'increase', 'how', 'nich', 'signal', 'slow', 'disappointed', 'pke', 'Telkomsel']")</f>
        <v>['check', 'additional', 'quota', 'reality', 'increase', 'how', 'nich', 'signal', 'slow', 'disappointed', 'pke', 'Telkomsel']</v>
      </c>
      <c r="D1483" s="3">
        <v>3.0</v>
      </c>
    </row>
    <row r="1484" ht="15.75" customHeight="1">
      <c r="A1484" s="1">
        <v>1482.0</v>
      </c>
      <c r="B1484" s="3" t="s">
        <v>1484</v>
      </c>
      <c r="C1484" s="3" t="str">
        <f>IFERROR(__xludf.DUMMYFUNCTION("GOOGLETRANSLATE(B1484,""id"",""en"")"),"['LIKE', 'BNGT', 'App', 'Anyway', 'Sangant', 'Help', 'Recommendation', 'friend', 'friend', 'user', 'card', 'Telkomsel', ' easy ',' bonus', 'gift', 'just', 'like', 'deh', 'love', 'star', '']")</f>
        <v>['LIKE', 'BNGT', 'App', 'Anyway', 'Sangant', 'Help', 'Recommendation', 'friend', 'friend', 'user', 'card', 'Telkomsel', ' easy ',' bonus', 'gift', 'just', 'like', 'deh', 'love', 'star', '']</v>
      </c>
      <c r="D1484" s="3">
        <v>5.0</v>
      </c>
    </row>
    <row r="1485" ht="15.75" customHeight="1">
      <c r="A1485" s="1">
        <v>1483.0</v>
      </c>
      <c r="B1485" s="3" t="s">
        <v>1485</v>
      </c>
      <c r="C1485" s="3" t="str">
        <f>IFERROR(__xludf.DUMMYFUNCTION("GOOGLETRANSLATE(B1485,""id"",""en"")"),"['Get', 'SMS', 'Internet', 'Sakti', 'right', 'opened', 'error', 'complaint', 'Twitter', 'uda', 'active', 'pls',' hiring ',' employees', 'Kasih', 'Bener', 'Provider', 'Make', 'Method', 'Business',' VOC ',' Gini ',' Try ',' Make ',' Ala ' , 'VOC', 'aka', 'm"&amp;"onopoly', 'uda', 'cave', 'stay']")</f>
        <v>['Get', 'SMS', 'Internet', 'Sakti', 'right', 'opened', 'error', 'complaint', 'Twitter', 'uda', 'active', 'pls',' hiring ',' employees', 'Kasih', 'Bener', 'Provider', 'Make', 'Method', 'Business',' VOC ',' Gini ',' Try ',' Make ',' Ala ' , 'VOC', 'aka', 'monopoly', 'uda', 'cave', 'stay']</v>
      </c>
      <c r="D1485" s="3">
        <v>1.0</v>
      </c>
    </row>
    <row r="1486" ht="15.75" customHeight="1">
      <c r="A1486" s="1">
        <v>1484.0</v>
      </c>
      <c r="B1486" s="3" t="s">
        <v>1486</v>
      </c>
      <c r="C1486" s="3" t="str">
        <f>IFERROR(__xludf.DUMMYFUNCTION("GOOGLETRANSLATE(B1486,""id"",""en"")"),"['buy', 'package', 'quota', 'night', 'balance', 'ovo', 'cut', 'quota', 'gamukasuk', 'disappointed', 'Telkomsel', 'please', ' Min ',' return ',' money ',' complement ',' Telkomsel ',' response ',' ']")</f>
        <v>['buy', 'package', 'quota', 'night', 'balance', 'ovo', 'cut', 'quota', 'gamukasuk', 'disappointed', 'Telkomsel', 'please', ' Min ',' return ',' money ',' complement ',' Telkomsel ',' response ',' ']</v>
      </c>
      <c r="D1486" s="3">
        <v>1.0</v>
      </c>
    </row>
    <row r="1487" ht="15.75" customHeight="1">
      <c r="A1487" s="1">
        <v>1485.0</v>
      </c>
      <c r="B1487" s="3" t="s">
        <v>1487</v>
      </c>
      <c r="C1487" s="3" t="str">
        <f>IFERROR(__xludf.DUMMYFUNCTION("GOOGLETRANSLATE(B1487,""id"",""en"")"),"['Buy', 'Package', 'Special', 'YouTube', 'TTP', 'Opened', 'Lelettttttt', 'Fixs', 'Time', 'Use', 'Application', 'byeeee']")</f>
        <v>['Buy', 'Package', 'Special', 'YouTube', 'TTP', 'Opened', 'Lelettttttt', 'Fixs', 'Time', 'Use', 'Application', 'byeeee']</v>
      </c>
      <c r="D1487" s="3">
        <v>1.0</v>
      </c>
    </row>
    <row r="1488" ht="15.75" customHeight="1">
      <c r="A1488" s="1">
        <v>1486.0</v>
      </c>
      <c r="B1488" s="3" t="s">
        <v>1488</v>
      </c>
      <c r="C1488" s="3" t="str">
        <f>IFERROR(__xludf.DUMMYFUNCTION("GOOGLETRANSLATE(B1488,""id"",""en"")"),"['buy', 'quota', 'ladies', 'main', 'balance', 'link', 'entry', 'balance', 'chick', 'disappointed']")</f>
        <v>['buy', 'quota', 'ladies', 'main', 'balance', 'link', 'entry', 'balance', 'chick', 'disappointed']</v>
      </c>
      <c r="D1488" s="3">
        <v>1.0</v>
      </c>
    </row>
    <row r="1489" ht="15.75" customHeight="1">
      <c r="A1489" s="1">
        <v>1487.0</v>
      </c>
      <c r="B1489" s="3" t="s">
        <v>1489</v>
      </c>
      <c r="C1489" s="3" t="str">
        <f>IFERROR(__xludf.DUMMYFUNCTION("GOOGLETRANSLATE(B1489,""id"",""en"")"),"['anjrit', 'gnggguan', 'disorder', 'dri', 'buy', 'package', 'fail', 'taunya', 'times',' buy ',' package ',' kalao ',' Failed ',' failed ',' Jngn ',' failed ',' keeleli ',' gajelas', 'sympathy', 'nihh']")</f>
        <v>['anjrit', 'gnggguan', 'disorder', 'dri', 'buy', 'package', 'fail', 'taunya', 'times',' buy ',' package ',' kalao ',' Failed ',' failed ',' Jngn ',' failed ',' keeleli ',' gajelas', 'sympathy', 'nihh']</v>
      </c>
      <c r="D1489" s="3">
        <v>1.0</v>
      </c>
    </row>
    <row r="1490" ht="15.75" customHeight="1">
      <c r="A1490" s="1">
        <v>1488.0</v>
      </c>
      <c r="B1490" s="3" t="s">
        <v>1490</v>
      </c>
      <c r="C1490" s="3" t="str">
        <f>IFERROR(__xludf.DUMMYFUNCTION("GOOGLETRANSLATE(B1490,""id"",""en"")"),"['Package', 'Education', 'ilmupedia', 'Likewit', 'System', 'Unlimitid', 'Serious',' Quota ',' Main ',' Out ',' Indicates', 'Telkomsel', ' competent ',' provider ',' service ',' internet ',' where ',' level ',' provider ',' network ',' stable ',' tower ','"&amp;" bts', 'dead', 'electricity' , 'go out', 'in the past', 'pandemic', 'upgrade', 'via', 'online', '']")</f>
        <v>['Package', 'Education', 'ilmupedia', 'Likewit', 'System', 'Unlimitid', 'Serious',' Quota ',' Main ',' Out ',' Indicates', 'Telkomsel', ' competent ',' provider ',' service ',' internet ',' where ',' level ',' provider ',' network ',' stable ',' tower ',' bts', 'dead', 'electricity' , 'go out', 'in the past', 'pandemic', 'upgrade', 'via', 'online', '']</v>
      </c>
      <c r="D1490" s="3">
        <v>1.0</v>
      </c>
    </row>
    <row r="1491" ht="15.75" customHeight="1">
      <c r="A1491" s="1">
        <v>1489.0</v>
      </c>
      <c r="B1491" s="3" t="s">
        <v>1491</v>
      </c>
      <c r="C1491" s="3" t="str">
        <f>IFERROR(__xludf.DUMMYFUNCTION("GOOGLETRANSLATE(B1491,""id"",""en"")"),"['buy', 'quota', 'multimedia', 'used', 'use', 'severe', 'really']")</f>
        <v>['buy', 'quota', 'multimedia', 'used', 'use', 'severe', 'really']</v>
      </c>
      <c r="D1491" s="3">
        <v>2.0</v>
      </c>
    </row>
    <row r="1492" ht="15.75" customHeight="1">
      <c r="A1492" s="1">
        <v>1490.0</v>
      </c>
      <c r="B1492" s="3" t="s">
        <v>1492</v>
      </c>
      <c r="C1492" s="3" t="str">
        <f>IFERROR(__xludf.DUMMYFUNCTION("GOOGLETRANSLATE(B1492,""id"",""en"")"),"['use', 'Telkomsel', 'features',' okay ',' okay ',' update ',' telkomsel ',' promo ',' cheap ',' good ',' job ',' Telkomsel ',' ']")</f>
        <v>['use', 'Telkomsel', 'features',' okay ',' okay ',' update ',' telkomsel ',' promo ',' cheap ',' good ',' job ',' Telkomsel ',' ']</v>
      </c>
      <c r="D1492" s="3">
        <v>5.0</v>
      </c>
    </row>
    <row r="1493" ht="15.75" customHeight="1">
      <c r="A1493" s="1">
        <v>1491.0</v>
      </c>
      <c r="B1493" s="3" t="s">
        <v>1493</v>
      </c>
      <c r="C1493" s="3" t="str">
        <f>IFERROR(__xludf.DUMMYFUNCTION("GOOGLETRANSLATE(B1493,""id"",""en"")"),"['AHIR', 'Network', 'disappointing', 'network', 'broke', 'please', 'concerned', 'clarification', 'telephone', 'operator', 'reality', 'bad']")</f>
        <v>['AHIR', 'Network', 'disappointing', 'network', 'broke', 'please', 'concerned', 'clarification', 'telephone', 'operator', 'reality', 'bad']</v>
      </c>
      <c r="D1493" s="3">
        <v>1.0</v>
      </c>
    </row>
    <row r="1494" ht="15.75" customHeight="1">
      <c r="A1494" s="1">
        <v>1492.0</v>
      </c>
      <c r="B1494" s="3" t="s">
        <v>1494</v>
      </c>
      <c r="C1494" s="3" t="str">
        <f>IFERROR(__xludf.DUMMYFUNCTION("GOOGLETRANSLATE(B1494,""id"",""en"")"),"['Thank you', 'Hopefully', 'Make Easy', 'Profider', 'Nomer', 'Indonesia']")</f>
        <v>['Thank you', 'Hopefully', 'Make Easy', 'Profider', 'Nomer', 'Indonesia']</v>
      </c>
      <c r="D1494" s="3">
        <v>5.0</v>
      </c>
    </row>
    <row r="1495" ht="15.75" customHeight="1">
      <c r="A1495" s="1">
        <v>1493.0</v>
      </c>
      <c r="B1495" s="3" t="s">
        <v>1495</v>
      </c>
      <c r="C1495" s="3" t="str">
        <f>IFERROR(__xludf.DUMMYFUNCTION("GOOGLETRANSLATE(B1495,""id"",""en"")"),"['already', 'package', 'expensive', 'network', 'slow', 'already', 'tekomsel', 'severe', 'lazy', 'cave', 'gave', 'star', ' critical']")</f>
        <v>['already', 'package', 'expensive', 'network', 'slow', 'already', 'tekomsel', 'severe', 'lazy', 'cave', 'gave', 'star', ' critical']</v>
      </c>
      <c r="D1495" s="3">
        <v>1.0</v>
      </c>
    </row>
    <row r="1496" ht="15.75" customHeight="1">
      <c r="A1496" s="1">
        <v>1494.0</v>
      </c>
      <c r="B1496" s="3" t="s">
        <v>1496</v>
      </c>
      <c r="C1496" s="3" t="str">
        <f>IFERROR(__xludf.DUMMYFUNCTION("GOOGLETRANSLATE(B1496,""id"",""en"")"),"['pantekkkk', 'annjiang', 'provider', 'broken', 'disgusting', 'hope', 'staff', 'disaster', 'hangingpat', 'pantekkkk']")</f>
        <v>['pantekkkk', 'annjiang', 'provider', 'broken', 'disgusting', 'hope', 'staff', 'disaster', 'hangingpat', 'pantekkkk']</v>
      </c>
      <c r="D1496" s="3">
        <v>1.0</v>
      </c>
    </row>
    <row r="1497" ht="15.75" customHeight="1">
      <c r="A1497" s="1">
        <v>1495.0</v>
      </c>
      <c r="B1497" s="3" t="s">
        <v>1497</v>
      </c>
      <c r="C1497" s="3" t="str">
        <f>IFERROR(__xludf.DUMMYFUNCTION("GOOGLETRANSLATE(B1497,""id"",""en"")"),"['APK', 'good', 'org', 'fill in', 'credit', 'pulse', 'cut', 'customer', 'loan', 'package', 'emergency', 'plentakan', ' fill out ',' pulse ',' forget ',' turn off ',' data ',' cellular ']")</f>
        <v>['APK', 'good', 'org', 'fill in', 'credit', 'pulse', 'cut', 'customer', 'loan', 'package', 'emergency', 'plentakan', ' fill out ',' pulse ',' forget ',' turn off ',' data ',' cellular ']</v>
      </c>
      <c r="D1497" s="3">
        <v>5.0</v>
      </c>
    </row>
    <row r="1498" ht="15.75" customHeight="1">
      <c r="A1498" s="1">
        <v>1496.0</v>
      </c>
      <c r="B1498" s="3" t="s">
        <v>1498</v>
      </c>
      <c r="C1498" s="3" t="str">
        <f>IFERROR(__xludf.DUMMYFUNCTION("GOOGLETRANSLATE(B1498,""id"",""en"")"),"['typed', 'number', 'biltaa', 'automatic', 'enter']")</f>
        <v>['typed', 'number', 'biltaa', 'automatic', 'enter']</v>
      </c>
      <c r="D1498" s="3">
        <v>2.0</v>
      </c>
    </row>
    <row r="1499" ht="15.75" customHeight="1">
      <c r="A1499" s="1">
        <v>1497.0</v>
      </c>
      <c r="B1499" s="3" t="s">
        <v>1499</v>
      </c>
      <c r="C1499" s="3" t="str">
        <f>IFERROR(__xludf.DUMMYFUNCTION("GOOGLETRANSLATE(B1499,""id"",""en"")"),"['network', 'Telkomsel', 'slow', 'missing', 'signal', 'severe', 'really', ""]")</f>
        <v>['network', 'Telkomsel', 'slow', 'missing', 'signal', 'severe', 'really', "]</v>
      </c>
      <c r="D1499" s="3">
        <v>1.0</v>
      </c>
    </row>
    <row r="1500" ht="15.75" customHeight="1">
      <c r="A1500" s="1">
        <v>1498.0</v>
      </c>
      <c r="B1500" s="3" t="s">
        <v>1500</v>
      </c>
      <c r="C1500" s="3" t="str">
        <f>IFERROR(__xludf.DUMMYFUNCTION("GOOGLETRANSLATE(B1500,""id"",""en"")"),"['What', 'Maketin', 'Quota', 'Failed', 'Remnant', 'Credit', 'Pulses', 'Fix', 'Lahhhh', ""]")</f>
        <v>['What', 'Maketin', 'Quota', 'Failed', 'Remnant', 'Credit', 'Pulses', 'Fix', 'Lahhhh', "]</v>
      </c>
      <c r="D1500" s="3">
        <v>1.0</v>
      </c>
    </row>
    <row r="1501" ht="15.75" customHeight="1">
      <c r="A1501" s="1">
        <v>1499.0</v>
      </c>
      <c r="B1501" s="3" t="s">
        <v>1501</v>
      </c>
      <c r="C1501" s="3" t="str">
        <f>IFERROR(__xludf.DUMMYFUNCTION("GOOGLETRANSLATE(B1501,""id"",""en"")"),"['Bintang', 'Review', 'Proud', 'Card', 'Telkomsel', 'Use', 'Signal', 'Severe', 'Bill', 'Tetus',' Package ',' NLP ',' used ',' NLP ',' signal ',' intetnet ',' severe ',' broken ',' okay ',' a day ',' victim ',' slamming ',' signal ',' do ',' use ' , 'priva"&amp;"te', 'replace', 'card', 'improvement', 'good', 'mah', 'add', 'ugly', '']")</f>
        <v>['Bintang', 'Review', 'Proud', 'Card', 'Telkomsel', 'Use', 'Signal', 'Severe', 'Bill', 'Tetus',' Package ',' NLP ',' used ',' NLP ',' signal ',' intetnet ',' severe ',' broken ',' okay ',' a day ',' victim ',' slamming ',' signal ',' do ',' use ' , 'private', 'replace', 'card', 'improvement', 'good', 'mah', 'add', 'ugly', '']</v>
      </c>
      <c r="D1501" s="3">
        <v>1.0</v>
      </c>
    </row>
    <row r="1502" ht="15.75" customHeight="1">
      <c r="A1502" s="1">
        <v>1500.0</v>
      </c>
      <c r="B1502" s="3" t="s">
        <v>1502</v>
      </c>
      <c r="C1502" s="3" t="str">
        <f>IFERROR(__xludf.DUMMYFUNCTION("GOOGLETRANSLATE(B1502,""id"",""en"")"),"['quota', 'multimedian', 'use', 'quota', 'main', 'use', 'quota', 'multimedia', 'poor', 'quota', 'divided', 'right', ' quota ',' internet ',' abis', 'quota', 'multimedia', 'dipake', 'active', '']")</f>
        <v>['quota', 'multimedian', 'use', 'quota', 'main', 'use', 'quota', 'multimedia', 'poor', 'quota', 'divided', 'right', ' quota ',' internet ',' abis', 'quota', 'multimedia', 'dipake', 'active', '']</v>
      </c>
      <c r="D1502" s="3">
        <v>1.0</v>
      </c>
    </row>
    <row r="1503" ht="15.75" customHeight="1">
      <c r="A1503" s="1">
        <v>1501.0</v>
      </c>
      <c r="B1503" s="3" t="s">
        <v>1503</v>
      </c>
      <c r="C1503" s="3" t="str">
        <f>IFERROR(__xludf.DUMMYFUNCTION("GOOGLETRANSLATE(B1503,""id"",""en"")"),"['Please', 'Anying', 'Network', 'Fix', 'Fast', 'Napa', 'Gara', 'Gara', 'Network', 'Kek', 'Play', 'AFK', ' HDI ',' Lost ',' Free ',' Spin ',' TRS ',' DOVER ',' Oath ']")</f>
        <v>['Please', 'Anying', 'Network', 'Fix', 'Fast', 'Napa', 'Gara', 'Gara', 'Network', 'Kek', 'Play', 'AFK', ' HDI ',' Lost ',' Free ',' Spin ',' TRS ',' DOVER ',' Oath ']</v>
      </c>
      <c r="D1503" s="3">
        <v>1.0</v>
      </c>
    </row>
    <row r="1504" ht="15.75" customHeight="1">
      <c r="A1504" s="1">
        <v>1502.0</v>
      </c>
      <c r="B1504" s="3" t="s">
        <v>1504</v>
      </c>
      <c r="C1504" s="3" t="str">
        <f>IFERROR(__xludf.DUMMYFUNCTION("GOOGLETRANSLATE(B1504,""id"",""en"")"),"['Tissue', 'Telkomsel', 'bad', 'lucky', 'detrimental', 'consumers',' crazy ',' continue ',' buy ',' expensive ',' expensive ',' bad ',' difficult ',' stone ',' hear ',' request ',' consumer ',' continue ',' Telkomsel ',' network ',' bad ',' you ', ""]")</f>
        <v>['Tissue', 'Telkomsel', 'bad', 'lucky', 'detrimental', 'consumers',' crazy ',' continue ',' buy ',' expensive ',' expensive ',' bad ',' difficult ',' stone ',' hear ',' request ',' consumer ',' continue ',' Telkomsel ',' network ',' bad ',' you ', "]</v>
      </c>
      <c r="D1504" s="3">
        <v>1.0</v>
      </c>
    </row>
    <row r="1505" ht="15.75" customHeight="1">
      <c r="A1505" s="1">
        <v>1503.0</v>
      </c>
      <c r="B1505" s="3" t="s">
        <v>1505</v>
      </c>
      <c r="C1505" s="3" t="str">
        <f>IFERROR(__xludf.DUMMYFUNCTION("GOOGLETRANSLATE(B1505,""id"",""en"")"),"['Hopefully', 'service', 'Telkomsel', 'signal', 'data', 'slow', 'week', '']")</f>
        <v>['Hopefully', 'service', 'Telkomsel', 'signal', 'data', 'slow', 'week', '']</v>
      </c>
      <c r="D1505" s="3">
        <v>5.0</v>
      </c>
    </row>
    <row r="1506" ht="15.75" customHeight="1">
      <c r="A1506" s="1">
        <v>1504.0</v>
      </c>
      <c r="B1506" s="3" t="s">
        <v>1506</v>
      </c>
      <c r="C1506" s="3" t="str">
        <f>IFERROR(__xludf.DUMMYFUNCTION("GOOGLETRANSLATE(B1506,""id"",""en"")"),"['Love', 'Very', 'Telkomsel', 'Make', 'Telkomsel', 'Since', 'Telkomsel', 'Unlimited', 'Suggestions',' Network ',' Bagusin ',' Use ',' Telkomsel ',' Hello ',' Suggestion ',' Quota ',' Unlimited ',' Telkomsel ',' Hello ',' Sosmed ',' Please ',' Addin ',' Tw"&amp;"itter ',' Telegram ',' The like ' , 'user', 'comfortable', 'suggestion', 'so', 'thank you', 'hope', 'kabulin', ""]")</f>
        <v>['Love', 'Very', 'Telkomsel', 'Make', 'Telkomsel', 'Since', 'Telkomsel', 'Unlimited', 'Suggestions',' Network ',' Bagusin ',' Use ',' Telkomsel ',' Hello ',' Suggestion ',' Quota ',' Unlimited ',' Telkomsel ',' Hello ',' Sosmed ',' Please ',' Addin ',' Twitter ',' Telegram ',' The like ' , 'user', 'comfortable', 'suggestion', 'so', 'thank you', 'hope', 'kabulin', "]</v>
      </c>
      <c r="D1506" s="3">
        <v>5.0</v>
      </c>
    </row>
    <row r="1507" ht="15.75" customHeight="1">
      <c r="A1507" s="1">
        <v>1505.0</v>
      </c>
      <c r="B1507" s="3" t="s">
        <v>1507</v>
      </c>
      <c r="C1507" s="3" t="str">
        <f>IFERROR(__xludf.DUMMYFUNCTION("GOOGLETRANSLATE(B1507,""id"",""en"")"),"['already', 'poor', 'Bela', 'buy', 'quota', 'signal', 'smooth', 'Indonesia', 'lose', 'ama', 'smartfren', 'cheap', ' Cheerful ',' disappointed ',' so loyal ',' sek ',' eek ']")</f>
        <v>['already', 'poor', 'Bela', 'buy', 'quota', 'signal', 'smooth', 'Indonesia', 'lose', 'ama', 'smartfren', 'cheap', ' Cheerful ',' disappointed ',' so loyal ',' sek ',' eek ']</v>
      </c>
      <c r="D1507" s="3">
        <v>1.0</v>
      </c>
    </row>
    <row r="1508" ht="15.75" customHeight="1">
      <c r="A1508" s="1">
        <v>1506.0</v>
      </c>
      <c r="B1508" s="3" t="s">
        <v>1508</v>
      </c>
      <c r="C1508" s="3" t="str">
        <f>IFERROR(__xludf.DUMMYFUNCTION("GOOGLETRANSLATE(B1508,""id"",""en"")"),"['BLI', 'Package', 'Internet', 'Telkomsel', 'The network', 'slow', 'Please', 'Developer', 'Note', 'Comfort', 'Customer', 'already', ' network ',' Telkomsel ',' destroyed ',' severe ',' bsa ',' bka ',' zoom ',' college ',' online ',' please ',' repair ',' "&amp;"telkomsel ']")</f>
        <v>['BLI', 'Package', 'Internet', 'Telkomsel', 'The network', 'slow', 'Please', 'Developer', 'Note', 'Comfort', 'Customer', 'already', ' network ',' Telkomsel ',' destroyed ',' severe ',' bsa ',' bka ',' zoom ',' college ',' online ',' please ',' repair ',' telkomsel ']</v>
      </c>
      <c r="D1508" s="3">
        <v>1.0</v>
      </c>
    </row>
    <row r="1509" ht="15.75" customHeight="1">
      <c r="A1509" s="1">
        <v>1507.0</v>
      </c>
      <c r="B1509" s="3" t="s">
        <v>1509</v>
      </c>
      <c r="C1509" s="3" t="str">
        <f>IFERROR(__xludf.DUMMYFUNCTION("GOOGLETRANSLATE(B1509,""id"",""en"")"),"['Min', 'min', 'accept', 'language', 'language', 'rude', 'person', 'acting', 'comfortable', 'Telkomsel', 'help', 'your actions',' people ',' disappointed ',' acting ',' stand up ',' tough ',' min ',' change ',' liked ',' people ',' trades', 'in the eyes',"&amp;"' people ',' people ' , 'thank you', '']")</f>
        <v>['Min', 'min', 'accept', 'language', 'language', 'rude', 'person', 'acting', 'comfortable', 'Telkomsel', 'help', 'your actions',' people ',' disappointed ',' acting ',' stand up ',' tough ',' min ',' change ',' liked ',' people ',' trades', 'in the eyes',' people ',' people ' , 'thank you', '']</v>
      </c>
      <c r="D1509" s="3">
        <v>1.0</v>
      </c>
    </row>
    <row r="1510" ht="15.75" customHeight="1">
      <c r="A1510" s="1">
        <v>1508.0</v>
      </c>
      <c r="B1510" s="3" t="s">
        <v>1510</v>
      </c>
      <c r="C1510" s="3" t="str">
        <f>IFERROR(__xludf.DUMMYFUNCTION("GOOGLETRANSLATE(B1510,""id"",""en"")"),"['Disappointed', 'Tissue', 'Telkomsel', 'Price', 'Expensive', 'Network', 'Leet', 'Telkomsel', ""]")</f>
        <v>['Disappointed', 'Tissue', 'Telkomsel', 'Price', 'Expensive', 'Network', 'Leet', 'Telkomsel', "]</v>
      </c>
      <c r="D1510" s="3">
        <v>1.0</v>
      </c>
    </row>
    <row r="1511" ht="15.75" customHeight="1">
      <c r="A1511" s="1">
        <v>1509.0</v>
      </c>
      <c r="B1511" s="3" t="s">
        <v>1511</v>
      </c>
      <c r="C1511" s="3" t="str">
        <f>IFERROR(__xludf.DUMMYFUNCTION("GOOGLETRANSLATE(B1511,""id"",""en"")"),"['Love', 'Star', 'Signal', 'Telkomsel', 'Rich', 'Taik']")</f>
        <v>['Love', 'Star', 'Signal', 'Telkomsel', 'Rich', 'Taik']</v>
      </c>
      <c r="D1511" s="3">
        <v>1.0</v>
      </c>
    </row>
    <row r="1512" ht="15.75" customHeight="1">
      <c r="A1512" s="1">
        <v>1510.0</v>
      </c>
      <c r="B1512" s="3" t="s">
        <v>1512</v>
      </c>
      <c r="C1512" s="3" t="str">
        <f>IFERROR(__xludf.DUMMYFUNCTION("GOOGLETRANSLATE(B1512,""id"",""en"")"),"['Application', 'Eat', 'Memory', 'Update', 'Finger', 'Eat', 'Memory', 'Application', 'Turn on', 'Action', 'Slow']")</f>
        <v>['Application', 'Eat', 'Memory', 'Update', 'Finger', 'Eat', 'Memory', 'Application', 'Turn on', 'Action', 'Slow']</v>
      </c>
      <c r="D1512" s="3">
        <v>1.0</v>
      </c>
    </row>
    <row r="1513" ht="15.75" customHeight="1">
      <c r="A1513" s="1">
        <v>1511.0</v>
      </c>
      <c r="B1513" s="3" t="s">
        <v>1513</v>
      </c>
      <c r="C1513" s="3" t="str">
        <f>IFERROR(__xludf.DUMMYFUNCTION("GOOGLETRANSLATE(B1513,""id"",""en"")"),"['Telkomsel', 'Area', 'Rumpin', 'Bogor', 'Signal', 'Add', 'Change', 'Oprator', 'Please', 'Knpa', ""]")</f>
        <v>['Telkomsel', 'Area', 'Rumpin', 'Bogor', 'Signal', 'Add', 'Change', 'Oprator', 'Please', 'Knpa', "]</v>
      </c>
      <c r="D1513" s="3">
        <v>1.0</v>
      </c>
    </row>
    <row r="1514" ht="15.75" customHeight="1">
      <c r="A1514" s="1">
        <v>1512.0</v>
      </c>
      <c r="B1514" s="3" t="s">
        <v>1514</v>
      </c>
      <c r="C1514" s="3" t="str">
        <f>IFERROR(__xludf.DUMMYFUNCTION("GOOGLETRANSLATE(B1514,""id"",""en"")"),"['Telkomsel', 'Notification', 'SMS', 'Package', 'Combo', 'Sakti', 'GB', 'Price', 'RbU', 'Check', 'APK', 'Telkomsel', ' Prank ',' empty ',' Lompong ',' bangsatttttttt ']")</f>
        <v>['Telkomsel', 'Notification', 'SMS', 'Package', 'Combo', 'Sakti', 'GB', 'Price', 'RbU', 'Check', 'APK', 'Telkomsel', ' Prank ',' empty ',' Lompong ',' bangsatttttttt ']</v>
      </c>
      <c r="D1514" s="3">
        <v>1.0</v>
      </c>
    </row>
    <row r="1515" ht="15.75" customHeight="1">
      <c r="A1515" s="1">
        <v>1513.0</v>
      </c>
      <c r="B1515" s="3" t="s">
        <v>1515</v>
      </c>
      <c r="C1515" s="3" t="str">
        <f>IFERROR(__xludf.DUMMYFUNCTION("GOOGLETRANSLATE(B1515,""id"",""en"")"),"['The tariff', 'consistent', 'Ahh', 'expensive', 'gini', 'Telkomsel', 'so far', 'thank you']")</f>
        <v>['The tariff', 'consistent', 'Ahh', 'expensive', 'gini', 'Telkomsel', 'so far', 'thank you']</v>
      </c>
      <c r="D1515" s="3">
        <v>5.0</v>
      </c>
    </row>
    <row r="1516" ht="15.75" customHeight="1">
      <c r="A1516" s="1">
        <v>1514.0</v>
      </c>
      <c r="B1516" s="3" t="s">
        <v>1516</v>
      </c>
      <c r="C1516" s="3" t="str">
        <f>IFERROR(__xludf.DUMMYFUNCTION("GOOGLETRANSLATE(B1516,""id"",""en"")"),"['Hello', 'Telkomsel', 'card', 'yaaa', 'contents',' credit ',' BBRAPA ',' direct ',' finished ',' sucked ',' subscription ',' anything ',' Please ',' Assisted ',' Thank ',' Love ', ""]")</f>
        <v>['Hello', 'Telkomsel', 'card', 'yaaa', 'contents',' credit ',' BBRAPA ',' direct ',' finished ',' sucked ',' subscription ',' anything ',' Please ',' Assisted ',' Thank ',' Love ', "]</v>
      </c>
      <c r="D1516" s="3">
        <v>2.0</v>
      </c>
    </row>
    <row r="1517" ht="15.75" customHeight="1">
      <c r="A1517" s="1">
        <v>1515.0</v>
      </c>
      <c r="B1517" s="3" t="s">
        <v>1517</v>
      </c>
      <c r="C1517" s="3" t="str">
        <f>IFERROR(__xludf.DUMMYFUNCTION("GOOGLETRANSLATE(B1517,""id"",""en"")"),"['hope', 'hopefully', 'Telkommsel', 'fast', 'go bankrupt', 'take', 'over', 'company', 'annoyed', 'customers',' Telkomsel ',' pulses', ' Cutting ',' network ',' destroyed ',' forgiveness', 'lalot', 'internet', 'quota', 'expensive', 'difficult', 'online', '"&amp;"parahhhh', 'destroyed', 'customer' , 'bankrupt', '']")</f>
        <v>['hope', 'hopefully', 'Telkommsel', 'fast', 'go bankrupt', 'take', 'over', 'company', 'annoyed', 'customers',' Telkomsel ',' pulses', ' Cutting ',' network ',' destroyed ',' forgiveness', 'lalot', 'internet', 'quota', 'expensive', 'difficult', 'online', 'parahhhh', 'destroyed', 'customer' , 'bankrupt', '']</v>
      </c>
      <c r="D1517" s="3">
        <v>1.0</v>
      </c>
    </row>
    <row r="1518" ht="15.75" customHeight="1">
      <c r="A1518" s="1">
        <v>1516.0</v>
      </c>
      <c r="B1518" s="3" t="s">
        <v>1518</v>
      </c>
      <c r="C1518" s="3" t="str">
        <f>IFERROR(__xludf.DUMMYFUNCTION("GOOGLETRANSLATE(B1518,""id"",""en"")"),"['Network', 'poor', 'Telkomsel', 'slow', 'neighbor', 'next door', 'blue', 'ajj', 'lose', 'Telkomsel', 'promo', 'cheap', ' "", 'Network', 'Kayak', 'Grandma', 'Grandma',""]")</f>
        <v>['Network', 'poor', 'Telkomsel', 'slow', 'neighbor', 'next door', 'blue', 'ajj', 'lose', 'Telkomsel', 'promo', 'cheap', ' ", 'Network', 'Kayak', 'Grandma', 'Grandma',"]</v>
      </c>
      <c r="D1518" s="3">
        <v>1.0</v>
      </c>
    </row>
    <row r="1519" ht="15.75" customHeight="1">
      <c r="A1519" s="1">
        <v>1517.0</v>
      </c>
      <c r="B1519" s="3" t="s">
        <v>1519</v>
      </c>
      <c r="C1519" s="3" t="str">
        <f>IFERROR(__xludf.DUMMYFUNCTION("GOOGLETRANSLATE(B1519,""id"",""en"")"),"['application', 'help', 'easy', 'access', 'success', 'Telkomsel', '']")</f>
        <v>['application', 'help', 'easy', 'access', 'success', 'Telkomsel', '']</v>
      </c>
      <c r="D1519" s="3">
        <v>5.0</v>
      </c>
    </row>
    <row r="1520" ht="15.75" customHeight="1">
      <c r="A1520" s="1">
        <v>1518.0</v>
      </c>
      <c r="B1520" s="3" t="s">
        <v>1520</v>
      </c>
      <c r="C1520" s="3" t="str">
        <f>IFERROR(__xludf.DUMMYFUNCTION("GOOGLETRANSLATE(B1520,""id"",""en"")"),"['Apliation', 'bad', 'login', 'closed', 'application', 'please', 'already', 'umpteenth', 'time', 'application', 'Telkomsel', 'appears',' Notifications', 'Application', 'Responding', 'App', 'Telkomsel', 'App', 'Open', 'Disruptive', 'Performance', 'Sometime"&amp;"s',' Dead ',' Black ',' Screen ' , 'screen', 'main', 'oath', 'annoying', 'really', 'please', 'developr', 'already', 'umpteent', 'kaltry', 'the application', 'black', ' Screen ']")</f>
        <v>['Apliation', 'bad', 'login', 'closed', 'application', 'please', 'already', 'umpteenth', 'time', 'application', 'Telkomsel', 'appears',' Notifications', 'Application', 'Responding', 'App', 'Telkomsel', 'App', 'Open', 'Disruptive', 'Performance', 'Sometimes',' Dead ',' Black ',' Screen ' , 'screen', 'main', 'oath', 'annoying', 'really', 'please', 'developr', 'already', 'umpteent', 'kaltry', 'the application', 'black', ' Screen ']</v>
      </c>
      <c r="D1520" s="3">
        <v>1.0</v>
      </c>
    </row>
    <row r="1521" ht="15.75" customHeight="1">
      <c r="A1521" s="1">
        <v>1519.0</v>
      </c>
      <c r="B1521" s="3" t="s">
        <v>1521</v>
      </c>
      <c r="C1521" s="3" t="str">
        <f>IFERROR(__xludf.DUMMYFUNCTION("GOOGLETRANSLATE(B1521,""id"",""en"")"),"['Network', 'Internet', 'Telkomsel', 'Severe', 'Disorders', 'It's Him', 'Tell', 'Upset', 'Disappointed', ""]")</f>
        <v>['Network', 'Internet', 'Telkomsel', 'Severe', 'Disorders', 'It's Him', 'Tell', 'Upset', 'Disappointed', "]</v>
      </c>
      <c r="D1521" s="3">
        <v>1.0</v>
      </c>
    </row>
    <row r="1522" ht="15.75" customHeight="1">
      <c r="A1522" s="1">
        <v>1520.0</v>
      </c>
      <c r="B1522" s="3" t="s">
        <v>1522</v>
      </c>
      <c r="C1522" s="3" t="str">
        <f>IFERROR(__xludf.DUMMYFUNCTION("GOOGLETRANSLATE(B1522,""id"",""en"")"),"['Understand', 'Application', 'Kah', 'Change', 'Language', 'Indonesia', 'Please', 'Ad']")</f>
        <v>['Understand', 'Application', 'Kah', 'Change', 'Language', 'Indonesia', 'Please', 'Ad']</v>
      </c>
      <c r="D1522" s="3">
        <v>1.0</v>
      </c>
    </row>
    <row r="1523" ht="15.75" customHeight="1">
      <c r="A1523" s="1">
        <v>1521.0</v>
      </c>
      <c r="B1523" s="3" t="s">
        <v>1523</v>
      </c>
      <c r="C1523" s="3" t="str">
        <f>IFERROR(__xludf.DUMMYFUNCTION("GOOGLETRANSLATE(B1523,""id"",""en"")"),"['Star', 'star', 'good', 'network', 'destroyed', 'buy', 'package', 'thousand']")</f>
        <v>['Star', 'star', 'good', 'network', 'destroyed', 'buy', 'package', 'thousand']</v>
      </c>
      <c r="D1523" s="3">
        <v>1.0</v>
      </c>
    </row>
    <row r="1524" ht="15.75" customHeight="1">
      <c r="A1524" s="1">
        <v>1522.0</v>
      </c>
      <c r="B1524" s="3" t="s">
        <v>1524</v>
      </c>
      <c r="C1524" s="3" t="str">
        <f>IFERROR(__xludf.DUMMYFUNCTION("GOOGLETRANSLATE(B1524,""id"",""en"")"),"['Chek', 'Palace', 'told', 'Download', 'Application', 'MyTelkomsel', 'Application', 'Telkomsel', 'Nokohin', 'aka', 'liar', 'Tuker', ' Points', 'DPT', 'Gifts',' Points', 'Out', 'Gifts',' Taikkkkkk ']")</f>
        <v>['Chek', 'Palace', 'told', 'Download', 'Application', 'MyTelkomsel', 'Application', 'Telkomsel', 'Nokohin', 'aka', 'liar', 'Tuker', ' Points', 'DPT', 'Gifts',' Points', 'Out', 'Gifts',' Taikkkkkk ']</v>
      </c>
      <c r="D1524" s="3">
        <v>1.0</v>
      </c>
    </row>
    <row r="1525" ht="15.75" customHeight="1">
      <c r="A1525" s="1">
        <v>1523.0</v>
      </c>
      <c r="B1525" s="3" t="s">
        <v>1525</v>
      </c>
      <c r="C1525" s="3" t="str">
        <f>IFERROR(__xludf.DUMMYFUNCTION("GOOGLETRANSLATE(B1525,""id"",""en"")"),"['Package', 'Game', 'Game', 'For example', 'and then', 'rare', 'play', 'lag', 'apasi', 'package', 'game', 'comfortable', ' Ngeegame ',' Disappointed ',' ']")</f>
        <v>['Package', 'Game', 'Game', 'For example', 'and then', 'rare', 'play', 'lag', 'apasi', 'package', 'game', 'comfortable', ' Ngeegame ',' Disappointed ',' ']</v>
      </c>
      <c r="D1525" s="3">
        <v>1.0</v>
      </c>
    </row>
    <row r="1526" ht="15.75" customHeight="1">
      <c r="A1526" s="1">
        <v>1524.0</v>
      </c>
      <c r="B1526" s="3" t="s">
        <v>1526</v>
      </c>
      <c r="C1526" s="3" t="str">
        <f>IFERROR(__xludf.DUMMYFUNCTION("GOOGLETRANSLATE(B1526,""id"",""en"")"),"['juddle', 'signal', 'threat', 'mah', 'regret', 'move', 'prepaid', 'active', 'ilang', 'fees',' add ',' expensive ',' Doang ',' Sousal ',' Gajelas', 'Disappointed', 'Good', 'Bye', 'Telkomsel']")</f>
        <v>['juddle', 'signal', 'threat', 'mah', 'regret', 'move', 'prepaid', 'active', 'ilang', 'fees',' add ',' expensive ',' Doang ',' Sousal ',' Gajelas', 'Disappointed', 'Good', 'Bye', 'Telkomsel']</v>
      </c>
      <c r="D1526" s="3">
        <v>1.0</v>
      </c>
    </row>
    <row r="1527" ht="15.75" customHeight="1">
      <c r="A1527" s="1">
        <v>1525.0</v>
      </c>
      <c r="B1527" s="3" t="s">
        <v>1527</v>
      </c>
      <c r="C1527" s="3" t="str">
        <f>IFERROR(__xludf.DUMMYFUNCTION("GOOGLETRANSLATE(B1527,""id"",""en"")"),"['Severe', 'signal', 'disappointed', 'really', 'Unfortunately', 'ATM', 'Make', 'number', 'Telkomsel', 'Ribet', 'Change', 'card', ' Please, 'Urungin', 'Signal', 'Denger', 'Denger', 'People', 'Gara', 'Gara', 'Signal', 'Signal', 'Gnya', 'Lifts', 'Really' , '"&amp;"Wrong', 'disappointed', 'already', 'package', 'expensive', 'expensive', 'please', 'mah']")</f>
        <v>['Severe', 'signal', 'disappointed', 'really', 'Unfortunately', 'ATM', 'Make', 'number', 'Telkomsel', 'Ribet', 'Change', 'card', ' Please, 'Urungin', 'Signal', 'Denger', 'Denger', 'People', 'Gara', 'Gara', 'Signal', 'Signal', 'Gnya', 'Lifts', 'Really' , 'Wrong', 'disappointed', 'already', 'package', 'expensive', 'expensive', 'please', 'mah']</v>
      </c>
      <c r="D1527" s="3">
        <v>1.0</v>
      </c>
    </row>
    <row r="1528" ht="15.75" customHeight="1">
      <c r="A1528" s="1">
        <v>1526.0</v>
      </c>
      <c r="B1528" s="3" t="s">
        <v>1528</v>
      </c>
      <c r="C1528" s="3" t="str">
        <f>IFERROR(__xludf.DUMMYFUNCTION("GOOGLETRANSLATE(B1528,""id"",""en"")"),"['Date', 'network', 'drop', 'change', 'loss', 'work', 'mess', '']")</f>
        <v>['Date', 'network', 'drop', 'change', 'loss', 'work', 'mess', '']</v>
      </c>
      <c r="D1528" s="3">
        <v>1.0</v>
      </c>
    </row>
    <row r="1529" ht="15.75" customHeight="1">
      <c r="A1529" s="1">
        <v>1527.0</v>
      </c>
      <c r="B1529" s="3" t="s">
        <v>1529</v>
      </c>
      <c r="C1529" s="3" t="str">
        <f>IFERROR(__xludf.DUMMYFUNCTION("GOOGLETRANSLATE(B1529,""id"",""en"")"),"['Sorry', 'Forced', 'Star', 'Lower', 'Measasa', 'Season', 'Access',' Wherever ',' Loading ',' MOVER ',' PKE ',' Card ',' sympathy ',' knp ',' network ',' internet ',' koyo ',' snail ',' slow ',' really ',' beg ',' fix ',' network ',' star ', ""]")</f>
        <v>['Sorry', 'Forced', 'Star', 'Lower', 'Measasa', 'Season', 'Access',' Wherever ',' Loading ',' MOVER ',' PKE ',' Card ',' sympathy ',' knp ',' network ',' internet ',' koyo ',' snail ',' slow ',' really ',' beg ',' fix ',' network ',' star ', "]</v>
      </c>
      <c r="D1529" s="3">
        <v>1.0</v>
      </c>
    </row>
    <row r="1530" ht="15.75" customHeight="1">
      <c r="A1530" s="1">
        <v>1528.0</v>
      </c>
      <c r="B1530" s="3" t="s">
        <v>1530</v>
      </c>
      <c r="C1530" s="3" t="str">
        <f>IFERROR(__xludf.DUMMYFUNCTION("GOOGLETRANSLATE(B1530,""id"",""en"")"),"['Please', 'check', 'System', 'already', 'card', 'Sakti', 'network', 'dizzy', 'head', 'already', 'stable', 'the network', ' cave ',' love ',' star ',' Please ',' check ', ""]")</f>
        <v>['Please', 'check', 'System', 'already', 'card', 'Sakti', 'network', 'dizzy', 'head', 'already', 'stable', 'the network', ' cave ',' love ',' star ',' Please ',' check ', "]</v>
      </c>
      <c r="D1530" s="3">
        <v>1.0</v>
      </c>
    </row>
    <row r="1531" ht="15.75" customHeight="1">
      <c r="A1531" s="1">
        <v>1529.0</v>
      </c>
      <c r="B1531" s="3" t="s">
        <v>1531</v>
      </c>
      <c r="C1531" s="3" t="str">
        <f>IFERROR(__xludf.DUMMYFUNCTION("GOOGLETRANSLATE(B1531,""id"",""en"")"),"['quota', 'network', 'conch', 'news', 'damage', 'improved', 'yes', 'improved', 'Tortoise', 'Telkomsel', 'work', 'how' Work ',' SERBA ',' ONLINE ',' Open ',' Application ',' Considered ',' Offline ',' Fix ',' Bener ',' Say ',' Goodbye ',' Telkomsel ', ""]")</f>
        <v>['quota', 'network', 'conch', 'news', 'damage', 'improved', 'yes', 'improved', 'Tortoise', 'Telkomsel', 'work', 'how' Work ',' SERBA ',' ONLINE ',' Open ',' Application ',' Considered ',' Offline ',' Fix ',' Bener ',' Say ',' Goodbye ',' Telkomsel ', "]</v>
      </c>
      <c r="D1531" s="3">
        <v>1.0</v>
      </c>
    </row>
    <row r="1532" ht="15.75" customHeight="1">
      <c r="A1532" s="1">
        <v>1530.0</v>
      </c>
      <c r="B1532" s="3" t="s">
        <v>1532</v>
      </c>
      <c r="C1532" s="3" t="str">
        <f>IFERROR(__xludf.DUMMYFUNCTION("GOOGLETRANSLATE(B1532,""id"",""en"")"),"['Severe', 'really', 'Telkomsel', 'already', 'buy', 'quota', 'internet', 'slow', 'severe', '']")</f>
        <v>['Severe', 'really', 'Telkomsel', 'already', 'buy', 'quota', 'internet', 'slow', 'severe', '']</v>
      </c>
      <c r="D1532" s="3">
        <v>1.0</v>
      </c>
    </row>
    <row r="1533" ht="15.75" customHeight="1">
      <c r="A1533" s="1">
        <v>1531.0</v>
      </c>
      <c r="B1533" s="3" t="s">
        <v>1533</v>
      </c>
      <c r="C1533" s="3" t="str">
        <f>IFERROR(__xludf.DUMMYFUNCTION("GOOGLETRANSLATE(B1533,""id"",""en"")"),"['Credit', 'truncated', 'data', 'quota', 'tulong', 'explanationaaaa']")</f>
        <v>['Credit', 'truncated', 'data', 'quota', 'tulong', 'explanationaaaa']</v>
      </c>
      <c r="D1533" s="3">
        <v>1.0</v>
      </c>
    </row>
    <row r="1534" ht="15.75" customHeight="1">
      <c r="A1534" s="1">
        <v>1532.0</v>
      </c>
      <c r="B1534" s="3" t="s">
        <v>1534</v>
      </c>
      <c r="C1534" s="3" t="str">
        <f>IFERROR(__xludf.DUMMYFUNCTION("GOOGLETRANSLATE(B1534,""id"",""en"")"),"['Severe', 'Telkomsel', 'quota', 'expensive', 'slow', 'severe', 'signal', 'slow', 'mah', 'lost', 'cheap', 'price', ' fast ',' internet ']")</f>
        <v>['Severe', 'Telkomsel', 'quota', 'expensive', 'slow', 'severe', 'signal', 'slow', 'mah', 'lost', 'cheap', 'price', ' fast ',' internet ']</v>
      </c>
      <c r="D1534" s="3">
        <v>1.0</v>
      </c>
    </row>
    <row r="1535" ht="15.75" customHeight="1">
      <c r="A1535" s="1">
        <v>1533.0</v>
      </c>
      <c r="B1535" s="3" t="s">
        <v>1535</v>
      </c>
      <c r="C1535" s="3" t="str">
        <f>IFERROR(__xludf.DUMMYFUNCTION("GOOGLETRANSLATE(B1535,""id"",""en"")"),"['already', 'buy', 'package', 'emergency', 'contents', 'pulses', 'truncated', 'thousand', 'bear', 'really', 'corruption']")</f>
        <v>['already', 'buy', 'package', 'emergency', 'contents', 'pulses', 'truncated', 'thousand', 'bear', 'really', 'corruption']</v>
      </c>
      <c r="D1535" s="3">
        <v>1.0</v>
      </c>
    </row>
    <row r="1536" ht="15.75" customHeight="1">
      <c r="A1536" s="1">
        <v>1534.0</v>
      </c>
      <c r="B1536" s="3" t="s">
        <v>1536</v>
      </c>
      <c r="C1536" s="3" t="str">
        <f>IFERROR(__xludf.DUMMYFUNCTION("GOOGLETRANSLATE(B1536,""id"",""en"")"),"['hard', 'signal', 'internet', 'broke', 'signal', 'full', 'please', 'donk', 'repay', 'gini', 'loss',' city ',' boss']")</f>
        <v>['hard', 'signal', 'internet', 'broke', 'signal', 'full', 'please', 'donk', 'repay', 'gini', 'loss',' city ',' boss']</v>
      </c>
      <c r="D1536" s="3">
        <v>1.0</v>
      </c>
    </row>
    <row r="1537" ht="15.75" customHeight="1">
      <c r="A1537" s="1">
        <v>1535.0</v>
      </c>
      <c r="B1537" s="3" t="s">
        <v>1537</v>
      </c>
      <c r="C1537" s="3" t="str">
        <f>IFERROR(__xludf.DUMMYFUNCTION("GOOGLETRANSLATE(B1537,""id"",""en"")"),"['price', 'quota', 'mulu', 'signal', 'ugly', 'mulu', 'disappointed', 'signal', 'auto', 'star', 'deh', ""]")</f>
        <v>['price', 'quota', 'mulu', 'signal', 'ugly', 'mulu', 'disappointed', 'signal', 'auto', 'star', 'deh', "]</v>
      </c>
      <c r="D1537" s="3">
        <v>1.0</v>
      </c>
    </row>
    <row r="1538" ht="15.75" customHeight="1">
      <c r="A1538" s="1">
        <v>1536.0</v>
      </c>
      <c r="B1538" s="3" t="s">
        <v>1538</v>
      </c>
      <c r="C1538" s="3" t="str">
        <f>IFERROR(__xludf.DUMMYFUNCTION("GOOGLETRANSLATE(B1538,""id"",""en"")"),"['Telkomsel', 'already', 'jdi', 'operator', 'use', 'already', 'jdi', 'field', 'corruption', 'network', 'slow', 'already', ' Lose ',' Ama ',' operator ',' Telkomsel ',' your fate ',' rich ',' Indosat ']")</f>
        <v>['Telkomsel', 'already', 'jdi', 'operator', 'use', 'already', 'jdi', 'field', 'corruption', 'network', 'slow', 'already', ' Lose ',' Ama ',' operator ',' Telkomsel ',' your fate ',' rich ',' Indosat ']</v>
      </c>
      <c r="D1538" s="3">
        <v>1.0</v>
      </c>
    </row>
    <row r="1539" ht="15.75" customHeight="1">
      <c r="A1539" s="1">
        <v>1537.0</v>
      </c>
      <c r="B1539" s="3" t="s">
        <v>1539</v>
      </c>
      <c r="C1539" s="3" t="str">
        <f>IFERROR(__xludf.DUMMYFUNCTION("GOOGLETRANSLATE(B1539,""id"",""en"")"),"['improve', 'network', 'signal', 'insyalloh', 'rating', 'Telkomsel', 'network', 'chaotic', 'network', 'sah', 'severe', 'network', ' Hadoooohhhh ']")</f>
        <v>['improve', 'network', 'signal', 'insyalloh', 'rating', 'Telkomsel', 'network', 'chaotic', 'network', 'sah', 'severe', 'network', ' Hadoooohhhh ']</v>
      </c>
      <c r="D1539" s="3">
        <v>1.0</v>
      </c>
    </row>
    <row r="1540" ht="15.75" customHeight="1">
      <c r="A1540" s="1">
        <v>1538.0</v>
      </c>
      <c r="B1540" s="3" t="s">
        <v>1540</v>
      </c>
      <c r="C1540" s="3" t="str">
        <f>IFERROR(__xludf.DUMMYFUNCTION("GOOGLETRANSLATE(B1540,""id"",""en"")"),"['Teach', 'Telkomsel', 'debt', 'plsa', 'dragin', ""]")</f>
        <v>['Teach', 'Telkomsel', 'debt', 'plsa', 'dragin', "]</v>
      </c>
      <c r="D1540" s="3">
        <v>1.0</v>
      </c>
    </row>
    <row r="1541" ht="15.75" customHeight="1">
      <c r="A1541" s="1">
        <v>1539.0</v>
      </c>
      <c r="B1541" s="3" t="s">
        <v>1541</v>
      </c>
      <c r="C1541" s="3" t="str">
        <f>IFERROR(__xludf.DUMMYFUNCTION("GOOGLETRANSLATE(B1541,""id"",""en"")"),"['Maling', 'Maling', 'Card', 'Maling', 'Belom', 'Wear', 'Credit', 'Sucked', 'Thousand', 'Crazy', 'Developer', 'Cave', ' Change ',' card ',' ']")</f>
        <v>['Maling', 'Maling', 'Card', 'Maling', 'Belom', 'Wear', 'Credit', 'Sucked', 'Thousand', 'Crazy', 'Developer', 'Cave', ' Change ',' card ',' ']</v>
      </c>
      <c r="D1541" s="3">
        <v>1.0</v>
      </c>
    </row>
    <row r="1542" ht="15.75" customHeight="1">
      <c r="A1542" s="1">
        <v>1540.0</v>
      </c>
      <c r="B1542" s="3" t="s">
        <v>1542</v>
      </c>
      <c r="C1542" s="3" t="str">
        <f>IFERROR(__xludf.DUMMYFUNCTION("GOOGLETRANSLATE(B1542,""id"",""en"")"),"['Customer', 'Telkomsel', 'Times', 'Bener', 'Disappointed', 'Telkomsel', 'Kallo', 'Trouble', 'Package', 'Expensive', 'Crazy']")</f>
        <v>['Customer', 'Telkomsel', 'Times', 'Bener', 'Disappointed', 'Telkomsel', 'Kallo', 'Trouble', 'Package', 'Expensive', 'Crazy']</v>
      </c>
      <c r="D1542" s="3">
        <v>1.0</v>
      </c>
    </row>
    <row r="1543" ht="15.75" customHeight="1">
      <c r="A1543" s="1">
        <v>1541.0</v>
      </c>
      <c r="B1543" s="3" t="s">
        <v>1543</v>
      </c>
      <c r="C1543" s="3" t="str">
        <f>IFERROR(__xludf.DUMMYFUNCTION("GOOGLETRANSLATE(B1543,""id"",""en"")"),"['Telkomsel', 'Take', 'quota', 'emergency', 'already', 'notification', 'quota', 'emergency', 'active']")</f>
        <v>['Telkomsel', 'Take', 'quota', 'emergency', 'already', 'notification', 'quota', 'emergency', 'active']</v>
      </c>
      <c r="D1543" s="3">
        <v>1.0</v>
      </c>
    </row>
    <row r="1544" ht="15.75" customHeight="1">
      <c r="A1544" s="1">
        <v>1542.0</v>
      </c>
      <c r="B1544" s="3" t="s">
        <v>1544</v>
      </c>
      <c r="C1544" s="3" t="str">
        <f>IFERROR(__xludf.DUMMYFUNCTION("GOOGLETRANSLATE(B1544,""id"",""en"")"),"['sympathy', 'slow', 'slow', 'already', 'expensive', 'slow', 'application', 'garbage', 'kau', 'indonesia']")</f>
        <v>['sympathy', 'slow', 'slow', 'already', 'expensive', 'slow', 'application', 'garbage', 'kau', 'indonesia']</v>
      </c>
      <c r="D1544" s="3">
        <v>1.0</v>
      </c>
    </row>
    <row r="1545" ht="15.75" customHeight="1">
      <c r="A1545" s="1">
        <v>1543.0</v>
      </c>
      <c r="B1545" s="3" t="s">
        <v>1545</v>
      </c>
      <c r="C1545" s="3" t="str">
        <f>IFERROR(__xludf.DUMMYFUNCTION("GOOGLETRANSLATE(B1545,""id"",""en"")"),"['', 'LIKE', 'Log', 'Out', 'Login', 'OPSS', 'Error', 'GMANA', 'HAVE', 'BIKIKKI', 'MALEM', 'KMARIN', 'Road ',' signal ',' know ',' be careful ',' malem ',' ugly ',' fired ',' emm ',' Eeu ',' forget ',' sorry ',' bro ',' pull ',' pull ', 'MANK', 'SELEBEW', "&amp;"'ANJAY', '']")</f>
        <v>['', 'LIKE', 'Log', 'Out', 'Login', 'OPSS', 'Error', 'GMANA', 'HAVE', 'BIKIKKI', 'MALEM', 'KMARIN', 'Road ',' signal ',' know ',' be careful ',' malem ',' ugly ',' fired ',' emm ',' Eeu ',' forget ',' sorry ',' bro ',' pull ',' pull ', 'MANK', 'SELEBEW', 'ANJAY', '']</v>
      </c>
      <c r="D1545" s="3">
        <v>1.0</v>
      </c>
    </row>
    <row r="1546" ht="15.75" customHeight="1">
      <c r="A1546" s="1">
        <v>1544.0</v>
      </c>
      <c r="B1546" s="3" t="s">
        <v>1546</v>
      </c>
      <c r="C1546" s="3" t="str">
        <f>IFERROR(__xludf.DUMMYFUNCTION("GOOGLETRANSLATE(B1546,""id"",""en"")"),"['signal', 'severe', 'signal', 'full', 'open', 'slow', 'play', 'game', 'lose', 'because', 'signal', 'good', ' Tri ',' ']")</f>
        <v>['signal', 'severe', 'signal', 'full', 'open', 'slow', 'play', 'game', 'lose', 'because', 'signal', 'good', ' Tri ',' ']</v>
      </c>
      <c r="D1546" s="3">
        <v>1.0</v>
      </c>
    </row>
    <row r="1547" ht="15.75" customHeight="1">
      <c r="A1547" s="1">
        <v>1545.0</v>
      </c>
      <c r="B1547" s="3" t="s">
        <v>1547</v>
      </c>
      <c r="C1547" s="3" t="str">
        <f>IFERROR(__xludf.DUMMYFUNCTION("GOOGLETRANSLATE(B1547,""id"",""en"")"),"['Disappointed', 'Heavy', 'Package', 'Telkomsel', 'Expensive', '']")</f>
        <v>['Disappointed', 'Heavy', 'Package', 'Telkomsel', 'Expensive', '']</v>
      </c>
      <c r="D1547" s="3">
        <v>1.0</v>
      </c>
    </row>
    <row r="1548" ht="15.75" customHeight="1">
      <c r="A1548" s="1">
        <v>1546.0</v>
      </c>
      <c r="B1548" s="3" t="s">
        <v>1548</v>
      </c>
      <c r="C1548" s="3" t="str">
        <f>IFERROR(__xludf.DUMMYFUNCTION("GOOGLETRANSLATE(B1548,""id"",""en"")"),"['Application', 'Bangat', 'buy', 'quota', 'unlimitied', 'youtube', 'reading', 'active', 'tomorrow', 'open', 'youtube', 'suck', ' quota ',' local ',' emang ',' application ',' bitch ']")</f>
        <v>['Application', 'Bangat', 'buy', 'quota', 'unlimitied', 'youtube', 'reading', 'active', 'tomorrow', 'open', 'youtube', 'suck', ' quota ',' local ',' emang ',' application ',' bitch ']</v>
      </c>
      <c r="D1548" s="3">
        <v>1.0</v>
      </c>
    </row>
    <row r="1549" ht="15.75" customHeight="1">
      <c r="A1549" s="1">
        <v>1547.0</v>
      </c>
      <c r="B1549" s="3" t="s">
        <v>1549</v>
      </c>
      <c r="C1549" s="3" t="str">
        <f>IFERROR(__xludf.DUMMYFUNCTION("GOOGLETRANSLATE(B1549,""id"",""en"")"),"['Telkomsel', 'customers',' disappointed ',' related ',' internet ',' communication ',' use ',' network ',' feels', 'use', 'network', 'basics',' Telkomsel ',' comfortable ',' use ',' ']")</f>
        <v>['Telkomsel', 'customers',' disappointed ',' related ',' internet ',' communication ',' use ',' network ',' feels', 'use', 'network', 'basics',' Telkomsel ',' comfortable ',' use ',' ']</v>
      </c>
      <c r="D1549" s="3">
        <v>2.0</v>
      </c>
    </row>
    <row r="1550" ht="15.75" customHeight="1">
      <c r="A1550" s="1">
        <v>1548.0</v>
      </c>
      <c r="B1550" s="3" t="s">
        <v>1550</v>
      </c>
      <c r="C1550" s="3" t="str">
        <f>IFERROR(__xludf.DUMMYFUNCTION("GOOGLETRANSLATE(B1550,""id"",""en"")"),"['Woyyy', 'Telkom', 'Honest', 'Region', 'Gwa', 'Provider', 'Najis',' Gwa ',' Card ',' Already ',' Lemot ',' Data ',' expensive ',' lgi ',' stupid ']")</f>
        <v>['Woyyy', 'Telkom', 'Honest', 'Region', 'Gwa', 'Provider', 'Najis',' Gwa ',' Card ',' Already ',' Lemot ',' Data ',' expensive ',' lgi ',' stupid ']</v>
      </c>
      <c r="D1550" s="3">
        <v>1.0</v>
      </c>
    </row>
    <row r="1551" ht="15.75" customHeight="1">
      <c r="A1551" s="1">
        <v>1549.0</v>
      </c>
      <c r="B1551" s="3" t="s">
        <v>1551</v>
      </c>
      <c r="C1551" s="3" t="str">
        <f>IFERROR(__xludf.DUMMYFUNCTION("GOOGLETRANSLATE(B1551,""id"",""en"")"),"['Buy', 'Package', 'Application', 'Payment', 'Shopee', 'TPI', 'Gabisa', 'Entering', 'Voucher', 'Shope', 'Choice', ""]")</f>
        <v>['Buy', 'Package', 'Application', 'Payment', 'Shopee', 'TPI', 'Gabisa', 'Entering', 'Voucher', 'Shope', 'Choice', "]</v>
      </c>
      <c r="D1551" s="3">
        <v>3.0</v>
      </c>
    </row>
    <row r="1552" ht="15.75" customHeight="1">
      <c r="A1552" s="1">
        <v>1550.0</v>
      </c>
      <c r="B1552" s="3" t="s">
        <v>1552</v>
      </c>
      <c r="C1552" s="3" t="str">
        <f>IFERROR(__xludf.DUMMYFUNCTION("GOOGLETRANSLATE(B1552,""id"",""en"")"),"['Funny', 'really', 'signal', 'cave', 'city', 'contents', 'pulse', 'nganggin', 'try', 'ngaco']")</f>
        <v>['Funny', 'really', 'signal', 'cave', 'city', 'contents', 'pulse', 'nganggin', 'try', 'ngaco']</v>
      </c>
      <c r="D1552" s="3">
        <v>1.0</v>
      </c>
    </row>
    <row r="1553" ht="15.75" customHeight="1">
      <c r="A1553" s="1">
        <v>1551.0</v>
      </c>
      <c r="B1553" s="3" t="s">
        <v>1553</v>
      </c>
      <c r="C1553" s="3" t="str">
        <f>IFERROR(__xludf.DUMMYFUNCTION("GOOGLETRANSLATE(B1553,""id"",""en"")"),"['application', 'ugly', 'bemutu', 'information', 'apply', 'simcard', 'according to', 'reality', 'result in', 'card', 'out', 'fill', ' Credit ',' Service ',' Telkmosel ',' ugly ',' make it difficult ',' Customer ',' Terms', 'Kink', ""]")</f>
        <v>['application', 'ugly', 'bemutu', 'information', 'apply', 'simcard', 'according to', 'reality', 'result in', 'card', 'out', 'fill', ' Credit ',' Service ',' Telkmosel ',' ugly ',' make it difficult ',' Customer ',' Terms', 'Kink', "]</v>
      </c>
      <c r="D1553" s="3">
        <v>1.0</v>
      </c>
    </row>
    <row r="1554" ht="15.75" customHeight="1">
      <c r="A1554" s="1">
        <v>1552.0</v>
      </c>
      <c r="B1554" s="3" t="s">
        <v>1554</v>
      </c>
      <c r="C1554" s="3" t="str">
        <f>IFERROR(__xludf.DUMMYFUNCTION("GOOGLETRANSLATE(B1554,""id"",""en"")"),"['Apasih', 'network', 'Telkomsel', 'ugly', 'game', 'sosmed', 'knapa', 'gini', 'udh', 'expensive', 'card', 'network', ' ugly ',' God ']")</f>
        <v>['Apasih', 'network', 'Telkomsel', 'ugly', 'game', 'sosmed', 'knapa', 'gini', 'udh', 'expensive', 'card', 'network', ' ugly ',' God ']</v>
      </c>
      <c r="D1554" s="3">
        <v>1.0</v>
      </c>
    </row>
    <row r="1555" ht="15.75" customHeight="1">
      <c r="A1555" s="1">
        <v>1553.0</v>
      </c>
      <c r="B1555" s="3" t="s">
        <v>1555</v>
      </c>
      <c r="C1555" s="3" t="str">
        <f>IFERROR(__xludf.DUMMYFUNCTION("GOOGLETRANSLATE(B1555,""id"",""en"")"),"['Try', 'Benerin', 'Sinyal', 'Damaged', 'Bener', 'Sinyal']")</f>
        <v>['Try', 'Benerin', 'Sinyal', 'Damaged', 'Bener', 'Sinyal']</v>
      </c>
      <c r="D1555" s="3">
        <v>1.0</v>
      </c>
    </row>
    <row r="1556" ht="15.75" customHeight="1">
      <c r="A1556" s="1">
        <v>1554.0</v>
      </c>
      <c r="B1556" s="3" t="s">
        <v>1556</v>
      </c>
      <c r="C1556" s="3" t="str">
        <f>IFERROR(__xludf.DUMMYFUNCTION("GOOGLETRANSLATE(B1556,""id"",""en"")"),"['Posted', 'Media', 'Disruption', 'Telkomsel', 'Recover', 'Sulawesi', 'Tnggara', 'Destroyed', 'Ngesearch', 'List', 'Krja', 'Online', ' tdak ',' I'll, 'looked', 'tmpat', 'hotspot', 'TPI', 'there', 'makai', 'indiehome', 'ngellag', 'jdi', 'sya', 'loss' , 'Ks"&amp;"patan', 'krja', 'thanks',' Telkomsel ',' buy ',' quota ',' tratata ',' all day ',' internet ',' down ',' thank ',' Great ']")</f>
        <v>['Posted', 'Media', 'Disruption', 'Telkomsel', 'Recover', 'Sulawesi', 'Tnggara', 'Destroyed', 'Ngesearch', 'List', 'Krja', 'Online', ' tdak ',' I'll, 'looked', 'tmpat', 'hotspot', 'TPI', 'there', 'makai', 'indiehome', 'ngellag', 'jdi', 'sya', 'loss' , 'Kspatan', 'krja', 'thanks',' Telkomsel ',' buy ',' quota ',' tratata ',' all day ',' internet ',' down ',' thank ',' Great ']</v>
      </c>
      <c r="D1556" s="3">
        <v>1.0</v>
      </c>
    </row>
    <row r="1557" ht="15.75" customHeight="1">
      <c r="A1557" s="1">
        <v>1555.0</v>
      </c>
      <c r="B1557" s="3" t="s">
        <v>1557</v>
      </c>
      <c r="C1557" s="3" t="str">
        <f>IFERROR(__xludf.DUMMYFUNCTION("GOOGLETRANSLATE(B1557,""id"",""en"")"),"['Network', 'NGK', 'Ngilk', 'Age', 'Makek', 'Telkomsel', 'Network', 'Kek', 'Taik', 'already', 'price', 'expensive', ' network ',' ugly ',' mending ',' cheap ',' network ',' stable ',' ']")</f>
        <v>['Network', 'NGK', 'Ngilk', 'Age', 'Makek', 'Telkomsel', 'Network', 'Kek', 'Taik', 'already', 'price', 'expensive', ' network ',' ugly ',' mending ',' cheap ',' network ',' stable ',' ']</v>
      </c>
      <c r="D1557" s="3">
        <v>1.0</v>
      </c>
    </row>
    <row r="1558" ht="15.75" customHeight="1">
      <c r="A1558" s="1">
        <v>1556.0</v>
      </c>
      <c r="B1558" s="3" t="s">
        <v>1558</v>
      </c>
      <c r="C1558" s="3" t="str">
        <f>IFERROR(__xludf.DUMMYFUNCTION("GOOGLETRANSLATE(B1558,""id"",""en"")"),"['Network', 'Internet', 'Central Sulawesi', 'Regency', 'Tojo', 'Una', 'Una', 'Ampana', 'City', 'Stable', 'Sunday', 'September', ' stable', '']")</f>
        <v>['Network', 'Internet', 'Central Sulawesi', 'Regency', 'Tojo', 'Una', 'Una', 'Ampana', 'City', 'Stable', 'Sunday', 'September', ' stable', '']</v>
      </c>
      <c r="D1558" s="3">
        <v>1.0</v>
      </c>
    </row>
    <row r="1559" ht="15.75" customHeight="1">
      <c r="A1559" s="1">
        <v>1557.0</v>
      </c>
      <c r="B1559" s="3" t="s">
        <v>1559</v>
      </c>
      <c r="C1559" s="3" t="str">
        <f>IFERROR(__xludf.DUMMYFUNCTION("GOOGLETRANSLATE(B1559,""id"",""en"")"),"['Application', 'update', 'tasty', 'see', 'look', 'Home', 'purchase', 'my computer', 'suggestion', 'hope', 'Indonesia', ' launch ',' surfing ',' ']")</f>
        <v>['Application', 'update', 'tasty', 'see', 'look', 'Home', 'purchase', 'my computer', 'suggestion', 'hope', 'Indonesia', ' launch ',' surfing ',' ']</v>
      </c>
      <c r="D1559" s="3">
        <v>5.0</v>
      </c>
    </row>
    <row r="1560" ht="15.75" customHeight="1">
      <c r="A1560" s="1">
        <v>1558.0</v>
      </c>
      <c r="B1560" s="3" t="s">
        <v>1560</v>
      </c>
      <c r="C1560" s="3" t="str">
        <f>IFERROR(__xludf.DUMMYFUNCTION("GOOGLETRANSLATE(B1560,""id"",""en"")"),"['ugly', 'signal', 'stable', 'expensive', 'dikuota', 'annoying']")</f>
        <v>['ugly', 'signal', 'stable', 'expensive', 'dikuota', 'annoying']</v>
      </c>
      <c r="D1560" s="3">
        <v>1.0</v>
      </c>
    </row>
    <row r="1561" ht="15.75" customHeight="1">
      <c r="A1561" s="1">
        <v>1559.0</v>
      </c>
      <c r="B1561" s="3" t="s">
        <v>1561</v>
      </c>
      <c r="C1561" s="3" t="str">
        <f>IFERROR(__xludf.DUMMYFUNCTION("GOOGLETRANSLATE(B1561,""id"",""en"")"),"['application', 'bagu', 'please', 'see', 'Telkomsel', 'quota', 'combo', 'magic', 'kayak', 'please', 'unlimited', 'kagak', ' Limits', 'users',' Satisfied ',' Please ',' Respond ',' Sis', ""]")</f>
        <v>['application', 'bagu', 'please', 'see', 'Telkomsel', 'quota', 'combo', 'magic', 'kayak', 'please', 'unlimited', 'kagak', ' Limits', 'users',' Satisfied ',' Please ',' Respond ',' Sis', "]</v>
      </c>
      <c r="D1561" s="3">
        <v>3.0</v>
      </c>
    </row>
    <row r="1562" ht="15.75" customHeight="1">
      <c r="A1562" s="1">
        <v>1560.0</v>
      </c>
      <c r="B1562" s="3" t="s">
        <v>1562</v>
      </c>
      <c r="C1562" s="3" t="str">
        <f>IFERROR(__xludf.DUMMYFUNCTION("GOOGLETRANSLATE(B1562,""id"",""en"")"),"['price', 'quota', 'expensive', 'signal', 'ugly', 'moved', 'number', 'robot', 'love', 'rating', 'poor']")</f>
        <v>['price', 'quota', 'expensive', 'signal', 'ugly', 'moved', 'number', 'robot', 'love', 'rating', 'poor']</v>
      </c>
      <c r="D1562" s="3">
        <v>1.0</v>
      </c>
    </row>
    <row r="1563" ht="15.75" customHeight="1">
      <c r="A1563" s="1">
        <v>1561.0</v>
      </c>
      <c r="B1563" s="3" t="s">
        <v>1563</v>
      </c>
      <c r="C1563" s="3" t="str">
        <f>IFERROR(__xludf.DUMMYFUNCTION("GOOGLETRANSLATE(B1563,""id"",""en"")"),"['Fix', 'Network', 'Increase', 'Price', 'Package', 'Package', 'Expensive', 'Nettingang', 'Lemottttt', 'parahhhhhh']")</f>
        <v>['Fix', 'Network', 'Increase', 'Price', 'Package', 'Package', 'Expensive', 'Nettingang', 'Lemottttt', 'parahhhhhh']</v>
      </c>
      <c r="D1563" s="3">
        <v>1.0</v>
      </c>
    </row>
    <row r="1564" ht="15.75" customHeight="1">
      <c r="A1564" s="1">
        <v>1562.0</v>
      </c>
      <c r="B1564" s="3" t="s">
        <v>1564</v>
      </c>
      <c r="C1564" s="3" t="str">
        <f>IFERROR(__xludf.DUMMYFUNCTION("GOOGLETRANSLATE(B1564,""id"",""en"")"),"['Package', 'expensive', 'TPI', 'slow', 'best', 'Mending', 'stable', 'signalny']")</f>
        <v>['Package', 'expensive', 'TPI', 'slow', 'best', 'Mending', 'stable', 'signalny']</v>
      </c>
      <c r="D1564" s="3">
        <v>1.0</v>
      </c>
    </row>
    <row r="1565" ht="15.75" customHeight="1">
      <c r="A1565" s="1">
        <v>1563.0</v>
      </c>
      <c r="B1565" s="3" t="s">
        <v>1565</v>
      </c>
      <c r="C1565" s="3" t="str">
        <f>IFERROR(__xludf.DUMMYFUNCTION("GOOGLETRANSLATE(B1565,""id"",""en"")"),"['not', 'recommended', 'operator', 'buy', 'package', 'call', 'clock', 'restricted', 'tidkabeli', 'package', 'puls',' adi ',' Sucking ',' Out ',' TLFN ',' Telkomsel ',' Tepon ',' Hour ',' Minutes', 'Habiis',' Costs', 'Rb', ""]")</f>
        <v>['not', 'recommended', 'operator', 'buy', 'package', 'call', 'clock', 'restricted', 'tidkabeli', 'package', 'puls',' adi ',' Sucking ',' Out ',' TLFN ',' Telkomsel ',' Tepon ',' Hour ',' Minutes', 'Habiis',' Costs', 'Rb', "]</v>
      </c>
      <c r="D1565" s="3">
        <v>1.0</v>
      </c>
    </row>
    <row r="1566" ht="15.75" customHeight="1">
      <c r="A1566" s="1">
        <v>1564.0</v>
      </c>
      <c r="B1566" s="3" t="s">
        <v>1566</v>
      </c>
      <c r="C1566" s="3" t="str">
        <f>IFERROR(__xludf.DUMMYFUNCTION("GOOGLETRANSLATE(B1566,""id"",""en"")"),"['Telkomsel', 'signal', 'slow', 'satisfying', 'please', 'fix', 'Riau', 'village', 'wear', 'telkom', 'org', 'turn']")</f>
        <v>['Telkomsel', 'signal', 'slow', 'satisfying', 'please', 'fix', 'Riau', 'village', 'wear', 'telkom', 'org', 'turn']</v>
      </c>
      <c r="D1566" s="3">
        <v>1.0</v>
      </c>
    </row>
    <row r="1567" ht="15.75" customHeight="1">
      <c r="A1567" s="1">
        <v>1565.0</v>
      </c>
      <c r="B1567" s="3" t="s">
        <v>1567</v>
      </c>
      <c r="C1567" s="3" t="str">
        <f>IFERROR(__xludf.DUMMYFUNCTION("GOOGLETRANSLATE(B1567,""id"",""en"")"),"['parahhh', 'no', 'feasible', 'Telkomsel', 'love', 'star', 'signal', 'ugly', 'kouta', 'unlimited', 'limited', 'what' do ',' "", 'Unlimited', 'TPI', 'Limit', 'Use', 'Naturally', 'Kayak', 'Thieves', 'Signal', 'Makinn', 'Jelleekkkkkkkkkk', 'already', 'bankru"&amp;"pt' , 'Telkomsel', 'Parahhh', 'Parahhhh', 'Network', 'Telkomsel', ""]")</f>
        <v>['parahhh', 'no', 'feasible', 'Telkomsel', 'love', 'star', 'signal', 'ugly', 'kouta', 'unlimited', 'limited', 'what' do ',' ", 'Unlimited', 'TPI', 'Limit', 'Use', 'Naturally', 'Kayak', 'Thieves', 'Signal', 'Makinn', 'Jelleekkkkkkkkkk', 'already', 'bankrupt' , 'Telkomsel', 'Parahhh', 'Parahhhh', 'Network', 'Telkomsel', "]</v>
      </c>
      <c r="D1567" s="3">
        <v>1.0</v>
      </c>
    </row>
    <row r="1568" ht="15.75" customHeight="1">
      <c r="A1568" s="1">
        <v>1566.0</v>
      </c>
      <c r="B1568" s="3" t="s">
        <v>1568</v>
      </c>
      <c r="C1568" s="3" t="str">
        <f>IFERROR(__xludf.DUMMYFUNCTION("GOOGLETRANSLATE(B1568,""id"",""en"")"),"['Sorry', 'mean', 'gmn', 'NMR', 'active', 'application', 'session', 'he mean', 'writing', 'prepaid', 'idiihh']")</f>
        <v>['Sorry', 'mean', 'gmn', 'NMR', 'active', 'application', 'session', 'he mean', 'writing', 'prepaid', 'idiihh']</v>
      </c>
      <c r="D1568" s="3">
        <v>1.0</v>
      </c>
    </row>
    <row r="1569" ht="15.75" customHeight="1">
      <c r="A1569" s="1">
        <v>1567.0</v>
      </c>
      <c r="B1569" s="3" t="s">
        <v>1569</v>
      </c>
      <c r="C1569" s="3" t="str">
        <f>IFERROR(__xludf.DUMMYFUNCTION("GOOGLETRANSLATE(B1569,""id"",""en"")"),"['Love', 'star', 'because', 'Tissue', 'Telkomsel', 'disorder', 'activity', 'hampered']")</f>
        <v>['Love', 'star', 'because', 'Tissue', 'Telkomsel', 'disorder', 'activity', 'hampered']</v>
      </c>
      <c r="D1569" s="3">
        <v>1.0</v>
      </c>
    </row>
    <row r="1570" ht="15.75" customHeight="1">
      <c r="A1570" s="1">
        <v>1568.0</v>
      </c>
      <c r="B1570" s="3" t="s">
        <v>1570</v>
      </c>
      <c r="C1570" s="3" t="str">
        <f>IFERROR(__xludf.DUMMYFUNCTION("GOOGLETRANSLATE(B1570,""id"",""en"")"),"['Win', 'Undi', 'Undi', 'Happy', 'Need', 'Times',' Motor ',' Sell ',' Please ',' Telkomsel ',' Already ',' Faithful ',' Wear ',' Telkomsel ']")</f>
        <v>['Win', 'Undi', 'Undi', 'Happy', 'Need', 'Times',' Motor ',' Sell ',' Please ',' Telkomsel ',' Already ',' Faithful ',' Wear ',' Telkomsel ']</v>
      </c>
      <c r="D1570" s="3">
        <v>5.0</v>
      </c>
    </row>
    <row r="1571" ht="15.75" customHeight="1">
      <c r="A1571" s="1">
        <v>1569.0</v>
      </c>
      <c r="B1571" s="3" t="s">
        <v>1571</v>
      </c>
      <c r="C1571" s="3" t="str">
        <f>IFERROR(__xludf.DUMMYFUNCTION("GOOGLETRANSLATE(B1571,""id"",""en"")"),"['Ouch', 'how', 'Telkomsel', 'signal', 'Telkomsel', 'destroyed', 'bad', 'signal', 'IM', 'AXIS', 'Sometimes',' missing ',' Rain ',' Lightning ',' Lost ',' Kayak ',' Gini ',' Good ',' Signal ',' Pelingan ',' Lost ',' Rain ',' Lightning ',' bah ',' Gini ' , "&amp;"'poor', 'focus', 'play', 'Rank', 'mah', 'problematic', 'tomorrow', 'switch', ""]")</f>
        <v>['Ouch', 'how', 'Telkomsel', 'signal', 'Telkomsel', 'destroyed', 'bad', 'signal', 'IM', 'AXIS', 'Sometimes',' missing ',' Rain ',' Lightning ',' Lost ',' Kayak ',' Gini ',' Good ',' Signal ',' Pelingan ',' Lost ',' Rain ',' Lightning ',' bah ',' Gini ' , 'poor', 'focus', 'play', 'Rank', 'mah', 'problematic', 'tomorrow', 'switch', "]</v>
      </c>
      <c r="D1571" s="3">
        <v>3.0</v>
      </c>
    </row>
    <row r="1572" ht="15.75" customHeight="1">
      <c r="A1572" s="1">
        <v>1570.0</v>
      </c>
      <c r="B1572" s="3" t="s">
        <v>1572</v>
      </c>
      <c r="C1572" s="3" t="str">
        <f>IFERROR(__xludf.DUMMYFUNCTION("GOOGLETRANSLATE(B1572,""id"",""en"")"),"['Wonder', 'btul', 'rating', 'quality', 'Telkomsel', 'Jued', 'Severe', 'price', 'according to', 'quality', 'rating', 'employees',' Telkom ',' account ',' Google ',' then ',' ring ']")</f>
        <v>['Wonder', 'btul', 'rating', 'quality', 'Telkomsel', 'Jued', 'Severe', 'price', 'according to', 'quality', 'rating', 'employees',' Telkom ',' account ',' Google ',' then ',' ring ']</v>
      </c>
      <c r="D1572" s="3">
        <v>1.0</v>
      </c>
    </row>
    <row r="1573" ht="15.75" customHeight="1">
      <c r="A1573" s="1">
        <v>1571.0</v>
      </c>
      <c r="B1573" s="3" t="s">
        <v>1573</v>
      </c>
      <c r="C1573" s="3" t="str">
        <f>IFERROR(__xludf.DUMMYFUNCTION("GOOGLETRANSLATE(B1573,""id"",""en"")"),"['packagein', 'emergency', 'because', 'srlamaLalu', 'buy', 'card', 'quota', 'what', 'paid', 'rampok', 'saudra', 'loss',' Credit ',' PDAH ',' NSP ',' HP ',' old 'old', 'internet']")</f>
        <v>['packagein', 'emergency', 'because', 'srlamaLalu', 'buy', 'card', 'quota', 'what', 'paid', 'rampok', 'saudra', 'loss',' Credit ',' PDAH ',' NSP ',' HP ',' old 'old', 'internet']</v>
      </c>
      <c r="D1573" s="3">
        <v>1.0</v>
      </c>
    </row>
    <row r="1574" ht="15.75" customHeight="1">
      <c r="A1574" s="1">
        <v>1572.0</v>
      </c>
      <c r="B1574" s="3" t="s">
        <v>1574</v>
      </c>
      <c r="C1574" s="3" t="str">
        <f>IFERROR(__xludf.DUMMYFUNCTION("GOOGLETRANSLATE(B1574,""id"",""en"")"),"['my', 'user', 'Tsel', 'UDH', 'Switch', 'Operator', 'Sampe', 'SKR', 'I', 'Buy', 'Tsel', 'Gosha', ' signal ',' ilang ',' tumbul ',' hose ',' bbrp ',' minute ',' bru ',' appeared ',' signal ',' ilang ',' ampe ',' stngh ',' hour ' , 'buy', 'ampe', 'rb', 'cra"&amp;"zy', 'unfortunate', 'tsel', 'skr', '']")</f>
        <v>['my', 'user', 'Tsel', 'UDH', 'Switch', 'Operator', 'Sampe', 'SKR', 'I', 'Buy', 'Tsel', 'Gosha', ' signal ',' ilang ',' tumbul ',' hose ',' bbrp ',' minute ',' bru ',' appeared ',' signal ',' ilang ',' ampe ',' stngh ',' hour ' , 'buy', 'ampe', 'rb', 'crazy', 'unfortunate', 'tsel', 'skr', '']</v>
      </c>
      <c r="D1574" s="3">
        <v>1.0</v>
      </c>
    </row>
    <row r="1575" ht="15.75" customHeight="1">
      <c r="A1575" s="1">
        <v>1573.0</v>
      </c>
      <c r="B1575" s="3" t="s">
        <v>1575</v>
      </c>
      <c r="C1575" s="3" t="str">
        <f>IFERROR(__xludf.DUMMYFUNCTION("GOOGLETRANSLATE(B1575,""id"",""en"")"),"['buy', 'package', 'data', 'network', 'slow', 'kyk', 'gini', 'cave', 'play', 'game', 'slow', 'mercy', ' cave ',' dri ',' sulawesi ',' south ',' dlu ',' kyk ',' gini ',' skarang ',' the network ',' gini ',' please ',' dev ',' jngn ' , 'for me', 'disappoint"&amp;"ed', 'You', 'Telkomsel']")</f>
        <v>['buy', 'package', 'data', 'network', 'slow', 'kyk', 'gini', 'cave', 'play', 'game', 'slow', 'mercy', ' cave ',' dri ',' sulawesi ',' south ',' dlu ',' kyk ',' gini ',' skarang ',' the network ',' gini ',' please ',' dev ',' jngn ' , 'for me', 'disappointed', 'You', 'Telkomsel']</v>
      </c>
      <c r="D1575" s="3">
        <v>1.0</v>
      </c>
    </row>
    <row r="1576" ht="15.75" customHeight="1">
      <c r="A1576" s="1">
        <v>1574.0</v>
      </c>
      <c r="B1576" s="3" t="s">
        <v>1576</v>
      </c>
      <c r="C1576" s="3" t="str">
        <f>IFERROR(__xludf.DUMMYFUNCTION("GOOGLETRANSLATE(B1576,""id"",""en"")"),"['network', 'setabilia', 'college', 'job', 'activity', 'a day', 'jdi', 'hampered', ""]")</f>
        <v>['network', 'setabilia', 'college', 'job', 'activity', 'a day', 'jdi', 'hampered', "]</v>
      </c>
      <c r="D1576" s="3">
        <v>1.0</v>
      </c>
    </row>
    <row r="1577" ht="15.75" customHeight="1">
      <c r="A1577" s="1">
        <v>1575.0</v>
      </c>
      <c r="B1577" s="3" t="s">
        <v>1577</v>
      </c>
      <c r="C1577" s="3" t="str">
        <f>IFERROR(__xludf.DUMMYFUNCTION("GOOGLETRANSLATE(B1577,""id"",""en"")"),"['What', 'buy', 'package', 'sorry', 'disorder', 'mulu', 'yesterday', 'wonder', ""]")</f>
        <v>['What', 'buy', 'package', 'sorry', 'disorder', 'mulu', 'yesterday', 'wonder', "]</v>
      </c>
      <c r="D1577" s="3">
        <v>1.0</v>
      </c>
    </row>
    <row r="1578" ht="15.75" customHeight="1">
      <c r="A1578" s="1">
        <v>1576.0</v>
      </c>
      <c r="B1578" s="3" t="s">
        <v>1578</v>
      </c>
      <c r="C1578" s="3" t="str">
        <f>IFERROR(__xludf.DUMMYFUNCTION("GOOGLETRANSLATE(B1578,""id"",""en"")"),"['difficult', 'buy', 'package', 'apk', 'Telkomsel', 'buy', 'package', 'please', 'repair']")</f>
        <v>['difficult', 'buy', 'package', 'apk', 'Telkomsel', 'buy', 'package', 'please', 'repair']</v>
      </c>
      <c r="D1578" s="3">
        <v>2.0</v>
      </c>
    </row>
    <row r="1579" ht="15.75" customHeight="1">
      <c r="A1579" s="1">
        <v>1577.0</v>
      </c>
      <c r="B1579" s="3" t="s">
        <v>1579</v>
      </c>
      <c r="C1579" s="3" t="str">
        <f>IFERROR(__xludf.DUMMYFUNCTION("GOOGLETRANSLATE(B1579,""id"",""en"")"),"['Pantes',' ngeprem ',' bngt ',' slow ',' signal ',' boncus', 'parahh', 'tumben', 'tumbenan', 'rich', 'gini', 'please', ' Accelerate ',' parbaikanya ',' car ',' heart ']")</f>
        <v>['Pantes',' ngeprem ',' bngt ',' slow ',' signal ',' boncus', 'parahh', 'tumben', 'tumbenan', 'rich', 'gini', 'please', ' Accelerate ',' parbaikanya ',' car ',' heart ']</v>
      </c>
      <c r="D1579" s="3">
        <v>1.0</v>
      </c>
    </row>
    <row r="1580" ht="15.75" customHeight="1">
      <c r="A1580" s="1">
        <v>1578.0</v>
      </c>
      <c r="B1580" s="3" t="s">
        <v>1580</v>
      </c>
      <c r="C1580" s="3" t="str">
        <f>IFERROR(__xludf.DUMMYFUNCTION("GOOGLETRANSLATE(B1580,""id"",""en"")"),"['Severe', 'Network', 'Telkomsel', 'Package', 'Lemot', 'City']")</f>
        <v>['Severe', 'Network', 'Telkomsel', 'Package', 'Lemot', 'City']</v>
      </c>
      <c r="D1580" s="3">
        <v>1.0</v>
      </c>
    </row>
    <row r="1581" ht="15.75" customHeight="1">
      <c r="A1581" s="1">
        <v>1579.0</v>
      </c>
      <c r="B1581" s="3" t="s">
        <v>1581</v>
      </c>
      <c r="C1581" s="3" t="str">
        <f>IFERROR(__xludf.DUMMYFUNCTION("GOOGLETRANSLATE(B1581,""id"",""en"")"),"['LBIH', 'connection', 'network', 'Expand', 'City', 'Rural', 'Combo', 'Sakti', 'Affordable', 'Community', 'groups',' Medium ',' Success', 'Telkomsel', 'Pride', 'Society', 'Indonesia', 'Sabang', 'Merauke']")</f>
        <v>['LBIH', 'connection', 'network', 'Expand', 'City', 'Rural', 'Combo', 'Sakti', 'Affordable', 'Community', 'groups',' Medium ',' Success', 'Telkomsel', 'Pride', 'Society', 'Indonesia', 'Sabang', 'Merauke']</v>
      </c>
      <c r="D1581" s="3">
        <v>5.0</v>
      </c>
    </row>
    <row r="1582" ht="15.75" customHeight="1">
      <c r="A1582" s="1">
        <v>1580.0</v>
      </c>
      <c r="B1582" s="3" t="s">
        <v>1582</v>
      </c>
      <c r="C1582" s="3" t="str">
        <f>IFERROR(__xludf.DUMMYFUNCTION("GOOGLETRANSLATE(B1582,""id"",""en"")"),"['Ngeluh', 'pulse', 'sucked', 'netting', 'buy', 'pulse', 'non', 'activated', 'data', 'cellular', 'work', '']")</f>
        <v>['Ngeluh', 'pulse', 'sucked', 'netting', 'buy', 'pulse', 'non', 'activated', 'data', 'cellular', 'work', '']</v>
      </c>
      <c r="D1582" s="3">
        <v>5.0</v>
      </c>
    </row>
    <row r="1583" ht="15.75" customHeight="1">
      <c r="A1583" s="1">
        <v>1581.0</v>
      </c>
      <c r="B1583" s="3" t="s">
        <v>1583</v>
      </c>
      <c r="C1583" s="3" t="str">
        <f>IFERROR(__xludf.DUMMYFUNCTION("GOOGLETRANSLATE(B1583,""id"",""en"")"),"['Network', 'permatch', 'buy', 'package', 'expensive', 'network', 'pulp', 'take', 'money', 'person', 'Telkomsel', 'pulp', ' cave ',' move ',' operator ',' next door ']")</f>
        <v>['Network', 'permatch', 'buy', 'package', 'expensive', 'network', 'pulp', 'take', 'money', 'person', 'Telkomsel', 'pulp', ' cave ',' move ',' operator ',' next door ']</v>
      </c>
      <c r="D1583" s="3">
        <v>1.0</v>
      </c>
    </row>
    <row r="1584" ht="15.75" customHeight="1">
      <c r="A1584" s="1">
        <v>1582.0</v>
      </c>
      <c r="B1584" s="3" t="s">
        <v>1584</v>
      </c>
      <c r="C1584" s="3" t="str">
        <f>IFERROR(__xludf.DUMMYFUNCTION("GOOGLETRANSLATE(B1584,""id"",""en"")"),"['slow', 'Parrah', 'buy', 'quota', 'unlimited', 'hitch', 'wifi', 'neighbor', 'Damn', 'because', 'numbers',' throw ',' Technicians', 'Becus',' Work ',' Dismat ',' Boss']")</f>
        <v>['slow', 'Parrah', 'buy', 'quota', 'unlimited', 'hitch', 'wifi', 'neighbor', 'Damn', 'because', 'numbers',' throw ',' Technicians', 'Becus',' Work ',' Dismat ',' Boss']</v>
      </c>
      <c r="D1584" s="3">
        <v>1.0</v>
      </c>
    </row>
    <row r="1585" ht="15.75" customHeight="1">
      <c r="A1585" s="1">
        <v>1583.0</v>
      </c>
      <c r="B1585" s="3" t="s">
        <v>1585</v>
      </c>
      <c r="C1585" s="3" t="str">
        <f>IFERROR(__xludf.DUMMYFUNCTION("GOOGLETRANSLATE(B1585,""id"",""en"")"),"['Telkomsel', 'bapuk', 'signal', 'slow', 'here', 'service', 'bad']")</f>
        <v>['Telkomsel', 'bapuk', 'signal', 'slow', 'here', 'service', 'bad']</v>
      </c>
      <c r="D1585" s="3">
        <v>1.0</v>
      </c>
    </row>
    <row r="1586" ht="15.75" customHeight="1">
      <c r="A1586" s="1">
        <v>1584.0</v>
      </c>
      <c r="B1586" s="3" t="s">
        <v>1586</v>
      </c>
      <c r="C1586" s="3" t="str">
        <f>IFERROR(__xludf.DUMMYFUNCTION("GOOGLETRANSLATE(B1586,""id"",""en"")"),"['Please', 'Quality', 'Signal', 'Repaired', 'Sometimes', 'Hour', 'Used', 'Internet']")</f>
        <v>['Please', 'Quality', 'Signal', 'Repaired', 'Sometimes', 'Hour', 'Used', 'Internet']</v>
      </c>
      <c r="D1586" s="3">
        <v>1.0</v>
      </c>
    </row>
    <row r="1587" ht="15.75" customHeight="1">
      <c r="A1587" s="1">
        <v>1585.0</v>
      </c>
      <c r="B1587" s="3" t="s">
        <v>1587</v>
      </c>
      <c r="C1587" s="3" t="str">
        <f>IFERROR(__xludf.DUMMYFUNCTION("GOOGLETRANSLATE(B1587,""id"",""en"")"),"['Network', 'like', 'ugly', 'rich', 'think', 'Telkom', 'tasty', 'severe', 'please', 'repair', 'network', 'gini', ' Mulu ',' signal ',' ugly ',' slow ',' sekrang ',' already ',' expensive ',' ugly ',' signal ',' package ',' run out ',' suck ',' pulses' , '"&amp;"Severe', 'anjirr', 'according to', 'price', 'his official', 'most', 'corruption', ""]")</f>
        <v>['Network', 'like', 'ugly', 'rich', 'think', 'Telkom', 'tasty', 'severe', 'please', 'repair', 'network', 'gini', ' Mulu ',' signal ',' ugly ',' slow ',' sekrang ',' already ',' expensive ',' ugly ',' signal ',' package ',' run out ',' suck ',' pulses' , 'Severe', 'anjirr', 'according to', 'price', 'his official', 'most', 'corruption', "]</v>
      </c>
      <c r="D1587" s="3">
        <v>1.0</v>
      </c>
    </row>
    <row r="1588" ht="15.75" customHeight="1">
      <c r="A1588" s="1">
        <v>1586.0</v>
      </c>
      <c r="B1588" s="3" t="s">
        <v>1588</v>
      </c>
      <c r="C1588" s="3" t="str">
        <f>IFERROR(__xludf.DUMMYFUNCTION("GOOGLETRANSLATE(B1588,""id"",""en"")"),"['Application', 'Telkomsel', 'Help', 'really', ""]")</f>
        <v>['Application', 'Telkomsel', 'Help', 'really', "]</v>
      </c>
      <c r="D1588" s="3">
        <v>5.0</v>
      </c>
    </row>
    <row r="1589" ht="15.75" customHeight="1">
      <c r="A1589" s="1">
        <v>1587.0</v>
      </c>
      <c r="B1589" s="3" t="s">
        <v>1589</v>
      </c>
      <c r="C1589" s="3" t="str">
        <f>IFERROR(__xludf.DUMMYFUNCTION("GOOGLETRANSLATE(B1589,""id"",""en"")"),"['given', 'Reting', 'Telkomsel', 'UDH', 'Famous',' Package ',' Expensive ',' allocation ',' Makettin ',' Credit ',' Cut ',' Sampek ',' run out ',' pulse ',' rb ',' system ',' kyk ',' bibenahhin ',' pulse ',' run out ',' clarity ',' pakek ',' card ',' save"&amp;" ',' please ' , 'Lined', 'credit', 'cut', 'Application', 'Asked', '']")</f>
        <v>['given', 'Reting', 'Telkomsel', 'UDH', 'Famous',' Package ',' Expensive ',' allocation ',' Makettin ',' Credit ',' Cut ',' Sampek ',' run out ',' pulse ',' rb ',' system ',' kyk ',' bibenahhin ',' pulse ',' run out ',' clarity ',' pakek ',' card ',' save ',' please ' , 'Lined', 'credit', 'cut', 'Application', 'Asked', '']</v>
      </c>
      <c r="D1589" s="3">
        <v>1.0</v>
      </c>
    </row>
    <row r="1590" ht="15.75" customHeight="1">
      <c r="A1590" s="1">
        <v>1588.0</v>
      </c>
      <c r="B1590" s="3" t="s">
        <v>1590</v>
      </c>
      <c r="C1590" s="3" t="str">
        <f>IFERROR(__xludf.DUMMYFUNCTION("GOOGLETRANSLATE(B1590,""id"",""en"")"),"['Gapernah', 'safe', 'pulse', 'quota', 'run out', 'rich', 'features',' card ',' next door ',' good ',' system ',' understand ',' Needed ',' community ', ""]")</f>
        <v>['Gapernah', 'safe', 'pulse', 'quota', 'run out', 'rich', 'features',' card ',' next door ',' good ',' system ',' understand ',' Needed ',' community ', "]</v>
      </c>
      <c r="D1590" s="3">
        <v>1.0</v>
      </c>
    </row>
    <row r="1591" ht="15.75" customHeight="1">
      <c r="A1591" s="1">
        <v>1589.0</v>
      </c>
      <c r="B1591" s="3" t="s">
        <v>1591</v>
      </c>
      <c r="C1591" s="3" t="str">
        <f>IFERROR(__xludf.DUMMYFUNCTION("GOOGLETRANSLATE(B1591,""id"",""en"")"),"['woe', 'signal', 'repay', 'already', 'play', 'games', 'login']")</f>
        <v>['woe', 'signal', 'repay', 'already', 'play', 'games', 'login']</v>
      </c>
      <c r="D1591" s="3">
        <v>1.0</v>
      </c>
    </row>
    <row r="1592" ht="15.75" customHeight="1">
      <c r="A1592" s="1">
        <v>1590.0</v>
      </c>
      <c r="B1592" s="3" t="s">
        <v>1592</v>
      </c>
      <c r="C1592" s="3" t="str">
        <f>IFERROR(__xludf.DUMMYFUNCTION("GOOGLETRANSLATE(B1592,""id"",""en"")"),"['Open', 'apk', 'tsel', 'SJA', 'quota', 'pulse', 'sucked', 'dozens',' thousand ',' in ',' minute ',' contents', ' rb ',' active ',' decent ',' star ',' and then ',' signal ',' aka ',' minus', 'all', 'sorry', 'customer', 'objective', '']")</f>
        <v>['Open', 'apk', 'tsel', 'SJA', 'quota', 'pulse', 'sucked', 'dozens',' thousand ',' in ',' minute ',' contents', ' rb ',' active ',' decent ',' star ',' and then ',' signal ',' aka ',' minus', 'all', 'sorry', 'customer', 'objective', '']</v>
      </c>
      <c r="D1592" s="3">
        <v>1.0</v>
      </c>
    </row>
    <row r="1593" ht="15.75" customHeight="1">
      <c r="A1593" s="1">
        <v>1591.0</v>
      </c>
      <c r="B1593" s="3" t="s">
        <v>1593</v>
      </c>
      <c r="C1593" s="3" t="str">
        <f>IFERROR(__xludf.DUMMYFUNCTION("GOOGLETRANSLATE(B1593,""id"",""en"")"),"['Like', 'APL', 'Telkomsel', 'Simple', 'Easy', 'Loss',' Credit ',' Rules', 'KLW', 'Registered', 'Suck', 'Pulses',' The internet ',' active ',' Search ',' Road ',' Best ',' Dungg ',' Cook ',' Keblowann ',' Automatic ',' Turn Off ',' How ',' That's']")</f>
        <v>['Like', 'APL', 'Telkomsel', 'Simple', 'Easy', 'Loss',' Credit ',' Rules', 'KLW', 'Registered', 'Suck', 'Pulses',' The internet ',' active ',' Search ',' Road ',' Best ',' Dungg ',' Cook ',' Keblowann ',' Automatic ',' Turn Off ',' How ',' That's']</v>
      </c>
      <c r="D1593" s="3">
        <v>5.0</v>
      </c>
    </row>
    <row r="1594" ht="15.75" customHeight="1">
      <c r="A1594" s="1">
        <v>1592.0</v>
      </c>
      <c r="B1594" s="3" t="s">
        <v>1594</v>
      </c>
      <c r="C1594" s="3" t="str">
        <f>IFERROR(__xludf.DUMMYFUNCTION("GOOGLETRANSLATE(B1594,""id"",""en"")"),"['Error', 'Fill', 'Credit', 'Package', 'Buy', 'Content', 'Credit', 'Package', 'Lost', 'Please', 'Lots',' Package ',' Cheap ']")</f>
        <v>['Error', 'Fill', 'Credit', 'Package', 'Buy', 'Content', 'Credit', 'Package', 'Lost', 'Please', 'Lots',' Package ',' Cheap ']</v>
      </c>
      <c r="D1594" s="3">
        <v>5.0</v>
      </c>
    </row>
    <row r="1595" ht="15.75" customHeight="1">
      <c r="A1595" s="1">
        <v>1593.0</v>
      </c>
      <c r="B1595" s="3" t="s">
        <v>1595</v>
      </c>
      <c r="C1595" s="3" t="str">
        <f>IFERROR(__xludf.DUMMYFUNCTION("GOOGLETRANSLATE(B1595,""id"",""en"")"),"['Hey', 'Telkomsel', 'please', 'use', 'you', 'take', 'quota', 'internet', 'Where', 'go', 'gift', 'ghost', ' kah ',' use ',' GB ',' week ',' lost ',' buy ',' package ',' thousand ',' a month ',' smart ',' times', 'operator', ""]")</f>
        <v>['Hey', 'Telkomsel', 'please', 'use', 'you', 'take', 'quota', 'internet', 'Where', 'go', 'gift', 'ghost', ' kah ',' use ',' GB ',' week ',' lost ',' buy ',' package ',' thousand ',' a month ',' smart ',' times', 'operator', "]</v>
      </c>
      <c r="D1595" s="3">
        <v>1.0</v>
      </c>
    </row>
    <row r="1596" ht="15.75" customHeight="1">
      <c r="A1596" s="1">
        <v>1594.0</v>
      </c>
      <c r="B1596" s="3" t="s">
        <v>1596</v>
      </c>
      <c r="C1596" s="3" t="str">
        <f>IFERROR(__xludf.DUMMYFUNCTION("GOOGLETRANSLATE(B1596,""id"",""en"")"),"['Disruption', 'signal', 'full', 'TPI', 'Disappointed', 'Beramanzzz']")</f>
        <v>['Disruption', 'signal', 'full', 'TPI', 'Disappointed', 'Beramanzzz']</v>
      </c>
      <c r="D1596" s="3">
        <v>1.0</v>
      </c>
    </row>
    <row r="1597" ht="15.75" customHeight="1">
      <c r="A1597" s="1">
        <v>1595.0</v>
      </c>
      <c r="B1597" s="3" t="s">
        <v>1597</v>
      </c>
      <c r="C1597" s="3" t="str">
        <f>IFERROR(__xludf.DUMMYFUNCTION("GOOGLETRANSLATE(B1597,""id"",""en"")"),"['price', 'package', 'expensive', 'rather than', 'Indosat', 'connection', 'network', 'bad', 'rather than', 'Indosat', ""]")</f>
        <v>['price', 'package', 'expensive', 'rather than', 'Indosat', 'connection', 'network', 'bad', 'rather than', 'Indosat', "]</v>
      </c>
      <c r="D1597" s="3">
        <v>1.0</v>
      </c>
    </row>
    <row r="1598" ht="15.75" customHeight="1">
      <c r="A1598" s="1">
        <v>1596.0</v>
      </c>
      <c r="B1598" s="3" t="s">
        <v>1598</v>
      </c>
      <c r="C1598" s="3" t="str">
        <f>IFERROR(__xludf.DUMMYFUNCTION("GOOGLETRANSLATE(B1598,""id"",""en"")"),"['Telokomsel', 'repaired', 'damage', 'network', 'ente', 'some', 'network', 'threat', 'right', 'right', 'speechless',' ente ',' Telkomsel ']")</f>
        <v>['Telokomsel', 'repaired', 'damage', 'network', 'ente', 'some', 'network', 'threat', 'right', 'right', 'speechless',' ente ',' Telkomsel ']</v>
      </c>
      <c r="D1598" s="3">
        <v>1.0</v>
      </c>
    </row>
    <row r="1599" ht="15.75" customHeight="1">
      <c r="A1599" s="1">
        <v>1597.0</v>
      </c>
      <c r="B1599" s="3" t="s">
        <v>1599</v>
      </c>
      <c r="C1599" s="3" t="str">
        <f>IFERROR(__xludf.DUMMYFUNCTION("GOOGLETRANSLATE(B1599,""id"",""en"")"),"['Telkomsel', 'synchy', 'ugly', 'play', 'game', 'spin', 'in place', 'work', 'customer', 'complain', 'use', 'wifi', ' Rugilah ',' pay ',' ']")</f>
        <v>['Telkomsel', 'synchy', 'ugly', 'play', 'game', 'spin', 'in place', 'work', 'customer', 'complain', 'use', 'wifi', ' Rugilah ',' pay ',' ']</v>
      </c>
      <c r="D1599" s="3">
        <v>1.0</v>
      </c>
    </row>
    <row r="1600" ht="15.75" customHeight="1">
      <c r="A1600" s="1">
        <v>1598.0</v>
      </c>
      <c r="B1600" s="3" t="s">
        <v>1600</v>
      </c>
      <c r="C1600" s="3" t="str">
        <f>IFERROR(__xludf.DUMMYFUNCTION("GOOGLETRANSLATE(B1600,""id"",""en"")"),"['Please', 'Signal', 'Optimized', 'Karna', 'Student', 'Difficult', 'Download', 'Task', 'Teacher', 'FLDAN', 'Please', 'Fix', ' ']")</f>
        <v>['Please', 'Signal', 'Optimized', 'Karna', 'Student', 'Difficult', 'Download', 'Task', 'Teacher', 'FLDAN', 'Please', 'Fix', ' ']</v>
      </c>
      <c r="D1600" s="3">
        <v>3.0</v>
      </c>
    </row>
    <row r="1601" ht="15.75" customHeight="1">
      <c r="A1601" s="1">
        <v>1599.0</v>
      </c>
      <c r="B1601" s="3" t="s">
        <v>1601</v>
      </c>
      <c r="C1601" s="3" t="str">
        <f>IFERROR(__xludf.DUMMYFUNCTION("GOOGLETRANSLATE(B1601,""id"",""en"")"),"['pulse', 'data', 'week', 'run out', 'maximum', 'network', 'bad', 'just', 'just', 'buy', 'package', 'games',' Max ',' Play ',' Game ',' Develop ',' Network ',' SJA ',' Maximum ',' Development ',' Indonesia ',' Special ',' Indonesia ',' East ',' Students' "&amp;", 'depends', 'network', 'learn', 'online', 'please', 'work', 'weapon', 'telkom']")</f>
        <v>['pulse', 'data', 'week', 'run out', 'maximum', 'network', 'bad', 'just', 'just', 'buy', 'package', 'games',' Max ',' Play ',' Game ',' Develop ',' Network ',' SJA ',' Maximum ',' Development ',' Indonesia ',' Special ',' Indonesia ',' East ',' Students' , 'depends', 'network', 'learn', 'online', 'please', 'work', 'weapon', 'telkom']</v>
      </c>
      <c r="D1601" s="3">
        <v>5.0</v>
      </c>
    </row>
    <row r="1602" ht="15.75" customHeight="1">
      <c r="A1602" s="1">
        <v>1600.0</v>
      </c>
      <c r="B1602" s="3" t="s">
        <v>1602</v>
      </c>
      <c r="C1602" s="3" t="str">
        <f>IFERROR(__xludf.DUMMYFUNCTION("GOOGLETRANSLATE(B1602,""id"",""en"")"),"['Please', 'Region', 'Mandai', 'Maros',' Sulawesi ',' South ',' Signal ',' Telkomsel ',' ugly ',' really ',' Please ',' repaired ',' ']")</f>
        <v>['Please', 'Region', 'Mandai', 'Maros',' Sulawesi ',' South ',' Signal ',' Telkomsel ',' ugly ',' really ',' Please ',' repaired ',' ']</v>
      </c>
      <c r="D1602" s="3">
        <v>5.0</v>
      </c>
    </row>
    <row r="1603" ht="15.75" customHeight="1">
      <c r="A1603" s="1">
        <v>1601.0</v>
      </c>
      <c r="B1603" s="3" t="s">
        <v>1603</v>
      </c>
      <c r="C1603" s="3" t="str">
        <f>IFERROR(__xludf.DUMMYFUNCTION("GOOGLETRANSLATE(B1603,""id"",""en"")"),"['Telkomsel', 'network', 'slow', 'already', 'week', 'no', 'buy', 'Package', 'Telkomsel', 'error', 'error', 'already', ' Telkomsel ',' No ',' Response ',' Come on ',' Udh ',' Change ',' KRTU ',' Telkomsel ']")</f>
        <v>['Telkomsel', 'network', 'slow', 'already', 'week', 'no', 'buy', 'Package', 'Telkomsel', 'error', 'error', 'already', ' Telkomsel ',' No ',' Response ',' Come on ',' Udh ',' Change ',' KRTU ',' Telkomsel ']</v>
      </c>
      <c r="D1603" s="3">
        <v>1.0</v>
      </c>
    </row>
    <row r="1604" ht="15.75" customHeight="1">
      <c r="A1604" s="1">
        <v>1602.0</v>
      </c>
      <c r="B1604" s="3" t="s">
        <v>1604</v>
      </c>
      <c r="C1604" s="3" t="str">
        <f>IFERROR(__xludf.DUMMYFUNCTION("GOOGLETRANSLATE(B1604,""id"",""en"")"),"['Severe', 'Network', 'Internet', 'Telkomsel', 'Lose', 'AXIS', 'IM', 'Collapse', 'Star', 'Love', 'Star', 'Internet', ' Good ',' Setabil ',' Need ',' Internet ',' Setabil ',' Believe ',' Telkomsel ',' Network ',' Strongest ',' People ',' Faithful ',' User "&amp;"',' Telkomsel ' , 'Disappointed', 'Customer', 'Greetings', 'Kalimantan']")</f>
        <v>['Severe', 'Network', 'Internet', 'Telkomsel', 'Lose', 'AXIS', 'IM', 'Collapse', 'Star', 'Love', 'Star', 'Internet', ' Good ',' Setabil ',' Need ',' Internet ',' Setabil ',' Believe ',' Telkomsel ',' Network ',' Strongest ',' People ',' Faithful ',' User ',' Telkomsel ' , 'Disappointed', 'Customer', 'Greetings', 'Kalimantan']</v>
      </c>
      <c r="D1604" s="3">
        <v>1.0</v>
      </c>
    </row>
    <row r="1605" ht="15.75" customHeight="1">
      <c r="A1605" s="1">
        <v>1603.0</v>
      </c>
      <c r="B1605" s="3" t="s">
        <v>1605</v>
      </c>
      <c r="C1605" s="3" t="str">
        <f>IFERROR(__xludf.DUMMYFUNCTION("GOOGLETRANSLATE(B1605,""id"",""en"")"),"['Like', 'application', 'MyTelkomsel', 'Help', 'Telkomsel', 'mantaaaaappp', '']")</f>
        <v>['Like', 'application', 'MyTelkomsel', 'Help', 'Telkomsel', 'mantaaaaappp', '']</v>
      </c>
      <c r="D1605" s="3">
        <v>5.0</v>
      </c>
    </row>
    <row r="1606" ht="15.75" customHeight="1">
      <c r="A1606" s="1">
        <v>1604.0</v>
      </c>
      <c r="B1606" s="3" t="s">
        <v>1606</v>
      </c>
      <c r="C1606" s="3" t="str">
        <f>IFERROR(__xludf.DUMMYFUNCTION("GOOGLETRANSLATE(B1606,""id"",""en"")"),"['price', 'package', 'expensive', 'network', 'chaotic', '']")</f>
        <v>['price', 'package', 'expensive', 'network', 'chaotic', '']</v>
      </c>
      <c r="D1606" s="3">
        <v>1.0</v>
      </c>
    </row>
    <row r="1607" ht="15.75" customHeight="1">
      <c r="A1607" s="1">
        <v>1605.0</v>
      </c>
      <c r="B1607" s="3" t="s">
        <v>1607</v>
      </c>
      <c r="C1607" s="3" t="str">
        <f>IFERROR(__xludf.DUMMYFUNCTION("GOOGLETRANSLATE(B1607,""id"",""en"")"),"['check', 'application', 'right', 'check', 'claim', 'quota', 'GB', '']")</f>
        <v>['check', 'application', 'right', 'check', 'claim', 'quota', 'GB', '']</v>
      </c>
      <c r="D1607" s="3">
        <v>1.0</v>
      </c>
    </row>
    <row r="1608" ht="15.75" customHeight="1">
      <c r="A1608" s="1">
        <v>1606.0</v>
      </c>
      <c r="B1608" s="3" t="s">
        <v>1608</v>
      </c>
      <c r="C1608" s="3" t="str">
        <f>IFERROR(__xludf.DUMMYFUNCTION("GOOGLETRANSLATE(B1608,""id"",""en"")"),"['innalilahi', 'innalauiui', 'rojiun', 'telkomsel', 'knp', 'signal', 'difficult', 'really', 'nga', 'signal', 'jabodetabek', 'kebumen', ' Java ',' Village ',' Gather ',' Ngawi ',' Java ',' East ']")</f>
        <v>['innalilahi', 'innalauiui', 'rojiun', 'telkomsel', 'knp', 'signal', 'difficult', 'really', 'nga', 'signal', 'jabodetabek', 'kebumen', ' Java ',' Village ',' Gather ',' Ngawi ',' Java ',' East ']</v>
      </c>
      <c r="D1608" s="3">
        <v>5.0</v>
      </c>
    </row>
    <row r="1609" ht="15.75" customHeight="1">
      <c r="A1609" s="1">
        <v>1607.0</v>
      </c>
      <c r="B1609" s="3" t="s">
        <v>1609</v>
      </c>
      <c r="C1609" s="3" t="str">
        <f>IFERROR(__xludf.DUMMYFUNCTION("GOOGLETRANSLATE(B1609,""id"",""en"")"),"['Telkomsel', 'Severe', 'Credit', 'I', 'Cutting', 'Ngapa', 'What's',' skrng ',' The network ',' ugly ',' really ',' buy ',' expensive ',' expensive ',' bni ',' telkomsel ',' good ',' sya ',' love ',' rating ']")</f>
        <v>['Telkomsel', 'Severe', 'Credit', 'I', 'Cutting', 'Ngapa', 'What's',' skrng ',' The network ',' ugly ',' really ',' buy ',' expensive ',' expensive ',' bni ',' telkomsel ',' good ',' sya ',' love ',' rating ']</v>
      </c>
      <c r="D1609" s="3">
        <v>1.0</v>
      </c>
    </row>
    <row r="1610" ht="15.75" customHeight="1">
      <c r="A1610" s="1">
        <v>1608.0</v>
      </c>
      <c r="B1610" s="3" t="s">
        <v>1610</v>
      </c>
      <c r="C1610" s="3" t="str">
        <f>IFERROR(__xludf.DUMMYFUNCTION("GOOGLETRANSLATE(B1610,""id"",""en"")"),"['Please', 'Dongg', 'Level', 'Use', 'Package', 'GameSmax', 'Game', 'Experience', 'Error', 'Failed', 'Enter', 'Match', ' ']")</f>
        <v>['Please', 'Dongg', 'Level', 'Use', 'Package', 'GameSmax', 'Game', 'Experience', 'Error', 'Failed', 'Enter', 'Match', ' ']</v>
      </c>
      <c r="D1610" s="3">
        <v>1.0</v>
      </c>
    </row>
    <row r="1611" ht="15.75" customHeight="1">
      <c r="A1611" s="1">
        <v>1609.0</v>
      </c>
      <c r="B1611" s="3" t="s">
        <v>1611</v>
      </c>
      <c r="C1611" s="3" t="str">
        <f>IFERROR(__xludf.DUMMYFUNCTION("GOOGLETRANSLATE(B1611,""id"",""en"")"),"['response', 'slow', 'description', 'package', 'detail', '']")</f>
        <v>['response', 'slow', 'description', 'package', 'detail', '']</v>
      </c>
      <c r="D1611" s="3">
        <v>1.0</v>
      </c>
    </row>
    <row r="1612" ht="15.75" customHeight="1">
      <c r="A1612" s="1">
        <v>1610.0</v>
      </c>
      <c r="B1612" s="3" t="s">
        <v>1612</v>
      </c>
      <c r="C1612" s="3" t="str">
        <f>IFERROR(__xludf.DUMMYFUNCTION("GOOGLETRANSLATE(B1612,""id"",""en"")"),"['bro', 'signal', 'provider', 'slow', 'experience', 'playing', 'game', 'satisfying', 'please', 'unfold', 'provider', 'trusted', ' stability ',' signal ',' please ',' repaired ',' Flatancing ',' experience ',' signal ',' satisfying ',' so far ',' thank you"&amp;" ', ""]")</f>
        <v>['bro', 'signal', 'provider', 'slow', 'experience', 'playing', 'game', 'satisfying', 'please', 'unfold', 'provider', 'trusted', ' stability ',' signal ',' please ',' repaired ',' Flatancing ',' experience ',' signal ',' satisfying ',' so far ',' thank you ', "]</v>
      </c>
      <c r="D1612" s="3">
        <v>1.0</v>
      </c>
    </row>
    <row r="1613" ht="15.75" customHeight="1">
      <c r="A1613" s="1">
        <v>1611.0</v>
      </c>
      <c r="B1613" s="3" t="s">
        <v>1613</v>
      </c>
      <c r="C1613" s="3" t="str">
        <f>IFERROR(__xludf.DUMMYFUNCTION("GOOGLETRANSLATE(B1613,""id"",""en"")"),"['Telkomsel', 'his time', 'network', 'Telkomsel', 'best', 'expensive', 'service', 'satisfying', 'expensive', 'yes',' network ',' slow ',' quality ',' improved ',' down ',' official ',' corrupt ',' glaring ',' see ',' money ',' people ',' facility ',' stat"&amp;"e ',' threat ', ""]")</f>
        <v>['Telkomsel', 'his time', 'network', 'Telkomsel', 'best', 'expensive', 'service', 'satisfying', 'expensive', 'yes',' network ',' slow ',' quality ',' improved ',' down ',' official ',' corrupt ',' glaring ',' see ',' money ',' people ',' facility ',' state ',' threat ', "]</v>
      </c>
      <c r="D1613" s="3">
        <v>1.0</v>
      </c>
    </row>
    <row r="1614" ht="15.75" customHeight="1">
      <c r="A1614" s="1">
        <v>1612.0</v>
      </c>
      <c r="B1614" s="3" t="s">
        <v>1614</v>
      </c>
      <c r="C1614" s="3" t="str">
        <f>IFERROR(__xludf.DUMMYFUNCTION("GOOGLETRANSLATE(B1614,""id"",""en"")"),"['expensive', 'doang', 'internet', 'slow', 'buy', 'quota', 'slow', 'rich', 'gini', 'buy']")</f>
        <v>['expensive', 'doang', 'internet', 'slow', 'buy', 'quota', 'slow', 'rich', 'gini', 'buy']</v>
      </c>
      <c r="D1614" s="3">
        <v>1.0</v>
      </c>
    </row>
    <row r="1615" ht="15.75" customHeight="1">
      <c r="A1615" s="1">
        <v>1613.0</v>
      </c>
      <c r="B1615" s="3" t="s">
        <v>1615</v>
      </c>
      <c r="C1615" s="3" t="str">
        <f>IFERROR(__xludf.DUMMYFUNCTION("GOOGLETRANSLATE(B1615,""id"",""en"")"),"['Gapernah', 'SMS', 'Telfon', 'Credit', 'Reduced', 'Adal', 'Quota', 'Strange']")</f>
        <v>['Gapernah', 'SMS', 'Telfon', 'Credit', 'Reduced', 'Adal', 'Quota', 'Strange']</v>
      </c>
      <c r="D1615" s="3">
        <v>1.0</v>
      </c>
    </row>
    <row r="1616" ht="15.75" customHeight="1">
      <c r="A1616" s="1">
        <v>1614.0</v>
      </c>
      <c r="B1616" s="3" t="s">
        <v>1616</v>
      </c>
      <c r="C1616" s="3" t="str">
        <f>IFERROR(__xludf.DUMMYFUNCTION("GOOGLETRANSLATE(B1616,""id"",""en"")"),"['APPL', 'Comfortable', 'smooth', 'use', 'tasty', 'wear it', ""]")</f>
        <v>['APPL', 'Comfortable', 'smooth', 'use', 'tasty', 'wear it', "]</v>
      </c>
      <c r="D1616" s="3">
        <v>5.0</v>
      </c>
    </row>
    <row r="1617" ht="15.75" customHeight="1">
      <c r="A1617" s="1">
        <v>1615.0</v>
      </c>
      <c r="B1617" s="3" t="s">
        <v>1617</v>
      </c>
      <c r="C1617" s="3" t="str">
        <f>IFERROR(__xludf.DUMMYFUNCTION("GOOGLETRANSLATE(B1617,""id"",""en"")"),"['Data', 'GB', 'Credit', 'Lost', 'Silver', 'Check', 'History', 'Karna', 'Wear', 'Quota', 'Oklah', 'lnjutany', ' Emotions', 'Missing', 'RbU', 'Next', 'Rbu', 'Bangke', 'Bener', 'Tsel', 'Paketan', 'Data', 'Function', 'Bat', 'Njing' , 'Tsel', 'no', 'recommend"&amp;"ed', 'lgi', 'used', '']")</f>
        <v>['Data', 'GB', 'Credit', 'Lost', 'Silver', 'Check', 'History', 'Karna', 'Wear', 'Quota', 'Oklah', 'lnjutany', ' Emotions', 'Missing', 'RbU', 'Next', 'Rbu', 'Bangke', 'Bener', 'Tsel', 'Paketan', 'Data', 'Function', 'Bat', 'Njing' , 'Tsel', 'no', 'recommended', 'lgi', 'used', '']</v>
      </c>
      <c r="D1617" s="3">
        <v>1.0</v>
      </c>
    </row>
    <row r="1618" ht="15.75" customHeight="1">
      <c r="A1618" s="1">
        <v>1616.0</v>
      </c>
      <c r="B1618" s="3" t="s">
        <v>1618</v>
      </c>
      <c r="C1618" s="3" t="str">
        <f>IFERROR(__xludf.DUMMYFUNCTION("GOOGLETRANSLATE(B1618,""id"",""en"")"),"['quota', 'multimedia', 'online', 'buy', 'package', 'internet', 'multimedia', 'description', 'game', 'chat', 'youtube', 'see', ' YouTube ',' cut ',' package ',' data ',' internet ',' poor ']")</f>
        <v>['quota', 'multimedia', 'online', 'buy', 'package', 'internet', 'multimedia', 'description', 'game', 'chat', 'youtube', 'see', ' YouTube ',' cut ',' package ',' data ',' internet ',' poor ']</v>
      </c>
      <c r="D1618" s="3">
        <v>1.0</v>
      </c>
    </row>
    <row r="1619" ht="15.75" customHeight="1">
      <c r="A1619" s="1">
        <v>1617.0</v>
      </c>
      <c r="B1619" s="3" t="s">
        <v>1619</v>
      </c>
      <c r="C1619" s="3" t="str">
        <f>IFERROR(__xludf.DUMMYFUNCTION("GOOGLETRANSLATE(B1619,""id"",""en"")"),"['regret', 'use', 'Telkomsel', 'already', 'price', 'package', 'expensive', 'quality', 'network', 'deteriorating', 'Makai', 'Telkomsel', ' users', 'network', 'Telkomsel', 'know', 'quality', 'network', 'ngak', 'according to', 'threat', 'network', 'Telkomsel"&amp;"', 'ngak', 'according to' , 'price', 'package']")</f>
        <v>['regret', 'use', 'Telkomsel', 'already', 'price', 'package', 'expensive', 'quality', 'network', 'deteriorating', 'Makai', 'Telkomsel', ' users', 'network', 'Telkomsel', 'know', 'quality', 'network', 'ngak', 'according to', 'threat', 'network', 'Telkomsel', 'ngak', 'according to' , 'price', 'package']</v>
      </c>
      <c r="D1619" s="3">
        <v>1.0</v>
      </c>
    </row>
    <row r="1620" ht="15.75" customHeight="1">
      <c r="A1620" s="1">
        <v>1618.0</v>
      </c>
      <c r="B1620" s="3" t="s">
        <v>1620</v>
      </c>
      <c r="C1620" s="3" t="str">
        <f>IFERROR(__xludf.DUMMYFUNCTION("GOOGLETRANSLATE(B1620,""id"",""en"")"),"['Network', 'signal', 'internet', 'Telkomsel', 'chaotic', 'disappointing', '']")</f>
        <v>['Network', 'signal', 'internet', 'Telkomsel', 'chaotic', 'disappointing', '']</v>
      </c>
      <c r="D1620" s="3">
        <v>1.0</v>
      </c>
    </row>
    <row r="1621" ht="15.75" customHeight="1">
      <c r="A1621" s="1">
        <v>1619.0</v>
      </c>
      <c r="B1621" s="3" t="s">
        <v>1621</v>
      </c>
      <c r="C1621" s="3" t="str">
        <f>IFERROR(__xludf.DUMMYFUNCTION("GOOGLETRANSLATE(B1621,""id"",""en"")"),"['', 'buyin', 'package', 'data', 'mytelkomsel', 'friend', 'package', 'data', 'entry', 'udh', 'awaited', 'clock', 'notif ',' History ',' transaction ',' Note ',' MyTelkomsel ',' complaint ',' Help ',' MyTelkomsel ',' Persintain ',' number ',' Series ',' tr"&amp;"ansaction ',' because 'because' 'Point', 'Took', 'Check', 'Method', 'Payment', 'Application', 'Fund', 'History', 'Transaction', 'Ajuin', 'Complaint', 'Direct', "" ]")</f>
        <v>['', 'buyin', 'package', 'data', 'mytelkomsel', 'friend', 'package', 'data', 'entry', 'udh', 'awaited', 'clock', 'notif ',' History ',' transaction ',' Note ',' MyTelkomsel ',' complaint ',' Help ',' MyTelkomsel ',' Persintain ',' number ',' Series ',' transaction ',' because 'because' 'Point', 'Took', 'Check', 'Method', 'Payment', 'Application', 'Fund', 'History', 'Transaction', 'Ajuin', 'Complaint', 'Direct', " ]</v>
      </c>
      <c r="D1621" s="3">
        <v>1.0</v>
      </c>
    </row>
    <row r="1622" ht="15.75" customHeight="1">
      <c r="A1622" s="1">
        <v>1620.0</v>
      </c>
      <c r="B1622" s="3" t="s">
        <v>1622</v>
      </c>
      <c r="C1622" s="3" t="str">
        <f>IFERROR(__xludf.DUMMYFUNCTION("GOOGLETRANSLATE(B1622,""id"",""en"")"),"['Provider', 'clock', 'disruption', 'finished', 'finished', 'compensation', 'know', 'delayed', 'gegara', 'disorder', 'customer', 'plan', ' Customer, 'Wear', 'Internet', 'Normal', 'Repair', 'Meeting', 'Online', 'Gabisa', 'Main', 'Game', 'Gabisa', 'Hadeh']")</f>
        <v>['Provider', 'clock', 'disruption', 'finished', 'finished', 'compensation', 'know', 'delayed', 'gegara', 'disorder', 'customer', 'plan', ' Customer, 'Wear', 'Internet', 'Normal', 'Repair', 'Meeting', 'Online', 'Gabisa', 'Main', 'Game', 'Gabisa', 'Hadeh']</v>
      </c>
      <c r="D1622" s="3">
        <v>1.0</v>
      </c>
    </row>
    <row r="1623" ht="15.75" customHeight="1">
      <c r="A1623" s="1">
        <v>1621.0</v>
      </c>
      <c r="B1623" s="3" t="s">
        <v>1623</v>
      </c>
      <c r="C1623" s="3" t="str">
        <f>IFERROR(__xludf.DUMMYFUNCTION("GOOGLETRANSLATE(B1623,""id"",""en"")"),"['Bagus',' herds', 'points',' run out ',' follow ',' uuh ',' win ',' no ',' disappointed ',' no ',' reedem ',' results', ' Check ',' Points', 'sent', 'number', 'number', '']")</f>
        <v>['Bagus',' herds', 'points',' run out ',' follow ',' uuh ',' win ',' no ',' disappointed ',' no ',' reedem ',' results', ' Check ',' Points', 'sent', 'number', 'number', '']</v>
      </c>
      <c r="D1623" s="3">
        <v>3.0</v>
      </c>
    </row>
    <row r="1624" ht="15.75" customHeight="1">
      <c r="A1624" s="1">
        <v>1622.0</v>
      </c>
      <c r="B1624" s="3" t="s">
        <v>1624</v>
      </c>
      <c r="C1624" s="3" t="str">
        <f>IFERROR(__xludf.DUMMYFUNCTION("GOOGLETRANSLATE(B1624,""id"",""en"")"),"['easy', 'access',' information ',' situ ',' promo ',' status', 'subscribe', 'shown', 'type', 'code', 'star', 'practical', ' complicated']")</f>
        <v>['easy', 'access',' information ',' situ ',' promo ',' status', 'subscribe', 'shown', 'type', 'code', 'star', 'practical', ' complicated']</v>
      </c>
      <c r="D1624" s="3">
        <v>5.0</v>
      </c>
    </row>
    <row r="1625" ht="15.75" customHeight="1">
      <c r="A1625" s="1">
        <v>1623.0</v>
      </c>
      <c r="B1625" s="3" t="s">
        <v>1625</v>
      </c>
      <c r="C1625" s="3" t="str">
        <f>IFERROR(__xludf.DUMMYFUNCTION("GOOGLETRANSLATE(B1625,""id"",""en"")"),"['Network', 'Severe', 'SKLI', 'KLW', 'BNI', 'TRUS', 'MENDING', 'Change', 'Operator', 'Telkomsel', 'Severe', 'Really', ' Mnow ',' org ',' klw ',' bni ',' then ',' ']")</f>
        <v>['Network', 'Severe', 'SKLI', 'KLW', 'BNI', 'TRUS', 'MENDING', 'Change', 'Operator', 'Telkomsel', 'Severe', 'Really', ' Mnow ',' org ',' klw ',' bni ',' then ',' ']</v>
      </c>
      <c r="D1625" s="3">
        <v>1.0</v>
      </c>
    </row>
    <row r="1626" ht="15.75" customHeight="1">
      <c r="A1626" s="1">
        <v>1624.0</v>
      </c>
      <c r="B1626" s="3" t="s">
        <v>1626</v>
      </c>
      <c r="C1626" s="3" t="str">
        <f>IFERROR(__xludf.DUMMYFUNCTION("GOOGLETRANSLATE(B1626,""id"",""en"")"),"['Network', 'pulp', 'slow', 'expensive', 'price', 'expensive', 'guarantee', 'quality']")</f>
        <v>['Network', 'pulp', 'slow', 'expensive', 'price', 'expensive', 'guarantee', 'quality']</v>
      </c>
      <c r="D1626" s="3">
        <v>1.0</v>
      </c>
    </row>
    <row r="1627" ht="15.75" customHeight="1">
      <c r="A1627" s="1">
        <v>1625.0</v>
      </c>
      <c r="B1627" s="3" t="s">
        <v>1627</v>
      </c>
      <c r="C1627" s="3" t="str">
        <f>IFERROR(__xludf.DUMMYFUNCTION("GOOGLETRANSLATE(B1627,""id"",""en"")"),"['network', 'internet', 'best', '']")</f>
        <v>['network', 'internet', 'best', '']</v>
      </c>
      <c r="D1627" s="3">
        <v>2.0</v>
      </c>
    </row>
    <row r="1628" ht="15.75" customHeight="1">
      <c r="A1628" s="1">
        <v>1626.0</v>
      </c>
      <c r="B1628" s="3" t="s">
        <v>1628</v>
      </c>
      <c r="C1628" s="3" t="str">
        <f>IFERROR(__xludf.DUMMYFUNCTION("GOOGLETRANSLATE(B1628,""id"",""en"")"),"['Gemana', 'quota', 'pulse', 'sumps',' severe ',' udh ',' love ',' star ',' ntar ',' udh ',' kaga ',' suck ',' pulses', 'cave', 'love', 'star', '']")</f>
        <v>['Gemana', 'quota', 'pulse', 'sumps',' severe ',' udh ',' love ',' star ',' ntar ',' udh ',' kaga ',' suck ',' pulses', 'cave', 'love', 'star', '']</v>
      </c>
      <c r="D1628" s="3">
        <v>1.0</v>
      </c>
    </row>
    <row r="1629" ht="15.75" customHeight="1">
      <c r="A1629" s="1">
        <v>1627.0</v>
      </c>
      <c r="B1629" s="3" t="s">
        <v>1629</v>
      </c>
      <c r="C1629" s="3" t="str">
        <f>IFERROR(__xludf.DUMMYFUNCTION("GOOGLETRANSLATE(B1629,""id"",""en"")"),"['Telkomsel', 'dilapidated', 'disturbance', 'compensation', 'skali', 'gave', 'quota', 'pulse', 'free', 'mistake', 'taiikkk', 'taiikkk', ' Taiikkk ',' ']")</f>
        <v>['Telkomsel', 'dilapidated', 'disturbance', 'compensation', 'skali', 'gave', 'quota', 'pulse', 'free', 'mistake', 'taiikkk', 'taiikkk', ' Taiikkk ',' ']</v>
      </c>
      <c r="D1629" s="3">
        <v>1.0</v>
      </c>
    </row>
    <row r="1630" ht="15.75" customHeight="1">
      <c r="A1630" s="1">
        <v>1628.0</v>
      </c>
      <c r="B1630" s="3" t="s">
        <v>1630</v>
      </c>
      <c r="C1630" s="3" t="str">
        <f>IFERROR(__xludf.DUMMYFUNCTION("GOOGLETRANSLATE(B1630,""id"",""en"")"),"['quota', 'expensive', 'users', 'Telkomsel', 'quota', 'different', 'different']")</f>
        <v>['quota', 'expensive', 'users', 'Telkomsel', 'quota', 'different', 'different']</v>
      </c>
      <c r="D1630" s="3">
        <v>3.0</v>
      </c>
    </row>
    <row r="1631" ht="15.75" customHeight="1">
      <c r="A1631" s="1">
        <v>1629.0</v>
      </c>
      <c r="B1631" s="3" t="s">
        <v>1631</v>
      </c>
      <c r="C1631" s="3" t="str">
        <f>IFERROR(__xludf.DUMMYFUNCTION("GOOGLETRANSLATE(B1631,""id"",""en"")"),"['oath', 'network', 'Telkomsel', 'already', 'emotions',' network ',' kepepan ',' kb ',' crazy ',' moved ',' next door ',' Visit ',' improved ']")</f>
        <v>['oath', 'network', 'Telkomsel', 'already', 'emotions',' network ',' kepepan ',' kb ',' crazy ',' moved ',' next door ',' Visit ',' improved ']</v>
      </c>
      <c r="D1631" s="3">
        <v>1.0</v>
      </c>
    </row>
    <row r="1632" ht="15.75" customHeight="1">
      <c r="A1632" s="1">
        <v>1630.0</v>
      </c>
      <c r="B1632" s="3" t="s">
        <v>1632</v>
      </c>
      <c r="C1632" s="3" t="str">
        <f>IFERROR(__xludf.DUMMYFUNCTION("GOOGLETRANSLATE(B1632,""id"",""en"")"),"['Please', 'Kasi', 'price', 'package', 'cheap', 'star', '']")</f>
        <v>['Please', 'Kasi', 'price', 'package', 'cheap', 'star', '']</v>
      </c>
      <c r="D1632" s="3">
        <v>2.0</v>
      </c>
    </row>
    <row r="1633" ht="15.75" customHeight="1">
      <c r="A1633" s="1">
        <v>1631.0</v>
      </c>
      <c r="B1633" s="3" t="s">
        <v>1633</v>
      </c>
      <c r="C1633" s="3" t="str">
        <f>IFERROR(__xludf.DUMMYFUNCTION("GOOGLETRANSLATE(B1633,""id"",""en"")"),"['subscribe', 'NSP', 'subscribe', 'trap', 'Telkomsel', 'stop', 'search', 'profit', 'wrong', ""]")</f>
        <v>['subscribe', 'NSP', 'subscribe', 'trap', 'Telkomsel', 'stop', 'search', 'profit', 'wrong', "]</v>
      </c>
      <c r="D1633" s="3">
        <v>1.0</v>
      </c>
    </row>
    <row r="1634" ht="15.75" customHeight="1">
      <c r="A1634" s="1">
        <v>1632.0</v>
      </c>
      <c r="B1634" s="3" t="s">
        <v>1634</v>
      </c>
      <c r="C1634" s="3" t="str">
        <f>IFERROR(__xludf.DUMMYFUNCTION("GOOGLETRANSLATE(B1634,""id"",""en"")"),"['Knp', 'big net', 'ugly', 'date', 'afternoon', 'fix', 'Telkomsel', 'Masi', 'ganguan', 'move', 'card', ""]")</f>
        <v>['Knp', 'big net', 'ugly', 'date', 'afternoon', 'fix', 'Telkomsel', 'Masi', 'ganguan', 'move', 'card', "]</v>
      </c>
      <c r="D1634" s="3">
        <v>1.0</v>
      </c>
    </row>
    <row r="1635" ht="15.75" customHeight="1">
      <c r="A1635" s="1">
        <v>1633.0</v>
      </c>
      <c r="B1635" s="3" t="s">
        <v>1635</v>
      </c>
      <c r="C1635" s="3" t="str">
        <f>IFERROR(__xludf.DUMMYFUNCTION("GOOGLETRANSLATE(B1635,""id"",""en"")"),"['likes',' aflication ',' Telkomsel ',' network ',' fast ',' process', 'buy', 'package', 'fast', 'voucher', 'cheap', 'staple', ' Love ',' Love ',' Telkomsel ',' ']")</f>
        <v>['likes',' aflication ',' Telkomsel ',' network ',' fast ',' process', 'buy', 'package', 'fast', 'voucher', 'cheap', 'staple', ' Love ',' Love ',' Telkomsel ',' ']</v>
      </c>
      <c r="D1635" s="3">
        <v>5.0</v>
      </c>
    </row>
    <row r="1636" ht="15.75" customHeight="1">
      <c r="A1636" s="1">
        <v>1634.0</v>
      </c>
      <c r="B1636" s="3" t="s">
        <v>1636</v>
      </c>
      <c r="C1636" s="3" t="str">
        <f>IFERROR(__xludf.DUMMYFUNCTION("GOOGLETRANSLATE(B1636,""id"",""en"")"),"['please', 'Telkomsel', 'network', 'slow', 'package', 'data', 'buy', 'internet', 'browsing', 'youtube', 'sosmed', 'really', ' slow ',' nyesallll ',' please ',' fix ',' quality ',' network ',' customer ',' Telkomsel ',' bahhh ']")</f>
        <v>['please', 'Telkomsel', 'network', 'slow', 'package', 'data', 'buy', 'internet', 'browsing', 'youtube', 'sosmed', 'really', ' slow ',' nyesallll ',' please ',' fix ',' quality ',' network ',' customer ',' Telkomsel ',' bahhh ']</v>
      </c>
      <c r="D1636" s="3">
        <v>1.0</v>
      </c>
    </row>
    <row r="1637" ht="15.75" customHeight="1">
      <c r="A1637" s="1">
        <v>1635.0</v>
      </c>
      <c r="B1637" s="3" t="s">
        <v>1637</v>
      </c>
      <c r="C1637" s="3" t="str">
        <f>IFERROR(__xludf.DUMMYFUNCTION("GOOGLETRANSLATE(B1637,""id"",""en"")"),"['Network', 'ugly', 'noon', 'morning', 'night', 'night', 'slow', 'ampuuun', 'sek', 'snail']")</f>
        <v>['Network', 'ugly', 'noon', 'morning', 'night', 'night', 'slow', 'ampuuun', 'sek', 'snail']</v>
      </c>
      <c r="D1637" s="3">
        <v>1.0</v>
      </c>
    </row>
    <row r="1638" ht="15.75" customHeight="1">
      <c r="A1638" s="1">
        <v>1636.0</v>
      </c>
      <c r="B1638" s="3" t="s">
        <v>1638</v>
      </c>
      <c r="C1638" s="3" t="str">
        <f>IFERROR(__xludf.DUMMYFUNCTION("GOOGLETRANSLATE(B1638,""id"",""en"")"),"['telko', 'indihome', 'down', 'grade', 'moved', 'skrng', 'kenceng', 'daahh', 'dadaahhh', 'telkom', 'indi', 'your customer', ' blur ',' already ',' slow ',' month ',' request ',' sorry ',' compensation ',' brave ',' pay ',' expensive ',' need ',' quality '"&amp;",' mah ' , 'Disappointing', 'ASIII']")</f>
        <v>['telko', 'indihome', 'down', 'grade', 'moved', 'skrng', 'kenceng', 'daahh', 'dadaahhh', 'telkom', 'indi', 'your customer', ' blur ',' already ',' slow ',' month ',' request ',' sorry ',' compensation ',' brave ',' pay ',' expensive ',' need ',' quality ',' mah ' , 'Disappointing', 'ASIII']</v>
      </c>
      <c r="D1638" s="3">
        <v>1.0</v>
      </c>
    </row>
    <row r="1639" ht="15.75" customHeight="1">
      <c r="A1639" s="1">
        <v>1637.0</v>
      </c>
      <c r="B1639" s="3" t="s">
        <v>1639</v>
      </c>
      <c r="C1639" s="3" t="str">
        <f>IFERROR(__xludf.DUMMYFUNCTION("GOOGLETRANSLATE(B1639,""id"",""en"")"),"['', 'Application', 'Really', 'Help', 'Thank you', 'Application', '']")</f>
        <v>['', 'Application', 'Really', 'Help', 'Thank you', 'Application', '']</v>
      </c>
      <c r="D1639" s="3">
        <v>5.0</v>
      </c>
    </row>
    <row r="1640" ht="15.75" customHeight="1">
      <c r="A1640" s="1">
        <v>1638.0</v>
      </c>
      <c r="B1640" s="3" t="s">
        <v>1640</v>
      </c>
      <c r="C1640" s="3" t="str">
        <f>IFERROR(__xludf.DUMMYFUNCTION("GOOGLETRANSLATE(B1640,""id"",""en"")"),"['Disight', 'Customer', 'Disappointed', 'Heavy', 'LBH', 'Business']")</f>
        <v>['Disight', 'Customer', 'Disappointed', 'Heavy', 'LBH', 'Business']</v>
      </c>
      <c r="D1640" s="3">
        <v>1.0</v>
      </c>
    </row>
    <row r="1641" ht="15.75" customHeight="1">
      <c r="A1641" s="1">
        <v>1639.0</v>
      </c>
      <c r="B1641" s="3" t="s">
        <v>1641</v>
      </c>
      <c r="C1641" s="3" t="str">
        <f>IFERROR(__xludf.DUMMYFUNCTION("GOOGLETRANSLATE(B1641,""id"",""en"")"),"['Signal', 'Threat', 'Busy', 'Promo', 'Internet', 'Anti', 'Leet', 'Shy', 'Cust', 'Merong', 'Ush', 'Busy', ' Promo ',' Loss', 'Gara', 'Send', 'Data', 'Lemott', 'Indihome', 'Woyy', 'Buy', 'Paketan', 'Cheap', 'Loooooohhh', ""]")</f>
        <v>['Signal', 'Threat', 'Busy', 'Promo', 'Internet', 'Anti', 'Leet', 'Shy', 'Cust', 'Merong', 'Ush', 'Busy', ' Promo ',' Loss', 'Gara', 'Send', 'Data', 'Lemott', 'Indihome', 'Woyy', 'Buy', 'Paketan', 'Cheap', 'Loooooohhh', "]</v>
      </c>
      <c r="D1641" s="3">
        <v>1.0</v>
      </c>
    </row>
    <row r="1642" ht="15.75" customHeight="1">
      <c r="A1642" s="1">
        <v>1640.0</v>
      </c>
      <c r="B1642" s="3" t="s">
        <v>1642</v>
      </c>
      <c r="C1642" s="3" t="str">
        <f>IFERROR(__xludf.DUMMYFUNCTION("GOOGLETRANSLATE(B1642,""id"",""en"")"),"['Telkomsel', 'really', 'network', 'oii', 'udh', 'buy', 'package', 'data', 'bnyk', 'lahhh', 'network']")</f>
        <v>['Telkomsel', 'really', 'network', 'oii', 'udh', 'buy', 'package', 'data', 'bnyk', 'lahhh', 'network']</v>
      </c>
      <c r="D1642" s="3">
        <v>1.0</v>
      </c>
    </row>
    <row r="1643" ht="15.75" customHeight="1">
      <c r="A1643" s="1">
        <v>1641.0</v>
      </c>
      <c r="B1643" s="3" t="s">
        <v>1643</v>
      </c>
      <c r="C1643" s="3" t="str">
        <f>IFERROR(__xludf.DUMMYFUNCTION("GOOGLETRANSLATE(B1643,""id"",""en"")"),"['Kug', 'package', 'internet', 'Combo', 'Sakti', 'friend', 'cheap', 'package', 'expensive', 'the difference', 'card', 'dipake', ' card ',' please ',' love ',' explanation ',' user ',' telkomsel ',' please ',' disappointing ',' customer ',' ']")</f>
        <v>['Kug', 'package', 'internet', 'Combo', 'Sakti', 'friend', 'cheap', 'package', 'expensive', 'the difference', 'card', 'dipake', ' card ',' please ',' love ',' explanation ',' user ',' telkomsel ',' please ',' disappointing ',' customer ',' ']</v>
      </c>
      <c r="D1643" s="3">
        <v>2.0</v>
      </c>
    </row>
    <row r="1644" ht="15.75" customHeight="1">
      <c r="A1644" s="1">
        <v>1642.0</v>
      </c>
      <c r="B1644" s="3" t="s">
        <v>1644</v>
      </c>
      <c r="C1644" s="3" t="str">
        <f>IFERROR(__xludf.DUMMYFUNCTION("GOOGLETRANSLATE(B1644,""id"",""en"")"),"['Package', 'Package', 'Allocation', 'Con', 'Package', 'Sosmed', 'Local', 'Open', 'Facebook', 'Twitter', 'WhatsApp', 'Etc.', ' package ',' sosmed ',' intact ',' used ',' quota ',' main ',' consumption ',' heart ',' heart ',' user ',' package ',' package '"&amp;",' fraud ' , 'scattered', 'application', 'thank you']")</f>
        <v>['Package', 'Package', 'Allocation', 'Con', 'Package', 'Sosmed', 'Local', 'Open', 'Facebook', 'Twitter', 'WhatsApp', 'Etc.', ' package ',' sosmed ',' intact ',' used ',' quota ',' main ',' consumption ',' heart ',' heart ',' user ',' package ',' package ',' fraud ' , 'scattered', 'application', 'thank you']</v>
      </c>
      <c r="D1644" s="3">
        <v>1.0</v>
      </c>
    </row>
    <row r="1645" ht="15.75" customHeight="1">
      <c r="A1645" s="1">
        <v>1643.0</v>
      </c>
      <c r="B1645" s="3" t="s">
        <v>1645</v>
      </c>
      <c r="C1645" s="3" t="str">
        <f>IFERROR(__xludf.DUMMYFUNCTION("GOOGLETRANSLATE(B1645,""id"",""en"")"),"['Sorry', 'TELCOMSEL', 'Dear', 'Region', 'Batulicin', 'Kalimantan', 'South', 'Network', 'Internet', 'Setabil', 'Yaa', 'Please', ' Fix ',' users', 'Telcomsel', 'Bright', 'Disturbed', 'Buy', 'Package', 'Internet', 'Cheap', 'Internet', 'Smooth', 'Facilitates"&amp;"',' Job ' ]")</f>
        <v>['Sorry', 'TELCOMSEL', 'Dear', 'Region', 'Batulicin', 'Kalimantan', 'South', 'Network', 'Internet', 'Setabil', 'Yaa', 'Please', ' Fix ',' users', 'Telcomsel', 'Bright', 'Disturbed', 'Buy', 'Package', 'Internet', 'Cheap', 'Internet', 'Smooth', 'Facilitates',' Job ' ]</v>
      </c>
      <c r="D1645" s="3">
        <v>1.0</v>
      </c>
    </row>
    <row r="1646" ht="15.75" customHeight="1">
      <c r="A1646" s="1">
        <v>1644.0</v>
      </c>
      <c r="B1646" s="3" t="s">
        <v>1646</v>
      </c>
      <c r="C1646" s="3" t="str">
        <f>IFERROR(__xludf.DUMMYFUNCTION("GOOGLETRANSLATE(B1646,""id"",""en"")"),"['I', 'buy', 'package', 'game', 'disappointed', 'cave', 'already', 'expensive', 'vain', 'vain', 'me', 'anjeng', ' Gara ',' Gara ',' ugly ',' Kayak ',' Gini ',' Credit ',' Dexterity ',' Reduced ',' I ',' Please ',' Accelerate ',' Repair ',' Telkomsel ' , '"&amp;"satellite']")</f>
        <v>['I', 'buy', 'package', 'game', 'disappointed', 'cave', 'already', 'expensive', 'vain', 'vain', 'me', 'anjeng', ' Gara ',' Gara ',' ugly ',' Kayak ',' Gini ',' Credit ',' Dexterity ',' Reduced ',' I ',' Please ',' Accelerate ',' Repair ',' Telkomsel ' , 'satellite']</v>
      </c>
      <c r="D1646" s="3">
        <v>1.0</v>
      </c>
    </row>
    <row r="1647" ht="15.75" customHeight="1">
      <c r="A1647" s="1">
        <v>1645.0</v>
      </c>
      <c r="B1647" s="3" t="s">
        <v>1647</v>
      </c>
      <c r="C1647" s="3" t="str">
        <f>IFERROR(__xludf.DUMMYFUNCTION("GOOGLETRANSLATE(B1647,""id"",""en"")"),"['card', 'sympathy', 'active', 'number', 'registered', 'forced', 'replace', 'card', 'dech', ""]")</f>
        <v>['card', 'sympathy', 'active', 'number', 'registered', 'forced', 'replace', 'card', 'dech', "]</v>
      </c>
      <c r="D1647" s="3">
        <v>1.0</v>
      </c>
    </row>
    <row r="1648" ht="15.75" customHeight="1">
      <c r="A1648" s="1">
        <v>1646.0</v>
      </c>
      <c r="B1648" s="3" t="s">
        <v>1648</v>
      </c>
      <c r="C1648" s="3" t="str">
        <f>IFERROR(__xludf.DUMMYFUNCTION("GOOGLETRANSLATE(B1648,""id"",""en"")"),"['Telkomsel', 'cool', 'network', 'slow', 'please', 'fix it', 'love', 'star', 'deh']")</f>
        <v>['Telkomsel', 'cool', 'network', 'slow', 'please', 'fix it', 'love', 'star', 'deh']</v>
      </c>
      <c r="D1648" s="3">
        <v>3.0</v>
      </c>
    </row>
    <row r="1649" ht="15.75" customHeight="1">
      <c r="A1649" s="1">
        <v>1647.0</v>
      </c>
      <c r="B1649" s="3" t="s">
        <v>1649</v>
      </c>
      <c r="C1649" s="3" t="str">
        <f>IFERROR(__xludf.DUMMYFUNCTION("GOOGLETRANSLATE(B1649,""id"",""en"")"),"['Send', 'Package', 'Data', 'FAILURE', 'Telkomsel', 'Come', 'Fix', 'The Application', '']")</f>
        <v>['Send', 'Package', 'Data', 'FAILURE', 'Telkomsel', 'Come', 'Fix', 'The Application', '']</v>
      </c>
      <c r="D1649" s="3">
        <v>2.0</v>
      </c>
    </row>
    <row r="1650" ht="15.75" customHeight="1">
      <c r="A1650" s="1">
        <v>1648.0</v>
      </c>
      <c r="B1650" s="3" t="s">
        <v>1650</v>
      </c>
      <c r="C1650" s="3" t="str">
        <f>IFERROR(__xludf.DUMMYFUNCTION("GOOGLETRANSLATE(B1650,""id"",""en"")"),"['Package', 'data', 'slow', 'Kemrin', 'smooth', 'knp', 'star', ""]")</f>
        <v>['Package', 'data', 'slow', 'Kemrin', 'smooth', 'knp', 'star', "]</v>
      </c>
      <c r="D1650" s="3">
        <v>1.0</v>
      </c>
    </row>
    <row r="1651" ht="15.75" customHeight="1">
      <c r="A1651" s="1">
        <v>1649.0</v>
      </c>
      <c r="B1651" s="3" t="s">
        <v>1651</v>
      </c>
      <c r="C1651" s="3" t="str">
        <f>IFERROR(__xludf.DUMMYFUNCTION("GOOGLETRANSLATE(B1651,""id"",""en"")"),"['already', 'network', 'slow', 'peli', 'package', 'fast', 'run out', 'pulse', 'suck', 'last night', 'check', 'pulse', ' whole ',' morning ',' right ',' telephone ',' pulse ',' check ',' credit ',' ilang ',' application ',' disappointing ',' pulses', 'like"&amp;"s',' ilang ' , 'Bored', 'Disappointed', 'Telkomsel', 'Customer', 'Change', 'Number', '']")</f>
        <v>['already', 'network', 'slow', 'peli', 'package', 'fast', 'run out', 'pulse', 'suck', 'last night', 'check', 'pulse', ' whole ',' morning ',' right ',' telephone ',' pulse ',' check ',' credit ',' ilang ',' application ',' disappointing ',' pulses', 'likes',' ilang ' , 'Bored', 'Disappointed', 'Telkomsel', 'Customer', 'Change', 'Number', '']</v>
      </c>
      <c r="D1651" s="3">
        <v>1.0</v>
      </c>
    </row>
    <row r="1652" ht="15.75" customHeight="1">
      <c r="A1652" s="1">
        <v>1650.0</v>
      </c>
      <c r="B1652" s="3" t="s">
        <v>1652</v>
      </c>
      <c r="C1652" s="3" t="str">
        <f>IFERROR(__xludf.DUMMYFUNCTION("GOOGLETRANSLATE(B1652,""id"",""en"")"),"['Please', 'fix', 'network', 'buy', 'package', 'network', 'according to', 'network', 'Telkomsel', 'taeik']")</f>
        <v>['Please', 'fix', 'network', 'buy', 'package', 'network', 'according to', 'network', 'Telkomsel', 'taeik']</v>
      </c>
      <c r="D1652" s="3">
        <v>1.0</v>
      </c>
    </row>
    <row r="1653" ht="15.75" customHeight="1">
      <c r="A1653" s="1">
        <v>1651.0</v>
      </c>
      <c r="B1653" s="3" t="s">
        <v>1653</v>
      </c>
      <c r="C1653" s="3" t="str">
        <f>IFERROR(__xludf.DUMMYFUNCTION("GOOGLETRANSLATE(B1653,""id"",""en"")"),"['migration', 'card', 'Hello', 'claim', 'gift', 'daily', 'check', 'balance', 'pulse', 'cut', 'claim', 'gift', ' ']")</f>
        <v>['migration', 'card', 'Hello', 'claim', 'gift', 'daily', 'check', 'balance', 'pulse', 'cut', 'claim', 'gift', ' ']</v>
      </c>
      <c r="D1653" s="3">
        <v>3.0</v>
      </c>
    </row>
    <row r="1654" ht="15.75" customHeight="1">
      <c r="A1654" s="1">
        <v>1652.0</v>
      </c>
      <c r="B1654" s="3" t="s">
        <v>1654</v>
      </c>
      <c r="C1654" s="3" t="str">
        <f>IFERROR(__xludf.DUMMYFUNCTION("GOOGLETRANSLATE(B1654,""id"",""en"")"),"['Good', 'really', 'knapa', 'see', 'already', 'tail', 'good']")</f>
        <v>['Good', 'really', 'knapa', 'see', 'already', 'tail', 'good']</v>
      </c>
      <c r="D1654" s="3">
        <v>5.0</v>
      </c>
    </row>
    <row r="1655" ht="15.75" customHeight="1">
      <c r="A1655" s="1">
        <v>1653.0</v>
      </c>
      <c r="B1655" s="3" t="s">
        <v>1655</v>
      </c>
      <c r="C1655" s="3" t="str">
        <f>IFERROR(__xludf.DUMMYFUNCTION("GOOGLETRANSLATE(B1655,""id"",""en"")"),"['Telkomsel', 'best', 'quality', 'signal', 'easy', 'buy', 'package', 'most importantly', 'price', 'populat', 'thank you']")</f>
        <v>['Telkomsel', 'best', 'quality', 'signal', 'easy', 'buy', 'package', 'most importantly', 'price', 'populat', 'thank you']</v>
      </c>
      <c r="D1655" s="3">
        <v>4.0</v>
      </c>
    </row>
    <row r="1656" ht="15.75" customHeight="1">
      <c r="A1656" s="1">
        <v>1654.0</v>
      </c>
      <c r="B1656" s="3" t="s">
        <v>1656</v>
      </c>
      <c r="C1656" s="3" t="str">
        <f>IFERROR(__xludf.DUMMYFUNCTION("GOOGLETRANSLATE(B1656,""id"",""en"")"),"['Nipu', 'contents',' pulse ',' package ',' promo ',' contents', 'package', 'ngilano', 'jancooooo', 'datr', 'contaha', 'sok', ' NGASI ',' NGAI ',' Package ',' murahh ',' Ujung ',' Nipuuu ',' Looo ',' Maap ',' Asyuuu ',' Basiiiiii ']")</f>
        <v>['Nipu', 'contents',' pulse ',' package ',' promo ',' contents', 'package', 'ngilano', 'jancooooo', 'datr', 'contaha', 'sok', ' NGASI ',' NGAI ',' Package ',' murahh ',' Ujung ',' Nipuuu ',' Looo ',' Maap ',' Asyuuu ',' Basiiiiii ']</v>
      </c>
      <c r="D1656" s="3">
        <v>1.0</v>
      </c>
    </row>
    <row r="1657" ht="15.75" customHeight="1">
      <c r="A1657" s="1">
        <v>1655.0</v>
      </c>
      <c r="B1657" s="3" t="s">
        <v>1657</v>
      </c>
      <c r="C1657" s="3" t="str">
        <f>IFERROR(__xludf.DUMMYFUNCTION("GOOGLETRANSLATE(B1657,""id"",""en"")"),"['skarang', 'Telkomsel', 'slow', 'really', 'replace', 'card', 'fill in', 'pulse', 'chick', 'Telkomsel', 'ugly', 'really', ' ']")</f>
        <v>['skarang', 'Telkomsel', 'slow', 'really', 'replace', 'card', 'fill in', 'pulse', 'chick', 'Telkomsel', 'ugly', 'really', ' ']</v>
      </c>
      <c r="D1657" s="3">
        <v>1.0</v>
      </c>
    </row>
    <row r="1658" ht="15.75" customHeight="1">
      <c r="A1658" s="1">
        <v>1656.0</v>
      </c>
      <c r="B1658" s="3" t="s">
        <v>1658</v>
      </c>
      <c r="C1658" s="3" t="str">
        <f>IFERROR(__xludf.DUMMYFUNCTION("GOOGLETRANSLATE(B1658,""id"",""en"")"),"['Activate', 'Package', 'Tel', 'Week', 'Credit', 'Tetep', 'Cut', 'Used', 'Nelp', 'Quota', 'Telepony', 'Change', ' Buy ',' Package ',' Tel ',' Tetep ',' MOTH ',' Credit ',' Quota ',' Tel ',' Reduced ']")</f>
        <v>['Activate', 'Package', 'Tel', 'Week', 'Credit', 'Tetep', 'Cut', 'Used', 'Nelp', 'Quota', 'Telepony', 'Change', ' Buy ',' Package ',' Tel ',' Tetep ',' MOTH ',' Credit ',' Quota ',' Tel ',' Reduced ']</v>
      </c>
      <c r="D1658" s="3">
        <v>1.0</v>
      </c>
    </row>
    <row r="1659" ht="15.75" customHeight="1">
      <c r="A1659" s="1">
        <v>1657.0</v>
      </c>
      <c r="B1659" s="3" t="s">
        <v>1659</v>
      </c>
      <c r="C1659" s="3" t="str">
        <f>IFERROR(__xludf.DUMMYFUNCTION("GOOGLETRANSLATE(B1659,""id"",""en"")"),"['The application', 'good', 'steady', 'like', 'lottery', 'promo', 'package', 'cheapest', 'thanks', 'Telkomsel', ""]")</f>
        <v>['The application', 'good', 'steady', 'like', 'lottery', 'promo', 'package', 'cheapest', 'thanks', 'Telkomsel', "]</v>
      </c>
      <c r="D1659" s="3">
        <v>5.0</v>
      </c>
    </row>
    <row r="1660" ht="15.75" customHeight="1">
      <c r="A1660" s="1">
        <v>1658.0</v>
      </c>
      <c r="B1660" s="3" t="s">
        <v>1660</v>
      </c>
      <c r="C1660" s="3" t="str">
        <f>IFERROR(__xludf.DUMMYFUNCTION("GOOGLETRANSLATE(B1660,""id"",""en"")"),"['fast', 'easy', 'purchase', 'data', 'check', 'quota', 'quota', 'promo', 'access',' network ',' sometimes', 'like', ' disconnected ',' Loading ']")</f>
        <v>['fast', 'easy', 'purchase', 'data', 'check', 'quota', 'quota', 'promo', 'access',' network ',' sometimes', 'like', ' disconnected ',' Loading ']</v>
      </c>
      <c r="D1660" s="3">
        <v>5.0</v>
      </c>
    </row>
    <row r="1661" ht="15.75" customHeight="1">
      <c r="A1661" s="1">
        <v>1659.0</v>
      </c>
      <c r="B1661" s="3" t="s">
        <v>1661</v>
      </c>
      <c r="C1661" s="3" t="str">
        <f>IFERROR(__xludf.DUMMYFUNCTION("GOOGLETRANSLATE(B1661,""id"",""en"")"),"['Package', 'multimedia', 'use', 'package', 'internet', 'reduced', 'please', 'confirm']")</f>
        <v>['Package', 'multimedia', 'use', 'package', 'internet', 'reduced', 'please', 'confirm']</v>
      </c>
      <c r="D1661" s="3">
        <v>2.0</v>
      </c>
    </row>
    <row r="1662" ht="15.75" customHeight="1">
      <c r="A1662" s="1">
        <v>1660.0</v>
      </c>
      <c r="B1662" s="3" t="s">
        <v>1662</v>
      </c>
      <c r="C1662" s="3" t="str">
        <f>IFERROR(__xludf.DUMMYFUNCTION("GOOGLETRANSLATE(B1662,""id"",""en"")"),"['Good', 'lottery', 'please', 'love', 'gift', 'car']")</f>
        <v>['Good', 'lottery', 'please', 'love', 'gift', 'car']</v>
      </c>
      <c r="D1662" s="3">
        <v>5.0</v>
      </c>
    </row>
    <row r="1663" ht="15.75" customHeight="1">
      <c r="A1663" s="1">
        <v>1661.0</v>
      </c>
      <c r="B1663" s="3" t="s">
        <v>1663</v>
      </c>
      <c r="C1663" s="3" t="str">
        <f>IFERROR(__xludf.DUMMYFUNCTION("GOOGLETRANSLATE(B1663,""id"",""en"")"),"['Simple', 'comfortable', 'buy', 'quota', 'dying', 'hopefully', 'success',' Telkomsel ',' enthusiasm ',' Come ',' Hurry ',' Try ',' Free ',' Download ',' do ',' as you like ', ""]")</f>
        <v>['Simple', 'comfortable', 'buy', 'quota', 'dying', 'hopefully', 'success',' Telkomsel ',' enthusiasm ',' Come ',' Hurry ',' Try ',' Free ',' Download ',' do ',' as you like ', "]</v>
      </c>
      <c r="D1663" s="3">
        <v>5.0</v>
      </c>
    </row>
    <row r="1664" ht="15.75" customHeight="1">
      <c r="A1664" s="1">
        <v>1662.0</v>
      </c>
      <c r="B1664" s="3" t="s">
        <v>1664</v>
      </c>
      <c r="C1664" s="3" t="str">
        <f>IFERROR(__xludf.DUMMYFUNCTION("GOOGLETRANSLATE(B1664,""id"",""en"")"),"['Severe', 'Telkomsel', 'annoying', 'play', 'game', 'satisfying', 'users', 'cellular', ""]")</f>
        <v>['Severe', 'Telkomsel', 'annoying', 'play', 'game', 'satisfying', 'users', 'cellular', "]</v>
      </c>
      <c r="D1664" s="3">
        <v>1.0</v>
      </c>
    </row>
    <row r="1665" ht="15.75" customHeight="1">
      <c r="A1665" s="1">
        <v>1663.0</v>
      </c>
      <c r="B1665" s="3" t="s">
        <v>1665</v>
      </c>
      <c r="C1665" s="3" t="str">
        <f>IFERROR(__xludf.DUMMYFUNCTION("GOOGLETRANSLATE(B1665,""id"",""en"")"),"['', 'Telkomsel', 'easy', 'purchase', 'package', 'package', 'telephone', 'internet', 'smga', 'telkomsel', 'triumpha', 'provides',' package ',' Cheap ',' Telkomsel ',' people ',' poor ',' kayak ',' ']")</f>
        <v>['', 'Telkomsel', 'easy', 'purchase', 'package', 'package', 'telephone', 'internet', 'smga', 'telkomsel', 'triumpha', 'provides',' package ',' Cheap ',' Telkomsel ',' people ',' poor ',' kayak ',' ']</v>
      </c>
      <c r="D1665" s="3">
        <v>5.0</v>
      </c>
    </row>
    <row r="1666" ht="15.75" customHeight="1">
      <c r="A1666" s="1">
        <v>1664.0</v>
      </c>
      <c r="B1666" s="3" t="s">
        <v>1666</v>
      </c>
      <c r="C1666" s="3" t="str">
        <f>IFERROR(__xludf.DUMMYFUNCTION("GOOGLETRANSLATE(B1666,""id"",""en"")"),"['', 'Telkomsel', 'pulse', 'thousand', 'so', 'list', 'package', 'thousand', 'all', 'thousand', 'kemanain', 'fail', 'buy ',' quota ',' wanted ',' open ',' APL ',' MyTelkomsel ',' Doang ',' ilang ',' thousand ',' please ',' check ',' customer ',' disappoint"&amp;"ed ', '']")</f>
        <v>['', 'Telkomsel', 'pulse', 'thousand', 'so', 'list', 'package', 'thousand', 'all', 'thousand', 'kemanain', 'fail', 'buy ',' quota ',' wanted ',' open ',' APL ',' MyTelkomsel ',' Doang ',' ilang ',' thousand ',' please ',' check ',' customer ',' disappointed ', '']</v>
      </c>
      <c r="D1666" s="3">
        <v>3.0</v>
      </c>
    </row>
    <row r="1667" ht="15.75" customHeight="1">
      <c r="A1667" s="1">
        <v>1665.0</v>
      </c>
      <c r="B1667" s="3" t="s">
        <v>1667</v>
      </c>
      <c r="C1667" s="3" t="str">
        <f>IFERROR(__xludf.DUMMYFUNCTION("GOOGLETRANSLATE(B1667,""id"",""en"")"),"['Telkomsel', 'signal', 'slow', 'SERES', 'Fix', 'Network', 'Internet', 'quota', 'buy', 'melatisan']")</f>
        <v>['Telkomsel', 'signal', 'slow', 'SERES', 'Fix', 'Network', 'Internet', 'quota', 'buy', 'melatisan']</v>
      </c>
      <c r="D1667" s="3">
        <v>1.0</v>
      </c>
    </row>
    <row r="1668" ht="15.75" customHeight="1">
      <c r="A1668" s="1">
        <v>1666.0</v>
      </c>
      <c r="B1668" s="3" t="s">
        <v>1668</v>
      </c>
      <c r="C1668" s="3" t="str">
        <f>IFERROR(__xludf.DUMMYFUNCTION("GOOGLETRANSLATE(B1668,""id"",""en"")"),"['Telkomsel', 'Severe', 'Ngaco', 'Telkomsel', 'Gamau', 'Raying', 'here', 'Severe', 'Severe']")</f>
        <v>['Telkomsel', 'Severe', 'Ngaco', 'Telkomsel', 'Gamau', 'Raying', 'here', 'Severe', 'Severe']</v>
      </c>
      <c r="D1668" s="3">
        <v>1.0</v>
      </c>
    </row>
    <row r="1669" ht="15.75" customHeight="1">
      <c r="A1669" s="1">
        <v>1667.0</v>
      </c>
      <c r="B1669" s="3" t="s">
        <v>1669</v>
      </c>
      <c r="C1669" s="3" t="str">
        <f>IFERROR(__xludf.DUMMYFUNCTION("GOOGLETRANSLATE(B1669,""id"",""en"")"),"['Paketan', 'expensive', 'signal', 'network', 'error', 'patient', 'Telkomsel', 'Teri', 'thanks', 'mnemani']")</f>
        <v>['Paketan', 'expensive', 'signal', 'network', 'error', 'patient', 'Telkomsel', 'Teri', 'thanks', 'mnemani']</v>
      </c>
      <c r="D1669" s="3">
        <v>1.0</v>
      </c>
    </row>
    <row r="1670" ht="15.75" customHeight="1">
      <c r="A1670" s="1">
        <v>1668.0</v>
      </c>
      <c r="B1670" s="3" t="s">
        <v>1670</v>
      </c>
      <c r="C1670" s="3" t="str">
        <f>IFERROR(__xludf.DUMMYFUNCTION("GOOGLETRANSLATE(B1670,""id"",""en"")"),"['Signal', 'Telkomsel', 'Jelkk', '']")</f>
        <v>['Signal', 'Telkomsel', 'Jelkk', '']</v>
      </c>
      <c r="D1670" s="3">
        <v>1.0</v>
      </c>
    </row>
    <row r="1671" ht="15.75" customHeight="1">
      <c r="A1671" s="1">
        <v>1669.0</v>
      </c>
      <c r="B1671" s="3" t="s">
        <v>1671</v>
      </c>
      <c r="C1671" s="3" t="str">
        <f>IFERROR(__xludf.DUMMYFUNCTION("GOOGLETRANSLATE(B1671,""id"",""en"")"),"['here', 'ugly', 'oath', 'napa', 'ugly', 'bangat', 'network', 'difficult', 'take', 'work', 'plus',' connoisseurs', ' YouTube ',' Disappointed ',' Come ',' Telkomsel ',' Turns', 'Network', 'Download', 'Network', 'Nyampe', 'Mbs',' Down ', ""]")</f>
        <v>['here', 'ugly', 'oath', 'napa', 'ugly', 'bangat', 'network', 'difficult', 'take', 'work', 'plus',' connoisseurs', ' YouTube ',' Disappointed ',' Come ',' Telkomsel ',' Turns', 'Network', 'Download', 'Network', 'Nyampe', 'Mbs',' Down ', "]</v>
      </c>
      <c r="D1671" s="3">
        <v>1.0</v>
      </c>
    </row>
    <row r="1672" ht="15.75" customHeight="1">
      <c r="A1672" s="1">
        <v>1670.0</v>
      </c>
      <c r="B1672" s="3" t="s">
        <v>1672</v>
      </c>
      <c r="C1672" s="3" t="str">
        <f>IFERROR(__xludf.DUMMYFUNCTION("GOOGLETRANSLATE(B1672,""id"",""en"")"),"['Sometimes',' mood ',' add ',' karuan ',' at the same time ',' quota ',' main ',' GB ',' access', 'multimedia', 'out', 'quota', ' Multimedia ',' whole ',' that's', 'website', 'difficult', 'opened', 'Telkomsel', 'access',' multimedia ',' quota ',' main ',"&amp;"' you ',' reduce ' ]")</f>
        <v>['Sometimes',' mood ',' add ',' karuan ',' at the same time ',' quota ',' main ',' GB ',' access', 'multimedia', 'out', 'quota', ' Multimedia ',' whole ',' that's', 'website', 'difficult', 'opened', 'Telkomsel', 'access',' multimedia ',' quota ',' main ',' you ',' reduce ' ]</v>
      </c>
      <c r="D1672" s="3">
        <v>5.0</v>
      </c>
    </row>
    <row r="1673" ht="15.75" customHeight="1">
      <c r="A1673" s="1">
        <v>1671.0</v>
      </c>
      <c r="B1673" s="3" t="s">
        <v>1673</v>
      </c>
      <c r="C1673" s="3" t="str">
        <f>IFERROR(__xludf.DUMMYFUNCTION("GOOGLETRANSLATE(B1673,""id"",""en"")"),"['signal', 'ugly', 'really', 'already', 'really', 'disorder', 'Telkomsel', 'lose', 'provider', 'bagan', 'signal', 'download', ' Data ',' MB ',' spend ',' clock ',' ilang ',' signal ']")</f>
        <v>['signal', 'ugly', 'really', 'already', 'really', 'disorder', 'Telkomsel', 'lose', 'provider', 'bagan', 'signal', 'download', ' Data ',' MB ',' spend ',' clock ',' ilang ',' signal ']</v>
      </c>
      <c r="D1673" s="3">
        <v>1.0</v>
      </c>
    </row>
    <row r="1674" ht="15.75" customHeight="1">
      <c r="A1674" s="1">
        <v>1672.0</v>
      </c>
      <c r="B1674" s="3" t="s">
        <v>1674</v>
      </c>
      <c r="C1674" s="3" t="str">
        <f>IFERROR(__xludf.DUMMYFUNCTION("GOOGLETRANSLATE(B1674,""id"",""en"")"),"['Please', 'Fix', 'Network', 'Network', 'ugly', 'Hello', 'Customer', 'Already', 'Good', 'Add', 'Threat']")</f>
        <v>['Please', 'Fix', 'Network', 'Network', 'ugly', 'Hello', 'Customer', 'Already', 'Good', 'Add', 'Threat']</v>
      </c>
      <c r="D1674" s="3">
        <v>1.0</v>
      </c>
    </row>
    <row r="1675" ht="15.75" customHeight="1">
      <c r="A1675" s="1">
        <v>1673.0</v>
      </c>
      <c r="B1675" s="3" t="s">
        <v>1675</v>
      </c>
      <c r="C1675" s="3" t="str">
        <f>IFERROR(__xludf.DUMMYFUNCTION("GOOGLETRANSLATE(B1675,""id"",""en"")"),"['subscription', 'card', 'NGS', 'already', 'slow', 'package', 'expensive', 'ngs',' emang ',' contents', 'pulse', 'gada', ' Special ',' special ',' ']")</f>
        <v>['subscription', 'card', 'NGS', 'already', 'slow', 'package', 'expensive', 'ngs',' emang ',' contents', 'pulse', 'gada', ' Special ',' special ',' ']</v>
      </c>
      <c r="D1675" s="3">
        <v>3.0</v>
      </c>
    </row>
    <row r="1676" ht="15.75" customHeight="1">
      <c r="A1676" s="1">
        <v>1674.0</v>
      </c>
      <c r="B1676" s="3" t="s">
        <v>1676</v>
      </c>
      <c r="C1676" s="3" t="str">
        <f>IFERROR(__xludf.DUMMYFUNCTION("GOOGLETRANSLATE(B1676,""id"",""en"")"),"['signal', 'good', 'internet', 'bad', 'open', 'youtube', 'difficult', 'really', 'banyar', 'expensive', 'quality', 'disappointing']")</f>
        <v>['signal', 'good', 'internet', 'bad', 'open', 'youtube', 'difficult', 'really', 'banyar', 'expensive', 'quality', 'disappointing']</v>
      </c>
      <c r="D1676" s="3">
        <v>1.0</v>
      </c>
    </row>
    <row r="1677" ht="15.75" customHeight="1">
      <c r="A1677" s="1">
        <v>1675.0</v>
      </c>
      <c r="B1677" s="3" t="s">
        <v>1677</v>
      </c>
      <c r="C1677" s="3" t="str">
        <f>IFERROR(__xludf.DUMMYFUNCTION("GOOGLETRANSLATE(B1677,""id"",""en"")"),"['min', 'how', 'signal', 'Telkomsel', 'ugly', 'bangett', 'severe', 'quota', 'doang', 'doang', 'expensive', 'signal', ' Benerrr ',' ']")</f>
        <v>['min', 'how', 'signal', 'Telkomsel', 'ugly', 'bangett', 'severe', 'quota', 'doang', 'doang', 'expensive', 'signal', ' Benerrr ',' ']</v>
      </c>
      <c r="D1677" s="3">
        <v>1.0</v>
      </c>
    </row>
    <row r="1678" ht="15.75" customHeight="1">
      <c r="A1678" s="1">
        <v>1676.0</v>
      </c>
      <c r="B1678" s="3" t="s">
        <v>1678</v>
      </c>
      <c r="C1678" s="3" t="str">
        <f>IFERROR(__xludf.DUMMYFUNCTION("GOOGLETRANSLATE(B1678,""id"",""en"")"),"['users',' Telkomsel ',' DLU ',' Times', 'Bener', 'Bener', 'Disappointed', 'Telkomsel', 'Network', 'Network', 'fix', 'make sure', ' Providers', 'bad', '']")</f>
        <v>['users',' Telkomsel ',' DLU ',' Times', 'Bener', 'Bener', 'Disappointed', 'Telkomsel', 'Network', 'Network', 'fix', 'make sure', ' Providers', 'bad', '']</v>
      </c>
      <c r="D1678" s="3">
        <v>1.0</v>
      </c>
    </row>
    <row r="1679" ht="15.75" customHeight="1">
      <c r="A1679" s="1">
        <v>1677.0</v>
      </c>
      <c r="B1679" s="3" t="s">
        <v>1679</v>
      </c>
      <c r="C1679" s="3" t="str">
        <f>IFERROR(__xludf.DUMMYFUNCTION("GOOGLETRANSLATE(B1679,""id"",""en"")"),"['Please', 'signal', 'fast', 'kyk', 'dlu', 'lgi', 'dlu', 'signal', 'satisfying', 'tpi', 'skrng', 'lgi', ' Please, 'Jga', 'Add', 'Features', 'Locking', 'Credit', 'Kyk', 'AXIS', 'NET', 'Credit', 'Sumpot', 'LGI', ""]")</f>
        <v>['Please', 'signal', 'fast', 'kyk', 'dlu', 'lgi', 'dlu', 'signal', 'satisfying', 'tpi', 'skrng', 'lgi', ' Please, 'Jga', 'Add', 'Features', 'Locking', 'Credit', 'Kyk', 'AXIS', 'NET', 'Credit', 'Sumpot', 'LGI', "]</v>
      </c>
      <c r="D1679" s="3">
        <v>3.0</v>
      </c>
    </row>
    <row r="1680" ht="15.75" customHeight="1">
      <c r="A1680" s="1">
        <v>1678.0</v>
      </c>
      <c r="B1680" s="3" t="s">
        <v>1680</v>
      </c>
      <c r="C1680" s="3" t="str">
        <f>IFERROR(__xludf.DUMMYFUNCTION("GOOGLETRANSLATE(B1680,""id"",""en"")"),"['Lahh', 'Telkomsel', 'ugly', 'disappointed', 'Mending', 'Change', 'card', 'skrg', 'suggest', 'Telkomsel', 'Mending', 'replace', ' signal ',' its network ',' ugly ',' really ',' segini ',' VPN ',' try ',' VPN ',' internet ']")</f>
        <v>['Lahh', 'Telkomsel', 'ugly', 'disappointed', 'Mending', 'Change', 'card', 'skrg', 'suggest', 'Telkomsel', 'Mending', 'replace', ' signal ',' its network ',' ugly ',' really ',' segini ',' VPN ',' try ',' VPN ',' internet ']</v>
      </c>
      <c r="D1680" s="3">
        <v>1.0</v>
      </c>
    </row>
    <row r="1681" ht="15.75" customHeight="1">
      <c r="A1681" s="1">
        <v>1679.0</v>
      </c>
      <c r="B1681" s="3" t="s">
        <v>1681</v>
      </c>
      <c r="C1681" s="3" t="str">
        <f>IFERROR(__xludf.DUMMYFUNCTION("GOOGLETRANSLATE(B1681,""id"",""en"")"),"['Please', 'Fix', 'Network', 'Boss', 'Expensive', 'Buy', 'Package', 'Network', 'Disappointed', 'Bad']")</f>
        <v>['Please', 'Fix', 'Network', 'Boss', 'Expensive', 'Buy', 'Package', 'Network', 'Disappointed', 'Bad']</v>
      </c>
      <c r="D1681" s="3">
        <v>1.0</v>
      </c>
    </row>
    <row r="1682" ht="15.75" customHeight="1">
      <c r="A1682" s="1">
        <v>1680.0</v>
      </c>
      <c r="B1682" s="3" t="s">
        <v>1682</v>
      </c>
      <c r="C1682" s="3" t="str">
        <f>IFERROR(__xludf.DUMMYFUNCTION("GOOGLETRANSLATE(B1682,""id"",""en"")"),"['disappointed', 'malem', 'direct', 'game', 'buy', 'expensive', 'expensive', 'rb', 'a month', 'service', 'kek', 'gini', ' Yuk ',' BUMN ',' CUCHED ',' ']")</f>
        <v>['disappointed', 'malem', 'direct', 'game', 'buy', 'expensive', 'expensive', 'rb', 'a month', 'service', 'kek', 'gini', ' Yuk ',' BUMN ',' CUCHED ',' ']</v>
      </c>
      <c r="D1682" s="3">
        <v>1.0</v>
      </c>
    </row>
    <row r="1683" ht="15.75" customHeight="1">
      <c r="A1683" s="1">
        <v>1681.0</v>
      </c>
      <c r="B1683" s="3" t="s">
        <v>1683</v>
      </c>
      <c r="C1683" s="3" t="str">
        <f>IFERROR(__xludf.DUMMYFUNCTION("GOOGLETRANSLATE(B1683,""id"",""en"")"),"['here', 'network', 'Telkomsel', 'difficult', 'please', 'improve', 'go up', 'star']")</f>
        <v>['here', 'network', 'Telkomsel', 'difficult', 'please', 'improve', 'go up', 'star']</v>
      </c>
      <c r="D1683" s="3">
        <v>1.0</v>
      </c>
    </row>
    <row r="1684" ht="15.75" customHeight="1">
      <c r="A1684" s="1">
        <v>1682.0</v>
      </c>
      <c r="B1684" s="3" t="s">
        <v>1684</v>
      </c>
      <c r="C1684" s="3" t="str">
        <f>IFERROR(__xludf.DUMMYFUNCTION("GOOGLETRANSLATE(B1684,""id"",""en"")"),"['Telkomsel', 'network', 'slow', 'disorder', 'Please', 'fix', 'server', 'customer', 'disappointing', 'signal', 'ugly', 'user', ' Faithful ',' blur ',' ']")</f>
        <v>['Telkomsel', 'network', 'slow', 'disorder', 'Please', 'fix', 'server', 'customer', 'disappointing', 'signal', 'ugly', 'user', ' Faithful ',' blur ',' ']</v>
      </c>
      <c r="D1684" s="3">
        <v>5.0</v>
      </c>
    </row>
    <row r="1685" ht="15.75" customHeight="1">
      <c r="A1685" s="1">
        <v>1683.0</v>
      </c>
      <c r="B1685" s="3" t="s">
        <v>1685</v>
      </c>
      <c r="C1685" s="3" t="str">
        <f>IFERROR(__xludf.DUMMYFUNCTION("GOOGLETRANSLATE(B1685,""id"",""en"")"),"['woi', 'signal', 'how', 'price', 'quota', 'expensive', 'network', 'lag', 'broke', 'woi', 'cave', 'calm', ' use ',' Telkomsel ',' move ',' network ',' next door ',' please ',' fast ',' fix ',' signal ', ""]")</f>
        <v>['woi', 'signal', 'how', 'price', 'quota', 'expensive', 'network', 'lag', 'broke', 'woi', 'cave', 'calm', ' use ',' Telkomsel ',' move ',' network ',' next door ',' please ',' fast ',' fix ',' signal ', "]</v>
      </c>
      <c r="D1685" s="3">
        <v>1.0</v>
      </c>
    </row>
    <row r="1686" ht="15.75" customHeight="1">
      <c r="A1686" s="1">
        <v>1684.0</v>
      </c>
      <c r="B1686" s="3" t="s">
        <v>1686</v>
      </c>
      <c r="C1686" s="3" t="str">
        <f>IFERROR(__xludf.DUMMYFUNCTION("GOOGLETRANSLATE(B1686,""id"",""en"")"),"['Hadeuuuh', 'skrng', 'slow', 'input', 'failed', '']")</f>
        <v>['Hadeuuuh', 'skrng', 'slow', 'input', 'failed', '']</v>
      </c>
      <c r="D1686" s="3">
        <v>2.0</v>
      </c>
    </row>
    <row r="1687" ht="15.75" customHeight="1">
      <c r="A1687" s="1">
        <v>1685.0</v>
      </c>
      <c r="B1687" s="3" t="s">
        <v>1687</v>
      </c>
      <c r="C1687" s="3" t="str">
        <f>IFERROR(__xludf.DUMMYFUNCTION("GOOGLETRANSLATE(B1687,""id"",""en"")"),"['Telkomsel', 'Ta', 'City', 'Maxstrem', 'Nga', 'She', 'Suck', 'City', 'Internet', 'Credit', 'Suck', 'Eat', ' Money ',' People ',' Kelai ',' Nipu ',' Corruptor ',' ing ', ""]")</f>
        <v>['Telkomsel', 'Ta', 'City', 'Maxstrem', 'Nga', 'She', 'Suck', 'City', 'Internet', 'Credit', 'Suck', 'Eat', ' Money ',' People ',' Kelai ',' Nipu ',' Corruptor ',' ing ', "]</v>
      </c>
      <c r="D1687" s="3">
        <v>1.0</v>
      </c>
    </row>
    <row r="1688" ht="15.75" customHeight="1">
      <c r="A1688" s="1">
        <v>1686.0</v>
      </c>
      <c r="B1688" s="3" t="s">
        <v>1688</v>
      </c>
      <c r="C1688" s="3" t="str">
        <f>IFERROR(__xludf.DUMMYFUNCTION("GOOGLETRANSLATE(B1688,""id"",""en"")"),"['ugly', 'Telkomsel', 'Castamer', 'buy', 'package', 'money', 'stone', 'coral', 'please', 'fix', 'detrimental', 'next door', ' Kalou ',' Customer ']")</f>
        <v>['ugly', 'Telkomsel', 'Castamer', 'buy', 'package', 'money', 'stone', 'coral', 'please', 'fix', 'detrimental', 'next door', ' Kalou ',' Customer ']</v>
      </c>
      <c r="D1688" s="3">
        <v>1.0</v>
      </c>
    </row>
    <row r="1689" ht="15.75" customHeight="1">
      <c r="A1689" s="1">
        <v>1687.0</v>
      </c>
      <c r="B1689" s="3" t="s">
        <v>1689</v>
      </c>
      <c r="C1689" s="3" t="str">
        <f>IFERROR(__xludf.DUMMYFUNCTION("GOOGLETRANSLATE(B1689,""id"",""en"")"),"['signal', 'ugly', 'region', 'Kalimantan', 'West', 'quota', 'expensive', 'for him', 'unlimitite', 'mostly', 'ngelag', 'use', ' SIM ',' CART ',' Mr. ',' Gini ',' Move ',' Im ',' ']")</f>
        <v>['signal', 'ugly', 'region', 'Kalimantan', 'West', 'quota', 'expensive', 'for him', 'unlimitite', 'mostly', 'ngelag', 'use', ' SIM ',' CART ',' Mr. ',' Gini ',' Move ',' Im ',' ']</v>
      </c>
      <c r="D1689" s="3">
        <v>1.0</v>
      </c>
    </row>
    <row r="1690" ht="15.75" customHeight="1">
      <c r="A1690" s="1">
        <v>1688.0</v>
      </c>
      <c r="B1690" s="3" t="s">
        <v>1690</v>
      </c>
      <c r="C1690" s="3" t="str">
        <f>IFERROR(__xludf.DUMMYFUNCTION("GOOGLETRANSLATE(B1690,""id"",""en"")"),"['Please', 'Telkom', 'UDH', 'Telkom', 'Skrang', 'Rich', 'Gini', 'Signal', 'Game', 'Signal', 'Down', 'Mhon', ' response', '']")</f>
        <v>['Please', 'Telkom', 'UDH', 'Telkom', 'Skrang', 'Rich', 'Gini', 'Signal', 'Game', 'Signal', 'Down', 'Mhon', ' response', '']</v>
      </c>
      <c r="D1690" s="3">
        <v>1.0</v>
      </c>
    </row>
    <row r="1691" ht="15.75" customHeight="1">
      <c r="A1691" s="1">
        <v>1689.0</v>
      </c>
      <c r="B1691" s="3" t="s">
        <v>1691</v>
      </c>
      <c r="C1691" s="3" t="str">
        <f>IFERROR(__xludf.DUMMYFUNCTION("GOOGLETRANSLATE(B1691,""id"",""en"")"),"['System', 'Error', 'Kouta', 'Paketan', 'Kmrin', 'Fill', 'Buy', 'Paketan', 'Remnant', 'Credit', 'Taunya', 'Lost', ' Where ',' users', 'card', 'Telkomsel', 'Kayak', 'Gini', 'Disappointed']")</f>
        <v>['System', 'Error', 'Kouta', 'Paketan', 'Kmrin', 'Fill', 'Buy', 'Paketan', 'Remnant', 'Credit', 'Taunya', 'Lost', ' Where ',' users', 'card', 'Telkomsel', 'Kayak', 'Gini', 'Disappointed']</v>
      </c>
      <c r="D1691" s="3">
        <v>1.0</v>
      </c>
    </row>
    <row r="1692" ht="15.75" customHeight="1">
      <c r="A1692" s="1">
        <v>1690.0</v>
      </c>
      <c r="B1692" s="3" t="s">
        <v>1692</v>
      </c>
      <c r="C1692" s="3" t="str">
        <f>IFERROR(__xludf.DUMMYFUNCTION("GOOGLETRANSLATE(B1692,""id"",""en"")"),"['Steady', 'The network', 'Season', 'waiting', 'please', 'Conducts', 'Network', 'Telkomsel', 'buy', 'pay', 'love']")</f>
        <v>['Steady', 'The network', 'Season', 'waiting', 'please', 'Conducts', 'Network', 'Telkomsel', 'buy', 'pay', 'love']</v>
      </c>
      <c r="D1692" s="3">
        <v>1.0</v>
      </c>
    </row>
    <row r="1693" ht="15.75" customHeight="1">
      <c r="A1693" s="1">
        <v>1691.0</v>
      </c>
      <c r="B1693" s="3" t="s">
        <v>1693</v>
      </c>
      <c r="C1693" s="3" t="str">
        <f>IFERROR(__xludf.DUMMYFUNCTION("GOOGLETRANSLATE(B1693,""id"",""en"")"),"['Since', 'Region', 'Remote', 'Jumping', 'Jumping', 'Lost', 'Please', 'Help', 'Restore', 'Believe', 'Consumer']")</f>
        <v>['Since', 'Region', 'Remote', 'Jumping', 'Jumping', 'Lost', 'Please', 'Help', 'Restore', 'Believe', 'Consumer']</v>
      </c>
      <c r="D1693" s="3">
        <v>2.0</v>
      </c>
    </row>
    <row r="1694" ht="15.75" customHeight="1">
      <c r="A1694" s="1">
        <v>1692.0</v>
      </c>
      <c r="B1694" s="3" t="s">
        <v>1694</v>
      </c>
      <c r="C1694" s="3" t="str">
        <f>IFERROR(__xludf.DUMMYFUNCTION("GOOGLETRANSLATE(B1694,""id"",""en"")"),"['Telkomsel', 'signal', 'slow', 'severe', 'buy', 'package', 'internet', 'expensive', 'expensive', 'try', 'pulse', 'suck', ' Mulu ',' open ',' application ',' just ',' disappointed ',' internet ']")</f>
        <v>['Telkomsel', 'signal', 'slow', 'severe', 'buy', 'package', 'internet', 'expensive', 'expensive', 'try', 'pulse', 'suck', ' Mulu ',' open ',' application ',' just ',' disappointed ',' internet ']</v>
      </c>
      <c r="D1694" s="3">
        <v>1.0</v>
      </c>
    </row>
    <row r="1695" ht="15.75" customHeight="1">
      <c r="A1695" s="1">
        <v>1693.0</v>
      </c>
      <c r="B1695" s="3" t="s">
        <v>1695</v>
      </c>
      <c r="C1695" s="3" t="str">
        <f>IFERROR(__xludf.DUMMYFUNCTION("GOOGLETRANSLATE(B1695,""id"",""en"")"),"['Sorry', 'Signal', 'Telkomsel', 'Disruption', 'Customer', 'Setia']")</f>
        <v>['Sorry', 'Signal', 'Telkomsel', 'Disruption', 'Customer', 'Setia']</v>
      </c>
      <c r="D1695" s="3">
        <v>2.0</v>
      </c>
    </row>
    <row r="1696" ht="15.75" customHeight="1">
      <c r="A1696" s="1">
        <v>1694.0</v>
      </c>
      <c r="B1696" s="3" t="s">
        <v>1696</v>
      </c>
      <c r="C1696" s="3" t="str">
        <f>IFERROR(__xludf.DUMMYFUNCTION("GOOGLETRANSLATE(B1696,""id"",""en"")"),"['class',' Telkomsel ',' complete ',' solution ',' internet ',' smooth ',' drivel ',' ojol ',' missed ',' orders', 'internet', 'down', ' Loss', 'Information', 'As soon as',' SMS ',' user ',' Telkomsel ',' Internet ',' Diem ',' Bae ',' Loss', 'Driver', 'On"&amp;"line', 'Compensation' ]")</f>
        <v>['class',' Telkomsel ',' complete ',' solution ',' internet ',' smooth ',' drivel ',' ojol ',' missed ',' orders', 'internet', 'down', ' Loss', 'Information', 'As soon as',' SMS ',' user ',' Telkomsel ',' Internet ',' Diem ',' Bae ',' Loss', 'Driver', 'Online', 'Compensation' ]</v>
      </c>
      <c r="D1696" s="3">
        <v>1.0</v>
      </c>
    </row>
    <row r="1697" ht="15.75" customHeight="1">
      <c r="A1697" s="1">
        <v>1695.0</v>
      </c>
      <c r="B1697" s="3" t="s">
        <v>1697</v>
      </c>
      <c r="C1697" s="3" t="str">
        <f>IFERROR(__xludf.DUMMYFUNCTION("GOOGLETRANSLATE(B1697,""id"",""en"")"),"['The name', 'wearing', 'delicious',' play ',' game ',' ilang ',' gajelas', 'jdi', 'continue', 'game', 'gajelas',' Telkomsel ',' rough ',' abes', 'vain', 'klw', 'package', 'klw', 'mainin', 'ilang', 'network', 'please', 'telkomsel', 'fix', 'lgi' , 'Network"&amp;"', 'Customer', 'Disappointed', '']")</f>
        <v>['The name', 'wearing', 'delicious',' play ',' game ',' ilang ',' gajelas', 'jdi', 'continue', 'game', 'gajelas',' Telkomsel ',' rough ',' abes', 'vain', 'klw', 'package', 'klw', 'mainin', 'ilang', 'network', 'please', 'telkomsel', 'fix', 'lgi' , 'Network', 'Customer', 'Disappointed', '']</v>
      </c>
      <c r="D1697" s="3">
        <v>1.0</v>
      </c>
    </row>
    <row r="1698" ht="15.75" customHeight="1">
      <c r="A1698" s="1">
        <v>1696.0</v>
      </c>
      <c r="B1698" s="3" t="s">
        <v>1698</v>
      </c>
      <c r="C1698" s="3" t="str">
        <f>IFERROR(__xludf.DUMMYFUNCTION("GOOGLETRANSLATE(B1698,""id"",""en"")"),"['already', 'network', 'Telkomsel', 'area', 'destroyed', 'melted', 'slow', 'really', 'normal', 'access',' Alhamdulillah ',' like ',' Current ',' smooth ',' quota ',' leftover ',' hundreds', 'quota', 'GB', 'influence', 'tetep', 'aje', 'slow', 'Telkomsel', "&amp;"'hope' , 'repaired', '']")</f>
        <v>['already', 'network', 'Telkomsel', 'area', 'destroyed', 'melted', 'slow', 'really', 'normal', 'access',' Alhamdulillah ',' like ',' Current ',' smooth ',' quota ',' leftover ',' hundreds', 'quota', 'GB', 'influence', 'tetep', 'aje', 'slow', 'Telkomsel', 'hope' , 'repaired', '']</v>
      </c>
      <c r="D1698" s="3">
        <v>1.0</v>
      </c>
    </row>
    <row r="1699" ht="15.75" customHeight="1">
      <c r="A1699" s="1">
        <v>1697.0</v>
      </c>
      <c r="B1699" s="3" t="s">
        <v>1699</v>
      </c>
      <c r="C1699" s="3" t="str">
        <f>IFERROR(__xludf.DUMMYFUNCTION("GOOGLETRANSLATE(B1699,""id"",""en"")"),"['Telkomsel', 'disappointing', 'consumer', 'please', 'fix', 'strength', 'signal', 'price', 'package', 'expensive', 'times',' price ',' package ',' internet ',' strength ',' signal ',' ugly ',' disappointing ',' customer ',' network ',' no ',' sometimes', "&amp;"'lost', 'coral', 'appears' , 'Disturbing', 'comfort', 'customer', 'price', 'peket', 'internet', 'jng', 'expensive', 'division', 'max', 'stream', 'need', ' Consumers', '']")</f>
        <v>['Telkomsel', 'disappointing', 'consumer', 'please', 'fix', 'strength', 'signal', 'price', 'package', 'expensive', 'times',' price ',' package ',' internet ',' strength ',' signal ',' ugly ',' disappointing ',' customer ',' network ',' no ',' sometimes', 'lost', 'coral', 'appears' , 'Disturbing', 'comfort', 'customer', 'price', 'peket', 'internet', 'jng', 'expensive', 'division', 'max', 'stream', 'need', ' Consumers', '']</v>
      </c>
      <c r="D1699" s="3">
        <v>1.0</v>
      </c>
    </row>
    <row r="1700" ht="15.75" customHeight="1">
      <c r="A1700" s="1">
        <v>1698.0</v>
      </c>
      <c r="B1700" s="3" t="s">
        <v>1700</v>
      </c>
      <c r="C1700" s="3" t="str">
        <f>IFERROR(__xludf.DUMMYFUNCTION("GOOGLETRANSLATE(B1700,""id"",""en"")"),"['Try', 'Telkomsel', 'Network', 'Troubled', 'Comfortable', 'Speed', 'Network', 'TPI', 'Experience', 'Syaa', 'Use', 'Provider', ' network ',' stable ',' lgi ', ""]")</f>
        <v>['Try', 'Telkomsel', 'Network', 'Troubled', 'Comfortable', 'Speed', 'Network', 'TPI', 'Experience', 'Syaa', 'Use', 'Provider', ' network ',' stable ',' lgi ', "]</v>
      </c>
      <c r="D1700" s="3">
        <v>1.0</v>
      </c>
    </row>
    <row r="1701" ht="15.75" customHeight="1">
      <c r="A1701" s="1">
        <v>1699.0</v>
      </c>
      <c r="B1701" s="3" t="s">
        <v>1701</v>
      </c>
      <c r="C1701" s="3" t="str">
        <f>IFERROR(__xludf.DUMMYFUNCTION("GOOGLETRANSLATE(B1701,""id"",""en"")"),"['signal', 'slow', 'really', 'sympathy', 'price', 'expensive', 'provider', 'signal', 'severe']")</f>
        <v>['signal', 'slow', 'really', 'sympathy', 'price', 'expensive', 'provider', 'signal', 'severe']</v>
      </c>
      <c r="D1701" s="3">
        <v>3.0</v>
      </c>
    </row>
    <row r="1702" ht="15.75" customHeight="1">
      <c r="A1702" s="1">
        <v>1700.0</v>
      </c>
      <c r="B1702" s="3" t="s">
        <v>1702</v>
      </c>
      <c r="C1702" s="3" t="str">
        <f>IFERROR(__xludf.DUMMYFUNCTION("GOOGLETRANSLATE(B1702,""id"",""en"")"),"['Please', 'Control', 'Connection', 'Internet', 'Network', 'Kayak', 'Gini', 'Loss', 'Discard', 'Discard', 'Quota']")</f>
        <v>['Please', 'Control', 'Connection', 'Internet', 'Network', 'Kayak', 'Gini', 'Loss', 'Discard', 'Discard', 'Quota']</v>
      </c>
      <c r="D1702" s="3">
        <v>1.0</v>
      </c>
    </row>
    <row r="1703" ht="15.75" customHeight="1">
      <c r="A1703" s="1">
        <v>1701.0</v>
      </c>
      <c r="B1703" s="3" t="s">
        <v>1703</v>
      </c>
      <c r="C1703" s="3" t="str">
        <f>IFERROR(__xludf.DUMMYFUNCTION("GOOGLETRANSLATE(B1703,""id"",""en"")"),"['Woy', 'Telkomsel', 'Fix', 'Network', 'Paketan', 'Expensive', 'Expensive', 'Leet', 'Woyy', 'Main', 'Game', 'Sometimes',' Ngellag ', ""]")</f>
        <v>['Woy', 'Telkomsel', 'Fix', 'Network', 'Paketan', 'Expensive', 'Expensive', 'Leet', 'Woyy', 'Main', 'Game', 'Sometimes',' Ngellag ', "]</v>
      </c>
      <c r="D1703" s="3">
        <v>2.0</v>
      </c>
    </row>
    <row r="1704" ht="15.75" customHeight="1">
      <c r="A1704" s="1">
        <v>1702.0</v>
      </c>
      <c r="B1704" s="3" t="s">
        <v>1704</v>
      </c>
      <c r="C1704" s="3" t="str">
        <f>IFERROR(__xludf.DUMMYFUNCTION("GOOGLETRANSLATE(B1704,""id"",""en"")"),"['Kenpa', 'Jaringn', 'Telkomsel', 'Hilng', 'Sndiri', 'Special', 'Region', 'Simalungun', 'noon', 'Night', 'Udh', 'Lost', ' parahhhj ']")</f>
        <v>['Kenpa', 'Jaringn', 'Telkomsel', 'Hilng', 'Sndiri', 'Special', 'Region', 'Simalungun', 'noon', 'Night', 'Udh', 'Lost', ' parahhhj ']</v>
      </c>
      <c r="D1704" s="3">
        <v>1.0</v>
      </c>
    </row>
    <row r="1705" ht="15.75" customHeight="1">
      <c r="A1705" s="1">
        <v>1703.0</v>
      </c>
      <c r="B1705" s="3" t="s">
        <v>1705</v>
      </c>
      <c r="C1705" s="3" t="str">
        <f>IFERROR(__xludf.DUMMYFUNCTION("GOOGLETRANSLATE(B1705,""id"",""en"")"),"['satellite', 'tetep', 'slow', 'use', 'package', 'hello', 'free', 'call', 'call', 'tetep', 'hit', 'pulses',' ']")</f>
        <v>['satellite', 'tetep', 'slow', 'use', 'package', 'hello', 'free', 'call', 'call', 'tetep', 'hit', 'pulses',' ']</v>
      </c>
      <c r="D1705" s="3">
        <v>1.0</v>
      </c>
    </row>
    <row r="1706" ht="15.75" customHeight="1">
      <c r="A1706" s="1">
        <v>1704.0</v>
      </c>
      <c r="B1706" s="3" t="s">
        <v>1706</v>
      </c>
      <c r="C1706" s="3" t="str">
        <f>IFERROR(__xludf.DUMMYFUNCTION("GOOGLETRANSLATE(B1706,""id"",""en"")"),"['disease', 'already', 'smooth', 'sudden', 'Lost', 'signal', 'internet', 'provider', 'lahh', 'cheap', 'reasonable', 'quality', ' Telkomsel ',' Lahh ',' Telkomsel ',' already ',' expensive ',' network ',' internet ',' like ',' sudden ',' lost ',' battered "&amp;"']")</f>
        <v>['disease', 'already', 'smooth', 'sudden', 'Lost', 'signal', 'internet', 'provider', 'lahh', 'cheap', 'reasonable', 'quality', ' Telkomsel ',' Lahh ',' Telkomsel ',' already ',' expensive ',' network ',' internet ',' like ',' sudden ',' lost ',' battered ']</v>
      </c>
      <c r="D1706" s="3">
        <v>1.0</v>
      </c>
    </row>
    <row r="1707" ht="15.75" customHeight="1">
      <c r="A1707" s="1">
        <v>1705.0</v>
      </c>
      <c r="B1707" s="3" t="s">
        <v>1707</v>
      </c>
      <c r="C1707" s="3" t="str">
        <f>IFERROR(__xludf.DUMMYFUNCTION("GOOGLETRANSLATE(B1707,""id"",""en"")"),"['Telalu', 'Telkomsel', 'Network', 'Kemah', 'Bad', 'night', 'noon']")</f>
        <v>['Telalu', 'Telkomsel', 'Network', 'Kemah', 'Bad', 'night', 'noon']</v>
      </c>
      <c r="D1707" s="3">
        <v>1.0</v>
      </c>
    </row>
    <row r="1708" ht="15.75" customHeight="1">
      <c r="A1708" s="1">
        <v>1706.0</v>
      </c>
      <c r="B1708" s="3" t="s">
        <v>1708</v>
      </c>
      <c r="C1708" s="3" t="str">
        <f>IFERROR(__xludf.DUMMYFUNCTION("GOOGLETRANSLATE(B1708,""id"",""en"")"),"['APK', 'good', 'supports', 'buy', 'package', 'buy', 'pulse', 'please', 'APK', 'Please', 'fix', ""]")</f>
        <v>['APK', 'good', 'supports', 'buy', 'package', 'buy', 'pulse', 'please', 'APK', 'Please', 'fix', "]</v>
      </c>
      <c r="D1708" s="3">
        <v>4.0</v>
      </c>
    </row>
    <row r="1709" ht="15.75" customHeight="1">
      <c r="A1709" s="1">
        <v>1707.0</v>
      </c>
      <c r="B1709" s="3" t="s">
        <v>1709</v>
      </c>
      <c r="C1709" s="3" t="str">
        <f>IFERROR(__xludf.DUMMYFUNCTION("GOOGLETRANSLATE(B1709,""id"",""en"")"),"['udaa', 'buy', 'package', 'game', 'right', 'play', 'pulse', 'sumps',' data ',' turned off ',' sumps', 'pulses',' Help ',' Telkomsel ',' Uda ',' expensive ',' rich ',' gini ']")</f>
        <v>['udaa', 'buy', 'package', 'game', 'right', 'play', 'pulse', 'sumps',' data ',' turned off ',' sumps', 'pulses',' Help ',' Telkomsel ',' Uda ',' expensive ',' rich ',' gini ']</v>
      </c>
      <c r="D1709" s="3">
        <v>1.0</v>
      </c>
    </row>
    <row r="1710" ht="15.75" customHeight="1">
      <c r="A1710" s="1">
        <v>1708.0</v>
      </c>
      <c r="B1710" s="3" t="s">
        <v>1710</v>
      </c>
      <c r="C1710" s="3" t="str">
        <f>IFERROR(__xludf.DUMMYFUNCTION("GOOGLETRANSLATE(B1710,""id"",""en"")"),"['The application', 'updated', 'slow', 'turn', 'updated', 'opened', '']")</f>
        <v>['The application', 'updated', 'slow', 'turn', 'updated', 'opened', '']</v>
      </c>
      <c r="D1710" s="3">
        <v>1.0</v>
      </c>
    </row>
    <row r="1711" ht="15.75" customHeight="1">
      <c r="A1711" s="1">
        <v>1709.0</v>
      </c>
      <c r="B1711" s="3" t="s">
        <v>1711</v>
      </c>
      <c r="C1711" s="3" t="str">
        <f>IFERROR(__xludf.DUMMYFUNCTION("GOOGLETRANSLATE(B1711,""id"",""en"")"),"['Maintain', 'Strength', 'Signal', 'Telkomsel', 'Best']")</f>
        <v>['Maintain', 'Strength', 'Signal', 'Telkomsel', 'Best']</v>
      </c>
      <c r="D1711" s="3">
        <v>4.0</v>
      </c>
    </row>
    <row r="1712" ht="15.75" customHeight="1">
      <c r="A1712" s="1">
        <v>1710.0</v>
      </c>
      <c r="B1712" s="3" t="s">
        <v>1712</v>
      </c>
      <c r="C1712" s="3" t="str">
        <f>IFERROR(__xludf.DUMMYFUNCTION("GOOGLETRANSLATE(B1712,""id"",""en"")"),"['Telkomsel', 'expensive', 'package', 'quota', 'telephone', 'sampe', 'internet', 'lose', 'tri', 'axis', '']")</f>
        <v>['Telkomsel', 'expensive', 'package', 'quota', 'telephone', 'sampe', 'internet', 'lose', 'tri', 'axis', '']</v>
      </c>
      <c r="D1712" s="3">
        <v>1.0</v>
      </c>
    </row>
    <row r="1713" ht="15.75" customHeight="1">
      <c r="A1713" s="1">
        <v>1711.0</v>
      </c>
      <c r="B1713" s="3" t="s">
        <v>1713</v>
      </c>
      <c r="C1713" s="3" t="str">
        <f>IFERROR(__xludf.DUMMYFUNCTION("GOOGLETRANSLATE(B1713,""id"",""en"")"),"['connection', 'internet', 'bad', 'kayak', 'pakek', 'slow', 'slow', 'package', 'expensive', 'nakya', 'improved', 'bad', ' Price ',' according to ',' Quality ',' Cook ',' Lose ',' SIM ',' Abal ',' ']")</f>
        <v>['connection', 'internet', 'bad', 'kayak', 'pakek', 'slow', 'slow', 'package', 'expensive', 'nakya', 'improved', 'bad', ' Price ',' according to ',' Quality ',' Cook ',' Lose ',' SIM ',' Abal ',' ']</v>
      </c>
      <c r="D1713" s="3">
        <v>1.0</v>
      </c>
    </row>
    <row r="1714" ht="15.75" customHeight="1">
      <c r="A1714" s="1">
        <v>1712.0</v>
      </c>
      <c r="B1714" s="3" t="s">
        <v>1714</v>
      </c>
      <c r="C1714" s="3" t="str">
        <f>IFERROR(__xludf.DUMMYFUNCTION("GOOGLETRANSLATE(B1714,""id"",""en"")"),"['used', 'internet', 'wifi', 'slow', 'update', 'affect', 'speed', 'data', '']")</f>
        <v>['used', 'internet', 'wifi', 'slow', 'update', 'affect', 'speed', 'data', '']</v>
      </c>
      <c r="D1714" s="3">
        <v>1.0</v>
      </c>
    </row>
    <row r="1715" ht="15.75" customHeight="1">
      <c r="A1715" s="1">
        <v>1713.0</v>
      </c>
      <c r="B1715" s="3" t="s">
        <v>1715</v>
      </c>
      <c r="C1715" s="3" t="str">
        <f>IFERROR(__xludf.DUMMYFUNCTION("GOOGLETRANSLATE(B1715,""id"",""en"")"),"['Dri', 'Pakek', 'Telkomsel', 'Satisfied', 'Speed', 'Internet', 'Telkomsel', 'Moving', 'Hello', 'BYR', 'LBIH', 'Exclusive', ' Pakek ',' Hello ',' Msh ',' Good ',' TPI ',' Sya ',' Grapari ',' Offered ',' Update ',' Card ',' Hello ',' Benefit ',' Staff ' , "&amp;"'GraPARI', 'good', 'unlimited', 'TPI', 'use', 'slow', 'sometimes',' signal ',' lost ',' disappointed ',' high school ',' Telkomsel ',' Please, 'Internet', 'Turnover', 'Current', 'Ngk', 'Gwa', 'Move']")</f>
        <v>['Dri', 'Pakek', 'Telkomsel', 'Satisfied', 'Speed', 'Internet', 'Telkomsel', 'Moving', 'Hello', 'BYR', 'LBIH', 'Exclusive', ' Pakek ',' Hello ',' Msh ',' Good ',' TPI ',' Sya ',' Grapari ',' Offered ',' Update ',' Card ',' Hello ',' Benefit ',' Staff ' , 'GraPARI', 'good', 'unlimited', 'TPI', 'use', 'slow', 'sometimes',' signal ',' lost ',' disappointed ',' high school ',' Telkomsel ',' Please, 'Internet', 'Turnover', 'Current', 'Ngk', 'Gwa', 'Move']</v>
      </c>
      <c r="D1715" s="3">
        <v>1.0</v>
      </c>
    </row>
    <row r="1716" ht="15.75" customHeight="1">
      <c r="A1716" s="1">
        <v>1714.0</v>
      </c>
      <c r="B1716" s="3" t="s">
        <v>1716</v>
      </c>
      <c r="C1716" s="3" t="str">
        <f>IFERROR(__xludf.DUMMYFUNCTION("GOOGLETRANSLATE(B1716,""id"",""en"")"),"['Good', 'network', 'threat', 'signal', 'likes',' ilang ',' severe ',' signal ',' direct ',' mending ',' moved ',' dahh ',' network ',' SIM ',' Card ',' Next to ',' Good ',' ']")</f>
        <v>['Good', 'network', 'threat', 'signal', 'likes',' ilang ',' severe ',' signal ',' direct ',' mending ',' moved ',' dahh ',' network ',' SIM ',' Card ',' Next to ',' Good ',' ']</v>
      </c>
      <c r="D1716" s="3">
        <v>1.0</v>
      </c>
    </row>
    <row r="1717" ht="15.75" customHeight="1">
      <c r="A1717" s="1">
        <v>1715.0</v>
      </c>
      <c r="B1717" s="3" t="s">
        <v>1717</v>
      </c>
      <c r="C1717" s="3" t="str">
        <f>IFERROR(__xludf.DUMMYFUNCTION("GOOGLETRANSLATE(B1717,""id"",""en"")"),"['signal', 'Telkomsel', 'bad', 'package', 'doang', 'expensive', 'quality', 'signal', 'ugly', ""]")</f>
        <v>['signal', 'Telkomsel', 'bad', 'package', 'doang', 'expensive', 'quality', 'signal', 'ugly', "]</v>
      </c>
      <c r="D1717" s="3">
        <v>1.0</v>
      </c>
    </row>
    <row r="1718" ht="15.75" customHeight="1">
      <c r="A1718" s="1">
        <v>1716.0</v>
      </c>
      <c r="B1718" s="3" t="s">
        <v>1718</v>
      </c>
      <c r="C1718" s="3" t="str">
        <f>IFERROR(__xludf.DUMMYFUNCTION("GOOGLETRANSLATE(B1718,""id"",""en"")"),"['sucks', 'Yesterday', 'network', 'internet', 'slow', 'annoying', 'work', 'pandemic', 'wfh', 'cave', 'disturbed', '']")</f>
        <v>['sucks', 'Yesterday', 'network', 'internet', 'slow', 'annoying', 'work', 'pandemic', 'wfh', 'cave', 'disturbed', '']</v>
      </c>
      <c r="D1718" s="3">
        <v>1.0</v>
      </c>
    </row>
    <row r="1719" ht="15.75" customHeight="1">
      <c r="A1719" s="1">
        <v>1717.0</v>
      </c>
      <c r="B1719" s="3" t="s">
        <v>1719</v>
      </c>
      <c r="C1719" s="3" t="str">
        <f>IFERROR(__xludf.DUMMYFUNCTION("GOOGLETRANSLATE(B1719,""id"",""en"")"),"['Signal', 'internet', 'stable', 'missing', 'please', 'fix', 'area', 'Java', 'thank', 'love']")</f>
        <v>['Signal', 'internet', 'stable', 'missing', 'please', 'fix', 'area', 'Java', 'thank', 'love']</v>
      </c>
      <c r="D1719" s="3">
        <v>1.0</v>
      </c>
    </row>
    <row r="1720" ht="15.75" customHeight="1">
      <c r="A1720" s="1">
        <v>1718.0</v>
      </c>
      <c r="B1720" s="3" t="s">
        <v>1720</v>
      </c>
      <c r="C1720" s="3" t="str">
        <f>IFERROR(__xludf.DUMMYFUNCTION("GOOGLETRANSLATE(B1720,""id"",""en"")"),"['quota', 'expensive', 'bingiiiit', 'signal', 'limmmmmiiiit', 'forgiveness',' please ',' appreciate ',' customer ',' willing ',' buy ',' packetan ',' expensive ',' signal ',' good ',' karuan ',' gini ',' network ',' speed ',' ']")</f>
        <v>['quota', 'expensive', 'bingiiiit', 'signal', 'limmmmmiiiit', 'forgiveness',' please ',' appreciate ',' customer ',' willing ',' buy ',' packetan ',' expensive ',' signal ',' good ',' karuan ',' gini ',' network ',' speed ',' ']</v>
      </c>
      <c r="D1720" s="3">
        <v>1.0</v>
      </c>
    </row>
    <row r="1721" ht="15.75" customHeight="1">
      <c r="A1721" s="1">
        <v>1719.0</v>
      </c>
      <c r="B1721" s="3" t="s">
        <v>1721</v>
      </c>
      <c r="C1721" s="3" t="str">
        <f>IFERROR(__xludf.DUMMYFUNCTION("GOOGLETRANSLATE(B1721,""id"",""en"")"),"['comment', 'customer', 'ngeluhh', 'network', 'yrs',' pke ',' telkomsel ',' felt ',' smkin ',' slow ',' mahallllllll ',' telomsel ',' Veronika ',' Mbell ',' Gedessssss', '']")</f>
        <v>['comment', 'customer', 'ngeluhh', 'network', 'yrs',' pke ',' telkomsel ',' felt ',' smkin ',' slow ',' mahallllllll ',' telomsel ',' Veronika ',' Mbell ',' Gedessssss', '']</v>
      </c>
      <c r="D1721" s="3">
        <v>1.0</v>
      </c>
    </row>
    <row r="1722" ht="15.75" customHeight="1">
      <c r="A1722" s="1">
        <v>1720.0</v>
      </c>
      <c r="B1722" s="3" t="s">
        <v>1722</v>
      </c>
      <c r="C1722" s="3" t="str">
        <f>IFERROR(__xludf.DUMMYFUNCTION("GOOGLETRANSLATE(B1722,""id"",""en"")"),"['woi', 'operator', 'pig', 'well', 'network', 'pig', 'cave', 'udh', 'buy', 'package', 'pig', 'udh', ' Sunday ',' network ',' rich ',' pig ']")</f>
        <v>['woi', 'operator', 'pig', 'well', 'network', 'pig', 'cave', 'udh', 'buy', 'package', 'pig', 'udh', ' Sunday ',' network ',' rich ',' pig ']</v>
      </c>
      <c r="D1722" s="3">
        <v>1.0</v>
      </c>
    </row>
    <row r="1723" ht="15.75" customHeight="1">
      <c r="A1723" s="1">
        <v>1721.0</v>
      </c>
      <c r="B1723" s="3" t="s">
        <v>1723</v>
      </c>
      <c r="C1723" s="3" t="str">
        <f>IFERROR(__xludf.DUMMYFUNCTION("GOOGLETRANSLATE(B1723,""id"",""en"")"),"['package', 'expensive', 'network', 'slow', 'raised', 'price', 'service', ""]")</f>
        <v>['package', 'expensive', 'network', 'slow', 'raised', 'price', 'service', "]</v>
      </c>
      <c r="D1723" s="3">
        <v>2.0</v>
      </c>
    </row>
    <row r="1724" ht="15.75" customHeight="1">
      <c r="A1724" s="1">
        <v>1722.0</v>
      </c>
      <c r="B1724" s="3" t="s">
        <v>1724</v>
      </c>
      <c r="C1724" s="3" t="str">
        <f>IFERROR(__xludf.DUMMYFUNCTION("GOOGLETRANSLATE(B1724,""id"",""en"")"),"['', 'likes', 'Telkomsel', 'darling', 'Telkomsel', 'rare', 'promo', 'purchase', 'quota', ""]")</f>
        <v>['', 'likes', 'Telkomsel', 'darling', 'Telkomsel', 'rare', 'promo', 'purchase', 'quota', "]</v>
      </c>
      <c r="D1724" s="3">
        <v>5.0</v>
      </c>
    </row>
    <row r="1725" ht="15.75" customHeight="1">
      <c r="A1725" s="1">
        <v>1723.0</v>
      </c>
      <c r="B1725" s="3" t="s">
        <v>1725</v>
      </c>
      <c r="C1725" s="3" t="str">
        <f>IFERROR(__xludf.DUMMYFUNCTION("GOOGLETRANSLATE(B1725,""id"",""en"")"),"['Most', 'owe', 'telkom', 'already', 'pket', 'expensive', 'slow', 'voucher', 'interesting', 'change', 'star', ""]")</f>
        <v>['Most', 'owe', 'telkom', 'already', 'pket', 'expensive', 'slow', 'voucher', 'interesting', 'change', 'star', "]</v>
      </c>
      <c r="D1725" s="3">
        <v>1.0</v>
      </c>
    </row>
    <row r="1726" ht="15.75" customHeight="1">
      <c r="A1726" s="1">
        <v>1724.0</v>
      </c>
      <c r="B1726" s="3" t="s">
        <v>1726</v>
      </c>
      <c r="C1726" s="3" t="str">
        <f>IFERROR(__xludf.DUMMYFUNCTION("GOOGLETRANSLATE(B1726,""id"",""en"")"),"['already', 'hello', 'slow', 'satisfying', 'regret', '']")</f>
        <v>['already', 'hello', 'slow', 'satisfying', 'regret', '']</v>
      </c>
      <c r="D1726" s="3">
        <v>1.0</v>
      </c>
    </row>
    <row r="1727" ht="15.75" customHeight="1">
      <c r="A1727" s="1">
        <v>1725.0</v>
      </c>
      <c r="B1727" s="3" t="s">
        <v>1727</v>
      </c>
      <c r="C1727" s="3" t="str">
        <f>IFERROR(__xludf.DUMMYFUNCTION("GOOGLETRANSLATE(B1727,""id"",""en"")"),"['Propider', 'Telkomsel', 'good', 'yaa', 'masah', 'package', 'internet', 'slow', 'forgiveness',' sometimes', 'telponan', 'voice', ' Gadan ',' arose ',' sank ',' please ',' Telkomsel ',' advanced ',' compete ',' propider ',' Telkomsel ',' propider ', ""]")</f>
        <v>['Propider', 'Telkomsel', 'good', 'yaa', 'masah', 'package', 'internet', 'slow', 'forgiveness',' sometimes', 'telponan', 'voice', ' Gadan ',' arose ',' sank ',' please ',' Telkomsel ',' advanced ',' compete ',' propider ',' Telkomsel ',' propider ', "]</v>
      </c>
      <c r="D1727" s="3">
        <v>5.0</v>
      </c>
    </row>
    <row r="1728" ht="15.75" customHeight="1">
      <c r="A1728" s="1">
        <v>1726.0</v>
      </c>
      <c r="B1728" s="3" t="s">
        <v>1728</v>
      </c>
      <c r="C1728" s="3" t="str">
        <f>IFERROR(__xludf.DUMMYFUNCTION("GOOGLETRANSLATE(B1728,""id"",""en"")"),"['operator', 'Telkomsel', 'disappointing', 'sinya', 'full', 'internet', '']")</f>
        <v>['operator', 'Telkomsel', 'disappointing', 'sinya', 'full', 'internet', '']</v>
      </c>
      <c r="D1728" s="3">
        <v>1.0</v>
      </c>
    </row>
    <row r="1729" ht="15.75" customHeight="1">
      <c r="A1729" s="1">
        <v>1727.0</v>
      </c>
      <c r="B1729" s="3" t="s">
        <v>1729</v>
      </c>
      <c r="C1729" s="3" t="str">
        <f>IFERROR(__xludf.DUMMYFUNCTION("GOOGLETRANSLATE(B1729,""id"",""en"")"),"['TELKOM', 'JLS', 'price', 'Doang', 'expensive', 'signal', 'ilang', 'Mending', 'Telkom', 'dlu', 'smooth', 'play', ' game ',' rare ',' error ',' signal ',' ilang ',' network ',' stable ',' degrading ',' just ',' MLS ',' because ',' signal ',' kaga ' , 'Ben"&amp;"er', 'Hopefully', 'Cepet', 'Overcome', 'subscription', 'Telkom', 'Moving', 'Next to', 'Thank you', 'Nyari', 'Fortunately', ' Doang ',' Oghy ', ""]")</f>
        <v>['TELKOM', 'JLS', 'price', 'Doang', 'expensive', 'signal', 'ilang', 'Mending', 'Telkom', 'dlu', 'smooth', 'play', ' game ',' rare ',' error ',' signal ',' ilang ',' network ',' stable ',' degrading ',' just ',' MLS ',' because ',' signal ',' kaga ' , 'Bener', 'Hopefully', 'Cepet', 'Overcome', 'subscription', 'Telkom', 'Moving', 'Next to', 'Thank you', 'Nyari', 'Fortunately', ' Doang ',' Oghy ', "]</v>
      </c>
      <c r="D1729" s="3">
        <v>1.0</v>
      </c>
    </row>
    <row r="1730" ht="15.75" customHeight="1">
      <c r="A1730" s="1">
        <v>1728.0</v>
      </c>
      <c r="B1730" s="3" t="s">
        <v>1730</v>
      </c>
      <c r="C1730" s="3" t="str">
        <f>IFERROR(__xludf.DUMMYFUNCTION("GOOGLETRANSLATE(B1730,""id"",""en"")"),"['Plis',' Tlong ',' Benerin ',' Indihome ',' sympathy ',' boss', 'JLEK', 'Indihome', 'sympathy', 'BNYK', 'Moving', 'SIM', ' Card ',' Klau ',' Indihome ',' sympathy ',' Kyak ',' GNI ',' then ',' might "", 'Telkomsel', 'Full', 'Open', 'YouTube' , 'Muter', '"&amp;"JLAS']")</f>
        <v>['Plis',' Tlong ',' Benerin ',' Indihome ',' sympathy ',' boss', 'JLEK', 'Indihome', 'sympathy', 'BNYK', 'Moving', 'SIM', ' Card ',' Klau ',' Indihome ',' sympathy ',' Kyak ',' GNI ',' then ',' might ", 'Telkomsel', 'Full', 'Open', 'YouTube' , 'Muter', 'JLAS']</v>
      </c>
      <c r="D1730" s="3">
        <v>4.0</v>
      </c>
    </row>
    <row r="1731" ht="15.75" customHeight="1">
      <c r="A1731" s="1">
        <v>1729.0</v>
      </c>
      <c r="B1731" s="3" t="s">
        <v>1731</v>
      </c>
      <c r="C1731" s="3" t="str">
        <f>IFERROR(__xludf.DUMMYFUNCTION("GOOGLETRANSLATE(B1731,""id"",""en"")"),"['Severe', 'network', 'cellular', 'price', 'quota', 'week', 'signal', 'difficult', 'access',' internet ',' price ',' expensive ',' Mensadan ',' price ',' quota ',' expensive ',' quality ',' network ',' ']")</f>
        <v>['Severe', 'network', 'cellular', 'price', 'quota', 'week', 'signal', 'difficult', 'access',' internet ',' price ',' expensive ',' Mensadan ',' price ',' quota ',' expensive ',' quality ',' network ',' ']</v>
      </c>
      <c r="D1731" s="3">
        <v>2.0</v>
      </c>
    </row>
    <row r="1732" ht="15.75" customHeight="1">
      <c r="A1732" s="1">
        <v>1730.0</v>
      </c>
      <c r="B1732" s="3" t="s">
        <v>1732</v>
      </c>
      <c r="C1732" s="3" t="str">
        <f>IFERROR(__xludf.DUMMYFUNCTION("GOOGLETRANSLATE(B1732,""id"",""en"")"),"['already', 'mah', 'slow', 'expensive', 'package', 'APL', 'updated', 'updated', 'open', 'package', 'Different', 'Different', ' card ',' karuan ',' signal ',' bey ',' ujan ',' signal ',' kek ',' ketebang ',' wind ',' letoy ',' or ',' gymna ',' tower ' , 'r"&amp;"eplace', 'card', 'slow', 'expensive', 'axis',' smartfren ',' tri ',' mtri ',' indosat ',' stuck ',' telkomsel ',' kek ',' Sell ​​',' Anjirr ',' so ',' complained ',' Kisah ',' Thank ',' Love ',' bye ', ""]")</f>
        <v>['already', 'mah', 'slow', 'expensive', 'package', 'APL', 'updated', 'updated', 'open', 'package', 'Different', 'Different', ' card ',' karuan ',' signal ',' bey ',' ujan ',' signal ',' kek ',' ketebang ',' wind ',' letoy ',' or ',' gymna ',' tower ' , 'replace', 'card', 'slow', 'expensive', 'axis',' smartfren ',' tri ',' mtri ',' indosat ',' stuck ',' telkomsel ',' kek ',' Sell ​​',' Anjirr ',' so ',' complained ',' Kisah ',' Thank ',' Love ',' bye ', "]</v>
      </c>
      <c r="D1732" s="3">
        <v>1.0</v>
      </c>
    </row>
    <row r="1733" ht="15.75" customHeight="1">
      <c r="A1733" s="1">
        <v>1731.0</v>
      </c>
      <c r="B1733" s="3" t="s">
        <v>1733</v>
      </c>
      <c r="C1733" s="3" t="str">
        <f>IFERROR(__xludf.DUMMYFUNCTION("GOOGLETRANSLATE(B1733,""id"",""en"")"),"['signal', 'bake', 'leg', 'mulu', 'oath', 'village', 'network', 'cave', 'use', '']")</f>
        <v>['signal', 'bake', 'leg', 'mulu', 'oath', 'village', 'network', 'cave', 'use', '']</v>
      </c>
      <c r="D1733" s="3">
        <v>1.0</v>
      </c>
    </row>
    <row r="1734" ht="15.75" customHeight="1">
      <c r="A1734" s="1">
        <v>1732.0</v>
      </c>
      <c r="B1734" s="3" t="s">
        <v>1734</v>
      </c>
      <c r="C1734" s="3" t="str">
        <f>IFERROR(__xludf.DUMMYFUNCTION("GOOGLETRANSLATE(B1734,""id"",""en"")"),"['brother', 'please', 'fix', 'tissue', 'telkom', 'slow', 'times',' skrng ',' click ',' feel ',' use ',' card ',' Sad ',' slow ',' forgiveness', 'buy', 'expensive', 'quality', 'ugly']")</f>
        <v>['brother', 'please', 'fix', 'tissue', 'telkom', 'slow', 'times',' skrng ',' click ',' feel ',' use ',' card ',' Sad ',' slow ',' forgiveness', 'buy', 'expensive', 'quality', 'ugly']</v>
      </c>
      <c r="D1734" s="3">
        <v>1.0</v>
      </c>
    </row>
    <row r="1735" ht="15.75" customHeight="1">
      <c r="A1735" s="1">
        <v>1733.0</v>
      </c>
      <c r="B1735" s="3" t="s">
        <v>1735</v>
      </c>
      <c r="C1735" s="3" t="str">
        <f>IFERROR(__xludf.DUMMYFUNCTION("GOOGLETRANSLATE(B1735,""id"",""en"")"),"['Please', 'Signal', 'Telkomsel', 'Sulawesi', 'West', 'District', 'Polewali', 'Mandar', 'Hamlet', 'Silopo', 'Village', 'Mirring', ' Fix ',' Krna ',' Signal ',' Tlkomsel ',' Hamlet ',' Masi ',' Weak ',' Terbimah ',' Love ',' Nanfi ',' Kasi ',' Bintang ',' "&amp;"Klau ' , 'already', 'signal', '']")</f>
        <v>['Please', 'Signal', 'Telkomsel', 'Sulawesi', 'West', 'District', 'Polewali', 'Mandar', 'Hamlet', 'Silopo', 'Village', 'Mirring', ' Fix ',' Krna ',' Signal ',' Tlkomsel ',' Hamlet ',' Masi ',' Weak ',' Terbimah ',' Love ',' Nanfi ',' Kasi ',' Bintang ',' Klau ' , 'already', 'signal', '']</v>
      </c>
      <c r="D1735" s="3">
        <v>3.0</v>
      </c>
    </row>
    <row r="1736" ht="15.75" customHeight="1">
      <c r="A1736" s="1">
        <v>1734.0</v>
      </c>
      <c r="B1736" s="3" t="s">
        <v>1736</v>
      </c>
      <c r="C1736" s="3" t="str">
        <f>IFERROR(__xludf.DUMMYFUNCTION("GOOGLETRANSLATE(B1736,""id"",""en"")"),"['Telkomsel', 'Believe', 'Telkomsel', 'Dozens', 'Main', 'Error', 'Then', 'Andelin', 'Severe']")</f>
        <v>['Telkomsel', 'Believe', 'Telkomsel', 'Dozens', 'Main', 'Error', 'Then', 'Andelin', 'Severe']</v>
      </c>
      <c r="D1736" s="3">
        <v>1.0</v>
      </c>
    </row>
    <row r="1737" ht="15.75" customHeight="1">
      <c r="A1737" s="1">
        <v>1735.0</v>
      </c>
      <c r="B1737" s="3" t="s">
        <v>1737</v>
      </c>
      <c r="C1737" s="3" t="str">
        <f>IFERROR(__xludf.DUMMYFUNCTION("GOOGLETRANSLATE(B1737,""id"",""en"")"),"['Trobe', 'tros',' Yesterday ',' Kaga ',' Bener ',' Bener ',' Disappointed ',' Telkom ',' Dad ',' Network ',' Network ',' Kek ',' Gini ']")</f>
        <v>['Trobe', 'tros',' Yesterday ',' Kaga ',' Bener ',' Bener ',' Disappointed ',' Telkom ',' Dad ',' Network ',' Network ',' Kek ',' Gini ']</v>
      </c>
      <c r="D1737" s="3">
        <v>1.0</v>
      </c>
    </row>
    <row r="1738" ht="15.75" customHeight="1">
      <c r="A1738" s="1">
        <v>1736.0</v>
      </c>
      <c r="B1738" s="3" t="s">
        <v>1738</v>
      </c>
      <c r="C1738" s="3" t="str">
        <f>IFERROR(__xludf.DUMMYFUNCTION("GOOGLETRANSLATE(B1738,""id"",""en"")"),"['Disappointed', 'Telkomsel', 'The network', 'slow', 'provider', 'good', 'night', 'already', 'just', 'open', 'line', 'all', ' thank you', '']")</f>
        <v>['Disappointed', 'Telkomsel', 'The network', 'slow', 'provider', 'good', 'night', 'already', 'just', 'open', 'line', 'all', ' thank you', '']</v>
      </c>
      <c r="D1738" s="3">
        <v>1.0</v>
      </c>
    </row>
    <row r="1739" ht="15.75" customHeight="1">
      <c r="A1739" s="1">
        <v>1737.0</v>
      </c>
      <c r="B1739" s="3" t="s">
        <v>1739</v>
      </c>
      <c r="C1739" s="3" t="str">
        <f>IFERROR(__xludf.DUMMYFUNCTION("GOOGLETRANSLATE(B1739,""id"",""en"")"),"['WOI', 'Telkomsel', 'Fill', 'Brain', 'Where', 'Signal', 'JLEK', 'Severe', 'Connection', 'Internet', 'Think', 'Funny', ' AFK ',' Ngegame ',' Funny ',' Bngst ',' Pension ',' Telkomsel ',' Jlng ',' Signal ',' Lag ',' Mulu ',' Waras', 'Pig', 'Retiring' , 'Ra"&amp;"me', 'card', 'pig']")</f>
        <v>['WOI', 'Telkomsel', 'Fill', 'Brain', 'Where', 'Signal', 'JLEK', 'Severe', 'Connection', 'Internet', 'Think', 'Funny', ' AFK ',' Ngegame ',' Funny ',' Bngst ',' Pension ',' Telkomsel ',' Jlng ',' Signal ',' Lag ',' Mulu ',' Waras', 'Pig', 'Retiring' , 'Rame', 'card', 'pig']</v>
      </c>
      <c r="D1739" s="3">
        <v>1.0</v>
      </c>
    </row>
    <row r="1740" ht="15.75" customHeight="1">
      <c r="A1740" s="1">
        <v>1738.0</v>
      </c>
      <c r="B1740" s="3" t="s">
        <v>1740</v>
      </c>
      <c r="C1740" s="3" t="str">
        <f>IFERROR(__xludf.DUMMYFUNCTION("GOOGLETRANSLATE(B1740,""id"",""en"")"),"['slow', 'severe', 'signal', 'home', 'tower', 'telkomsel', 'kayak', 'gini']")</f>
        <v>['slow', 'severe', 'signal', 'home', 'tower', 'telkomsel', 'kayak', 'gini']</v>
      </c>
      <c r="D1740" s="3">
        <v>1.0</v>
      </c>
    </row>
    <row r="1741" ht="15.75" customHeight="1">
      <c r="A1741" s="1">
        <v>1739.0</v>
      </c>
      <c r="B1741" s="3" t="s">
        <v>1741</v>
      </c>
      <c r="C1741" s="3" t="str">
        <f>IFERROR(__xludf.DUMMYFUNCTION("GOOGLETRANSLATE(B1741,""id"",""en"")"),"['loyal', 'use', 'Telkomsel', 'even though', 'expensive', 'guarantee', 'quality', 'Telkomsel', 'slow', 'gini', 'signal', 'full', ' Internet ',' Muter ',' Hadeh ',' Disappointed ',' Very ',' Customer ']")</f>
        <v>['loyal', 'use', 'Telkomsel', 'even though', 'expensive', 'guarantee', 'quality', 'Telkomsel', 'slow', 'gini', 'signal', 'full', ' Internet ',' Muter ',' Hadeh ',' Disappointed ',' Very ',' Customer ']</v>
      </c>
      <c r="D1741" s="3">
        <v>1.0</v>
      </c>
    </row>
    <row r="1742" ht="15.75" customHeight="1">
      <c r="A1742" s="1">
        <v>1740.0</v>
      </c>
      <c r="B1742" s="3" t="s">
        <v>1742</v>
      </c>
      <c r="C1742" s="3" t="str">
        <f>IFERROR(__xludf.DUMMYFUNCTION("GOOGLETRANSLATE(B1742,""id"",""en"")"),"['Telkomsel', 'good', 'change', 'operator', 'expensive', 'signal', 'disturbed', '']")</f>
        <v>['Telkomsel', 'good', 'change', 'operator', 'expensive', 'signal', 'disturbed', '']</v>
      </c>
      <c r="D1742" s="3">
        <v>1.0</v>
      </c>
    </row>
    <row r="1743" ht="15.75" customHeight="1">
      <c r="A1743" s="1">
        <v>1741.0</v>
      </c>
      <c r="B1743" s="3" t="s">
        <v>1743</v>
      </c>
      <c r="C1743" s="3" t="str">
        <f>IFERROR(__xludf.DUMMYFUNCTION("GOOGLETRANSLATE(B1743,""id"",""en"")"),"['Package', 'already', 'package', 'free', 'nelfon', 'kepake', 'cut', 'pulse', 'main', 'slow', 'response', 'really']")</f>
        <v>['Package', 'already', 'package', 'free', 'nelfon', 'kepake', 'cut', 'pulse', 'main', 'slow', 'response', 'really']</v>
      </c>
      <c r="D1743" s="3">
        <v>1.0</v>
      </c>
    </row>
    <row r="1744" ht="15.75" customHeight="1">
      <c r="A1744" s="1">
        <v>1742.0</v>
      </c>
      <c r="B1744" s="3" t="s">
        <v>1744</v>
      </c>
      <c r="C1744" s="3" t="str">
        <f>IFERROR(__xludf.DUMMYFUNCTION("GOOGLETRANSLATE(B1744,""id"",""en"")"),"['Please', 'sorry', 'admin', 'quality', 'network', 'decline', 'signal', 'full', 'sosmed', 'etc.', 'slow', 'really' Hang, 'Kendaan', 'Network', 'Please', 'Admin', 'Fix', 'Quality', 'Network', 'No', 'Move', 'Service', 'Next "",' already ' , 'comfortable', '"&amp;"use', 'Telkomsel', 'darling', 'really', '']")</f>
        <v>['Please', 'sorry', 'admin', 'quality', 'network', 'decline', 'signal', 'full', 'sosmed', 'etc.', 'slow', 'really' Hang, 'Kendaan', 'Network', 'Please', 'Admin', 'Fix', 'Quality', 'Network', 'No', 'Move', 'Service', 'Next ",' already ' , 'comfortable', 'use', 'Telkomsel', 'darling', 'really', '']</v>
      </c>
      <c r="D1744" s="3">
        <v>1.0</v>
      </c>
    </row>
    <row r="1745" ht="15.75" customHeight="1">
      <c r="A1745" s="1">
        <v>1743.0</v>
      </c>
      <c r="B1745" s="3" t="s">
        <v>1745</v>
      </c>
      <c r="C1745" s="3" t="str">
        <f>IFERROR(__xludf.DUMMYFUNCTION("GOOGLETRANSLATE(B1745,""id"",""en"")"),"['Switch', 'Points', 'Points', 'Switch', 'Credit', 'Please', 'Urus']")</f>
        <v>['Switch', 'Points', 'Points', 'Switch', 'Credit', 'Please', 'Urus']</v>
      </c>
      <c r="D1745" s="3">
        <v>5.0</v>
      </c>
    </row>
    <row r="1746" ht="15.75" customHeight="1">
      <c r="A1746" s="1">
        <v>1744.0</v>
      </c>
      <c r="B1746" s="3" t="s">
        <v>1746</v>
      </c>
      <c r="C1746" s="3" t="str">
        <f>IFERROR(__xludf.DUMMYFUNCTION("GOOGLETRANSLATE(B1746,""id"",""en"")"),"['By the way', 'rough', 'little', 'ntar', 'toxic', 'diemin', 'your roar', 'laen', 'jauuuh', 'expensive', 'quality', ' Competing ',' Network ',' Slow ',' Severe ',' Pay ',' Expensive ',' Kayak ',' Gini ',' Service ', ""]")</f>
        <v>['By the way', 'rough', 'little', 'ntar', 'toxic', 'diemin', 'your roar', 'laen', 'jauuuh', 'expensive', 'quality', ' Competing ',' Network ',' Slow ',' Severe ',' Pay ',' Expensive ',' Kayak ',' Gini ',' Service ', "]</v>
      </c>
      <c r="D1746" s="3">
        <v>1.0</v>
      </c>
    </row>
    <row r="1747" ht="15.75" customHeight="1">
      <c r="A1747" s="1">
        <v>1745.0</v>
      </c>
      <c r="B1747" s="3" t="s">
        <v>1747</v>
      </c>
      <c r="C1747" s="3" t="str">
        <f>IFERROR(__xludf.DUMMYFUNCTION("GOOGLETRANSLATE(B1747,""id"",""en"")"),"['Internet', 'Sakti', 'Lost', 'Hbs',' Buy ',' Package ',' Internet ',' Internet ',' Sakti ',' Pain ',' Telkomsel ',' PHP ',' Mulu ',' ']")</f>
        <v>['Internet', 'Sakti', 'Lost', 'Hbs',' Buy ',' Package ',' Internet ',' Internet ',' Sakti ',' Pain ',' Telkomsel ',' PHP ',' Mulu ',' ']</v>
      </c>
      <c r="D1747" s="3">
        <v>1.0</v>
      </c>
    </row>
    <row r="1748" ht="15.75" customHeight="1">
      <c r="A1748" s="1">
        <v>1746.0</v>
      </c>
      <c r="B1748" s="3" t="s">
        <v>1748</v>
      </c>
      <c r="C1748" s="3" t="str">
        <f>IFERROR(__xludf.DUMMYFUNCTION("GOOGLETRANSLATE(B1748,""id"",""en"")"),"['Please', 'Often', 'update', 'update', 'good', 'jelekkkkkkkkkkkkkkkkkkkkkkk']")</f>
        <v>['Please', 'Often', 'update', 'update', 'good', 'jelekkkkkkkkkkkkkkkkkkkkkkk']</v>
      </c>
      <c r="D1748" s="3">
        <v>3.0</v>
      </c>
    </row>
    <row r="1749" ht="15.75" customHeight="1">
      <c r="A1749" s="1">
        <v>1747.0</v>
      </c>
      <c r="B1749" s="3" t="s">
        <v>1749</v>
      </c>
      <c r="C1749" s="3" t="str">
        <f>IFERROR(__xludf.DUMMYFUNCTION("GOOGLETRANSLATE(B1749,""id"",""en"")"),"['Network', 'slow', 'buy', 'package', 'expensive', 'service', 'that's', '']")</f>
        <v>['Network', 'slow', 'buy', 'package', 'expensive', 'service', 'that's', '']</v>
      </c>
      <c r="D1749" s="3">
        <v>1.0</v>
      </c>
    </row>
    <row r="1750" ht="15.75" customHeight="1">
      <c r="A1750" s="1">
        <v>1748.0</v>
      </c>
      <c r="B1750" s="3" t="s">
        <v>1750</v>
      </c>
      <c r="C1750" s="3" t="str">
        <f>IFERROR(__xludf.DUMMYFUNCTION("GOOGLETRANSLATE(B1750,""id"",""en"")"),"['quota', 'game', 'used', 'kiota', 'internet', 'run out', 'aduuh', 'quota', 'game', 'GB', 'donk', 'open', ' Game ',' ']")</f>
        <v>['quota', 'game', 'used', 'kiota', 'internet', 'run out', 'aduuh', 'quota', 'game', 'GB', 'donk', 'open', ' Game ',' ']</v>
      </c>
      <c r="D1750" s="3">
        <v>1.0</v>
      </c>
    </row>
    <row r="1751" ht="15.75" customHeight="1">
      <c r="A1751" s="1">
        <v>1749.0</v>
      </c>
      <c r="B1751" s="3" t="s">
        <v>1751</v>
      </c>
      <c r="C1751" s="3" t="str">
        <f>IFERROR(__xludf.DUMMYFUNCTION("GOOGLETRANSLATE(B1751,""id"",""en"")"),"['Pngen', 'banting', 'Gara', 'Jringanaaa', 'dlu', 'jerjannya', 'skrang', 'bkin', 'emotion', '']")</f>
        <v>['Pngen', 'banting', 'Gara', 'Jringanaaa', 'dlu', 'jerjannya', 'skrang', 'bkin', 'emotion', '']</v>
      </c>
      <c r="D1751" s="3">
        <v>1.0</v>
      </c>
    </row>
    <row r="1752" ht="15.75" customHeight="1">
      <c r="A1752" s="1">
        <v>1750.0</v>
      </c>
      <c r="B1752" s="3" t="s">
        <v>1752</v>
      </c>
      <c r="C1752" s="3" t="str">
        <f>IFERROR(__xludf.DUMMYFUNCTION("GOOGLETRANSLATE(B1752,""id"",""en"")"),"['What', 'response', 'Help', 'Veronika', 'MyTelkomsel', 'Wait', 'Until', 'quota', 'limit', 'run out', 'Dibican', 'quota', ' The limit ',' already ',' help ',' told ',' Wait ',' Level ',' ']")</f>
        <v>['What', 'response', 'Help', 'Veronika', 'MyTelkomsel', 'Wait', 'Until', 'quota', 'limit', 'run out', 'Dibican', 'quota', ' The limit ',' already ',' help ',' told ',' Wait ',' Level ',' ']</v>
      </c>
      <c r="D1752" s="3">
        <v>1.0</v>
      </c>
    </row>
    <row r="1753" ht="15.75" customHeight="1">
      <c r="A1753" s="1">
        <v>1751.0</v>
      </c>
      <c r="B1753" s="3" t="s">
        <v>1753</v>
      </c>
      <c r="C1753" s="3" t="str">
        <f>IFERROR(__xludf.DUMMYFUNCTION("GOOGLETRANSLATE(B1753,""id"",""en"")"),"['update', 'version', 'Nge', 'lag', 'lazy', 'open', 'mytelkomsel']")</f>
        <v>['update', 'version', 'Nge', 'lag', 'lazy', 'open', 'mytelkomsel']</v>
      </c>
      <c r="D1753" s="3">
        <v>5.0</v>
      </c>
    </row>
    <row r="1754" ht="15.75" customHeight="1">
      <c r="A1754" s="1">
        <v>1752.0</v>
      </c>
      <c r="B1754" s="3" t="s">
        <v>1754</v>
      </c>
      <c r="C1754" s="3" t="str">
        <f>IFERROR(__xludf.DUMMYFUNCTION("GOOGLETRANSLATE(B1754,""id"",""en"")"),"['Otw', 'provider', 'name', 'item', 'uda', 'broken', 'normal', 'kek', 'dlu', 'mending', 'cheap', 'TPI', ' Disguis', 'Ryesel', 'really', 'use', 'Telkomsel', 'expensive', 'TPI', 'disorder', ""]")</f>
        <v>['Otw', 'provider', 'name', 'item', 'uda', 'broken', 'normal', 'kek', 'dlu', 'mending', 'cheap', 'TPI', ' Disguis', 'Ryesel', 'really', 'use', 'Telkomsel', 'expensive', 'TPI', 'disorder', "]</v>
      </c>
      <c r="D1754" s="3">
        <v>1.0</v>
      </c>
    </row>
    <row r="1755" ht="15.75" customHeight="1">
      <c r="A1755" s="1">
        <v>1753.0</v>
      </c>
      <c r="B1755" s="3" t="s">
        <v>1755</v>
      </c>
      <c r="C1755" s="3" t="str">
        <f>IFERROR(__xludf.DUMMYFUNCTION("GOOGLETRANSLATE(B1755,""id"",""en"")"),"['Service', 'good', 'application', 'TSL', 'stop', 'makeup', 'quota', 'run out', 'sucked', 'pulse', 'access',' internet ',' No ']")</f>
        <v>['Service', 'good', 'application', 'TSL', 'stop', 'makeup', 'quota', 'run out', 'sucked', 'pulse', 'access',' internet ',' No ']</v>
      </c>
      <c r="D1755" s="3">
        <v>1.0</v>
      </c>
    </row>
    <row r="1756" ht="15.75" customHeight="1">
      <c r="A1756" s="1">
        <v>1754.0</v>
      </c>
      <c r="B1756" s="3" t="s">
        <v>1756</v>
      </c>
      <c r="C1756" s="3" t="str">
        <f>IFERROR(__xludf.DUMMYFUNCTION("GOOGLETRANSLATE(B1756,""id"",""en"")"),"['', 'Sometimes',' difficult ',' kid ',' log ',' hrs', 'slalu', 'notification', 'quota', 'expensive', 'aduuuuu', 'take', 'quota ',' KLW ',' leftover ',' pulse ',' run out ',' sumps', 'where', 'pulse', 'contents',' pulse ',' always', 'run out', 'Telkomsel'"&amp;", 'good', '']")</f>
        <v>['', 'Sometimes',' difficult ',' kid ',' log ',' hrs', 'slalu', 'notification', 'quota', 'expensive', 'aduuuuu', 'take', 'quota ',' KLW ',' leftover ',' pulse ',' run out ',' sumps', 'where', 'pulse', 'contents',' pulse ',' always', 'run out', 'Telkomsel', 'good', '']</v>
      </c>
      <c r="D1756" s="3">
        <v>1.0</v>
      </c>
    </row>
    <row r="1757" ht="15.75" customHeight="1">
      <c r="A1757" s="1">
        <v>1755.0</v>
      </c>
      <c r="B1757" s="3" t="s">
        <v>1757</v>
      </c>
      <c r="C1757" s="3" t="str">
        <f>IFERROR(__xludf.DUMMYFUNCTION("GOOGLETRANSLATE(B1757,""id"",""en"")"),"['Telkomsel', 'slow', 'how', 'use', 'Telkomsel', 'yrs', 'aduhhh', 'please', 'fix', 'move']")</f>
        <v>['Telkomsel', 'slow', 'how', 'use', 'Telkomsel', 'yrs', 'aduhhh', 'please', 'fix', 'move']</v>
      </c>
      <c r="D1757" s="3">
        <v>1.0</v>
      </c>
    </row>
    <row r="1758" ht="15.75" customHeight="1">
      <c r="A1758" s="1">
        <v>1756.0</v>
      </c>
      <c r="B1758" s="3" t="s">
        <v>1758</v>
      </c>
      <c r="C1758" s="3" t="str">
        <f>IFERROR(__xludf.DUMMYFUNCTION("GOOGLETRANSLATE(B1758,""id"",""en"")"),"['Change', 'Logo', 'Bad', 'Service', 'Network', 'Sangaatttt', 'Hurrykk', 'Parahhhh', 'Gag', 'invited', 'friend', 'Telkomsel', ' kapoookkk ',' lbh ',' replace ',' provider ',' lbh ',' service ',' lbh ',' good ',' sorry ',' ']")</f>
        <v>['Change', 'Logo', 'Bad', 'Service', 'Network', 'Sangaatttt', 'Hurrykk', 'Parahhhh', 'Gag', 'invited', 'friend', 'Telkomsel', ' kapoookkk ',' lbh ',' replace ',' provider ',' lbh ',' service ',' lbh ',' good ',' sorry ',' ']</v>
      </c>
      <c r="D1758" s="3">
        <v>1.0</v>
      </c>
    </row>
    <row r="1759" ht="15.75" customHeight="1">
      <c r="A1759" s="1">
        <v>1757.0</v>
      </c>
      <c r="B1759" s="3" t="s">
        <v>1759</v>
      </c>
      <c r="C1759" s="3" t="str">
        <f>IFERROR(__xludf.DUMMYFUNCTION("GOOGLETRANSLATE(B1759,""id"",""en"")"),"['Telkomsel', 'Bujang', 'ngellag', 'times',' according to ',' expensive ',' package ',' paid ',' expensive ',' quality ',' Gunaaa ',' assholennn ',' ']")</f>
        <v>['Telkomsel', 'Bujang', 'ngellag', 'times',' according to ',' expensive ',' package ',' paid ',' expensive ',' quality ',' Gunaaa ',' assholennn ',' ']</v>
      </c>
      <c r="D1759" s="3">
        <v>1.0</v>
      </c>
    </row>
    <row r="1760" ht="15.75" customHeight="1">
      <c r="A1760" s="1">
        <v>1758.0</v>
      </c>
      <c r="B1760" s="3" t="s">
        <v>1760</v>
      </c>
      <c r="C1760" s="3" t="str">
        <f>IFERROR(__xludf.DUMMYFUNCTION("GOOGLETRANSLATE(B1760,""id"",""en"")"),"['best', 'undoubted', 'Jagad', 'world', 'Maya', 'smile', 'promo', 'undoubted', 'smile', 'wahahahahaha']")</f>
        <v>['best', 'undoubted', 'Jagad', 'world', 'Maya', 'smile', 'promo', 'undoubted', 'smile', 'wahahahahaha']</v>
      </c>
      <c r="D1760" s="3">
        <v>5.0</v>
      </c>
    </row>
    <row r="1761" ht="15.75" customHeight="1">
      <c r="A1761" s="1">
        <v>1759.0</v>
      </c>
      <c r="B1761" s="3" t="s">
        <v>1761</v>
      </c>
      <c r="C1761" s="3" t="str">
        <f>IFERROR(__xludf.DUMMYFUNCTION("GOOGLETRANSLATE(B1761,""id"",""en"")"),"['suggestion', 'use', 'Telkomsel', 'network', 'severe', 'package', 'expensive', 'connection', 'stable', 'destroyed', ""]")</f>
        <v>['suggestion', 'use', 'Telkomsel', 'network', 'severe', 'package', 'expensive', 'connection', 'stable', 'destroyed', "]</v>
      </c>
      <c r="D1761" s="3">
        <v>1.0</v>
      </c>
    </row>
    <row r="1762" ht="15.75" customHeight="1">
      <c r="A1762" s="1">
        <v>1760.0</v>
      </c>
      <c r="B1762" s="3" t="s">
        <v>1762</v>
      </c>
      <c r="C1762" s="3" t="str">
        <f>IFERROR(__xludf.DUMMYFUNCTION("GOOGLETRANSLATE(B1762,""id"",""en"")"),"['Disappointed', 'Telkom', 'because', 'slow', 'forgiveness',' right ',' used ',' zoom ',' talk ',' already ',' disappointed ',' regret ',' Already ',' updet ']")</f>
        <v>['Disappointed', 'Telkom', 'because', 'slow', 'forgiveness',' right ',' used ',' zoom ',' talk ',' already ',' disappointed ',' regret ',' Already ',' updet ']</v>
      </c>
      <c r="D1762" s="3">
        <v>1.0</v>
      </c>
    </row>
    <row r="1763" ht="15.75" customHeight="1">
      <c r="A1763" s="1">
        <v>1761.0</v>
      </c>
      <c r="B1763" s="3" t="s">
        <v>1763</v>
      </c>
      <c r="C1763" s="3" t="str">
        <f>IFERROR(__xludf.DUMMYFUNCTION("GOOGLETRANSLATE(B1763,""id"",""en"")"),"['Star', 'Reduce', 'Bintan', 'leftover', 'Telkomsel', 'really', 'already', 'expensive', 'package', 'network', 'slow', 'package', ' Game ',' Data ',' Local ',' Bosa ',' She ',' Yaa ',' Forgiveness', 'Skali', 'Comfort', 'Customer', ""]")</f>
        <v>['Star', 'Reduce', 'Bintan', 'leftover', 'Telkomsel', 'really', 'already', 'expensive', 'package', 'network', 'slow', 'package', ' Game ',' Data ',' Local ',' Bosa ',' She ',' Yaa ',' Forgiveness', 'Skali', 'Comfort', 'Customer', "]</v>
      </c>
      <c r="D1763" s="3">
        <v>1.0</v>
      </c>
    </row>
    <row r="1764" ht="15.75" customHeight="1">
      <c r="A1764" s="1">
        <v>1762.0</v>
      </c>
      <c r="B1764" s="3" t="s">
        <v>1764</v>
      </c>
      <c r="C1764" s="3" t="str">
        <f>IFERROR(__xludf.DUMMYFUNCTION("GOOGLETRANSLATE(B1764,""id"",""en"")"),"['Please', 'Telkomsel', 'please', 'fix', 'speed', 'network', 'dead', 'lights',' missing ',' total ',' already ',' pay ',' Expensive ',' Sis', '']")</f>
        <v>['Please', 'Telkomsel', 'please', 'fix', 'speed', 'network', 'dead', 'lights',' missing ',' total ',' already ',' pay ',' Expensive ',' Sis', '']</v>
      </c>
      <c r="D1764" s="3">
        <v>1.0</v>
      </c>
    </row>
    <row r="1765" ht="15.75" customHeight="1">
      <c r="A1765" s="1">
        <v>1763.0</v>
      </c>
      <c r="B1765" s="3" t="s">
        <v>1765</v>
      </c>
      <c r="C1765" s="3" t="str">
        <f>IFERROR(__xludf.DUMMYFUNCTION("GOOGLETRANSLATE(B1765,""id"",""en"")"),"['Network', 'Kayak', 'Taik', 'Developer', 'Developer', 'Telkomsel', 'Compensation', 'Please', 'Thank you', 'Removed', 'Review']")</f>
        <v>['Network', 'Kayak', 'Taik', 'Developer', 'Developer', 'Telkomsel', 'Compensation', 'Please', 'Thank you', 'Removed', 'Review']</v>
      </c>
      <c r="D1765" s="3">
        <v>1.0</v>
      </c>
    </row>
    <row r="1766" ht="15.75" customHeight="1">
      <c r="A1766" s="1">
        <v>1764.0</v>
      </c>
      <c r="B1766" s="3" t="s">
        <v>1766</v>
      </c>
      <c r="C1766" s="3" t="str">
        <f>IFERROR(__xludf.DUMMYFUNCTION("GOOGLETRANSLATE(B1766,""id"",""en"")"),"['Package', 'Changed', 'Change', 'Move', 'Location', 'dizzy']")</f>
        <v>['Package', 'Changed', 'Change', 'Move', 'Location', 'dizzy']</v>
      </c>
      <c r="D1766" s="3">
        <v>1.0</v>
      </c>
    </row>
    <row r="1767" ht="15.75" customHeight="1">
      <c r="A1767" s="1">
        <v>1765.0</v>
      </c>
      <c r="B1767" s="3" t="s">
        <v>1767</v>
      </c>
      <c r="C1767" s="3" t="str">
        <f>IFERROR(__xludf.DUMMYFUNCTION("GOOGLETRANSLATE(B1767,""id"",""en"")"),"['Credit', 'Cutting', 'PDHL', 'Package', 'Internet', 'Msh', 'Genesis', 'Lbh', 'Please', 'Explanation']")</f>
        <v>['Credit', 'Cutting', 'PDHL', 'Package', 'Internet', 'Msh', 'Genesis', 'Lbh', 'Please', 'Explanation']</v>
      </c>
      <c r="D1767" s="3">
        <v>2.0</v>
      </c>
    </row>
    <row r="1768" ht="15.75" customHeight="1">
      <c r="A1768" s="1">
        <v>1766.0</v>
      </c>
      <c r="B1768" s="3" t="s">
        <v>1768</v>
      </c>
      <c r="C1768" s="3" t="str">
        <f>IFERROR(__xludf.DUMMYFUNCTION("GOOGLETRANSLATE(B1768,""id"",""en"")"),"['', 'Telkomsel', 'signal', 'Susaaaaaaaaaahhhh', 'continues', 'move', 'provider', ""]")</f>
        <v>['', 'Telkomsel', 'signal', 'Susaaaaaaaaaahhhh', 'continues', 'move', 'provider', "]</v>
      </c>
      <c r="D1768" s="3">
        <v>1.0</v>
      </c>
    </row>
    <row r="1769" ht="15.75" customHeight="1">
      <c r="A1769" s="1">
        <v>1767.0</v>
      </c>
      <c r="B1769" s="3" t="s">
        <v>1769</v>
      </c>
      <c r="C1769" s="3" t="str">
        <f>IFERROR(__xludf.DUMMYFUNCTION("GOOGLETRANSLATE(B1769,""id"",""en"")"),"['Telkomsel', 'count on', 'because' network ',' smakin ',' slow ',' orng ',' moved ',' network ',' ']")</f>
        <v>['Telkomsel', 'count on', 'because' network ',' smakin ',' slow ',' orng ',' moved ',' network ',' ']</v>
      </c>
      <c r="D1769" s="3">
        <v>1.0</v>
      </c>
    </row>
    <row r="1770" ht="15.75" customHeight="1">
      <c r="A1770" s="1">
        <v>1768.0</v>
      </c>
      <c r="B1770" s="3" t="s">
        <v>1770</v>
      </c>
      <c r="C1770" s="3" t="str">
        <f>IFERROR(__xludf.DUMMYFUNCTION("GOOGLETRANSLATE(B1770,""id"",""en"")"),"['heart', 'believes',' cutting ',' coupon ',' Rp ',' trap ',' pulse ',' truncated ',' victim ',' read ',' heart ',' heart ',' Already ',' Enter ',' Detiknews', 'Kompas',' Bad ',' Service ',' Telkomsel ', ""]")</f>
        <v>['heart', 'believes',' cutting ',' coupon ',' Rp ',' trap ',' pulse ',' truncated ',' victim ',' read ',' heart ',' heart ',' Already ',' Enter ',' Detiknews', 'Kompas',' Bad ',' Service ',' Telkomsel ', "]</v>
      </c>
      <c r="D1770" s="3">
        <v>1.0</v>
      </c>
    </row>
    <row r="1771" ht="15.75" customHeight="1">
      <c r="A1771" s="1">
        <v>1769.0</v>
      </c>
      <c r="B1771" s="3" t="s">
        <v>1771</v>
      </c>
      <c r="C1771" s="3" t="str">
        <f>IFERROR(__xludf.DUMMYFUNCTION("GOOGLETRANSLATE(B1771,""id"",""en"")"),"['Love', 'star', 'price', 'package', 'cheap', 'quota', 'run out', 'free', 'unlimited', 'GB', 'free']")</f>
        <v>['Love', 'star', 'price', 'package', 'cheap', 'quota', 'run out', 'free', 'unlimited', 'GB', 'free']</v>
      </c>
      <c r="D1771" s="3">
        <v>2.0</v>
      </c>
    </row>
    <row r="1772" ht="15.75" customHeight="1">
      <c r="A1772" s="1">
        <v>1770.0</v>
      </c>
      <c r="B1772" s="3" t="s">
        <v>1772</v>
      </c>
      <c r="C1772" s="3" t="str">
        <f>IFERROR(__xludf.DUMMYFUNCTION("GOOGLETRANSLATE(B1772,""id"",""en"")"),"['User', 'sympathy', 'loyal', 'promo', 'plus', 'because' regular ',' expensive ',' sympathy ',' signal ',' good ',' really ',' Areals', 'Hopefully', 'Jaya', 'Forward', 'Sympathy', '']")</f>
        <v>['User', 'sympathy', 'loyal', 'promo', 'plus', 'because' regular ',' expensive ',' sympathy ',' signal ',' good ',' really ',' Areals', 'Hopefully', 'Jaya', 'Forward', 'Sympathy', '']</v>
      </c>
      <c r="D1772" s="3">
        <v>5.0</v>
      </c>
    </row>
    <row r="1773" ht="15.75" customHeight="1">
      <c r="A1773" s="1">
        <v>1771.0</v>
      </c>
      <c r="B1773" s="3" t="s">
        <v>1773</v>
      </c>
      <c r="C1773" s="3" t="str">
        <f>IFERROR(__xludf.DUMMYFUNCTION("GOOGLETRANSLATE(B1773,""id"",""en"")"),"['application', 'slow', 'slow', 'update', 'kirain', 'good', 'dilapidated']")</f>
        <v>['application', 'slow', 'slow', 'update', 'kirain', 'good', 'dilapidated']</v>
      </c>
      <c r="D1773" s="3">
        <v>1.0</v>
      </c>
    </row>
    <row r="1774" ht="15.75" customHeight="1">
      <c r="A1774" s="1">
        <v>1772.0</v>
      </c>
      <c r="B1774" s="3" t="s">
        <v>1774</v>
      </c>
      <c r="C1774" s="3" t="str">
        <f>IFERROR(__xludf.DUMMYFUNCTION("GOOGLETRANSLATE(B1774,""id"",""en"")"),"['Please', 'assisted', 'repairs',' What's', 'please', 'told', 'user', 'understand', 'users',' Telkomsel ',' network ',' satisfying ',' people ',' moved ',' operator ',' thank ',' love ']")</f>
        <v>['Please', 'assisted', 'repairs',' What's', 'please', 'told', 'user', 'understand', 'users',' Telkomsel ',' network ',' satisfying ',' people ',' moved ',' operator ',' thank ',' love ']</v>
      </c>
      <c r="D1774" s="3">
        <v>1.0</v>
      </c>
    </row>
    <row r="1775" ht="15.75" customHeight="1">
      <c r="A1775" s="1">
        <v>1773.0</v>
      </c>
      <c r="B1775" s="3" t="s">
        <v>1775</v>
      </c>
      <c r="C1775" s="3" t="str">
        <f>IFERROR(__xludf.DUMMYFUNCTION("GOOGLETRANSLATE(B1775,""id"",""en"")"),"['Please', 'Donk', 'Network', 'Telkomsel', 'Repaired', 'Fast', 'Org', 'Village', 'Telkomsel', 'Activities',' Education ',' Lecture ',' Please ',' accelerated ',' improvement ',' network ',' ']")</f>
        <v>['Please', 'Donk', 'Network', 'Telkomsel', 'Repaired', 'Fast', 'Org', 'Village', 'Telkomsel', 'Activities',' Education ',' Lecture ',' Please ',' accelerated ',' improvement ',' network ',' ']</v>
      </c>
      <c r="D1775" s="3">
        <v>5.0</v>
      </c>
    </row>
    <row r="1776" ht="15.75" customHeight="1">
      <c r="A1776" s="1">
        <v>1774.0</v>
      </c>
      <c r="B1776" s="3" t="s">
        <v>1776</v>
      </c>
      <c r="C1776" s="3" t="str">
        <f>IFERROR(__xludf.DUMMYFUNCTION("GOOGLETRANSLATE(B1776,""id"",""en"")"),"['bad', 'disappointed', 'Telkomsel', 'already', 'price', 'package', 'data', 'expensive', 'network', 'rotten', ""]")</f>
        <v>['bad', 'disappointed', 'Telkomsel', 'already', 'price', 'package', 'data', 'expensive', 'network', 'rotten', "]</v>
      </c>
      <c r="D1776" s="3">
        <v>5.0</v>
      </c>
    </row>
    <row r="1777" ht="15.75" customHeight="1">
      <c r="A1777" s="1">
        <v>1775.0</v>
      </c>
      <c r="B1777" s="3" t="s">
        <v>1777</v>
      </c>
      <c r="C1777" s="3" t="str">
        <f>IFERROR(__xludf.DUMMYFUNCTION("GOOGLETRANSLATE(B1777,""id"",""en"")"),"['knapa', 'network', 'Telkomsel', 'slow', 'buy', 'package', 'expensive', 'expensive', 'used', 'please', 'quality', 'network', ' repair', '']")</f>
        <v>['knapa', 'network', 'Telkomsel', 'slow', 'buy', 'package', 'expensive', 'expensive', 'used', 'please', 'quality', 'network', ' repair', '']</v>
      </c>
      <c r="D1777" s="3">
        <v>1.0</v>
      </c>
    </row>
    <row r="1778" ht="15.75" customHeight="1">
      <c r="A1778" s="1">
        <v>1776.0</v>
      </c>
      <c r="B1778" s="3" t="s">
        <v>1778</v>
      </c>
      <c r="C1778" s="3" t="str">
        <f>IFERROR(__xludf.DUMMYFUNCTION("GOOGLETRANSLATE(B1778,""id"",""en"")"),"['Telkomsel', 'Signal', 'Jirangan', 'Telkomsel', 'Disorders',' Sometimes', 'Maen', 'Game', 'Like', 'Nge', 'Leh', 'Network', ' Direct ',' please ',' fix ']")</f>
        <v>['Telkomsel', 'Signal', 'Jirangan', 'Telkomsel', 'Disorders',' Sometimes', 'Maen', 'Game', 'Like', 'Nge', 'Leh', 'Network', ' Direct ',' please ',' fix ']</v>
      </c>
      <c r="D1778" s="3">
        <v>3.0</v>
      </c>
    </row>
    <row r="1779" ht="15.75" customHeight="1">
      <c r="A1779" s="1">
        <v>1777.0</v>
      </c>
      <c r="B1779" s="3" t="s">
        <v>1779</v>
      </c>
      <c r="C1779" s="3" t="str">
        <f>IFERROR(__xludf.DUMMYFUNCTION("GOOGLETRANSLATE(B1779,""id"",""en"")"),"['Telkomsel', 'play', 'game', 'difficult', 'signal', 'play', 'please', 'how', 'Telkom', 'fix']")</f>
        <v>['Telkomsel', 'play', 'game', 'difficult', 'signal', 'play', 'please', 'how', 'Telkom', 'fix']</v>
      </c>
      <c r="D1779" s="3">
        <v>5.0</v>
      </c>
    </row>
    <row r="1780" ht="15.75" customHeight="1">
      <c r="A1780" s="1">
        <v>1778.0</v>
      </c>
      <c r="B1780" s="3" t="s">
        <v>1780</v>
      </c>
      <c r="C1780" s="3" t="str">
        <f>IFERROR(__xludf.DUMMYFUNCTION("GOOGLETRANSLATE(B1780,""id"",""en"")"),"['Sorry', 'Lower', 'Star', 'Price', 'Package', 'Expensive', 'Disappointed', 'Change', 'Price', 'Signal', 'SWMINAK', 'Bad', ' quality ',' Telkomsel ',' users', 'operator', 'Telkomsel', 'already', 'disappointed', 'increase', 'price']")</f>
        <v>['Sorry', 'Lower', 'Star', 'Price', 'Package', 'Expensive', 'Disappointed', 'Change', 'Price', 'Signal', 'SWMINAK', 'Bad', ' quality ',' Telkomsel ',' users', 'operator', 'Telkomsel', 'already', 'disappointed', 'increase', 'price']</v>
      </c>
      <c r="D1780" s="3">
        <v>1.0</v>
      </c>
    </row>
    <row r="1781" ht="15.75" customHeight="1">
      <c r="A1781" s="1">
        <v>1779.0</v>
      </c>
      <c r="B1781" s="3" t="s">
        <v>1781</v>
      </c>
      <c r="C1781" s="3" t="str">
        <f>IFERROR(__xludf.DUMMYFUNCTION("GOOGLETRANSLATE(B1781,""id"",""en"")"),"['Log', 'Mnta', 'code', 'OTP', 'Link', 'already', 'can', 'text', 'Link', 'right', 'click', 'code', ' Valid ',' Prostitution ', ""]")</f>
        <v>['Log', 'Mnta', 'code', 'OTP', 'Link', 'already', 'can', 'text', 'Link', 'right', 'click', 'code', ' Valid ',' Prostitution ', "]</v>
      </c>
      <c r="D1781" s="3">
        <v>1.0</v>
      </c>
    </row>
    <row r="1782" ht="15.75" customHeight="1">
      <c r="A1782" s="1">
        <v>1780.0</v>
      </c>
      <c r="B1782" s="3" t="s">
        <v>1782</v>
      </c>
      <c r="C1782" s="3" t="str">
        <f>IFERROR(__xludf.DUMMYFUNCTION("GOOGLETRANSLATE(B1782,""id"",""en"")"),"['Network', 'Telkomsel', 'Severe', 'Cuk', 'Package', 'Data', 'Expensive', 'Quality', 'Jingan', 'Leet', 'APLGI', 'KLU', ' Rain ',' Worse ',' Forgiveness', 'Fortune', 'JRINGAN', 'Sebit', 'Wlaupun', 'Disorders',' TPI ',' Severe ', ""]")</f>
        <v>['Network', 'Telkomsel', 'Severe', 'Cuk', 'Package', 'Data', 'Expensive', 'Quality', 'Jingan', 'Leet', 'APLGI', 'KLU', ' Rain ',' Worse ',' Forgiveness', 'Fortune', 'JRINGAN', 'Sebit', 'Wlaupun', 'Disorders',' TPI ',' Severe ', "]</v>
      </c>
      <c r="D1782" s="3">
        <v>1.0</v>
      </c>
    </row>
    <row r="1783" ht="15.75" customHeight="1">
      <c r="A1783" s="1">
        <v>1781.0</v>
      </c>
      <c r="B1783" s="3" t="s">
        <v>1783</v>
      </c>
      <c r="C1783" s="3" t="str">
        <f>IFERROR(__xludf.DUMMYFUNCTION("GOOGLETRANSLATE(B1783,""id"",""en"")"),"['Hopefully', 'Lottery', 'Telkomsel', 'Hopefully', 'Telkomsel', 'Jaya', '']")</f>
        <v>['Hopefully', 'Lottery', 'Telkomsel', 'Hopefully', 'Telkomsel', 'Jaya', '']</v>
      </c>
      <c r="D1783" s="3">
        <v>5.0</v>
      </c>
    </row>
    <row r="1784" ht="15.75" customHeight="1">
      <c r="A1784" s="1">
        <v>1782.0</v>
      </c>
      <c r="B1784" s="3" t="s">
        <v>1784</v>
      </c>
      <c r="C1784" s="3" t="str">
        <f>IFERROR(__xludf.DUMMYFUNCTION("GOOGLETRANSLATE(B1784,""id"",""en"")"),"['Signal', 'Telkomsel', 'slow', 'really', 'loss',' buy ',' data ',' operator ',' telkomsel ',' already ',' expensive ',' slow ',' Forgiveness', 'Confused', 'See', 'Telkomsel', 'Dekarag', 'People', 'Change', 'Operator', 'Use', 'Telkomsel', ""]")</f>
        <v>['Signal', 'Telkomsel', 'slow', 'really', 'loss',' buy ',' data ',' operator ',' telkomsel ',' already ',' expensive ',' slow ',' Forgiveness', 'Confused', 'See', 'Telkomsel', 'Dekarag', 'People', 'Change', 'Operator', 'Use', 'Telkomsel', "]</v>
      </c>
      <c r="D1784" s="3">
        <v>1.0</v>
      </c>
    </row>
    <row r="1785" ht="15.75" customHeight="1">
      <c r="A1785" s="1">
        <v>1783.0</v>
      </c>
      <c r="B1785" s="3" t="s">
        <v>1785</v>
      </c>
      <c r="C1785" s="3" t="str">
        <f>IFERROR(__xludf.DUMMYFUNCTION("GOOGLETRANSLATE(B1785,""id"",""en"")"),"['signal', 'in the area', 'Good', 'Place', '']")</f>
        <v>['signal', 'in the area', 'Good', 'Place', '']</v>
      </c>
      <c r="D1785" s="3">
        <v>3.0</v>
      </c>
    </row>
    <row r="1786" ht="15.75" customHeight="1">
      <c r="A1786" s="1">
        <v>1784.0</v>
      </c>
      <c r="B1786" s="3" t="s">
        <v>1786</v>
      </c>
      <c r="C1786" s="3" t="str">
        <f>IFERROR(__xludf.DUMMYFUNCTION("GOOGLETRANSLATE(B1786,""id"",""en"")"),"['Love', 'star', 'smooth', 'network', 'game', 'star', '']")</f>
        <v>['Love', 'star', 'smooth', 'network', 'game', 'star', '']</v>
      </c>
      <c r="D1786" s="3">
        <v>4.0</v>
      </c>
    </row>
    <row r="1787" ht="15.75" customHeight="1">
      <c r="A1787" s="1">
        <v>1785.0</v>
      </c>
      <c r="B1787" s="3" t="s">
        <v>1787</v>
      </c>
      <c r="C1787" s="3" t="str">
        <f>IFERROR(__xludf.DUMMYFUNCTION("GOOGLETRANSLATE(B1787,""id"",""en"")"),"['interesting', 'hope', 'winner', 'winning', '']")</f>
        <v>['interesting', 'hope', 'winner', 'winning', '']</v>
      </c>
      <c r="D1787" s="3">
        <v>5.0</v>
      </c>
    </row>
    <row r="1788" ht="15.75" customHeight="1">
      <c r="A1788" s="1">
        <v>1786.0</v>
      </c>
      <c r="B1788" s="3" t="s">
        <v>1788</v>
      </c>
      <c r="C1788" s="3" t="str">
        <f>IFERROR(__xludf.DUMMYFUNCTION("GOOGLETRANSLATE(B1788,""id"",""en"")"),"['What', 'Telkomsel', 'Comfortable', 'Tuk', 'usage', 'expensive', 'mare', 'users',' paset ',' package ',' msh ',' fill ',' Luemot ',' msyaallah ',' please ',' prbaiki ',' launch ',' kmbali ',' network ',' all ',' pngguna ',' mrasa ',' comfortable ',' brla"&amp;"nggaban ',' Telkomsel ' , '']")</f>
        <v>['What', 'Telkomsel', 'Comfortable', 'Tuk', 'usage', 'expensive', 'mare', 'users',' paset ',' package ',' msh ',' fill ',' Luemot ',' msyaallah ',' please ',' prbaiki ',' launch ',' kmbali ',' network ',' all ',' pngguna ',' mrasa ',' comfortable ',' brlanggaban ',' Telkomsel ' , '']</v>
      </c>
      <c r="D1788" s="3">
        <v>1.0</v>
      </c>
    </row>
    <row r="1789" ht="15.75" customHeight="1">
      <c r="A1789" s="1">
        <v>1787.0</v>
      </c>
      <c r="B1789" s="3" t="s">
        <v>1789</v>
      </c>
      <c r="C1789" s="3" t="str">
        <f>IFERROR(__xludf.DUMMYFUNCTION("GOOGLETRANSLATE(B1789,""id"",""en"")"),"['quota', 'signal', 'karuan', 'muter', 'doang', 'quota', 'cheek', 'fix', 'woy', 'already', 'lbh', 'cook', ' finished ',' ngepain ',' win ',' expensive ',' doang ',' quality ',' karuan ']")</f>
        <v>['quota', 'signal', 'karuan', 'muter', 'doang', 'quota', 'cheek', 'fix', 'woy', 'already', 'lbh', 'cook', ' finished ',' ngepain ',' win ',' expensive ',' doang ',' quality ',' karuan ']</v>
      </c>
      <c r="D1789" s="3">
        <v>1.0</v>
      </c>
    </row>
    <row r="1790" ht="15.75" customHeight="1">
      <c r="A1790" s="1">
        <v>1788.0</v>
      </c>
      <c r="B1790" s="3" t="s">
        <v>1790</v>
      </c>
      <c r="C1790" s="3" t="str">
        <f>IFERROR(__xludf.DUMMYFUNCTION("GOOGLETRANSLATE(B1790,""id"",""en"")"),"['AFK', 'Helpful', 'discount', 'Exchange', 'Points', 'Glad', 'Bangeet', 'Geresal', 'Very']")</f>
        <v>['AFK', 'Helpful', 'discount', 'Exchange', 'Points', 'Glad', 'Bangeet', 'Geresal', 'Very']</v>
      </c>
      <c r="D1790" s="3">
        <v>5.0</v>
      </c>
    </row>
    <row r="1791" ht="15.75" customHeight="1">
      <c r="A1791" s="1">
        <v>1789.0</v>
      </c>
      <c r="B1791" s="3" t="s">
        <v>1791</v>
      </c>
      <c r="C1791" s="3" t="str">
        <f>IFERROR(__xludf.DUMMYFUNCTION("GOOGLETRANSLATE(B1791,""id"",""en"")"),"['heavy', 'slow', 'plus', 'network', 'game', 'online', 'lag', 'severe', 'already', 'rich']")</f>
        <v>['heavy', 'slow', 'plus', 'network', 'game', 'online', 'lag', 'severe', 'already', 'rich']</v>
      </c>
      <c r="D1791" s="3">
        <v>2.0</v>
      </c>
    </row>
    <row r="1792" ht="15.75" customHeight="1">
      <c r="A1792" s="1">
        <v>1790.0</v>
      </c>
      <c r="B1792" s="3" t="s">
        <v>1792</v>
      </c>
      <c r="C1792" s="3" t="str">
        <f>IFERROR(__xludf.DUMMYFUNCTION("GOOGLETRANSLATE(B1792,""id"",""en"")"),"['Kuta', 'signal', 'good', 'speed', 'kbps', 'satisfying']")</f>
        <v>['Kuta', 'signal', 'good', 'speed', 'kbps', 'satisfying']</v>
      </c>
      <c r="D1792" s="3">
        <v>1.0</v>
      </c>
    </row>
    <row r="1793" ht="15.75" customHeight="1">
      <c r="A1793" s="1">
        <v>1791.0</v>
      </c>
      <c r="B1793" s="3" t="s">
        <v>1793</v>
      </c>
      <c r="C1793" s="3" t="str">
        <f>IFERROR(__xludf.DUMMYFUNCTION("GOOGLETRANSLATE(B1793,""id"",""en"")"),"['Application', 'Trapping', 'Customer', 'Package', 'Info', 'Details', 'Use', '']")</f>
        <v>['Application', 'Trapping', 'Customer', 'Package', 'Info', 'Details', 'Use', '']</v>
      </c>
      <c r="D1793" s="3">
        <v>1.0</v>
      </c>
    </row>
    <row r="1794" ht="15.75" customHeight="1">
      <c r="A1794" s="1">
        <v>1792.0</v>
      </c>
      <c r="B1794" s="3" t="s">
        <v>1794</v>
      </c>
      <c r="C1794" s="3" t="str">
        <f>IFERROR(__xludf.DUMMYFUNCTION("GOOGLETRANSLATE(B1794,""id"",""en"")"),"['price', 'expensive', 'service', 'garbage', 'maintenance', 'bother', 'customer', 'difficult', 'connects',' games', 'watch', 'Yutub', ' Hard ',' stay ',' Wait ',' Change ', ""]")</f>
        <v>['price', 'expensive', 'service', 'garbage', 'maintenance', 'bother', 'customer', 'difficult', 'connects',' games', 'watch', 'Yutub', ' Hard ',' stay ',' Wait ',' Change ', "]</v>
      </c>
      <c r="D1794" s="3">
        <v>1.0</v>
      </c>
    </row>
    <row r="1795" ht="15.75" customHeight="1">
      <c r="A1795" s="1">
        <v>1793.0</v>
      </c>
      <c r="B1795" s="3" t="s">
        <v>1795</v>
      </c>
      <c r="C1795" s="3" t="str">
        <f>IFERROR(__xludf.DUMMYFUNCTION("GOOGLETRANSLATE(B1795,""id"",""en"")"),"['apk', 'mmg', 'good', 'purchase', 'package', 'smooth', 'knp', 'msti', 'package', 'divided', 'internet', 'multimedia', ' NMN ',' Network ',' Server ',' Telkomsel ',' Severe ',' Forgiveness', 'Send', 'Lalod', 'BLM', 'Tuk', 'Play', 'YouTube', 'BLM' , 'game'"&amp;", 'online', 'package', 'expensive', 'beg', 'sorry', 'exacerbated', 'user', 'telkomsel', 'hmpir', 'beg', 'use', ' Telkomsel ',' sharing ',' according to ',' maslah ',' in ',' Telkomsel ', ""]")</f>
        <v>['apk', 'mmg', 'good', 'purchase', 'package', 'smooth', 'knp', 'msti', 'package', 'divided', 'internet', 'multimedia', ' NMN ',' Network ',' Server ',' Telkomsel ',' Severe ',' Forgiveness', 'Send', 'Lalod', 'BLM', 'Tuk', 'Play', 'YouTube', 'BLM' , 'game', 'online', 'package', 'expensive', 'beg', 'sorry', 'exacerbated', 'user', 'telkomsel', 'hmpir', 'beg', 'use', ' Telkomsel ',' sharing ',' according to ',' maslah ',' in ',' Telkomsel ', "]</v>
      </c>
      <c r="D1795" s="3">
        <v>4.0</v>
      </c>
    </row>
    <row r="1796" ht="15.75" customHeight="1">
      <c r="A1796" s="1">
        <v>1794.0</v>
      </c>
      <c r="B1796" s="3" t="s">
        <v>1796</v>
      </c>
      <c r="C1796" s="3" t="str">
        <f>IFERROR(__xludf.DUMMYFUNCTION("GOOGLETRANSLATE(B1796,""id"",""en"")"),"['hahaha', 'profitable', 'user', 'loyal', 'moved', 'provider', 'user', 'moved', 'loyal', 'use', 'telkomsel', 'nge', ' lag ',' traffic ',' little ',' slow ',' the term ',' like ',' fight ',' signal ',' survive ',' win ',' ']")</f>
        <v>['hahaha', 'profitable', 'user', 'loyal', 'moved', 'provider', 'user', 'moved', 'loyal', 'use', 'telkomsel', 'nge', ' lag ',' traffic ',' little ',' slow ',' the term ',' like ',' fight ',' signal ',' survive ',' win ',' ']</v>
      </c>
      <c r="D1796" s="3">
        <v>5.0</v>
      </c>
    </row>
    <row r="1797" ht="15.75" customHeight="1">
      <c r="A1797" s="1">
        <v>1795.0</v>
      </c>
      <c r="B1797" s="3" t="s">
        <v>1797</v>
      </c>
      <c r="C1797" s="3" t="str">
        <f>IFERROR(__xludf.DUMMYFUNCTION("GOOGLETRANSLATE(B1797,""id"",""en"")"),"['Duh', 'App', 'problem', 'already', 'for', 'Gunain', 'MyTelkomsel', 'Gini', 'Constraints',' Credit ',' Reduced ',' Rb ',' rb ',' and that ',' pulses', 'use', 'deliberate', 'let stand', 'rb', 'strange', 'pulse', 'lost', 'pulse', 'rb', 'suck' , 'Rb', 'Maka"&amp;"i', 'Internet', 'Tel', 'SMS', ""]")</f>
        <v>['Duh', 'App', 'problem', 'already', 'for', 'Gunain', 'MyTelkomsel', 'Gini', 'Constraints',' Credit ',' Reduced ',' Rb ',' rb ',' and that ',' pulses', 'use', 'deliberate', 'let stand', 'rb', 'strange', 'pulse', 'lost', 'pulse', 'rb', 'suck' , 'Rb', 'Makai', 'Internet', 'Tel', 'SMS', "]</v>
      </c>
      <c r="D1797" s="3">
        <v>1.0</v>
      </c>
    </row>
    <row r="1798" ht="15.75" customHeight="1">
      <c r="A1798" s="1">
        <v>1796.0</v>
      </c>
      <c r="B1798" s="3" t="s">
        <v>1798</v>
      </c>
      <c r="C1798" s="3" t="str">
        <f>IFERROR(__xludf.DUMMYFUNCTION("GOOGLETRANSLATE(B1798,""id"",""en"")"),"['aspect', 'device', 'location', 'operator', 'other', 'indosat', 'smart', 'etc.', 'device', 'belongs',' friend ',' good ',' smooth ',' date ',' AGT ',' sampek ',' signal ',' sympathy ',' really ',' bad ',' really ',' expensive ',' tlg ',' fix ',' system '"&amp;" , 'Hi', 'Sis', 'Please', 'Sorry', 'Sister', 'Comfortable', 'Bla', 'bla', ""]")</f>
        <v>['aspect', 'device', 'location', 'operator', 'other', 'indosat', 'smart', 'etc.', 'device', 'belongs',' friend ',' good ',' smooth ',' date ',' AGT ',' sampek ',' signal ',' sympathy ',' really ',' bad ',' really ',' expensive ',' tlg ',' fix ',' system ' , 'Hi', 'Sis', 'Please', 'Sorry', 'Sister', 'Comfortable', 'Bla', 'bla', "]</v>
      </c>
      <c r="D1798" s="3">
        <v>1.0</v>
      </c>
    </row>
    <row r="1799" ht="15.75" customHeight="1">
      <c r="A1799" s="1">
        <v>1797.0</v>
      </c>
      <c r="B1799" s="3" t="s">
        <v>1799</v>
      </c>
      <c r="C1799" s="3" t="str">
        <f>IFERROR(__xludf.DUMMYFUNCTION("GOOGLETRANSLATE(B1799,""id"",""en"")"),"['signal', 'Telkomsel', 'NGK', 'according to', 'price', 'price', 'expensive', 'signal', 'Like', 'trash', 'NGK', 'Setabil', ' ']")</f>
        <v>['signal', 'Telkomsel', 'NGK', 'according to', 'price', 'price', 'expensive', 'signal', 'Like', 'trash', 'NGK', 'Setabil', ' ']</v>
      </c>
      <c r="D1799" s="3">
        <v>1.0</v>
      </c>
    </row>
    <row r="1800" ht="15.75" customHeight="1">
      <c r="A1800" s="1">
        <v>1798.0</v>
      </c>
      <c r="B1800" s="3" t="s">
        <v>1800</v>
      </c>
      <c r="C1800" s="3" t="str">
        <f>IFERROR(__xludf.DUMMYFUNCTION("GOOGLETRANSLATE(B1800,""id"",""en"")"),"['Please', 'repaired', 'Fast', 'Network', 'Subdistrict', 'Malawesi', 'South', 'Selatan', 'Already', 'Games',' Overcoming ',' Trjadi ',' Serve ']")</f>
        <v>['Please', 'repaired', 'Fast', 'Network', 'Subdistrict', 'Malawesi', 'South', 'Selatan', 'Already', 'Games',' Overcoming ',' Trjadi ',' Serve ']</v>
      </c>
      <c r="D1800" s="3">
        <v>1.0</v>
      </c>
    </row>
    <row r="1801" ht="15.75" customHeight="1">
      <c r="A1801" s="1">
        <v>1799.0</v>
      </c>
      <c r="B1801" s="3" t="s">
        <v>1801</v>
      </c>
      <c r="C1801" s="3" t="str">
        <f>IFERROR(__xludf.DUMMYFUNCTION("GOOGLETRANSLATE(B1801,""id"",""en"")"),"['Bener', 'Telkomsel', 'Indihome', 'Age', 'Stone', 'Operator', 'Hurry', 'Enter', 'My Area', 'Change', 'Provider', 'As soon as possible]")</f>
        <v>['Bener', 'Telkomsel', 'Indihome', 'Age', 'Stone', 'Operator', 'Hurry', 'Enter', 'My Area', 'Change', 'Provider', 'As soon as possible]</v>
      </c>
      <c r="D1801" s="3">
        <v>2.0</v>
      </c>
    </row>
    <row r="1802" ht="15.75" customHeight="1">
      <c r="A1802" s="1">
        <v>1800.0</v>
      </c>
      <c r="B1802" s="3" t="s">
        <v>1802</v>
      </c>
      <c r="C1802" s="3" t="str">
        <f>IFERROR(__xludf.DUMMYFUNCTION("GOOGLETRANSLATE(B1802,""id"",""en"")"),"['Severe', 'really', 'min', 'network', 'internet', 'already', 'price', 'package', 'data', 'internet', 'above', 'quality', ' network', '']")</f>
        <v>['Severe', 'really', 'min', 'network', 'internet', 'already', 'price', 'package', 'data', 'internet', 'above', 'quality', ' network', '']</v>
      </c>
      <c r="D1802" s="3">
        <v>1.0</v>
      </c>
    </row>
    <row r="1803" ht="15.75" customHeight="1">
      <c r="A1803" s="1">
        <v>1801.0</v>
      </c>
      <c r="B1803" s="3" t="s">
        <v>1803</v>
      </c>
      <c r="C1803" s="3" t="str">
        <f>IFERROR(__xludf.DUMMYFUNCTION("GOOGLETRANSLATE(B1803,""id"",""en"")"),"['Just', 'Suggestion', 'Verification', 'Login', 'Choice', 'SMS', 'Call', 'Click', 'Link', 'Menu', 'Number', 'Hoax', ' Number ',' Login ',' Move ',' Account ',' Easy ',' Ribet ',' Verication ',' Repeated ',' Security ',' Lebay ']")</f>
        <v>['Just', 'Suggestion', 'Verification', 'Login', 'Choice', 'SMS', 'Call', 'Click', 'Link', 'Menu', 'Number', 'Hoax', ' Number ',' Login ',' Move ',' Account ',' Easy ',' Ribet ',' Verication ',' Repeated ',' Security ',' Lebay ']</v>
      </c>
      <c r="D1803" s="3">
        <v>1.0</v>
      </c>
    </row>
    <row r="1804" ht="15.75" customHeight="1">
      <c r="A1804" s="1">
        <v>1802.0</v>
      </c>
      <c r="B1804" s="3" t="s">
        <v>1804</v>
      </c>
      <c r="C1804" s="3" t="str">
        <f>IFERROR(__xludf.DUMMYFUNCTION("GOOGLETRANSLATE(B1804,""id"",""en"")"),"['price', 'package', 'expensive', 'signal', 'broke', 'replace', 'director', 'stabilan', 'internet', 'indo', 'smooth', '']")</f>
        <v>['price', 'package', 'expensive', 'signal', 'broke', 'replace', 'director', 'stabilan', 'internet', 'indo', 'smooth', '']</v>
      </c>
      <c r="D1804" s="3">
        <v>1.0</v>
      </c>
    </row>
    <row r="1805" ht="15.75" customHeight="1">
      <c r="A1805" s="1">
        <v>1803.0</v>
      </c>
      <c r="B1805" s="3" t="s">
        <v>1805</v>
      </c>
      <c r="C1805" s="3" t="str">
        <f>IFERROR(__xludf.DUMMYFUNCTION("GOOGLETRANSLATE(B1805,""id"",""en"")"),"['best', 'product', 'pride', 'BUMN', 'price', 'quality', 'low', 'surprised', 'BUMN', 'bankrupt', 'next', 'sell', ' Follow it ',' quality ',' bad ',' abandoned ', ""]")</f>
        <v>['best', 'product', 'pride', 'BUMN', 'price', 'quality', 'low', 'surprised', 'BUMN', 'bankrupt', 'next', 'sell', ' Follow it ',' quality ',' bad ',' abandoned ', "]</v>
      </c>
      <c r="D1805" s="3">
        <v>1.0</v>
      </c>
    </row>
    <row r="1806" ht="15.75" customHeight="1">
      <c r="A1806" s="1">
        <v>1804.0</v>
      </c>
      <c r="B1806" s="3" t="s">
        <v>1806</v>
      </c>
      <c r="C1806" s="3" t="str">
        <f>IFERROR(__xludf.DUMMYFUNCTION("GOOGLETRANSLATE(B1806,""id"",""en"")"),"['Transfer', 'Credit', 'Costs', 'admin', 'expensive', 'already', 'internet', 'slow']")</f>
        <v>['Transfer', 'Credit', 'Costs', 'admin', 'expensive', 'already', 'internet', 'slow']</v>
      </c>
      <c r="D1806" s="3">
        <v>1.0</v>
      </c>
    </row>
    <row r="1807" ht="15.75" customHeight="1">
      <c r="A1807" s="1">
        <v>1805.0</v>
      </c>
      <c r="B1807" s="3" t="s">
        <v>1807</v>
      </c>
      <c r="C1807" s="3" t="str">
        <f>IFERROR(__xludf.DUMMYFUNCTION("GOOGLETRANSLATE(B1807,""id"",""en"")"),"['Woy', 'Telkomsel', 'network', 'slow', 'really', 'member', 'platinum', 'quota', 'disappointed', 'Telkomsel', 'already', ""]")</f>
        <v>['Woy', 'Telkomsel', 'network', 'slow', 'really', 'member', 'platinum', 'quota', 'disappointed', 'Telkomsel', 'already', "]</v>
      </c>
      <c r="D1807" s="3">
        <v>1.0</v>
      </c>
    </row>
    <row r="1808" ht="15.75" customHeight="1">
      <c r="A1808" s="1">
        <v>1806.0</v>
      </c>
      <c r="B1808" s="3" t="s">
        <v>1808</v>
      </c>
      <c r="C1808" s="3" t="str">
        <f>IFERROR(__xludf.DUMMYFUNCTION("GOOGLETRANSLATE(B1808,""id"",""en"")"),"['oath', 'Ojol', 'Disappointed', 'Telkomsel', 'Signal', 'Lemot', 'Severe']")</f>
        <v>['oath', 'Ojol', 'Disappointed', 'Telkomsel', 'Signal', 'Lemot', 'Severe']</v>
      </c>
      <c r="D1808" s="3">
        <v>1.0</v>
      </c>
    </row>
    <row r="1809" ht="15.75" customHeight="1">
      <c r="A1809" s="1">
        <v>1807.0</v>
      </c>
      <c r="B1809" s="3" t="s">
        <v>1809</v>
      </c>
      <c r="C1809" s="3" t="str">
        <f>IFERROR(__xludf.DUMMYFUNCTION("GOOGLETRANSLATE(B1809,""id"",""en"")"),"['knapa', 'network', 'like', 'ilang', 'Maen', 'game', 'uadah', 'money', 'ajinz', 'regret', 'card', 'mending', ' Exsis', 'stable', '']")</f>
        <v>['knapa', 'network', 'like', 'ilang', 'Maen', 'game', 'uadah', 'money', 'ajinz', 'regret', 'card', 'mending', ' Exsis', 'stable', '']</v>
      </c>
      <c r="D1809" s="3">
        <v>1.0</v>
      </c>
    </row>
    <row r="1810" ht="15.75" customHeight="1">
      <c r="A1810" s="1">
        <v>1808.0</v>
      </c>
      <c r="B1810" s="3" t="s">
        <v>1810</v>
      </c>
      <c r="C1810" s="3" t="str">
        <f>IFERROR(__xludf.DUMMYFUNCTION("GOOGLETRANSLATE(B1810,""id"",""en"")"),"['already', 'upgrade', 'hello', 'slow', 'dead', 'network', 'kirain', 'good', 'bother', 'forced', 'buy', 'quota', ' network ',' cuih ']")</f>
        <v>['already', 'upgrade', 'hello', 'slow', 'dead', 'network', 'kirain', 'good', 'bother', 'forced', 'buy', 'quota', ' network ',' cuih ']</v>
      </c>
      <c r="D1810" s="3">
        <v>1.0</v>
      </c>
    </row>
    <row r="1811" ht="15.75" customHeight="1">
      <c r="A1811" s="1">
        <v>1809.0</v>
      </c>
      <c r="B1811" s="3" t="s">
        <v>1811</v>
      </c>
      <c r="C1811" s="3" t="str">
        <f>IFERROR(__xludf.DUMMYFUNCTION("GOOGLETRANSLATE(B1811,""id"",""en"")"),"['use', 'Telkomsel', 'yrs',' Feel ',' connection ',' internet ',' bad ',' slow ',' full ',' signal ',' kayak ',' signal ',' EDGE ',' Internet ',' ']")</f>
        <v>['use', 'Telkomsel', 'yrs',' Feel ',' connection ',' internet ',' bad ',' slow ',' full ',' signal ',' kayak ',' signal ',' EDGE ',' Internet ',' ']</v>
      </c>
      <c r="D1811" s="3">
        <v>1.0</v>
      </c>
    </row>
    <row r="1812" ht="15.75" customHeight="1">
      <c r="A1812" s="1">
        <v>1810.0</v>
      </c>
      <c r="B1812" s="3" t="s">
        <v>1812</v>
      </c>
      <c r="C1812" s="3" t="str">
        <f>IFERROR(__xludf.DUMMYFUNCTION("GOOGLETRANSLATE(B1812,""id"",""en"")"),"['Play', 'Game', 'Lose', 'Gara', 'The Network', 'Lost', 'Package', 'Expensive', 'Quality', 'Bad', 'If', 'card', ' Use ',' Card ',' Switch ']")</f>
        <v>['Play', 'Game', 'Lose', 'Gara', 'The Network', 'Lost', 'Package', 'Expensive', 'Quality', 'Bad', 'If', 'card', ' Use ',' Card ',' Switch ']</v>
      </c>
      <c r="D1812" s="3">
        <v>1.0</v>
      </c>
    </row>
    <row r="1813" ht="15.75" customHeight="1">
      <c r="A1813" s="1">
        <v>1811.0</v>
      </c>
      <c r="B1813" s="3" t="s">
        <v>1813</v>
      </c>
      <c r="C1813" s="3" t="str">
        <f>IFERROR(__xludf.DUMMYFUNCTION("GOOGLETRANSLATE(B1813,""id"",""en"")"),"['Telkomsel', 'suggestion', 'please', 'given', 'feature', 'pulse', 'safe', 'package', 'run out', 'pulse', 'follow', 'run out', ' Many ',' that's', 'buy', 'pulse', 'mostly', 'times',' buy ',' package ',' data ',' right ',' packetan ',' abis', 'pulses' , 'A"&amp;"bis', 'Forgot', 'Matiin', 'Data', 'Please', 'Love', 'Feature', 'Credit', 'Safe']")</f>
        <v>['Telkomsel', 'suggestion', 'please', 'given', 'feature', 'pulse', 'safe', 'package', 'run out', 'pulse', 'follow', 'run out', ' Many ',' that's', 'buy', 'pulse', 'mostly', 'times',' buy ',' package ',' data ',' right ',' packetan ',' abis', 'pulses' , 'Abis', 'Forgot', 'Matiin', 'Data', 'Please', 'Love', 'Feature', 'Credit', 'Safe']</v>
      </c>
      <c r="D1813" s="3">
        <v>3.0</v>
      </c>
    </row>
    <row r="1814" ht="15.75" customHeight="1">
      <c r="A1814" s="1">
        <v>1812.0</v>
      </c>
      <c r="B1814" s="3" t="s">
        <v>1814</v>
      </c>
      <c r="C1814" s="3" t="str">
        <f>IFERROR(__xludf.DUMMYFUNCTION("GOOGLETRANSLATE(B1814,""id"",""en"")"),"['Application', 'Helping', 'transact', 'Thank you', 'MyTelkomsel', '']")</f>
        <v>['Application', 'Helping', 'transact', 'Thank you', 'MyTelkomsel', '']</v>
      </c>
      <c r="D1814" s="3">
        <v>5.0</v>
      </c>
    </row>
    <row r="1815" ht="15.75" customHeight="1">
      <c r="A1815" s="1">
        <v>1813.0</v>
      </c>
      <c r="B1815" s="3" t="s">
        <v>1815</v>
      </c>
      <c r="C1815" s="3" t="str">
        <f>IFERROR(__xludf.DUMMYFUNCTION("GOOGLETRANSLATE(B1815,""id"",""en"")"),"['Please', 'fix', 'as fast', 'network', 'boss', 'Telkomsel']")</f>
        <v>['Please', 'fix', 'as fast', 'network', 'boss', 'Telkomsel']</v>
      </c>
      <c r="D1815" s="3">
        <v>5.0</v>
      </c>
    </row>
    <row r="1816" ht="15.75" customHeight="1">
      <c r="A1816" s="1">
        <v>1814.0</v>
      </c>
      <c r="B1816" s="3" t="s">
        <v>1816</v>
      </c>
      <c r="C1816" s="3" t="str">
        <f>IFERROR(__xludf.DUMMYFUNCTION("GOOGLETRANSLATE(B1816,""id"",""en"")"),"['Disruption', 'Network', 'Internet', 'Bulk', 'Sep', 'Work', 'Productivity', 'Decreases', 'School', 'School', 'Online', ""]")</f>
        <v>['Disruption', 'Network', 'Internet', 'Bulk', 'Sep', 'Work', 'Productivity', 'Decreases', 'School', 'School', 'Online', "]</v>
      </c>
      <c r="D1816" s="3">
        <v>1.0</v>
      </c>
    </row>
    <row r="1817" ht="15.75" customHeight="1">
      <c r="A1817" s="1">
        <v>1815.0</v>
      </c>
      <c r="B1817" s="3" t="s">
        <v>1817</v>
      </c>
      <c r="C1817" s="3" t="str">
        <f>IFERROR(__xludf.DUMMYFUNCTION("GOOGLETRANSLATE(B1817,""id"",""en"")"),"['Use', 'Package', 'Disorders', 'Extend', 'Use', 'My Internet']")</f>
        <v>['Use', 'Package', 'Disorders', 'Extend', 'Use', 'My Internet']</v>
      </c>
      <c r="D1817" s="3">
        <v>1.0</v>
      </c>
    </row>
    <row r="1818" ht="15.75" customHeight="1">
      <c r="A1818" s="1">
        <v>1816.0</v>
      </c>
      <c r="B1818" s="3" t="s">
        <v>1818</v>
      </c>
      <c r="C1818" s="3" t="str">
        <f>IFERROR(__xludf.DUMMYFUNCTION("GOOGLETRANSLATE(B1818,""id"",""en"")"),"['signal', 'sympathy', 'slow', 'wil', 'gresik', 'java', 'east', 'parahhhh', 'beg', 'follow', 'continue', 'fix', ' ']")</f>
        <v>['signal', 'sympathy', 'slow', 'wil', 'gresik', 'java', 'east', 'parahhhh', 'beg', 'follow', 'continue', 'fix', ' ']</v>
      </c>
      <c r="D1818" s="3">
        <v>1.0</v>
      </c>
    </row>
    <row r="1819" ht="15.75" customHeight="1">
      <c r="A1819" s="1">
        <v>1817.0</v>
      </c>
      <c r="B1819" s="3" t="s">
        <v>1819</v>
      </c>
      <c r="C1819" s="3" t="str">
        <f>IFERROR(__xludf.DUMMYFUNCTION("GOOGLETRANSLATE(B1819,""id"",""en"")"),"['already', 'chek', 'TPI', 'claim', 'package', 'quota', 'internet', 'already', 'updet', 'ilang', 'writing', 'chek', ' Reasoning ',' card ']")</f>
        <v>['already', 'chek', 'TPI', 'claim', 'package', 'quota', 'internet', 'already', 'updet', 'ilang', 'writing', 'chek', ' Reasoning ',' card ']</v>
      </c>
      <c r="D1819" s="3">
        <v>1.0</v>
      </c>
    </row>
    <row r="1820" ht="15.75" customHeight="1">
      <c r="A1820" s="1">
        <v>1818.0</v>
      </c>
      <c r="B1820" s="3" t="s">
        <v>1820</v>
      </c>
      <c r="C1820" s="3" t="str">
        <f>IFERROR(__xludf.DUMMYFUNCTION("GOOGLETRANSLATE(B1820,""id"",""en"")"),"['Lemot', 'really', 'person', 'isolation', 'search', 'entertainment', 'slow', 'emotion', 'gara', 'muter', 'the network']")</f>
        <v>['Lemot', 'really', 'person', 'isolation', 'search', 'entertainment', 'slow', 'emotion', 'gara', 'muter', 'the network']</v>
      </c>
      <c r="D1820" s="3">
        <v>1.0</v>
      </c>
    </row>
    <row r="1821" ht="15.75" customHeight="1">
      <c r="A1821" s="1">
        <v>1819.0</v>
      </c>
      <c r="B1821" s="3" t="s">
        <v>1821</v>
      </c>
      <c r="C1821" s="3" t="str">
        <f>IFERROR(__xludf.DUMMYFUNCTION("GOOGLETRANSLATE(B1821,""id"",""en"")"),"['', 'Axiata', 'The', 'Best', 'Mimin', 'Gaada', 'Shy', 'Rates', 'Rates', 'Expensive', 'Network', 'Worst']")</f>
        <v>['', 'Axiata', 'The', 'Best', 'Mimin', 'Gaada', 'Shy', 'Rates', 'Rates', 'Expensive', 'Network', 'Worst']</v>
      </c>
      <c r="D1821" s="3">
        <v>1.0</v>
      </c>
    </row>
    <row r="1822" ht="15.75" customHeight="1">
      <c r="A1822" s="1">
        <v>1820.0</v>
      </c>
      <c r="B1822" s="3" t="s">
        <v>1822</v>
      </c>
      <c r="C1822" s="3" t="str">
        <f>IFERROR(__xludf.DUMMYFUNCTION("GOOGLETRANSLATE(B1822,""id"",""en"")"),"['Telkomsel', 'cheat', 'right', 'chek', 'right', 'point', 'claim', 'bonus',' giga ',' broken ',' nggk ',' chek ',' Cheat ',' Keep ',' name ',' BISSS ',' GOLD ',' Perdana ',' Boss', 'Chek', 'Eliminate', 'Chek', 'Bonus',' Boot ']")</f>
        <v>['Telkomsel', 'cheat', 'right', 'chek', 'right', 'point', 'claim', 'bonus',' giga ',' broken ',' nggk ',' chek ',' Cheat ',' Keep ',' name ',' BISSS ',' GOLD ',' Perdana ',' Boss', 'Chek', 'Eliminate', 'Chek', 'Bonus',' Boot ']</v>
      </c>
      <c r="D1822" s="3">
        <v>1.0</v>
      </c>
    </row>
    <row r="1823" ht="15.75" customHeight="1">
      <c r="A1823" s="1">
        <v>1821.0</v>
      </c>
      <c r="B1823" s="3" t="s">
        <v>1823</v>
      </c>
      <c r="C1823" s="3" t="str">
        <f>IFERROR(__xludf.DUMMYFUNCTION("GOOGLETRANSLATE(B1823,""id"",""en"")"),"['disruption', 'tired', 'tired', 'min', 'gini', 'home', 'indiehome', 'data', 'cellular', 'telkomsel', 'already', 'pay', ' expensive ',' neighbor ',' min ',' please ',' noticed ', ""]")</f>
        <v>['disruption', 'tired', 'tired', 'min', 'gini', 'home', 'indiehome', 'data', 'cellular', 'telkomsel', 'already', 'pay', ' expensive ',' neighbor ',' min ',' please ',' noticed ', "]</v>
      </c>
      <c r="D1823" s="3">
        <v>4.0</v>
      </c>
    </row>
    <row r="1824" ht="15.75" customHeight="1">
      <c r="A1824" s="1">
        <v>1822.0</v>
      </c>
      <c r="B1824" s="3" t="s">
        <v>1824</v>
      </c>
      <c r="C1824" s="3" t="str">
        <f>IFERROR(__xludf.DUMMYFUNCTION("GOOGLETRANSLATE(B1824,""id"",""en"")"),"['signal', 'bad', 'already', 'Males', 'Telkom', 'disappointed', 'already', 'many years', 'subscribe', 'disappointing']")</f>
        <v>['signal', 'bad', 'already', 'Males', 'Telkom', 'disappointed', 'already', 'many years', 'subscribe', 'disappointing']</v>
      </c>
      <c r="D1824" s="3">
        <v>1.0</v>
      </c>
    </row>
    <row r="1825" ht="15.75" customHeight="1">
      <c r="A1825" s="1">
        <v>1823.0</v>
      </c>
      <c r="B1825" s="3" t="s">
        <v>1825</v>
      </c>
      <c r="C1825" s="3" t="str">
        <f>IFERROR(__xludf.DUMMYFUNCTION("GOOGLETRANSLATE(B1825,""id"",""en"")"),"['Slow', 'Severe', 'Network', 'Super', 'Fast', 'TPI', 'Reality', 'Slow', 'Super', 'Severe', 'I', 'already', ' Loss', 'Telkomsel', 'giving', 'gnti', 'loss',' the situation ',' ']")</f>
        <v>['Slow', 'Severe', 'Network', 'Super', 'Fast', 'TPI', 'Reality', 'Slow', 'Super', 'Severe', 'I', 'already', ' Loss', 'Telkomsel', 'giving', 'gnti', 'loss',' the situation ',' ']</v>
      </c>
      <c r="D1825" s="3">
        <v>1.0</v>
      </c>
    </row>
    <row r="1826" ht="15.75" customHeight="1">
      <c r="A1826" s="1">
        <v>1824.0</v>
      </c>
      <c r="B1826" s="3" t="s">
        <v>1826</v>
      </c>
      <c r="C1826" s="3" t="str">
        <f>IFERROR(__xludf.DUMMYFUNCTION("GOOGLETRANSLATE(B1826,""id"",""en"")"),"['woi', 'package', 'me', 'mobalegen', 'muter', 'me', 'users',' telkom ',' disappointed ',' bngke ',' right ',' maen ',' lag ',' Tlkom ',' fix ',' network ',' woii ',' package ',' maen ',' game ',' broken ',' ']")</f>
        <v>['woi', 'package', 'me', 'mobalegen', 'muter', 'me', 'users',' telkom ',' disappointed ',' bngke ',' right ',' maen ',' lag ',' Tlkom ',' fix ',' network ',' woii ',' package ',' maen ',' game ',' broken ',' ']</v>
      </c>
      <c r="D1826" s="3">
        <v>1.0</v>
      </c>
    </row>
    <row r="1827" ht="15.75" customHeight="1">
      <c r="A1827" s="1">
        <v>1825.0</v>
      </c>
      <c r="B1827" s="3" t="s">
        <v>1827</v>
      </c>
      <c r="C1827" s="3" t="str">
        <f>IFERROR(__xludf.DUMMYFUNCTION("GOOGLETRANSLATE(B1827,""id"",""en"")"),"['Telkomsel', 'The network', 'fix', '']")</f>
        <v>['Telkomsel', 'The network', 'fix', '']</v>
      </c>
      <c r="D1827" s="3">
        <v>2.0</v>
      </c>
    </row>
    <row r="1828" ht="15.75" customHeight="1">
      <c r="A1828" s="1">
        <v>1826.0</v>
      </c>
      <c r="B1828" s="3" t="s">
        <v>1828</v>
      </c>
      <c r="C1828" s="3" t="str">
        <f>IFERROR(__xludf.DUMMYFUNCTION("GOOGLETRANSLATE(B1828,""id"",""en"")"),"['logo', 'change', 'network', 'change', 'down', 'severe', 'move', 'provider', 'deh']")</f>
        <v>['logo', 'change', 'network', 'change', 'down', 'severe', 'move', 'provider', 'deh']</v>
      </c>
      <c r="D1828" s="3">
        <v>1.0</v>
      </c>
    </row>
    <row r="1829" ht="15.75" customHeight="1">
      <c r="A1829" s="1">
        <v>1827.0</v>
      </c>
      <c r="B1829" s="3" t="s">
        <v>1829</v>
      </c>
      <c r="C1829" s="3" t="str">
        <f>IFERROR(__xludf.DUMMYFUNCTION("GOOGLETRANSLATE(B1829,""id"",""en"")"),"['disorder', 'no', 'replace', 'deh', 'kiranya', 'card', ""]")</f>
        <v>['disorder', 'no', 'replace', 'deh', 'kiranya', 'card', "]</v>
      </c>
      <c r="D1829" s="3">
        <v>1.0</v>
      </c>
    </row>
    <row r="1830" ht="15.75" customHeight="1">
      <c r="A1830" s="1">
        <v>1828.0</v>
      </c>
      <c r="B1830" s="3" t="s">
        <v>1830</v>
      </c>
      <c r="C1830" s="3" t="str">
        <f>IFERROR(__xludf.DUMMYFUNCTION("GOOGLETRANSLATE(B1830,""id"",""en"")"),"['Buy', 'Package', 'Internet', 'Credit', 'Reasons', 'Slalu', 'Check', 'Network', 'Internet', 'Internet', 'Good']")</f>
        <v>['Buy', 'Package', 'Internet', 'Credit', 'Reasons', 'Slalu', 'Check', 'Network', 'Internet', 'Internet', 'Good']</v>
      </c>
      <c r="D1830" s="3">
        <v>1.0</v>
      </c>
    </row>
    <row r="1831" ht="15.75" customHeight="1">
      <c r="A1831" s="1">
        <v>1829.0</v>
      </c>
      <c r="B1831" s="3" t="s">
        <v>1831</v>
      </c>
      <c r="C1831" s="3" t="str">
        <f>IFERROR(__xludf.DUMMYFUNCTION("GOOGLETRANSLATE(B1831,""id"",""en"")"),"['broken', 'nihh', 'network', 'kpan', 'completion', 'improvement', 'network']")</f>
        <v>['broken', 'nihh', 'network', 'kpan', 'completion', 'improvement', 'network']</v>
      </c>
      <c r="D1831" s="3">
        <v>1.0</v>
      </c>
    </row>
    <row r="1832" ht="15.75" customHeight="1">
      <c r="A1832" s="1">
        <v>1830.0</v>
      </c>
      <c r="B1832" s="3" t="s">
        <v>1832</v>
      </c>
      <c r="C1832" s="3" t="str">
        <f>IFERROR(__xludf.DUMMYFUNCTION("GOOGLETRANSLATE(B1832,""id"",""en"")"),"['yeah', 'package', 'abis',' notif ',' kayak ',' contents', 'pulse', 'package', 'leftover', 'right', 'check', 'abis',' pulses', 'leftover', 'loss',' notif ',' that's', 'no', 'love', 'features',' protected ',' pulse ',' run out ']")</f>
        <v>['yeah', 'package', 'abis',' notif ',' kayak ',' contents', 'pulse', 'package', 'leftover', 'right', 'check', 'abis',' pulses', 'leftover', 'loss',' notif ',' that's', 'no', 'love', 'features',' protected ',' pulse ',' run out ']</v>
      </c>
      <c r="D1832" s="3">
        <v>3.0</v>
      </c>
    </row>
    <row r="1833" ht="15.75" customHeight="1">
      <c r="A1833" s="1">
        <v>1831.0</v>
      </c>
      <c r="B1833" s="3" t="s">
        <v>1833</v>
      </c>
      <c r="C1833" s="3" t="str">
        <f>IFERROR(__xludf.DUMMYFUNCTION("GOOGLETRANSLATE(B1833,""id"",""en"")"),"['quota', 'Masi', 'lag', 'really', 'internet', 'slow', 'really', 'then', 'suggestion', 'portion', 'quota', 'internet', ' Internet ',' Ajalah ',' like ',' watch ',' Kouta ',' watching ',' Shame ',' buy ',' package ',' expensive ',' slow ']")</f>
        <v>['quota', 'Masi', 'lag', 'really', 'internet', 'slow', 'really', 'then', 'suggestion', 'portion', 'quota', 'internet', ' Internet ',' Ajalah ',' like ',' watch ',' Kouta ',' watching ',' Shame ',' buy ',' package ',' expensive ',' slow ']</v>
      </c>
      <c r="D1833" s="3">
        <v>1.0</v>
      </c>
    </row>
    <row r="1834" ht="15.75" customHeight="1">
      <c r="A1834" s="1">
        <v>1832.0</v>
      </c>
      <c r="B1834" s="3" t="s">
        <v>1834</v>
      </c>
      <c r="C1834" s="3" t="str">
        <f>IFERROR(__xludf.DUMMYFUNCTION("GOOGLETRANSLATE(B1834,""id"",""en"")"),"['Good', 'app', 'supports', 'check', 'pulse', 'repotmi', 'press', 'number', 'poko', 'mantapppp']")</f>
        <v>['Good', 'app', 'supports', 'check', 'pulse', 'repotmi', 'press', 'number', 'poko', 'mantapppp']</v>
      </c>
      <c r="D1834" s="3">
        <v>5.0</v>
      </c>
    </row>
    <row r="1835" ht="15.75" customHeight="1">
      <c r="A1835" s="1">
        <v>1833.0</v>
      </c>
      <c r="B1835" s="3" t="s">
        <v>1835</v>
      </c>
      <c r="C1835" s="3" t="str">
        <f>IFERROR(__xludf.DUMMYFUNCTION("GOOGLETRANSLATE(B1835,""id"",""en"")"),"['Package', 'Blm', 'Wktnya', 'Hbs',' Cut ',' date ',' validity ',' list ',' package ',' slow ',' enter ',' notification ',' Registered ',' SHG ',' Credit ',' Used ',' Byk ',' Package ',' Registered ',' Disappointed ',' Insha ',' Allah ',' Use ',' Telkomse"&amp;"l ',' BUMN ' , 'Byk', 'disappointing', 'consumers',' byk ',' complaints', 'change', 'disappointing', 'customer', 'finish', 'sculpture', 'child', 'or', ' Solorism ',' org ',' problematic ']")</f>
        <v>['Package', 'Blm', 'Wktnya', 'Hbs',' Cut ',' date ',' validity ',' list ',' package ',' slow ',' enter ',' notification ',' Registered ',' SHG ',' Credit ',' Used ',' Byk ',' Package ',' Registered ',' Disappointed ',' Insha ',' Allah ',' Use ',' Telkomsel ',' BUMN ' , 'Byk', 'disappointing', 'consumers',' byk ',' complaints', 'change', 'disappointing', 'customer', 'finish', 'sculpture', 'child', 'or', ' Solorism ',' org ',' problematic ']</v>
      </c>
      <c r="D1835" s="3">
        <v>1.0</v>
      </c>
    </row>
    <row r="1836" ht="15.75" customHeight="1">
      <c r="A1836" s="1">
        <v>1834.0</v>
      </c>
      <c r="B1836" s="3" t="s">
        <v>1836</v>
      </c>
      <c r="C1836" s="3" t="str">
        <f>IFERROR(__xludf.DUMMYFUNCTION("GOOGLETRANSLATE(B1836,""id"",""en"")"),"['Use', 'Telkomsel', 'Since', 'Sok', 'Update', 'Signal', 'Bapuk', 'Try', 'Change', 'Change', 'Chip', 'Signal', ' Tetep ',' rotten ',' ']")</f>
        <v>['Use', 'Telkomsel', 'Since', 'Sok', 'Update', 'Signal', 'Bapuk', 'Try', 'Change', 'Change', 'Chip', 'Signal', ' Tetep ',' rotten ',' ']</v>
      </c>
      <c r="D1836" s="3">
        <v>1.0</v>
      </c>
    </row>
    <row r="1837" ht="15.75" customHeight="1">
      <c r="A1837" s="1">
        <v>1835.0</v>
      </c>
      <c r="B1837" s="3" t="s">
        <v>1837</v>
      </c>
      <c r="C1837" s="3" t="str">
        <f>IFERROR(__xludf.DUMMYFUNCTION("GOOGLETRANSLATE(B1837,""id"",""en"")"),"['according to', 'hope', 'NOT', 'RIBET', 'Please', 'Package', 'Promo', 'Display', 'Application', 'Promo', 'Buy', ""]")</f>
        <v>['according to', 'hope', 'NOT', 'RIBET', 'Please', 'Package', 'Promo', 'Display', 'Application', 'Promo', 'Buy', "]</v>
      </c>
      <c r="D1837" s="3">
        <v>1.0</v>
      </c>
    </row>
    <row r="1838" ht="15.75" customHeight="1">
      <c r="A1838" s="1">
        <v>1836.0</v>
      </c>
      <c r="B1838" s="3" t="s">
        <v>1838</v>
      </c>
      <c r="C1838" s="3" t="str">
        <f>IFERROR(__xludf.DUMMYFUNCTION("GOOGLETRANSLATE(B1838,""id"",""en"")"),"['slow', 'pol', 'price', 'package', 'expensive', 'according to', 'quality', 'ugly', 'checkout', 'pesen', 'food', 'loading', ' Minutes', 'TTP']")</f>
        <v>['slow', 'pol', 'price', 'package', 'expensive', 'according to', 'quality', 'ugly', 'checkout', 'pesen', 'food', 'loading', ' Minutes', 'TTP']</v>
      </c>
      <c r="D1838" s="3">
        <v>1.0</v>
      </c>
    </row>
    <row r="1839" ht="15.75" customHeight="1">
      <c r="A1839" s="1">
        <v>1837.0</v>
      </c>
      <c r="B1839" s="3" t="s">
        <v>1839</v>
      </c>
      <c r="C1839" s="3" t="str">
        <f>IFERROR(__xludf.DUMMYFUNCTION("GOOGLETRANSLATE(B1839,""id"",""en"")"),"['Telkomsel', 'already', 'pulse', 'right', 'price', 'package', 'right', 'buy', 'his writing', 'process',' already ',' wait ',' ',' Ama ',' repeat ',' repeat ',' tetep ',' ']")</f>
        <v>['Telkomsel', 'already', 'pulse', 'right', 'price', 'package', 'right', 'buy', 'his writing', 'process',' already ',' wait ',' ',' Ama ',' repeat ',' repeat ',' tetep ',' ']</v>
      </c>
      <c r="D1839" s="3">
        <v>1.0</v>
      </c>
    </row>
    <row r="1840" ht="15.75" customHeight="1">
      <c r="A1840" s="1">
        <v>1838.0</v>
      </c>
      <c r="B1840" s="3" t="s">
        <v>1840</v>
      </c>
      <c r="C1840" s="3" t="str">
        <f>IFERROR(__xludf.DUMMYFUNCTION("GOOGLETRANSLATE(B1840,""id"",""en"")"),"['cave', 'lived', 'East Java', 'cave', 'already', 'yrs',' users', 'telkomsel', 'signal', 'knapa', 'week', 'lag', ' Severe ',' clock ',' malem ',' until ',' clock ',' nga ',' please ',' evaluation ',' fix ',' signal ',' udh ',' expensive ',' buy ' , 'TPI',"&amp;" 'Nga', 'WORTH']")</f>
        <v>['cave', 'lived', 'East Java', 'cave', 'already', 'yrs',' users', 'telkomsel', 'signal', 'knapa', 'week', 'lag', ' Severe ',' clock ',' malem ',' until ',' clock ',' nga ',' please ',' evaluation ',' fix ',' signal ',' udh ',' expensive ',' buy ' , 'TPI', 'Nga', 'WORTH']</v>
      </c>
      <c r="D1840" s="3">
        <v>1.0</v>
      </c>
    </row>
    <row r="1841" ht="15.75" customHeight="1">
      <c r="A1841" s="1">
        <v>1839.0</v>
      </c>
      <c r="B1841" s="3" t="s">
        <v>1841</v>
      </c>
      <c r="C1841" s="3" t="str">
        <f>IFERROR(__xludf.DUMMYFUNCTION("GOOGLETRANSLATE(B1841,""id"",""en"")"),"['Not bad', 'Increases',' Special ',' Jabodetabek ',' Java ',' Tlong ',' Fix ',' Quality ',' Sinyal ',' Msak ',' Dead ',' Electricity ',' DRI ',' PLN ',' Signal ',' Telkomsel ',' Dead ',' Dead ',' Operator ',' Cellular ',' in the Occasion ',' Sulawesi ','"&amp;" North ',' Manado ',' Trouble ' , 'Tlong', 'noticed', 'quality', '']")</f>
        <v>['Not bad', 'Increases',' Special ',' Jabodetabek ',' Java ',' Tlong ',' Fix ',' Quality ',' Sinyal ',' Msak ',' Dead ',' Electricity ',' DRI ',' PLN ',' Signal ',' Telkomsel ',' Dead ',' Dead ',' Operator ',' Cellular ',' in the Occasion ',' Sulawesi ',' North ',' Manado ',' Trouble ' , 'Tlong', 'noticed', 'quality', '']</v>
      </c>
      <c r="D1841" s="3">
        <v>2.0</v>
      </c>
    </row>
    <row r="1842" ht="15.75" customHeight="1">
      <c r="A1842" s="1">
        <v>1840.0</v>
      </c>
      <c r="B1842" s="3" t="s">
        <v>1842</v>
      </c>
      <c r="C1842" s="3" t="str">
        <f>IFERROR(__xludf.DUMMYFUNCTION("GOOGLETRANSLATE(B1842,""id"",""en"")"),"['signal', 'severe', 'klu', 'repair', 'told', 'public', 'you', 'company', 'company', 'qek', 'happy', 'you' disappointed ',' consumer ',' ']")</f>
        <v>['signal', 'severe', 'klu', 'repair', 'told', 'public', 'you', 'company', 'company', 'qek', 'happy', 'you' disappointed ',' consumer ',' ']</v>
      </c>
      <c r="D1842" s="3">
        <v>1.0</v>
      </c>
    </row>
    <row r="1843" ht="15.75" customHeight="1">
      <c r="A1843" s="1">
        <v>1841.0</v>
      </c>
      <c r="B1843" s="3" t="s">
        <v>1843</v>
      </c>
      <c r="C1843" s="3" t="str">
        <f>IFERROR(__xludf.DUMMYFUNCTION("GOOGLETRANSLATE(B1843,""id"",""en"")"),"['Severe', 'ngeleg', 'really', 'network', 'right', 'Maen', 'game', 'online', 'Katin', 'Mulu', 'Gara', 'Gara', ' network ',' slow ',' right ',' buy ',' doang ',' kenceng ',' package ',' doang ',' expensive ',' according to ',' quality ']")</f>
        <v>['Severe', 'ngeleg', 'really', 'network', 'right', 'Maen', 'game', 'online', 'Katin', 'Mulu', 'Gara', 'Gara', ' network ',' slow ',' right ',' buy ',' doang ',' kenceng ',' package ',' doang ',' expensive ',' according to ',' quality ']</v>
      </c>
      <c r="D1843" s="3">
        <v>1.0</v>
      </c>
    </row>
    <row r="1844" ht="15.75" customHeight="1">
      <c r="A1844" s="1">
        <v>1842.0</v>
      </c>
      <c r="B1844" s="3" t="s">
        <v>1844</v>
      </c>
      <c r="C1844" s="3" t="str">
        <f>IFERROR(__xludf.DUMMYFUNCTION("GOOGLETRANSLATE(B1844,""id"",""en"")"),"['', 'Region', 'The network', 'Performance', 'Telkomsel', 'Please', 'The Network', 'Fix', '']")</f>
        <v>['', 'Region', 'The network', 'Performance', 'Telkomsel', 'Please', 'The Network', 'Fix', '']</v>
      </c>
      <c r="D1844" s="3">
        <v>1.0</v>
      </c>
    </row>
    <row r="1845" ht="15.75" customHeight="1">
      <c r="A1845" s="1">
        <v>1843.0</v>
      </c>
      <c r="B1845" s="3" t="s">
        <v>1845</v>
      </c>
      <c r="C1845" s="3" t="str">
        <f>IFERROR(__xludf.DUMMYFUNCTION("GOOGLETRANSLATE(B1845,""id"",""en"")"),"['crushed', 'style', 'drained', 'emotions',' network ',' signal ',' bad ',' as bad ',' bangse ',' smell ',' smell ',' switch ',' Operators', 'use', 'Telkomsel', 'Switch', 'Ajah', 'Operator', '']")</f>
        <v>['crushed', 'style', 'drained', 'emotions',' network ',' signal ',' bad ',' as bad ',' bangse ',' smell ',' smell ',' switch ',' Operators', 'use', 'Telkomsel', 'Switch', 'Ajah', 'Operator', '']</v>
      </c>
      <c r="D1845" s="3">
        <v>1.0</v>
      </c>
    </row>
    <row r="1846" ht="15.75" customHeight="1">
      <c r="A1846" s="1">
        <v>1844.0</v>
      </c>
      <c r="B1846" s="3" t="s">
        <v>1846</v>
      </c>
      <c r="C1846" s="3" t="str">
        <f>IFERROR(__xludf.DUMMYFUNCTION("GOOGLETRANSLATE(B1846,""id"",""en"")"),"['application', 'Telkomsel', 'technology', 'sophisticated', 'great', 'Where', 'role', 'feel', 'communicate', 'transact', 'etc.', 'kemangkihan', ' Greatness', 'Features',' Features', 'Telkomsel', 'Feel', 'Benefits',' Society ',' Indonesia ', ""]")</f>
        <v>['application', 'Telkomsel', 'technology', 'sophisticated', 'great', 'Where', 'role', 'feel', 'communicate', 'transact', 'etc.', 'kemangkihan', ' Greatness', 'Features',' Features', 'Telkomsel', 'Feel', 'Benefits',' Society ',' Indonesia ', "]</v>
      </c>
      <c r="D1846" s="3">
        <v>3.0</v>
      </c>
    </row>
    <row r="1847" ht="15.75" customHeight="1">
      <c r="A1847" s="1">
        <v>1845.0</v>
      </c>
      <c r="B1847" s="3" t="s">
        <v>1847</v>
      </c>
      <c r="C1847" s="3" t="str">
        <f>IFERROR(__xludf.DUMMYFUNCTION("GOOGLETRANSLATE(B1847,""id"",""en"")"),"['Network', 'signal', 'price', 'offer', 'profitable', 'user', 'profitable', 'Telkomsel', 'company', 'BUMN', 'lose', 'private', ' Services', 'Network', '']")</f>
        <v>['Network', 'signal', 'price', 'offer', 'profitable', 'user', 'profitable', 'Telkomsel', 'company', 'BUMN', 'lose', 'private', ' Services', 'Network', '']</v>
      </c>
      <c r="D1847" s="3">
        <v>1.0</v>
      </c>
    </row>
    <row r="1848" ht="15.75" customHeight="1">
      <c r="A1848" s="1">
        <v>1846.0</v>
      </c>
      <c r="B1848" s="3" t="s">
        <v>1848</v>
      </c>
      <c r="C1848" s="3" t="str">
        <f>IFERROR(__xludf.DUMMYFUNCTION("GOOGLETRANSLATE(B1848,""id"",""en"")"),"['disappointing', 'games', 'max', 'signal', 'good']")</f>
        <v>['disappointing', 'games', 'max', 'signal', 'good']</v>
      </c>
      <c r="D1848" s="3">
        <v>1.0</v>
      </c>
    </row>
    <row r="1849" ht="15.75" customHeight="1">
      <c r="A1849" s="1">
        <v>1847.0</v>
      </c>
      <c r="B1849" s="3" t="s">
        <v>1849</v>
      </c>
      <c r="C1849" s="3" t="str">
        <f>IFERROR(__xludf.DUMMYFUNCTION("GOOGLETRANSLATE(B1849,""id"",""en"")"),"['Pleasedong', 'Region', 'Bengalon', 'Kalimantan', 'East', 'Fix', 'Speed', 'Network', 'Rich', 'Internet', 'Please', 'Bantu', ' thank you', '']")</f>
        <v>['Pleasedong', 'Region', 'Bengalon', 'Kalimantan', 'East', 'Fix', 'Speed', 'Network', 'Rich', 'Internet', 'Please', 'Bantu', ' thank you', '']</v>
      </c>
      <c r="D1849" s="3">
        <v>1.0</v>
      </c>
    </row>
    <row r="1850" ht="15.75" customHeight="1">
      <c r="A1850" s="1">
        <v>1848.0</v>
      </c>
      <c r="B1850" s="3" t="s">
        <v>1850</v>
      </c>
      <c r="C1850" s="3" t="str">
        <f>IFERROR(__xludf.DUMMYFUNCTION("GOOGLETRANSLATE(B1850,""id"",""en"")"),"['Severe', 'really', 'times',' slow ',' really ',' oath ',' already ',' package ',' expensive ',' network ',' like ',' ilang ',' cave ',' Telkomsel ',' network ',' good ',' really ',' already ',' eeeeh ',' slow ',' really ',' ilang ',' mood ',' boring ', "&amp;"""]")</f>
        <v>['Severe', 'really', 'times',' slow ',' really ',' oath ',' already ',' package ',' expensive ',' network ',' like ',' ilang ',' cave ',' Telkomsel ',' network ',' good ',' really ',' already ',' eeeeh ',' slow ',' really ',' ilang ',' mood ',' boring ', "]</v>
      </c>
      <c r="D1850" s="3">
        <v>1.0</v>
      </c>
    </row>
    <row r="1851" ht="15.75" customHeight="1">
      <c r="A1851" s="1">
        <v>1849.0</v>
      </c>
      <c r="B1851" s="3" t="s">
        <v>1851</v>
      </c>
      <c r="C1851" s="3" t="str">
        <f>IFERROR(__xludf.DUMMYFUNCTION("GOOGLETRANSLATE(B1851,""id"",""en"")"),"['disappointed', 'network', 'stable', 'notification', 'condition', 'network', 'down', 'resulting in' 'influential', 'play', 'game']")</f>
        <v>['disappointed', 'network', 'stable', 'notification', 'condition', 'network', 'down', 'resulting in' 'influential', 'play', 'game']</v>
      </c>
      <c r="D1851" s="3">
        <v>1.0</v>
      </c>
    </row>
    <row r="1852" ht="15.75" customHeight="1">
      <c r="A1852" s="1">
        <v>1850.0</v>
      </c>
      <c r="B1852" s="3" t="s">
        <v>1852</v>
      </c>
      <c r="C1852" s="3" t="str">
        <f>IFERROR(__xludf.DUMMYFUNCTION("GOOGLETRANSLATE(B1852,""id"",""en"")"),"['Telkomsel', 'The network', 'Bad', 'cave', 'buy', 'Mulu', 'Package', 'Telkomsel', 'Ngilak']")</f>
        <v>['Telkomsel', 'The network', 'Bad', 'cave', 'buy', 'Mulu', 'Package', 'Telkomsel', 'Ngilak']</v>
      </c>
      <c r="D1852" s="3">
        <v>1.0</v>
      </c>
    </row>
    <row r="1853" ht="15.75" customHeight="1">
      <c r="A1853" s="1">
        <v>1851.0</v>
      </c>
      <c r="B1853" s="3" t="s">
        <v>1853</v>
      </c>
      <c r="C1853" s="3" t="str">
        <f>IFERROR(__xludf.DUMMYFUNCTION("GOOGLETRANSLATE(B1853,""id"",""en"")"),"['network', 'ugly', 'really', 'good', 'gini', 'mending', 'change', 'card', 'sim', 'deh', 'ngk', 'Telkomsel', ' replace ',' loss', 'data', 'data', 'lost', 'vain', 'watch', 'youtube', 'ngeeleg', 'nge', 'game', 'ngk', 'huuu' ]")</f>
        <v>['network', 'ugly', 'really', 'good', 'gini', 'mending', 'change', 'card', 'sim', 'deh', 'ngk', 'Telkomsel', ' replace ',' loss', 'data', 'data', 'lost', 'vain', 'watch', 'youtube', 'ngeeleg', 'nge', 'game', 'ngk', 'huuu' ]</v>
      </c>
      <c r="D1853" s="3">
        <v>2.0</v>
      </c>
    </row>
    <row r="1854" ht="15.75" customHeight="1">
      <c r="A1854" s="1">
        <v>1852.0</v>
      </c>
      <c r="B1854" s="3" t="s">
        <v>1854</v>
      </c>
      <c r="C1854" s="3" t="str">
        <f>IFERROR(__xludf.DUMMYFUNCTION("GOOGLETRANSLATE(B1854,""id"",""en"")"),"['Provider', 'SIM', 'Card', 'Provider', 'Internet', 'Home', 'Trouble', 'Network', 'Leet', 'Motion', 'Repair']")</f>
        <v>['Provider', 'SIM', 'Card', 'Provider', 'Internet', 'Home', 'Trouble', 'Network', 'Leet', 'Motion', 'Repair']</v>
      </c>
      <c r="D1854" s="3">
        <v>1.0</v>
      </c>
    </row>
    <row r="1855" ht="15.75" customHeight="1">
      <c r="A1855" s="1">
        <v>1853.0</v>
      </c>
      <c r="B1855" s="3" t="s">
        <v>1855</v>
      </c>
      <c r="C1855" s="3" t="str">
        <f>IFERROR(__xludf.DUMMYFUNCTION("GOOGLETRANSLATE(B1855,""id"",""en"")"),"['application', 'mantuuuuuulll', 'sya', 'quata', 'free', 'apk', 'manya', 'check', 'kyak', '']")</f>
        <v>['application', 'mantuuuuuulll', 'sya', 'quata', 'free', 'apk', 'manya', 'check', 'kyak', '']</v>
      </c>
      <c r="D1855" s="3">
        <v>5.0</v>
      </c>
    </row>
    <row r="1856" ht="15.75" customHeight="1">
      <c r="A1856" s="1">
        <v>1854.0</v>
      </c>
      <c r="B1856" s="3" t="s">
        <v>1856</v>
      </c>
      <c r="C1856" s="3" t="str">
        <f>IFERROR(__xludf.DUMMYFUNCTION("GOOGLETRANSLATE(B1856,""id"",""en"")"),"['usage', 'satisfying', 'slow', 'signal', 'City', 'Putok', 'disappointed', '']")</f>
        <v>['usage', 'satisfying', 'slow', 'signal', 'City', 'Putok', 'disappointed', '']</v>
      </c>
      <c r="D1856" s="3">
        <v>1.0</v>
      </c>
    </row>
    <row r="1857" ht="15.75" customHeight="1">
      <c r="A1857" s="1">
        <v>1855.0</v>
      </c>
      <c r="B1857" s="3" t="s">
        <v>1857</v>
      </c>
      <c r="C1857" s="3" t="str">
        <f>IFERROR(__xludf.DUMMYFUNCTION("GOOGLETRANSLATE(B1857,""id"",""en"")"),"['signal', 'slow', 'Tube', 'muter', 'just', 'please', 'fix', '']")</f>
        <v>['signal', 'slow', 'Tube', 'muter', 'just', 'please', 'fix', '']</v>
      </c>
      <c r="D1857" s="3">
        <v>3.0</v>
      </c>
    </row>
    <row r="1858" ht="15.75" customHeight="1">
      <c r="A1858" s="1">
        <v>1856.0</v>
      </c>
      <c r="B1858" s="3" t="s">
        <v>1858</v>
      </c>
      <c r="C1858" s="3" t="str">
        <f>IFERROR(__xludf.DUMMYFUNCTION("GOOGLETRANSLATE(B1858,""id"",""en"")"),"['Jringn', 'slow', 'Bngtt', 'minn', 'error', 'technical', 'network', 'optical', 'sea', 'telkom', 'jring', 'slow', ' BNGT ',' right ',' Open ',' Tiktok ',' TPI ',' PAS ',' Open ',' APK ',' Open ',' Google ',' DWLND ',' Little ',' Slow ' , 'Nauzubillah']")</f>
        <v>['Jringn', 'slow', 'Bngtt', 'minn', 'error', 'technical', 'network', 'optical', 'sea', 'telkom', 'jring', 'slow', ' BNGT ',' right ',' Open ',' Tiktok ',' TPI ',' PAS ',' Open ',' APK ',' Open ',' Google ',' DWLND ',' Little ',' Slow ' , 'Nauzubillah']</v>
      </c>
      <c r="D1858" s="3">
        <v>5.0</v>
      </c>
    </row>
    <row r="1859" ht="15.75" customHeight="1">
      <c r="A1859" s="1">
        <v>1857.0</v>
      </c>
      <c r="B1859" s="3" t="s">
        <v>1859</v>
      </c>
      <c r="C1859" s="3" t="str">
        <f>IFERROR(__xludf.DUMMYFUNCTION("GOOGLETRANSLATE(B1859,""id"",""en"")"),"['Kontoolleeeee', 'Sinyall', 'ilang', 'work', 'rich', 'taii', 'consequences', 'ente', 'cave', 'pay', 'understand']")</f>
        <v>['Kontoolleeeee', 'Sinyall', 'ilang', 'work', 'rich', 'taii', 'consequences', 'ente', 'cave', 'pay', 'understand']</v>
      </c>
      <c r="D1859" s="3">
        <v>1.0</v>
      </c>
    </row>
    <row r="1860" ht="15.75" customHeight="1">
      <c r="A1860" s="1">
        <v>1858.0</v>
      </c>
      <c r="B1860" s="3" t="s">
        <v>1860</v>
      </c>
      <c r="C1860" s="3" t="str">
        <f>IFERROR(__xludf.DUMMYFUNCTION("GOOGLETRANSLATE(B1860,""id"",""en"")"),"['signal', 'severe', 'hot', 'rain', 'ugly']")</f>
        <v>['signal', 'severe', 'hot', 'rain', 'ugly']</v>
      </c>
      <c r="D1860" s="3">
        <v>1.0</v>
      </c>
    </row>
    <row r="1861" ht="15.75" customHeight="1">
      <c r="A1861" s="1">
        <v>1859.0</v>
      </c>
      <c r="B1861" s="3" t="s">
        <v>1861</v>
      </c>
      <c r="C1861" s="3" t="str">
        <f>IFERROR(__xludf.DUMMYFUNCTION("GOOGLETRANSLATE(B1861,""id"",""en"")"),"['hope', 'service', 'Telkomsel', 'signal', 'missing', '']")</f>
        <v>['hope', 'service', 'Telkomsel', 'signal', 'missing', '']</v>
      </c>
      <c r="D1861" s="3">
        <v>1.0</v>
      </c>
    </row>
    <row r="1862" ht="15.75" customHeight="1">
      <c r="A1862" s="1">
        <v>1860.0</v>
      </c>
      <c r="B1862" s="3" t="s">
        <v>1862</v>
      </c>
      <c r="C1862" s="3" t="str">
        <f>IFERROR(__xludf.DUMMYFUNCTION("GOOGLETRANSLATE(B1862,""id"",""en"")"),"['already', 'pulse', 'corrupted', 'package', 'expensive', 'network', 'taste', 'sek', 'oath', 's,' really ',' hey ',' Telkomsel ',' sell ',' expensive ',' according to ',' network ',' want ',' Kukatin ', ""]")</f>
        <v>['already', 'pulse', 'corrupted', 'package', 'expensive', 'network', 'taste', 'sek', 'oath', 's,' really ',' hey ',' Telkomsel ',' sell ',' expensive ',' according to ',' network ',' want ',' Kukatin ', "]</v>
      </c>
      <c r="D1862" s="3">
        <v>1.0</v>
      </c>
    </row>
    <row r="1863" ht="15.75" customHeight="1">
      <c r="A1863" s="1">
        <v>1861.0</v>
      </c>
      <c r="B1863" s="3" t="s">
        <v>1863</v>
      </c>
      <c r="C1863" s="3" t="str">
        <f>IFERROR(__xludf.DUMMYFUNCTION("GOOGLETRANSLATE(B1863,""id"",""en"")"),"['UDH', 'Good', 'Notification', 'Box', 'Entering', 'Function', 'Notif', 'Diliated', 'Repaired', 'Comfortable']")</f>
        <v>['UDH', 'Good', 'Notification', 'Box', 'Entering', 'Function', 'Notif', 'Diliated', 'Repaired', 'Comfortable']</v>
      </c>
      <c r="D1863" s="3">
        <v>4.0</v>
      </c>
    </row>
    <row r="1864" ht="15.75" customHeight="1">
      <c r="A1864" s="1">
        <v>1862.0</v>
      </c>
      <c r="B1864" s="3" t="s">
        <v>1864</v>
      </c>
      <c r="C1864" s="3" t="str">
        <f>IFERROR(__xludf.DUMMYFUNCTION("GOOGLETRANSLATE(B1864,""id"",""en"")"),"['signal', 'sympathy', 'mid', 'ugly', 'bad', 'slow', 'really', 'please', 'repaired', 'consumer', 'loyal', 'disappointed', ' Switch ',' product ',' Next ',' ']")</f>
        <v>['signal', 'sympathy', 'mid', 'ugly', 'bad', 'slow', 'really', 'please', 'repaired', 'consumer', 'loyal', 'disappointed', ' Switch ',' product ',' Next ',' ']</v>
      </c>
      <c r="D1864" s="3">
        <v>1.0</v>
      </c>
    </row>
    <row r="1865" ht="15.75" customHeight="1">
      <c r="A1865" s="1">
        <v>1863.0</v>
      </c>
      <c r="B1865" s="3" t="s">
        <v>1865</v>
      </c>
      <c r="C1865" s="3" t="str">
        <f>IFERROR(__xludf.DUMMYFUNCTION("GOOGLETRANSLATE(B1865,""id"",""en"")"),"['auto', 'waste', 'card', 'ainyal', 'good', 'ehh', 'bad', 'bins',' bagusan ',' card ',' signal ',' smooth ',' Emang ',' brokenkkkkkk ',' ']")</f>
        <v>['auto', 'waste', 'card', 'ainyal', 'good', 'ehh', 'bad', 'bins',' bagusan ',' card ',' signal ',' smooth ',' Emang ',' brokenkkkkkk ',' ']</v>
      </c>
      <c r="D1865" s="3">
        <v>1.0</v>
      </c>
    </row>
    <row r="1866" ht="15.75" customHeight="1">
      <c r="A1866" s="1">
        <v>1864.0</v>
      </c>
      <c r="B1866" s="3" t="s">
        <v>1866</v>
      </c>
      <c r="C1866" s="3" t="str">
        <f>IFERROR(__xludf.DUMMYFUNCTION("GOOGLETRANSLATE(B1866,""id"",""en"")"),"['UNIK', 'Love', 'Bintang', 'Ntar', 'already', 'Increases', 'Service', 'Kadi', 'Star', ""]")</f>
        <v>['UNIK', 'Love', 'Bintang', 'Ntar', 'already', 'Increases', 'Service', 'Kadi', 'Star', "]</v>
      </c>
      <c r="D1866" s="3">
        <v>4.0</v>
      </c>
    </row>
    <row r="1867" ht="15.75" customHeight="1">
      <c r="A1867" s="1">
        <v>1865.0</v>
      </c>
      <c r="B1867" s="3" t="s">
        <v>1867</v>
      </c>
      <c r="C1867" s="3" t="str">
        <f>IFERROR(__xludf.DUMMYFUNCTION("GOOGLETRANSLATE(B1867,""id"",""en"")"),"['slow', 'slow', 'login', 'can', 'quota', 'free', 'difficult', 'install', 'easy', 'turn', 'claims',' bonus', ' Internet ',' login ',' slow ',' ']")</f>
        <v>['slow', 'slow', 'login', 'can', 'quota', 'free', 'difficult', 'install', 'easy', 'turn', 'claims',' bonus', ' Internet ',' login ',' slow ',' ']</v>
      </c>
      <c r="D1867" s="3">
        <v>2.0</v>
      </c>
    </row>
    <row r="1868" ht="15.75" customHeight="1">
      <c r="A1868" s="1">
        <v>1866.0</v>
      </c>
      <c r="B1868" s="3" t="s">
        <v>1868</v>
      </c>
      <c r="C1868" s="3" t="str">
        <f>IFERROR(__xludf.DUMMYFUNCTION("GOOGLETRANSLATE(B1868,""id"",""en"")"),"['Ganguan', 'hope', 'Uklum', 'compensation', 'anything', 'turn', 'Pay', 'late', 'a day', 'internet', 'broke', 'base', ' Kadrun ']")</f>
        <v>['Ganguan', 'hope', 'Uklum', 'compensation', 'anything', 'turn', 'Pay', 'late', 'a day', 'internet', 'broke', 'base', ' Kadrun ']</v>
      </c>
      <c r="D1868" s="3">
        <v>1.0</v>
      </c>
    </row>
    <row r="1869" ht="15.75" customHeight="1">
      <c r="A1869" s="1">
        <v>1867.0</v>
      </c>
      <c r="B1869" s="3" t="s">
        <v>1869</v>
      </c>
      <c r="C1869" s="3" t="str">
        <f>IFERROR(__xludf.DUMMYFUNCTION("GOOGLETRANSLATE(B1869,""id"",""en"")"),"['Knpa', 'buy', 'package', 'appears', 'error', 'buy', 'Please', 'reset', 'Minute', ""]")</f>
        <v>['Knpa', 'buy', 'package', 'appears', 'error', 'buy', 'Please', 'reset', 'Minute', "]</v>
      </c>
      <c r="D1869" s="3">
        <v>1.0</v>
      </c>
    </row>
    <row r="1870" ht="15.75" customHeight="1">
      <c r="A1870" s="1">
        <v>1868.0</v>
      </c>
      <c r="B1870" s="3" t="s">
        <v>1870</v>
      </c>
      <c r="C1870" s="3" t="str">
        <f>IFERROR(__xludf.DUMMYFUNCTION("GOOGLETRANSLATE(B1870,""id"",""en"")"),"['bad', 'bad', 'pulse', 'reduced', 'activates', 'data', 'package', 'data', 'credit', 'reduced', '']")</f>
        <v>['bad', 'bad', 'pulse', 'reduced', 'activates', 'data', 'package', 'data', 'credit', 'reduced', '']</v>
      </c>
      <c r="D1870" s="3">
        <v>1.0</v>
      </c>
    </row>
    <row r="1871" ht="15.75" customHeight="1">
      <c r="A1871" s="1">
        <v>1869.0</v>
      </c>
      <c r="B1871" s="3" t="s">
        <v>1871</v>
      </c>
      <c r="C1871" s="3" t="str">
        <f>IFERROR(__xludf.DUMMYFUNCTION("GOOGLETRANSLATE(B1871,""id"",""en"")"),"['A ',' Allah ',' hope ',' gift ',' Telkomsel ',' Points', 'Bring', 'child', 'seeking', 'doctor', ""]")</f>
        <v>['A ',' Allah ',' hope ',' gift ',' Telkomsel ',' Points', 'Bring', 'child', 'seeking', 'doctor', "]</v>
      </c>
      <c r="D1871" s="3">
        <v>5.0</v>
      </c>
    </row>
    <row r="1872" ht="15.75" customHeight="1">
      <c r="A1872" s="1">
        <v>1870.0</v>
      </c>
      <c r="B1872" s="3" t="s">
        <v>1872</v>
      </c>
      <c r="C1872" s="3" t="str">
        <f>IFERROR(__xludf.DUMMYFUNCTION("GOOGLETRANSLATE(B1872,""id"",""en"")"),"['Severe', 'Telkomsel', 'Ijug', 'Cave', 'Pay', 'Expensive', 'Jingan', 'Nikah', 'Cuman', 'Nikmatin', 'Money', 'Society', ' Doang ',' feedback ',' community ',' responsibility ',' skali ',' mending ',' operator ',' closed ',' operasih ',' loss', 'org']")</f>
        <v>['Severe', 'Telkomsel', 'Ijug', 'Cave', 'Pay', 'Expensive', 'Jingan', 'Nikah', 'Cuman', 'Nikmatin', 'Money', 'Society', ' Doang ',' feedback ',' community ',' responsibility ',' skali ',' mending ',' operator ',' closed ',' operasih ',' loss', 'org']</v>
      </c>
      <c r="D1872" s="3">
        <v>1.0</v>
      </c>
    </row>
    <row r="1873" ht="15.75" customHeight="1">
      <c r="A1873" s="1">
        <v>1871.0</v>
      </c>
      <c r="B1873" s="3" t="s">
        <v>1873</v>
      </c>
      <c r="C1873" s="3" t="str">
        <f>IFERROR(__xludf.DUMMYFUNCTION("GOOGLETRANSLATE(B1873,""id"",""en"")"),"['Signal', 'Region', 'Pasuruan', 'County', 'Ancur', 'Severe', 'already', 'Week', 'kmrn', 'pdhal', 'full', ""]")</f>
        <v>['Signal', 'Region', 'Pasuruan', 'County', 'Ancur', 'Severe', 'already', 'Week', 'kmrn', 'pdhal', 'full', "]</v>
      </c>
      <c r="D1873" s="3">
        <v>1.0</v>
      </c>
    </row>
    <row r="1874" ht="15.75" customHeight="1">
      <c r="A1874" s="1">
        <v>1872.0</v>
      </c>
      <c r="B1874" s="3" t="s">
        <v>1874</v>
      </c>
      <c r="C1874" s="3" t="str">
        <f>IFERROR(__xludf.DUMMYFUNCTION("GOOGLETRANSLATE(B1874,""id"",""en"")"),"['Price', 'expensive', 'service', 'rotten', 'hooked', 'money', 'doank', 'mentang', 'established', 'Nala', 'Telkomsel', 'famous',' Services', 'Network', 'rotten', 'buwat', '']")</f>
        <v>['Price', 'expensive', 'service', 'rotten', 'hooked', 'money', 'doank', 'mentang', 'established', 'Nala', 'Telkomsel', 'famous',' Services', 'Network', 'rotten', 'buwat', '']</v>
      </c>
      <c r="D1874" s="3">
        <v>1.0</v>
      </c>
    </row>
    <row r="1875" ht="15.75" customHeight="1">
      <c r="A1875" s="1">
        <v>1873.0</v>
      </c>
      <c r="B1875" s="3" t="s">
        <v>1875</v>
      </c>
      <c r="C1875" s="3" t="str">
        <f>IFERROR(__xludf.DUMMYFUNCTION("GOOGLETRANSLATE(B1875,""id"",""en"")"),"['APK', 'good', 'like', 'really', 'check', '']")</f>
        <v>['APK', 'good', 'like', 'really', 'check', '']</v>
      </c>
      <c r="D1875" s="3">
        <v>4.0</v>
      </c>
    </row>
    <row r="1876" ht="15.75" customHeight="1">
      <c r="A1876" s="1">
        <v>1874.0</v>
      </c>
      <c r="B1876" s="3" t="s">
        <v>1876</v>
      </c>
      <c r="C1876" s="3" t="str">
        <f>IFERROR(__xludf.DUMMYFUNCTION("GOOGLETRANSLATE(B1876,""id"",""en"")"),"['tekomsel', 'taught', 'quota', 'buy', 'price', 'quota', 'GB', 'KEK', 'quota', 'slow', 'really', 'network', ' Dahh ',' users', 'Telkomsel', 'already', 'buy', 'Mending', 'Indosat', 'cheap', 'festive', 'network', 'quality']")</f>
        <v>['tekomsel', 'taught', 'quota', 'buy', 'price', 'quota', 'GB', 'KEK', 'quota', 'slow', 'really', 'network', ' Dahh ',' users', 'Telkomsel', 'already', 'buy', 'Mending', 'Indosat', 'cheap', 'festive', 'network', 'quality']</v>
      </c>
      <c r="D1876" s="3">
        <v>1.0</v>
      </c>
    </row>
    <row r="1877" ht="15.75" customHeight="1">
      <c r="A1877" s="1">
        <v>1875.0</v>
      </c>
      <c r="B1877" s="3" t="s">
        <v>1877</v>
      </c>
      <c r="C1877" s="3" t="str">
        <f>IFERROR(__xludf.DUMMYFUNCTION("GOOGLETRANSLATE(B1877,""id"",""en"")"),"['Contents', 'quota', 'no', 'function', 'disorder', 'speed', 'speed', 'good', 'expensive', 'active', 'fast']")</f>
        <v>['Contents', 'quota', 'no', 'function', 'disorder', 'speed', 'speed', 'good', 'expensive', 'active', 'fast']</v>
      </c>
      <c r="D1877" s="3">
        <v>1.0</v>
      </c>
    </row>
    <row r="1878" ht="15.75" customHeight="1">
      <c r="A1878" s="1">
        <v>1876.0</v>
      </c>
      <c r="B1878" s="3" t="s">
        <v>1878</v>
      </c>
      <c r="C1878" s="3" t="str">
        <f>IFERROR(__xludf.DUMMYFUNCTION("GOOGLETRANSLATE(B1878,""id"",""en"")"),"['', 'Telkomsel', 'anjinggggg', 'package', 'data', 'already', 'expensive', 'TPI', 'signal', 'slow', 'replace', 'card', 'next door' ',' Location ',' Pasuruan ',' Bangil ',' Pandaan ',' Telkomsel ',' Janccokkkk ']")</f>
        <v>['', 'Telkomsel', 'anjinggggg', 'package', 'data', 'already', 'expensive', 'TPI', 'signal', 'slow', 'replace', 'card', 'next door' ',' Location ',' Pasuruan ',' Bangil ',' Pandaan ',' Telkomsel ',' Janccokkkk ']</v>
      </c>
      <c r="D1878" s="3">
        <v>1.0</v>
      </c>
    </row>
    <row r="1879" ht="15.75" customHeight="1">
      <c r="A1879" s="1">
        <v>1877.0</v>
      </c>
      <c r="B1879" s="3" t="s">
        <v>1879</v>
      </c>
      <c r="C1879" s="3" t="str">
        <f>IFERROR(__xludf.DUMMYFUNCTION("GOOGLETRANSLATE(B1879,""id"",""en"")"),"['gabisa', 'log', 'already', 'enter', 'please', 'help', 'thanks']")</f>
        <v>['gabisa', 'log', 'already', 'enter', 'please', 'help', 'thanks']</v>
      </c>
      <c r="D1879" s="3">
        <v>5.0</v>
      </c>
    </row>
    <row r="1880" ht="15.75" customHeight="1">
      <c r="A1880" s="1">
        <v>1878.0</v>
      </c>
      <c r="B1880" s="3" t="s">
        <v>1880</v>
      </c>
      <c r="C1880" s="3" t="str">
        <f>IFERROR(__xludf.DUMMYFUNCTION("GOOGLETRANSLATE(B1880,""id"",""en"")"),"['expensive', 'ran "",' quality ',' network ',' severe ',' ugly ',' really ',' slow ',' really ',""]")</f>
        <v>['expensive', 'ran ",' quality ',' network ',' severe ',' ugly ',' really ',' slow ',' really ',"]</v>
      </c>
      <c r="D1880" s="3">
        <v>1.0</v>
      </c>
    </row>
    <row r="1881" ht="15.75" customHeight="1">
      <c r="A1881" s="1">
        <v>1879.0</v>
      </c>
      <c r="B1881" s="3" t="s">
        <v>1881</v>
      </c>
      <c r="C1881" s="3" t="str">
        <f>IFERROR(__xludf.DUMMYFUNCTION("GOOGLETRANSLATE(B1881,""id"",""en"")"),"['Provider', 'Bad', 'World', 'Network', 'Kayak', 'Cont', 'Price', 'Expensive', 'Hopefully', 'As soon as',' Closed ',' Harm ',' person']")</f>
        <v>['Provider', 'Bad', 'World', 'Network', 'Kayak', 'Cont', 'Price', 'Expensive', 'Hopefully', 'As soon as',' Closed ',' Harm ',' person']</v>
      </c>
      <c r="D1881" s="3">
        <v>1.0</v>
      </c>
    </row>
    <row r="1882" ht="15.75" customHeight="1">
      <c r="A1882" s="1">
        <v>1880.0</v>
      </c>
      <c r="B1882" s="3" t="s">
        <v>1882</v>
      </c>
      <c r="C1882" s="3" t="str">
        <f>IFERROR(__xludf.DUMMYFUNCTION("GOOGLETRANSLATE(B1882,""id"",""en"")"),"['Telkomsel', 'please', 'fix', 'net', 'already', 'package', 'expensive', 'network', 'error', '']")</f>
        <v>['Telkomsel', 'please', 'fix', 'net', 'already', 'package', 'expensive', 'network', 'error', '']</v>
      </c>
      <c r="D1882" s="3">
        <v>1.0</v>
      </c>
    </row>
    <row r="1883" ht="15.75" customHeight="1">
      <c r="A1883" s="1">
        <v>1881.0</v>
      </c>
      <c r="B1883" s="3" t="s">
        <v>1883</v>
      </c>
      <c r="C1883" s="3" t="str">
        <f>IFERROR(__xludf.DUMMYFUNCTION("GOOGLETRANSLATE(B1883,""id"",""en"")"),"['Telkomsel', 'Telkom', 'Network', 'bad', 'already', 'expensive', 'bad']")</f>
        <v>['Telkomsel', 'Telkom', 'Network', 'bad', 'already', 'expensive', 'bad']</v>
      </c>
      <c r="D1883" s="3">
        <v>1.0</v>
      </c>
    </row>
    <row r="1884" ht="15.75" customHeight="1">
      <c r="A1884" s="1">
        <v>1882.0</v>
      </c>
      <c r="B1884" s="3" t="s">
        <v>1884</v>
      </c>
      <c r="C1884" s="3" t="str">
        <f>IFERROR(__xludf.DUMMYFUNCTION("GOOGLETRANSLATE(B1884,""id"",""en"")"),"['Sya', 'sngat', 'because', 'Certain', 'Telkomsel', 'seek', 'best', 'user', 'God willing', 'in the future']")</f>
        <v>['Sya', 'sngat', 'because', 'Certain', 'Telkomsel', 'seek', 'best', 'user', 'God willing', 'in the future']</v>
      </c>
      <c r="D1884" s="3">
        <v>5.0</v>
      </c>
    </row>
    <row r="1885" ht="15.75" customHeight="1">
      <c r="A1885" s="1">
        <v>1883.0</v>
      </c>
      <c r="B1885" s="3" t="s">
        <v>1885</v>
      </c>
      <c r="C1885" s="3" t="str">
        <f>IFERROR(__xludf.DUMMYFUNCTION("GOOGLETRANSLATE(B1885,""id"",""en"")"),"['package', 'internet', 'mean', 'how', 'Paketan', 'Bener', 'inconsequential']")</f>
        <v>['package', 'internet', 'mean', 'how', 'Paketan', 'Bener', 'inconsequential']</v>
      </c>
      <c r="D1885" s="3">
        <v>1.0</v>
      </c>
    </row>
    <row r="1886" ht="15.75" customHeight="1">
      <c r="A1886" s="1">
        <v>1884.0</v>
      </c>
      <c r="B1886" s="3" t="s">
        <v>1886</v>
      </c>
      <c r="C1886" s="3" t="str">
        <f>IFERROR(__xludf.DUMMYFUNCTION("GOOGLETRANSLATE(B1886,""id"",""en"")"),"['Min', 'koq', 'night', 'morning', 'signal', 'BURIK', 'really', 'chat', 'Wait', 'sent', 'the difference', 'network', ' adjacent', '']")</f>
        <v>['Min', 'koq', 'night', 'morning', 'signal', 'BURIK', 'really', 'chat', 'Wait', 'sent', 'the difference', 'network', ' adjacent', '']</v>
      </c>
      <c r="D1886" s="3">
        <v>1.0</v>
      </c>
    </row>
    <row r="1887" ht="15.75" customHeight="1">
      <c r="A1887" s="1">
        <v>1885.0</v>
      </c>
      <c r="B1887" s="3" t="s">
        <v>1887</v>
      </c>
      <c r="C1887" s="3" t="str">
        <f>IFERROR(__xludf.DUMMYFUNCTION("GOOGLETRANSLATE(B1887,""id"",""en"")"),"['Since', 'application', 'update', 'opened', 'here', 'Telkomsel', 'slow', 'in the middle', 'city', 'slow', 'gini', 'org', ' Move ',' provider ',' expensive ',' comparable ',' service ']")</f>
        <v>['Since', 'application', 'update', 'opened', 'here', 'Telkomsel', 'slow', 'in the middle', 'city', 'slow', 'gini', 'org', ' Move ',' provider ',' expensive ',' comparable ',' service ']</v>
      </c>
      <c r="D1887" s="3">
        <v>1.0</v>
      </c>
    </row>
    <row r="1888" ht="15.75" customHeight="1">
      <c r="A1888" s="1">
        <v>1886.0</v>
      </c>
      <c r="B1888" s="3" t="s">
        <v>1888</v>
      </c>
      <c r="C1888" s="3" t="str">
        <f>IFERROR(__xludf.DUMMYFUNCTION("GOOGLETRANSLATE(B1888,""id"",""en"")"),"['User', 'moved', 'provider', 'Lemott', 'handling', 'slow', 'package', 'data', 'wifi', 'pay', 'money', 'cheap', ' The package ']")</f>
        <v>['User', 'moved', 'provider', 'Lemott', 'handling', 'slow', 'package', 'data', 'wifi', 'pay', 'money', 'cheap', ' The package ']</v>
      </c>
      <c r="D1888" s="3">
        <v>1.0</v>
      </c>
    </row>
    <row r="1889" ht="15.75" customHeight="1">
      <c r="A1889" s="1">
        <v>1887.0</v>
      </c>
      <c r="B1889" s="3" t="s">
        <v>1889</v>
      </c>
      <c r="C1889" s="3" t="str">
        <f>IFERROR(__xludf.DUMMYFUNCTION("GOOGLETRANSLATE(B1889,""id"",""en"")"),"['Lemot', 'really', 'peaches', 'internet', 'expensive', 'quality', 'inhibits', 'activity', ""]")</f>
        <v>['Lemot', 'really', 'peaches', 'internet', 'expensive', 'quality', 'inhibits', 'activity', "]</v>
      </c>
      <c r="D1889" s="3">
        <v>1.0</v>
      </c>
    </row>
    <row r="1890" ht="15.75" customHeight="1">
      <c r="A1890" s="1">
        <v>1888.0</v>
      </c>
      <c r="B1890" s="3" t="s">
        <v>1890</v>
      </c>
      <c r="C1890" s="3" t="str">
        <f>IFERROR(__xludf.DUMMYFUNCTION("GOOGLETRANSLATE(B1890,""id"",""en"")"),"['Suppose', 'Bintang', 'Kasi', 'Provider', 'Network', 'Fool', 'Internet', 'Expensive', 'Network', 'Begooo', 'Bankrupt', 'Becus']")</f>
        <v>['Suppose', 'Bintang', 'Kasi', 'Provider', 'Network', 'Fool', 'Internet', 'Expensive', 'Network', 'Begooo', 'Bankrupt', 'Becus']</v>
      </c>
      <c r="D1890" s="3">
        <v>1.0</v>
      </c>
    </row>
    <row r="1891" ht="15.75" customHeight="1">
      <c r="A1891" s="1">
        <v>1889.0</v>
      </c>
      <c r="B1891" s="3" t="s">
        <v>1891</v>
      </c>
      <c r="C1891" s="3" t="str">
        <f>IFERROR(__xludf.DUMMYFUNCTION("GOOGLETRANSLATE(B1891,""id"",""en"")"),"['Receiving', 'Message', 'Operator', 'A Day', 'Time', 'Sometimes', 'Disturbs', 'Jatohnya']")</f>
        <v>['Receiving', 'Message', 'Operator', 'A Day', 'Time', 'Sometimes', 'Disturbs', 'Jatohnya']</v>
      </c>
      <c r="D1891" s="3">
        <v>2.0</v>
      </c>
    </row>
    <row r="1892" ht="15.75" customHeight="1">
      <c r="A1892" s="1">
        <v>1890.0</v>
      </c>
      <c r="B1892" s="3" t="s">
        <v>1892</v>
      </c>
      <c r="C1892" s="3" t="str">
        <f>IFERROR(__xludf.DUMMYFUNCTION("GOOGLETRANSLATE(B1892,""id"",""en"")"),"['network', 'data', 'internet', 'used', 'data', 'internet', 'quality', 'deteriorating']")</f>
        <v>['network', 'data', 'internet', 'used', 'data', 'internet', 'quality', 'deteriorating']</v>
      </c>
      <c r="D1892" s="3">
        <v>1.0</v>
      </c>
    </row>
    <row r="1893" ht="15.75" customHeight="1">
      <c r="A1893" s="1">
        <v>1891.0</v>
      </c>
      <c r="B1893" s="3" t="s">
        <v>1893</v>
      </c>
      <c r="C1893" s="3" t="str">
        <f>IFERROR(__xludf.DUMMYFUNCTION("GOOGLETRANSLATE(B1893,""id"",""en"")"),"['Come', 'ugly', 'network', 'Telkomsel', 'kayak', 'change', 'account', 'game', 'slow', 'forgiveness',' replace ',' account ',' fast ',' service ',' down ',' good ',' hadeuuuh ',' ']")</f>
        <v>['Come', 'ugly', 'network', 'Telkomsel', 'kayak', 'change', 'account', 'game', 'slow', 'forgiveness',' replace ',' account ',' fast ',' service ',' down ',' good ',' hadeuuuh ',' ']</v>
      </c>
      <c r="D1893" s="3">
        <v>1.0</v>
      </c>
    </row>
    <row r="1894" ht="15.75" customHeight="1">
      <c r="A1894" s="1">
        <v>1892.0</v>
      </c>
      <c r="B1894" s="3" t="s">
        <v>1894</v>
      </c>
      <c r="C1894" s="3" t="str">
        <f>IFERROR(__xludf.DUMMYFUNCTION("GOOGLETRANSLATE(B1894,""id"",""en"")"),"['list', 'package', 'partner', 'uda', 'leftover', 'a week', 'grace', 'network', 'slow', 'quota', 'data', 'please', ' improved ',' network ',' yrs', 'extend', 'package', '']")</f>
        <v>['list', 'package', 'partner', 'uda', 'leftover', 'a week', 'grace', 'network', 'slow', 'quota', 'data', 'please', ' improved ',' network ',' yrs', 'extend', 'package', '']</v>
      </c>
      <c r="D1894" s="3">
        <v>1.0</v>
      </c>
    </row>
    <row r="1895" ht="15.75" customHeight="1">
      <c r="A1895" s="1">
        <v>1893.0</v>
      </c>
      <c r="B1895" s="3" t="s">
        <v>1895</v>
      </c>
      <c r="C1895" s="3" t="str">
        <f>IFERROR(__xludf.DUMMYFUNCTION("GOOGLETRANSLATE(B1895,""id"",""en"")"),"['Apasih', 'network', 'Telkomsel', 'expensive', 'destroyed', 'quality', 'price']")</f>
        <v>['Apasih', 'network', 'Telkomsel', 'expensive', 'destroyed', 'quality', 'price']</v>
      </c>
      <c r="D1895" s="3">
        <v>1.0</v>
      </c>
    </row>
    <row r="1896" ht="15.75" customHeight="1">
      <c r="A1896" s="1">
        <v>1894.0</v>
      </c>
      <c r="B1896" s="3" t="s">
        <v>1896</v>
      </c>
      <c r="C1896" s="3" t="str">
        <f>IFERROR(__xludf.DUMMYFUNCTION("GOOGLETRANSLATE(B1896,""id"",""en"")"),"['Application', 'Bad', 'On', 'Daily', 'Login', 'Login', 'Delete', 'Detinent', 'Data', ""]")</f>
        <v>['Application', 'Bad', 'On', 'Daily', 'Login', 'Login', 'Delete', 'Detinent', 'Data', "]</v>
      </c>
      <c r="D1896" s="3">
        <v>1.0</v>
      </c>
    </row>
    <row r="1897" ht="15.75" customHeight="1">
      <c r="A1897" s="1">
        <v>1895.0</v>
      </c>
      <c r="B1897" s="3" t="s">
        <v>1897</v>
      </c>
      <c r="C1897" s="3" t="str">
        <f>IFERROR(__xludf.DUMMYFUNCTION("GOOGLETRANSLATE(B1897,""id"",""en"")"),"['ugly', 'mulu', 'signal', 'already', 'full', 'network', 'data', 'gini', 'expensive', 'promo', 'skrng', 'my looks',' Fast ',' lei ',' cheap ',' rather than ',' Telkomsel ',' ']")</f>
        <v>['ugly', 'mulu', 'signal', 'already', 'full', 'network', 'data', 'gini', 'expensive', 'promo', 'skrng', 'my looks',' Fast ',' lei ',' cheap ',' rather than ',' Telkomsel ',' ']</v>
      </c>
      <c r="D1897" s="3">
        <v>1.0</v>
      </c>
    </row>
    <row r="1898" ht="15.75" customHeight="1">
      <c r="A1898" s="1">
        <v>1896.0</v>
      </c>
      <c r="B1898" s="3" t="s">
        <v>1898</v>
      </c>
      <c r="C1898" s="3" t="str">
        <f>IFERROR(__xludf.DUMMYFUNCTION("GOOGLETRANSLATE(B1898,""id"",""en"")"),"['Star', 'Change', 'Bintang', 'Karna', 'Telkomsel', 'Make', ""]")</f>
        <v>['Star', 'Change', 'Bintang', 'Karna', 'Telkomsel', 'Make', "]</v>
      </c>
      <c r="D1898" s="3">
        <v>1.0</v>
      </c>
    </row>
    <row r="1899" ht="15.75" customHeight="1">
      <c r="A1899" s="1">
        <v>1897.0</v>
      </c>
      <c r="B1899" s="3" t="s">
        <v>1899</v>
      </c>
      <c r="C1899" s="3" t="str">
        <f>IFERROR(__xludf.DUMMYFUNCTION("GOOGLETRANSLATE(B1899,""id"",""en"")"),"['Satisfied', 'suggestion', 'application', 'quota', 'locally', 'wait', 'quota', 'main', 'run out', 'suggestion', '']")</f>
        <v>['Satisfied', 'suggestion', 'application', 'quota', 'locally', 'wait', 'quota', 'main', 'run out', 'suggestion', '']</v>
      </c>
      <c r="D1899" s="3">
        <v>3.0</v>
      </c>
    </row>
    <row r="1900" ht="15.75" customHeight="1">
      <c r="A1900" s="1">
        <v>1898.0</v>
      </c>
      <c r="B1900" s="3" t="s">
        <v>1900</v>
      </c>
      <c r="C1900" s="3" t="str">
        <f>IFERROR(__xludf.DUMMYFUNCTION("GOOGLETRANSLATE(B1900,""id"",""en"")"),"['no', 'send', 'Link', 'login', 'expiration', 'eat', 'pulses',' no ',' separate ',' quota ',' internet ',' pulses', ' UDH ',' out ',' quota ',' internet ',' Embat ',' pulses', 'expensive', ""]")</f>
        <v>['no', 'send', 'Link', 'login', 'expiration', 'eat', 'pulses',' no ',' separate ',' quota ',' internet ',' pulses', ' UDH ',' out ',' quota ',' internet ',' Embat ',' pulses', 'expensive', "]</v>
      </c>
      <c r="D1900" s="3">
        <v>1.0</v>
      </c>
    </row>
    <row r="1901" ht="15.75" customHeight="1">
      <c r="A1901" s="1">
        <v>1899.0</v>
      </c>
      <c r="B1901" s="3" t="s">
        <v>1901</v>
      </c>
      <c r="C1901" s="3" t="str">
        <f>IFERROR(__xludf.DUMMYFUNCTION("GOOGLETRANSLATE(B1901,""id"",""en"")"),"['Telkomsel', 'ugly', 'mending', 'expensive', 'quality', 'decent', 'expensive', 'satisfying', 'disappointed', 'signal', 'slow', '']")</f>
        <v>['Telkomsel', 'ugly', 'mending', 'expensive', 'quality', 'decent', 'expensive', 'satisfying', 'disappointed', 'signal', 'slow', '']</v>
      </c>
      <c r="D1901" s="3">
        <v>1.0</v>
      </c>
    </row>
    <row r="1902" ht="15.75" customHeight="1">
      <c r="A1902" s="1">
        <v>1900.0</v>
      </c>
      <c r="B1902" s="3" t="s">
        <v>1902</v>
      </c>
      <c r="C1902" s="3" t="str">
        <f>IFERROR(__xludf.DUMMYFUNCTION("GOOGLETRANSLATE(B1902,""id"",""en"")"),"['The name', 'like', 'missing', 'cook', 'open', 'youtube', 'difficult', 'signal', 'already', 'tetep', 'slow', 'please', ' repaired ',' obstacles', 'signal', 'cook', 'buy', 'quota', 'expensive', 'used', ""]")</f>
        <v>['The name', 'like', 'missing', 'cook', 'open', 'youtube', 'difficult', 'signal', 'already', 'tetep', 'slow', 'please', ' repaired ',' obstacles', 'signal', 'cook', 'buy', 'quota', 'expensive', 'used', "]</v>
      </c>
      <c r="D1902" s="3">
        <v>1.0</v>
      </c>
    </row>
    <row r="1903" ht="15.75" customHeight="1">
      <c r="A1903" s="1">
        <v>1901.0</v>
      </c>
      <c r="B1903" s="3" t="s">
        <v>1903</v>
      </c>
      <c r="C1903" s="3" t="str">
        <f>IFERROR(__xludf.DUMMYFUNCTION("GOOGLETRANSLATE(B1903,""id"",""en"")"),"['Please', 'Telkomsel', 'Disconnect', 'Network', 'Internet', 'Client', 'Main', 'Game', 'Trash', 'Higgs',' Domino ',' Island ',' ']")</f>
        <v>['Please', 'Telkomsel', 'Disconnect', 'Network', 'Internet', 'Client', 'Main', 'Game', 'Trash', 'Higgs',' Domino ',' Island ',' ']</v>
      </c>
      <c r="D1903" s="3">
        <v>3.0</v>
      </c>
    </row>
    <row r="1904" ht="15.75" customHeight="1">
      <c r="A1904" s="1">
        <v>1902.0</v>
      </c>
      <c r="B1904" s="3" t="s">
        <v>1904</v>
      </c>
      <c r="C1904" s="3" t="str">
        <f>IFERROR(__xludf.DUMMYFUNCTION("GOOGLETRANSLATE(B1904,""id"",""en"")"),"['Sis', 'Knp', 'Chek', 'gift', 'pdhal', 'HDiah', 'BLM', 'Take']")</f>
        <v>['Sis', 'Knp', 'Chek', 'gift', 'pdhal', 'HDiah', 'BLM', 'Take']</v>
      </c>
      <c r="D1904" s="3">
        <v>2.0</v>
      </c>
    </row>
    <row r="1905" ht="15.75" customHeight="1">
      <c r="A1905" s="1">
        <v>1903.0</v>
      </c>
      <c r="B1905" s="3" t="s">
        <v>1905</v>
      </c>
      <c r="C1905" s="3" t="str">
        <f>IFERROR(__xludf.DUMMYFUNCTION("GOOGLETRANSLATE(B1905,""id"",""en"")"),"['Good', 'Job', 'Naikan', 'Price', 'Package', 'Data', 'Lower', 'Quality', 'The Network', 'Mantapzzz', ""]")</f>
        <v>['Good', 'Job', 'Naikan', 'Price', 'Package', 'Data', 'Lower', 'Quality', 'The Network', 'Mantapzzz', "]</v>
      </c>
      <c r="D1905" s="3">
        <v>5.0</v>
      </c>
    </row>
    <row r="1906" ht="15.75" customHeight="1">
      <c r="A1906" s="1">
        <v>1904.0</v>
      </c>
      <c r="B1906" s="3" t="s">
        <v>1906</v>
      </c>
      <c r="C1906" s="3" t="str">
        <f>IFERROR(__xludf.DUMMYFUNCTION("GOOGLETRANSLATE(B1906,""id"",""en"")"),"['Telkomsel', 'satisfying', 'Package', 'Call', 'Package', 'Data', 'Really', 'Sad', 'Disappointing', '']")</f>
        <v>['Telkomsel', 'satisfying', 'Package', 'Call', 'Package', 'Data', 'Really', 'Sad', 'Disappointing', '']</v>
      </c>
      <c r="D1906" s="3">
        <v>5.0</v>
      </c>
    </row>
    <row r="1907" ht="15.75" customHeight="1">
      <c r="A1907" s="1">
        <v>1905.0</v>
      </c>
      <c r="B1907" s="3" t="s">
        <v>1907</v>
      </c>
      <c r="C1907" s="3" t="str">
        <f>IFERROR(__xludf.DUMMYFUNCTION("GOOGLETRANSLATE(B1907,""id"",""en"")"),"['update', 'NGK', 'Try', 'Install', 'reset', 'NGK', 'Try', 'Update', 'NGK', 'Update', 'Network', 'Lemot', ' Telkomsel ',' Severe ',' Abis', '']")</f>
        <v>['update', 'NGK', 'Try', 'Install', 'reset', 'NGK', 'Try', 'Update', 'NGK', 'Update', 'Network', 'Lemot', ' Telkomsel ',' Severe ',' Abis', '']</v>
      </c>
      <c r="D1907" s="3">
        <v>1.0</v>
      </c>
    </row>
    <row r="1908" ht="15.75" customHeight="1">
      <c r="A1908" s="1">
        <v>1906.0</v>
      </c>
      <c r="B1908" s="3" t="s">
        <v>1908</v>
      </c>
      <c r="C1908" s="3" t="str">
        <f>IFERROR(__xludf.DUMMYFUNCTION("GOOGLETRANSLATE(B1908,""id"",""en"")"),"['easy', 'corruption', 'service', 'noticed', 'name', 'limit', 'implemented', 'Sanpai', 'limit', 'limit', 'run out', 'signal', ' MANYING ',' ']")</f>
        <v>['easy', 'corruption', 'service', 'noticed', 'name', 'limit', 'implemented', 'Sanpai', 'limit', 'limit', 'run out', 'signal', ' MANYING ',' ']</v>
      </c>
      <c r="D1908" s="3">
        <v>1.0</v>
      </c>
    </row>
    <row r="1909" ht="15.75" customHeight="1">
      <c r="A1909" s="1">
        <v>1907.0</v>
      </c>
      <c r="B1909" s="3" t="s">
        <v>1909</v>
      </c>
      <c r="C1909" s="3" t="str">
        <f>IFERROR(__xludf.DUMMYFUNCTION("GOOGLETRANSLATE(B1909,""id"",""en"")"),"['Application', 'Sometimes', 'cheap', 'buy', 'counter', 'manyin', 'promo', 'kya', 'neighbor', 'next door', '']")</f>
        <v>['Application', 'Sometimes', 'cheap', 'buy', 'counter', 'manyin', 'promo', 'kya', 'neighbor', 'next door', '']</v>
      </c>
      <c r="D1909" s="3">
        <v>5.0</v>
      </c>
    </row>
    <row r="1910" ht="15.75" customHeight="1">
      <c r="A1910" s="1">
        <v>1908.0</v>
      </c>
      <c r="B1910" s="3" t="s">
        <v>1910</v>
      </c>
      <c r="C1910" s="3" t="str">
        <f>IFERROR(__xludf.DUMMYFUNCTION("GOOGLETRANSLATE(B1910,""id"",""en"")"),"['Hello', 'Telkomsel', 'signal', 'please', 'Linerin', 'ugly', 'ugly', 'college', 'online', 'Telkomsel', 'here', 'signal', ' disturbance', '']")</f>
        <v>['Hello', 'Telkomsel', 'signal', 'please', 'Linerin', 'ugly', 'ugly', 'college', 'online', 'Telkomsel', 'here', 'signal', ' disturbance', '']</v>
      </c>
      <c r="D1910" s="3">
        <v>1.0</v>
      </c>
    </row>
    <row r="1911" ht="15.75" customHeight="1">
      <c r="A1911" s="1">
        <v>1909.0</v>
      </c>
      <c r="B1911" s="3" t="s">
        <v>1911</v>
      </c>
      <c r="C1911" s="3" t="str">
        <f>IFERROR(__xludf.DUMMYFUNCTION("GOOGLETRANSLATE(B1911,""id"",""en"")"),"['Forward', 'Telkomsel', 'Telkomsel', 'Best']")</f>
        <v>['Forward', 'Telkomsel', 'Telkomsel', 'Best']</v>
      </c>
      <c r="D1911" s="3">
        <v>5.0</v>
      </c>
    </row>
    <row r="1912" ht="15.75" customHeight="1">
      <c r="A1912" s="1">
        <v>1910.0</v>
      </c>
      <c r="B1912" s="3" t="s">
        <v>1912</v>
      </c>
      <c r="C1912" s="3" t="str">
        <f>IFERROR(__xludf.DUMMYFUNCTION("GOOGLETRANSLATE(B1912,""id"",""en"")"),"['already', 'claims',' gift ',' daily ',' check ',' right ',' claimed ',' already ',' diligent ',' check ',' please ',' repair ',' Dear ',' times', 'already', 'diligent', 'claim', 'gift', 'right', 'exchanged', ""]")</f>
        <v>['already', 'claims',' gift ',' daily ',' check ',' right ',' claimed ',' already ',' diligent ',' check ',' please ',' repair ',' Dear ',' times', 'already', 'diligent', 'claim', 'gift', 'right', 'exchanged', "]</v>
      </c>
      <c r="D1912" s="3">
        <v>4.0</v>
      </c>
    </row>
    <row r="1913" ht="15.75" customHeight="1">
      <c r="A1913" s="1">
        <v>1911.0</v>
      </c>
      <c r="B1913" s="3" t="s">
        <v>1913</v>
      </c>
      <c r="C1913" s="3" t="str">
        <f>IFERROR(__xludf.DUMMYFUNCTION("GOOGLETRANSLATE(B1913,""id"",""en"")"),"['home', 'side', 'tower', 'Telkomsel', 'signal', 'good', 'speed', 'internet', 'tetep', 'slow', 'price', 'package', ' expensive ',' user ',' loyal ',' contents', 'reset', 'package', 'hit', 'prank', 'pulse', 'use', 'paketan', 'pulses',' sufficient ' , 'sign"&amp;"al', 'good', 'cave', 'already', '']")</f>
        <v>['home', 'side', 'tower', 'Telkomsel', 'signal', 'good', 'speed', 'internet', 'tetep', 'slow', 'price', 'package', ' expensive ',' user ',' loyal ',' contents', 'reset', 'package', 'hit', 'prank', 'pulse', 'use', 'paketan', 'pulses',' sufficient ' , 'signal', 'good', 'cave', 'already', '']</v>
      </c>
      <c r="D1913" s="3">
        <v>1.0</v>
      </c>
    </row>
    <row r="1914" ht="15.75" customHeight="1">
      <c r="A1914" s="1">
        <v>1912.0</v>
      </c>
      <c r="B1914" s="3" t="s">
        <v>1914</v>
      </c>
      <c r="C1914" s="3" t="str">
        <f>IFERROR(__xludf.DUMMYFUNCTION("GOOGLETRANSLATE(B1914,""id"",""en"")"),"['have', 'package', 'quota', 'active', 'used', 'quota', 'active', 'Please', 'repair', 'prioritize', 'quota', 'active', ' ']")</f>
        <v>['have', 'package', 'quota', 'active', 'used', 'quota', 'active', 'Please', 'repair', 'prioritize', 'quota', 'active', ' ']</v>
      </c>
      <c r="D1914" s="3">
        <v>1.0</v>
      </c>
    </row>
    <row r="1915" ht="15.75" customHeight="1">
      <c r="A1915" s="1">
        <v>1913.0</v>
      </c>
      <c r="B1915" s="3" t="s">
        <v>1915</v>
      </c>
      <c r="C1915" s="3" t="str">
        <f>IFERROR(__xludf.DUMMYFUNCTION("GOOGLETRANSLATE(B1915,""id"",""en"")"),"['Severe', 'Kirain', 'Hello', 'Beres',' Dropped ',' Confirm ',' Report ',' Contact ',' Zonk ',' Sampe ',' Off ',' Cellphone ',' Ampe ',' broke out ',' really ',' see ',' system ',' signal ',' full ',' real ',' zonk ',' turn ',' bill ', ""]")</f>
        <v>['Severe', 'Kirain', 'Hello', 'Beres',' Dropped ',' Confirm ',' Report ',' Contact ',' Zonk ',' Sampe ',' Off ',' Cellphone ',' Ampe ',' broke out ',' really ',' see ',' system ',' signal ',' full ',' real ',' zonk ',' turn ',' bill ', "]</v>
      </c>
      <c r="D1915" s="3">
        <v>1.0</v>
      </c>
    </row>
    <row r="1916" ht="15.75" customHeight="1">
      <c r="A1916" s="1">
        <v>1914.0</v>
      </c>
      <c r="B1916" s="3" t="s">
        <v>1916</v>
      </c>
      <c r="C1916" s="3" t="str">
        <f>IFERROR(__xludf.DUMMYFUNCTION("GOOGLETRANSLATE(B1916,""id"",""en"")"),"['Good', 'net', 'beg', 'price', 'quota', 'internet', 'affordable', 'trima', 'love']")</f>
        <v>['Good', 'net', 'beg', 'price', 'quota', 'internet', 'affordable', 'trima', 'love']</v>
      </c>
      <c r="D1916" s="3">
        <v>5.0</v>
      </c>
    </row>
    <row r="1917" ht="15.75" customHeight="1">
      <c r="A1917" s="1">
        <v>1915.0</v>
      </c>
      <c r="B1917" s="3" t="s">
        <v>1917</v>
      </c>
      <c r="C1917" s="3" t="str">
        <f>IFERROR(__xludf.DUMMYFUNCTION("GOOGLETRANSLATE(B1917,""id"",""en"")"),"['bad', 'network', 'Telkomsel', 'expensive', 'network', 'bad', 'rely on']")</f>
        <v>['bad', 'network', 'Telkomsel', 'expensive', 'network', 'bad', 'rely on']</v>
      </c>
      <c r="D1917" s="3">
        <v>1.0</v>
      </c>
    </row>
    <row r="1918" ht="15.75" customHeight="1">
      <c r="A1918" s="1">
        <v>1916.0</v>
      </c>
      <c r="B1918" s="3" t="s">
        <v>1918</v>
      </c>
      <c r="C1918" s="3" t="str">
        <f>IFERROR(__xludf.DUMMYFUNCTION("GOOGLETRANSLATE(B1918,""id"",""en"")"),"['The network', 'slow', 'Telkomsel', 'Providor', 'superior', 'network', 'troubled', 'buy', 'package', 'data', 'expensive', ' The network is', 'error', '']")</f>
        <v>['The network', 'slow', 'Telkomsel', 'Providor', 'superior', 'network', 'troubled', 'buy', 'package', 'data', 'expensive', ' The network is', 'error', '']</v>
      </c>
      <c r="D1918" s="3">
        <v>1.0</v>
      </c>
    </row>
    <row r="1919" ht="15.75" customHeight="1">
      <c r="A1919" s="1">
        <v>1917.0</v>
      </c>
      <c r="B1919" s="3" t="s">
        <v>1919</v>
      </c>
      <c r="C1919" s="3" t="str">
        <f>IFERROR(__xludf.DUMMYFUNCTION("GOOGLETRANSLATE(B1919,""id"",""en"")"),"['already', 'expensive', 'behavior', 'can', 'love', 'unlimited', 'change', 'quota', 'cook', 'unlimited', 'love', 'limit', ' speed ',' Mbps', 'already', 'expensive', 'pulak', 'price', 'here', 'broken', 'provider']")</f>
        <v>['already', 'expensive', 'behavior', 'can', 'love', 'unlimited', 'change', 'quota', 'cook', 'unlimited', 'love', 'limit', ' speed ',' Mbps', 'already', 'expensive', 'pulak', 'price', 'here', 'broken', 'provider']</v>
      </c>
      <c r="D1919" s="3">
        <v>1.0</v>
      </c>
    </row>
    <row r="1920" ht="15.75" customHeight="1">
      <c r="A1920" s="1">
        <v>1918.0</v>
      </c>
      <c r="B1920" s="3" t="s">
        <v>1920</v>
      </c>
      <c r="C1920" s="3" t="str">
        <f>IFERROR(__xludf.DUMMYFUNCTION("GOOGLETRANSLATE(B1920,""id"",""en"")"),"['Disappointed', 'Telkomsel', 'Data', 'Internet', 'Main', 'Video', 'Tlong', 'Fix']")</f>
        <v>['Disappointed', 'Telkomsel', 'Data', 'Internet', 'Main', 'Video', 'Tlong', 'Fix']</v>
      </c>
      <c r="D1920" s="3">
        <v>1.0</v>
      </c>
    </row>
    <row r="1921" ht="15.75" customHeight="1">
      <c r="A1921" s="1">
        <v>1919.0</v>
      </c>
      <c r="B1921" s="3" t="s">
        <v>1921</v>
      </c>
      <c r="C1921" s="3" t="str">
        <f>IFERROR(__xludf.DUMMYFUNCTION("GOOGLETRANSLATE(B1921,""id"",""en"")"),"['Performance', 'according to', 'price', 'expensive', 'trouble', 'network', 'severe', 'network']")</f>
        <v>['Performance', 'according to', 'price', 'expensive', 'trouble', 'network', 'severe', 'network']</v>
      </c>
      <c r="D1921" s="3">
        <v>1.0</v>
      </c>
    </row>
    <row r="1922" ht="15.75" customHeight="1">
      <c r="A1922" s="1">
        <v>1920.0</v>
      </c>
      <c r="B1922" s="3" t="s">
        <v>1922</v>
      </c>
      <c r="C1922" s="3" t="str">
        <f>IFERROR(__xludf.DUMMYFUNCTION("GOOGLETRANSLATE(B1922,""id"",""en"")"),"['Please', 'sorry', 'package', 'data', 'appears',' notification ',' package ',' data ',' run out ',' offer ',' package ',' emergency ',' pressing ',' craftscrew ',' yes', 'package', 'emergency', 'active', 'pulse', 'cheek', 'rb', 'contents',' reset ',' pul"&amp;"se ',' really ' , 'Customers', 'loyal', 'Telkomsel', 'Disappointed', 'Please', 'Fix', 'Thank', 'Love', ""]")</f>
        <v>['Please', 'sorry', 'package', 'data', 'appears',' notification ',' package ',' data ',' run out ',' offer ',' package ',' emergency ',' pressing ',' craftscrew ',' yes', 'package', 'emergency', 'active', 'pulse', 'cheek', 'rb', 'contents',' reset ',' pulse ',' really ' , 'Customers', 'loyal', 'Telkomsel', 'Disappointed', 'Please', 'Fix', 'Thank', 'Love', "]</v>
      </c>
      <c r="D1922" s="3">
        <v>1.0</v>
      </c>
    </row>
    <row r="1923" ht="15.75" customHeight="1">
      <c r="A1923" s="1">
        <v>1921.0</v>
      </c>
      <c r="B1923" s="3" t="s">
        <v>1923</v>
      </c>
      <c r="C1923" s="3" t="str">
        <f>IFERROR(__xludf.DUMMYFUNCTION("GOOGLETRANSLATE(B1923,""id"",""en"")"),"['makes it easier', 'transaction', 'exchange', 'point', 'purchase', 'pulse', 'package']")</f>
        <v>['makes it easier', 'transaction', 'exchange', 'point', 'purchase', 'pulse', 'package']</v>
      </c>
      <c r="D1923" s="3">
        <v>5.0</v>
      </c>
    </row>
    <row r="1924" ht="15.75" customHeight="1">
      <c r="A1924" s="1">
        <v>1922.0</v>
      </c>
      <c r="B1924" s="3" t="s">
        <v>1924</v>
      </c>
      <c r="C1924" s="3" t="str">
        <f>IFERROR(__xludf.DUMMYFUNCTION("GOOGLETRANSLATE(B1924,""id"",""en"")"),"['Sorry', 'comment', 'Edit', 'Saturday', 'Sep', 'Network', 'Sympathy', 'Bad', 'Open', 'Web', 'Zoom', 'appears',' Video ',' presentation ',' setbacks', 'work', 'school', 'online', 'location', 'waru', 'sidoarjo', 'please', 'fixed']")</f>
        <v>['Sorry', 'comment', 'Edit', 'Saturday', 'Sep', 'Network', 'Sympathy', 'Bad', 'Open', 'Web', 'Zoom', 'appears',' Video ',' presentation ',' setbacks', 'work', 'school', 'online', 'location', 'waru', 'sidoarjo', 'please', 'fixed']</v>
      </c>
      <c r="D1924" s="3">
        <v>1.0</v>
      </c>
    </row>
    <row r="1925" ht="15.75" customHeight="1">
      <c r="A1925" s="1">
        <v>1923.0</v>
      </c>
      <c r="B1925" s="3" t="s">
        <v>1925</v>
      </c>
      <c r="C1925" s="3" t="str">
        <f>IFERROR(__xludf.DUMMYFUNCTION("GOOGLETRANSLATE(B1925,""id"",""en"")"),"['satisfying', 'Enhanced', 'Service', 'Trima', 'Love', ""]")</f>
        <v>['satisfying', 'Enhanced', 'Service', 'Trima', 'Love', "]</v>
      </c>
      <c r="D1925" s="3">
        <v>5.0</v>
      </c>
    </row>
    <row r="1926" ht="15.75" customHeight="1">
      <c r="A1926" s="1">
        <v>1924.0</v>
      </c>
      <c r="B1926" s="3" t="s">
        <v>1926</v>
      </c>
      <c r="C1926" s="3" t="str">
        <f>IFERROR(__xludf.DUMMYFUNCTION("GOOGLETRANSLATE(B1926,""id"",""en"")"),"['Disappointed', 'signal', 'Actor', 'Severe', 'ugly', 'Kapok', 'Telkom', 'Bye', ""]")</f>
        <v>['Disappointed', 'signal', 'Actor', 'Severe', 'ugly', 'Kapok', 'Telkom', 'Bye', "]</v>
      </c>
      <c r="D1926" s="3">
        <v>2.0</v>
      </c>
    </row>
    <row r="1927" ht="15.75" customHeight="1">
      <c r="A1927" s="1">
        <v>1925.0</v>
      </c>
      <c r="B1927" s="3" t="s">
        <v>1927</v>
      </c>
      <c r="C1927" s="3" t="str">
        <f>IFERROR(__xludf.DUMMYFUNCTION("GOOGLETRANSLATE(B1927,""id"",""en"")"),"['Thank you', 'buy', 'pulse', 'buy', 'package', 'kp', 'tomorrow', 'pulse', 'leftover', 'sumps', 'gmn', ""]")</f>
        <v>['Thank you', 'buy', 'pulse', 'buy', 'package', 'kp', 'tomorrow', 'pulse', 'leftover', 'sumps', 'gmn', "]</v>
      </c>
      <c r="D1927" s="3">
        <v>1.0</v>
      </c>
    </row>
    <row r="1928" ht="15.75" customHeight="1">
      <c r="A1928" s="1">
        <v>1926.0</v>
      </c>
      <c r="B1928" s="3" t="s">
        <v>1928</v>
      </c>
      <c r="C1928" s="3" t="str">
        <f>IFERROR(__xludf.DUMMYFUNCTION("GOOGLETRANSLATE(B1928,""id"",""en"")"),"['tok', 'system', 'checkun sun,' daily ',' turn ',' can ',' bonus ',' ilang ',' system ',' checkin ',' bad ',' service ',' Kyk ',' gni ']")</f>
        <v>['tok', 'system', 'checkun sun,' daily ',' turn ',' can ',' bonus ',' ilang ',' system ',' checkin ',' bad ',' service ',' Kyk ',' gni ']</v>
      </c>
      <c r="D1928" s="3">
        <v>1.0</v>
      </c>
    </row>
    <row r="1929" ht="15.75" customHeight="1">
      <c r="A1929" s="1">
        <v>1927.0</v>
      </c>
      <c r="B1929" s="3" t="s">
        <v>1929</v>
      </c>
      <c r="C1929" s="3" t="str">
        <f>IFERROR(__xludf.DUMMYFUNCTION("GOOGLETRANSLATE(B1929,""id"",""en"")"),"['priority', 'service', 'community', 'community', 'economy', 'user', 'biggest', '']")</f>
        <v>['priority', 'service', 'community', 'community', 'economy', 'user', 'biggest', '']</v>
      </c>
      <c r="D1929" s="3">
        <v>5.0</v>
      </c>
    </row>
    <row r="1930" ht="15.75" customHeight="1">
      <c r="A1930" s="1">
        <v>1928.0</v>
      </c>
      <c r="B1930" s="3" t="s">
        <v>1930</v>
      </c>
      <c r="C1930" s="3" t="str">
        <f>IFERROR(__xludf.DUMMYFUNCTION("GOOGLETRANSLATE(B1930,""id"",""en"")"),"['Telokmsel', 'open', 'account', 'apasih', 'his life', 'ngebug', 'tense', 'please', 'fix', 'mistake', 'developer']")</f>
        <v>['Telokmsel', 'open', 'account', 'apasih', 'his life', 'ngebug', 'tense', 'please', 'fix', 'mistake', 'developer']</v>
      </c>
      <c r="D1930" s="3">
        <v>1.0</v>
      </c>
    </row>
    <row r="1931" ht="15.75" customHeight="1">
      <c r="A1931" s="1">
        <v>1929.0</v>
      </c>
      <c r="B1931" s="3" t="s">
        <v>1931</v>
      </c>
      <c r="C1931" s="3" t="str">
        <f>IFERROR(__xludf.DUMMYFUNCTION("GOOGLETRANSLATE(B1931,""id"",""en"")"),"['activated', 'package', 'signal', 'threat', 'really', 'right', 'move', 'position', 'search', 'good', 'signal', 'okay', ' slow ',' haiiisss', 'profit', 'activated', 'a week', 'try', 'klu', 'a month', 'emotion', 'soul', 'hihihihi', ""]")</f>
        <v>['activated', 'package', 'signal', 'threat', 'really', 'right', 'move', 'position', 'search', 'good', 'signal', 'okay', ' slow ',' haiiisss', 'profit', 'activated', 'a week', 'try', 'klu', 'a month', 'emotion', 'soul', 'hihihihi', "]</v>
      </c>
      <c r="D1931" s="3">
        <v>2.0</v>
      </c>
    </row>
    <row r="1932" ht="15.75" customHeight="1">
      <c r="A1932" s="1">
        <v>1930.0</v>
      </c>
      <c r="B1932" s="3" t="s">
        <v>1932</v>
      </c>
      <c r="C1932" s="3" t="str">
        <f>IFERROR(__xludf.DUMMYFUNCTION("GOOGLETRANSLATE(B1932,""id"",""en"")"),"['disappointed', 'credit', 'missing', 'active', 'package', '']")</f>
        <v>['disappointed', 'credit', 'missing', 'active', 'package', '']</v>
      </c>
      <c r="D1932" s="3">
        <v>1.0</v>
      </c>
    </row>
    <row r="1933" ht="15.75" customHeight="1">
      <c r="A1933" s="1">
        <v>1931.0</v>
      </c>
      <c r="B1933" s="3" t="s">
        <v>1933</v>
      </c>
      <c r="C1933" s="3" t="str">
        <f>IFERROR(__xludf.DUMMYFUNCTION("GOOGLETRANSLATE(B1933,""id"",""en"")"),"['Oklah', 'Package', 'Unlimited', 'YouTube', 'Diivenin', 'Game', 'ASW', 'Package', 'Unlimited', 'Masi', 'GB', 'Kgak', ' Open ',' Game ',' Region ',' Good ',' Move ',' Provider ',' TelkomTod ',' Gada ',' Good ',' Asw ',' Forced ']")</f>
        <v>['Oklah', 'Package', 'Unlimited', 'YouTube', 'Diivenin', 'Game', 'ASW', 'Package', 'Unlimited', 'Masi', 'GB', 'Kgak', ' Open ',' Game ',' Region ',' Good ',' Move ',' Provider ',' TelkomTod ',' Gada ',' Good ',' Asw ',' Forced ']</v>
      </c>
      <c r="D1933" s="3">
        <v>1.0</v>
      </c>
    </row>
    <row r="1934" ht="15.75" customHeight="1">
      <c r="A1934" s="1">
        <v>1932.0</v>
      </c>
      <c r="B1934" s="3" t="s">
        <v>1934</v>
      </c>
      <c r="C1934" s="3" t="str">
        <f>IFERROR(__xludf.DUMMYFUNCTION("GOOGLETRANSLATE(B1934,""id"",""en"")"),"['company', 'plate', 'red', 'network', 'slow', 'please', 'noticed', 'customer', 'disappointed', '']")</f>
        <v>['company', 'plate', 'red', 'network', 'slow', 'please', 'noticed', 'customer', 'disappointed', '']</v>
      </c>
      <c r="D1934" s="3">
        <v>1.0</v>
      </c>
    </row>
    <row r="1935" ht="15.75" customHeight="1">
      <c r="A1935" s="1">
        <v>1933.0</v>
      </c>
      <c r="B1935" s="3" t="s">
        <v>1935</v>
      </c>
      <c r="C1935" s="3" t="str">
        <f>IFERROR(__xludf.DUMMYFUNCTION("GOOGLETRANSLATE(B1935,""id"",""en"")"),"['Telkomsel', 'turn', 'check', 'can', 'quota', 'ehhh', 'icon', 'check', 'php', 'events', 'disappointed', '']")</f>
        <v>['Telkomsel', 'turn', 'check', 'can', 'quota', 'ehhh', 'icon', 'check', 'php', 'events', 'disappointed', '']</v>
      </c>
      <c r="D1935" s="3">
        <v>2.0</v>
      </c>
    </row>
    <row r="1936" ht="15.75" customHeight="1">
      <c r="A1936" s="1">
        <v>1934.0</v>
      </c>
      <c r="B1936" s="3" t="s">
        <v>1936</v>
      </c>
      <c r="C1936" s="3" t="str">
        <f>IFERROR(__xludf.DUMMYFUNCTION("GOOGLETRANSLATE(B1936,""id"",""en"")"),"['Tannya', 'signal', 'Telkomsel', 'entry', 'clock', 'ugly', 'forgiveness', 'play', 'game']")</f>
        <v>['Tannya', 'signal', 'Telkomsel', 'entry', 'clock', 'ugly', 'forgiveness', 'play', 'game']</v>
      </c>
      <c r="D1936" s="3">
        <v>1.0</v>
      </c>
    </row>
    <row r="1937" ht="15.75" customHeight="1">
      <c r="A1937" s="1">
        <v>1935.0</v>
      </c>
      <c r="B1937" s="3" t="s">
        <v>1937</v>
      </c>
      <c r="C1937" s="3" t="str">
        <f>IFERROR(__xludf.DUMMYFUNCTION("GOOGLETRANSLATE(B1937,""id"",""en"")"),"['Yesterday', 'Yesterday', 'Msh', 'Daily', 'Check', 'Lost', 'Reward', 'Cliem', 'Seneng', 'Gift', 'Quota', 'Free', ' Telkomsel ',' ']")</f>
        <v>['Yesterday', 'Yesterday', 'Msh', 'Daily', 'Check', 'Lost', 'Reward', 'Cliem', 'Seneng', 'Gift', 'Quota', 'Free', ' Telkomsel ',' ']</v>
      </c>
      <c r="D1937" s="3">
        <v>5.0</v>
      </c>
    </row>
    <row r="1938" ht="15.75" customHeight="1">
      <c r="A1938" s="1">
        <v>1936.0</v>
      </c>
      <c r="B1938" s="3" t="s">
        <v>1938</v>
      </c>
      <c r="C1938" s="3" t="str">
        <f>IFERROR(__xludf.DUMMYFUNCTION("GOOGLETRANSLATE(B1938,""id"",""en"")"),"['The network', 'slow', 'package', 'internet', 'multi', 'media', 'network', 'slow', 'quota', 'piled', 'used', 'use', ' whatever']")</f>
        <v>['The network', 'slow', 'package', 'internet', 'multi', 'media', 'network', 'slow', 'quota', 'piled', 'used', 'use', ' whatever']</v>
      </c>
      <c r="D1938" s="3">
        <v>1.0</v>
      </c>
    </row>
    <row r="1939" ht="15.75" customHeight="1">
      <c r="A1939" s="1">
        <v>1937.0</v>
      </c>
      <c r="B1939" s="3" t="s">
        <v>1939</v>
      </c>
      <c r="C1939" s="3" t="str">
        <f>IFERROR(__xludf.DUMMYFUNCTION("GOOGLETRANSLATE(B1939,""id"",""en"")"),"['Advantages', 'Network', 'Telkomsel', 'Region', 'Weakness', 'Network', 'Telkomsel', 'Severe', 'Slow', 'Sometimes', 'Lost', 'Total']")</f>
        <v>['Advantages', 'Network', 'Telkomsel', 'Region', 'Weakness', 'Network', 'Telkomsel', 'Severe', 'Slow', 'Sometimes', 'Lost', 'Total']</v>
      </c>
      <c r="D1939" s="3">
        <v>5.0</v>
      </c>
    </row>
    <row r="1940" ht="15.75" customHeight="1">
      <c r="A1940" s="1">
        <v>1938.0</v>
      </c>
      <c r="B1940" s="3" t="s">
        <v>1940</v>
      </c>
      <c r="C1940" s="3" t="str">
        <f>IFERROR(__xludf.DUMMYFUNCTION("GOOGLETRANSLATE(B1940,""id"",""en"")"),"['Plis',' Please ',' Fix ',' Network ',' Open ',' Ngak ',' Datasya ',' Sousal ',' Good ',' Canapa ',' Ngak ',' Open ',' Please ',' Give ',' ']")</f>
        <v>['Plis',' Please ',' Fix ',' Network ',' Open ',' Ngak ',' Datasya ',' Sousal ',' Good ',' Canapa ',' Ngak ',' Open ',' Please ',' Give ',' ']</v>
      </c>
      <c r="D1940" s="3">
        <v>1.0</v>
      </c>
    </row>
    <row r="1941" ht="15.75" customHeight="1">
      <c r="A1941" s="1">
        <v>1939.0</v>
      </c>
      <c r="B1941" s="3" t="s">
        <v>1941</v>
      </c>
      <c r="C1941" s="3" t="str">
        <f>IFERROR(__xludf.DUMMYFUNCTION("GOOGLETRANSLATE(B1941,""id"",""en"")"),"['difficult', 'really', 'entry', 'PosesaBga', 'slow', '']")</f>
        <v>['difficult', 'really', 'entry', 'PosesaBga', 'slow', '']</v>
      </c>
      <c r="D1941" s="3">
        <v>1.0</v>
      </c>
    </row>
    <row r="1942" ht="15.75" customHeight="1">
      <c r="A1942" s="1">
        <v>1940.0</v>
      </c>
      <c r="B1942" s="3" t="s">
        <v>1942</v>
      </c>
      <c r="C1942" s="3" t="str">
        <f>IFERROR(__xludf.DUMMYFUNCTION("GOOGLETRANSLATE(B1942,""id"",""en"")"),"['price', 'quota', 'according to', 'need', 'spend', 'money', 'quota', 'price', 'naunt', 'simcard', 'simcard', 'main', ' Internet ',' expensive ',' tariff ',' quota ',' promo ',' simcard ',' rare ',' fill ',' active ',' promo ',' cheap ',' fair ',' no ' , "&amp;"'tactics', 'good', 'squeeze', 'customer', 'kek', 'gini', 'mending', 'switch', 'provider', ""]")</f>
        <v>['price', 'quota', 'according to', 'need', 'spend', 'money', 'quota', 'price', 'naunt', 'simcard', 'simcard', 'main', ' Internet ',' expensive ',' tariff ',' quota ',' promo ',' simcard ',' rare ',' fill ',' active ',' promo ',' cheap ',' fair ',' no ' , 'tactics', 'good', 'squeeze', 'customer', 'kek', 'gini', 'mending', 'switch', 'provider', "]</v>
      </c>
      <c r="D1942" s="3">
        <v>1.0</v>
      </c>
    </row>
    <row r="1943" ht="15.75" customHeight="1">
      <c r="A1943" s="1">
        <v>1941.0</v>
      </c>
      <c r="B1943" s="3" t="s">
        <v>1943</v>
      </c>
      <c r="C1943" s="3" t="str">
        <f>IFERROR(__xludf.DUMMYFUNCTION("GOOGLETRANSLATE(B1943,""id"",""en"")"),"['little', 'improvement', 'improvement', 'clock', 'compensation', 'sorry', 'indeed', 'get', 'quota', 'sorry', 'brain', ' ']")</f>
        <v>['little', 'improvement', 'improvement', 'clock', 'compensation', 'sorry', 'indeed', 'get', 'quota', 'sorry', 'brain', ' ']</v>
      </c>
      <c r="D1943" s="3">
        <v>1.0</v>
      </c>
    </row>
    <row r="1944" ht="15.75" customHeight="1">
      <c r="A1944" s="1">
        <v>1942.0</v>
      </c>
      <c r="B1944" s="3" t="s">
        <v>1944</v>
      </c>
      <c r="C1944" s="3" t="str">
        <f>IFERROR(__xludf.DUMMYFUNCTION("GOOGLETRANSLATE(B1944,""id"",""en"")"),"['', 'Idi', 'Idi', 'credit', 'Ngg', 'sms',' enter ',' loss', 'contents',' pulse ',' rb ',' enter ',' cmn ',' RB ',' KMN ',' UDH ',' Awaited ',' SMS ',' NGG ',' Notif ',' Loss', 'Rb', 'Please', 'Help', ""]")</f>
        <v>['', 'Idi', 'Idi', 'credit', 'Ngg', 'sms',' enter ',' loss', 'contents',' pulse ',' rb ',' enter ',' cmn ',' RB ',' KMN ',' UDH ',' Awaited ',' SMS ',' NGG ',' Notif ',' Loss', 'Rb', 'Please', 'Help', "]</v>
      </c>
      <c r="D1944" s="3">
        <v>3.0</v>
      </c>
    </row>
    <row r="1945" ht="15.75" customHeight="1">
      <c r="A1945" s="1">
        <v>1943.0</v>
      </c>
      <c r="B1945" s="3" t="s">
        <v>1945</v>
      </c>
      <c r="C1945" s="3" t="str">
        <f>IFERROR(__xludf.DUMMYFUNCTION("GOOGLETRANSLATE(B1945,""id"",""en"")"),"['Good', 'app', 'makes it easy', 'user', 'info', 'card', 'search', 'package', 'promo', 'cheap']")</f>
        <v>['Good', 'app', 'makes it easy', 'user', 'info', 'card', 'search', 'package', 'promo', 'cheap']</v>
      </c>
      <c r="D1945" s="3">
        <v>5.0</v>
      </c>
    </row>
    <row r="1946" ht="15.75" customHeight="1">
      <c r="A1946" s="1">
        <v>1944.0</v>
      </c>
      <c r="B1946" s="3" t="s">
        <v>1946</v>
      </c>
      <c r="C1946" s="3" t="str">
        <f>IFERROR(__xludf.DUMMYFUNCTION("GOOGLETRANSLATE(B1946,""id"",""en"")"),"['already', 'pay', 'expensive', 'network', 'Buriq', 'star', 'Mines', 'cave', 'love', '']")</f>
        <v>['already', 'pay', 'expensive', 'network', 'Buriq', 'star', 'Mines', 'cave', 'love', '']</v>
      </c>
      <c r="D1946" s="3">
        <v>1.0</v>
      </c>
    </row>
    <row r="1947" ht="15.75" customHeight="1">
      <c r="A1947" s="1">
        <v>1945.0</v>
      </c>
      <c r="B1947" s="3" t="s">
        <v>1947</v>
      </c>
      <c r="C1947" s="3" t="str">
        <f>IFERROR(__xludf.DUMMYFUNCTION("GOOGLETRANSLATE(B1947,""id"",""en"")"),"['', 'Indonesia', 'East', 'sell', 'relied on', 'disappointed', 'price', 'expensive', '']")</f>
        <v>['', 'Indonesia', 'East', 'sell', 'relied on', 'disappointed', 'price', 'expensive', '']</v>
      </c>
      <c r="D1947" s="3">
        <v>1.0</v>
      </c>
    </row>
    <row r="1948" ht="15.75" customHeight="1">
      <c r="A1948" s="1">
        <v>1946.0</v>
      </c>
      <c r="B1948" s="3" t="s">
        <v>1948</v>
      </c>
      <c r="C1948" s="3" t="str">
        <f>IFERROR(__xludf.DUMMYFUNCTION("GOOGLETRANSLATE(B1948,""id"",""en"")"),"['The application', 'good', 'really', 'buy', 'package', 'internet', 'right', 'internet', 'run out', 'tetep', 'buy', 'package', ' ']")</f>
        <v>['The application', 'good', 'really', 'buy', 'package', 'internet', 'right', 'internet', 'run out', 'tetep', 'buy', 'package', ' ']</v>
      </c>
      <c r="D1948" s="3">
        <v>5.0</v>
      </c>
    </row>
    <row r="1949" ht="15.75" customHeight="1">
      <c r="A1949" s="1">
        <v>1947.0</v>
      </c>
      <c r="B1949" s="3" t="s">
        <v>1949</v>
      </c>
      <c r="C1949" s="3" t="str">
        <f>IFERROR(__xludf.DUMMYFUNCTION("GOOGLETRANSLATE(B1949,""id"",""en"")"),"['buy', 'quota', 'GB', 'unlimited', 'rb', 'quota', 'internet', 'run out', 'remaining', 'quota', 'unlimited', 'network', ' Bad, 'use', 'internet', 'unlimited', 'open', 'difficult', 'ugly', 'quality', 'tissue', 'telkom', 'replace', 'card', ""]")</f>
        <v>['buy', 'quota', 'GB', 'unlimited', 'rb', 'quota', 'internet', 'run out', 'remaining', 'quota', 'unlimited', 'network', ' Bad, 'use', 'internet', 'unlimited', 'open', 'difficult', 'ugly', 'quality', 'tissue', 'telkom', 'replace', 'card', "]</v>
      </c>
      <c r="D1949" s="3">
        <v>1.0</v>
      </c>
    </row>
    <row r="1950" ht="15.75" customHeight="1">
      <c r="A1950" s="1">
        <v>1948.0</v>
      </c>
      <c r="B1950" s="3" t="s">
        <v>1950</v>
      </c>
      <c r="C1950" s="3" t="str">
        <f>IFERROR(__xludf.DUMMYFUNCTION("GOOGLETRANSLATE(B1950,""id"",""en"")"),"['', 'Telkomsel', 'please', 'fix', 'signal', 'here', 'apk', 'gabisa', 'used', 'signal', 'full', 'network', 'internet ',' like ',' stable ']")</f>
        <v>['', 'Telkomsel', 'please', 'fix', 'signal', 'here', 'apk', 'gabisa', 'used', 'signal', 'full', 'network', 'internet ',' like ',' stable ']</v>
      </c>
      <c r="D1950" s="3">
        <v>4.0</v>
      </c>
    </row>
    <row r="1951" ht="15.75" customHeight="1">
      <c r="A1951" s="1">
        <v>1949.0</v>
      </c>
      <c r="B1951" s="3" t="s">
        <v>1951</v>
      </c>
      <c r="C1951" s="3" t="str">
        <f>IFERROR(__xludf.DUMMYFUNCTION("GOOGLETRANSLATE(B1951,""id"",""en"")"),"['Ngerti', 'quota', 'watch', 'description', 'details', 'please', 'Telkomsel', 'clarification', 'quota', 'watch', 'quota', 'used']")</f>
        <v>['Ngerti', 'quota', 'watch', 'description', 'details', 'please', 'Telkomsel', 'clarification', 'quota', 'watch', 'quota', 'used']</v>
      </c>
      <c r="D1951" s="3">
        <v>4.0</v>
      </c>
    </row>
    <row r="1952" ht="15.75" customHeight="1">
      <c r="A1952" s="1">
        <v>1950.0</v>
      </c>
      <c r="B1952" s="3" t="s">
        <v>1952</v>
      </c>
      <c r="C1952" s="3" t="str">
        <f>IFERROR(__xludf.DUMMYFUNCTION("GOOGLETRANSLATE(B1952,""id"",""en"")"),"['Purchase', 'Package', 'FAILURE', 'System', 'Default', 'Return', 'Costs',' Balance ',' Cut ',' Package ',' Enter ',' Complaint ',' Wait ',' Sunday ',' BLM ',' PNFONE ',' PAS ',' KOMPAIN ',' WAIT ',' WAIT ',' PACKAGE ',' INJECT ',' Soul ',' Service ',' th"&amp;"ink ' , 'week', 'purchase', 'package', 'stated', 'failed', 'package', 'go', 'really', 'udh', 'explained', 'sgera', 'pngmbalian', ' balance ',' because ',' buy ',' package ']")</f>
        <v>['Purchase', 'Package', 'FAILURE', 'System', 'Default', 'Return', 'Costs',' Balance ',' Cut ',' Package ',' Enter ',' Complaint ',' Wait ',' Sunday ',' BLM ',' PNFONE ',' PAS ',' KOMPAIN ',' WAIT ',' WAIT ',' PACKAGE ',' INJECT ',' Soul ',' Service ',' think ' , 'week', 'purchase', 'package', 'stated', 'failed', 'package', 'go', 'really', 'udh', 'explained', 'sgera', 'pngmbalian', ' balance ',' because ',' buy ',' package ']</v>
      </c>
      <c r="D1952" s="3">
        <v>1.0</v>
      </c>
    </row>
    <row r="1953" ht="15.75" customHeight="1">
      <c r="A1953" s="1">
        <v>1951.0</v>
      </c>
      <c r="B1953" s="3" t="s">
        <v>1953</v>
      </c>
      <c r="C1953" s="3" t="str">
        <f>IFERROR(__xludf.DUMMYFUNCTION("GOOGLETRANSLATE(B1953,""id"",""en"")"),"['protest', 'Where', 'Sorry', 'Sorry', 'Package', 'Doang', 'Expensive', 'Quality', 'Network', 'Asked', 'Pay']")</f>
        <v>['protest', 'Where', 'Sorry', 'Sorry', 'Package', 'Doang', 'Expensive', 'Quality', 'Network', 'Asked', 'Pay']</v>
      </c>
      <c r="D1953" s="3">
        <v>1.0</v>
      </c>
    </row>
    <row r="1954" ht="15.75" customHeight="1">
      <c r="A1954" s="1">
        <v>1952.0</v>
      </c>
      <c r="B1954" s="3" t="s">
        <v>1954</v>
      </c>
      <c r="C1954" s="3" t="str">
        <f>IFERROR(__xludf.DUMMYFUNCTION("GOOGLETRANSLATE(B1954,""id"",""en"")"),"['contents',' credit ',' Telkomsel ',' sympathy ',' date ',' September ',' date ',' September ',' notification ',' via ',' SMS ',' Telkomsel ',' pulses', 'cut', 'tarip', 'non', 'package', 'buy', 'package', 'subscribe', 'package', 'use', 'mg turn', 'data',"&amp;" 'internet' , 'Via', 'Telkomsel', 'check', 'pulse', 'reduced', 'according to', 'nominal', 'SMS', 'Telkomsel', 'truncated', 'use', 'product', ' Telkomsel ',' ']")</f>
        <v>['contents',' credit ',' Telkomsel ',' sympathy ',' date ',' September ',' date ',' September ',' notification ',' via ',' SMS ',' Telkomsel ',' pulses', 'cut', 'tarip', 'non', 'package', 'buy', 'package', 'subscribe', 'package', 'use', 'mg turn', 'data', 'internet' , 'Via', 'Telkomsel', 'check', 'pulse', 'reduced', 'according to', 'nominal', 'SMS', 'Telkomsel', 'truncated', 'use', 'product', ' Telkomsel ',' ']</v>
      </c>
      <c r="D1954" s="3">
        <v>1.0</v>
      </c>
    </row>
    <row r="1955" ht="15.75" customHeight="1">
      <c r="A1955" s="1">
        <v>1953.0</v>
      </c>
      <c r="B1955" s="3" t="s">
        <v>1955</v>
      </c>
      <c r="C1955" s="3" t="str">
        <f>IFERROR(__xludf.DUMMYFUNCTION("GOOGLETRANSLATE(B1955,""id"",""en"")"),"['Lemot', 'Main', 'Game', '']")</f>
        <v>['Lemot', 'Main', 'Game', '']</v>
      </c>
      <c r="D1955" s="3">
        <v>1.0</v>
      </c>
    </row>
    <row r="1956" ht="15.75" customHeight="1">
      <c r="A1956" s="1">
        <v>1954.0</v>
      </c>
      <c r="B1956" s="3" t="s">
        <v>1956</v>
      </c>
      <c r="C1956" s="3" t="str">
        <f>IFERROR(__xludf.DUMMYFUNCTION("GOOGLETRANSLATE(B1956,""id"",""en"")"),"['Star', 'APL', 'Telkomsel', 'Version', 'Honest', 'Network', 'Telkomsel', 'Lemot', 'Area', 'Bekasi', 'Get', 'Lottery', ' Telkomsel ',' Points', 'hehehee']")</f>
        <v>['Star', 'APL', 'Telkomsel', 'Version', 'Honest', 'Network', 'Telkomsel', 'Lemot', 'Area', 'Bekasi', 'Get', 'Lottery', ' Telkomsel ',' Points', 'hehehee']</v>
      </c>
      <c r="D1956" s="3">
        <v>3.0</v>
      </c>
    </row>
    <row r="1957" ht="15.75" customHeight="1">
      <c r="A1957" s="1">
        <v>1955.0</v>
      </c>
      <c r="B1957" s="3" t="s">
        <v>1957</v>
      </c>
      <c r="C1957" s="3" t="str">
        <f>IFERROR(__xludf.DUMMYFUNCTION("GOOGLETRANSLATE(B1957,""id"",""en"")"),"['signal', 'Ouch', 'brother', 'steady', 'sampek', 'gini', 'kah', 'satisfying', 'customer', 'signal', 'down']")</f>
        <v>['signal', 'Ouch', 'brother', 'steady', 'sampek', 'gini', 'kah', 'satisfying', 'customer', 'signal', 'down']</v>
      </c>
      <c r="D1957" s="3">
        <v>1.0</v>
      </c>
    </row>
    <row r="1958" ht="15.75" customHeight="1">
      <c r="A1958" s="1">
        <v>1956.0</v>
      </c>
      <c r="B1958" s="3" t="s">
        <v>1958</v>
      </c>
      <c r="C1958" s="3" t="str">
        <f>IFERROR(__xludf.DUMMYFUNCTION("GOOGLETRANSLATE(B1958,""id"",""en"")"),"['Telkomsel', 'BEJAD', 'Disconnect', 'Sinyal', 'sucked', 'pulse', 'quota', 'internet', 'telkom', 'internet', 'bejad', 'mending', ' Close ',' company ',' bother ',' person ', ""]")</f>
        <v>['Telkomsel', 'BEJAD', 'Disconnect', 'Sinyal', 'sucked', 'pulse', 'quota', 'internet', 'telkom', 'internet', 'bejad', 'mending', ' Close ',' company ',' bother ',' person ', "]</v>
      </c>
      <c r="D1958" s="3">
        <v>1.0</v>
      </c>
    </row>
    <row r="1959" ht="15.75" customHeight="1">
      <c r="A1959" s="1">
        <v>1957.0</v>
      </c>
      <c r="B1959" s="3" t="s">
        <v>1959</v>
      </c>
      <c r="C1959" s="3" t="str">
        <f>IFERROR(__xludf.DUMMYFUNCTION("GOOGLETRANSLATE(B1959,""id"",""en"")"),"['love', 'star', 'just', 'Gara', 'Gara', 'slow', 'severe', 'work', 'blocked', 'as a result', 'stacked', 'until' seconds', 'Posting', 'Please', 'Sorry', 'Fruit', 'My Frustration', 'Network', 'Telkomsel', 'Lemot', 'Date', 'September', ""]")</f>
        <v>['love', 'star', 'just', 'Gara', 'Gara', 'slow', 'severe', 'work', 'blocked', 'as a result', 'stacked', 'until' seconds', 'Posting', 'Please', 'Sorry', 'Fruit', 'My Frustration', 'Network', 'Telkomsel', 'Lemot', 'Date', 'September', "]</v>
      </c>
      <c r="D1959" s="3">
        <v>1.0</v>
      </c>
    </row>
    <row r="1960" ht="15.75" customHeight="1">
      <c r="A1960" s="1">
        <v>1958.0</v>
      </c>
      <c r="B1960" s="3" t="s">
        <v>1960</v>
      </c>
      <c r="C1960" s="3" t="str">
        <f>IFERROR(__xludf.DUMMYFUNCTION("GOOGLETRANSLATE(B1960,""id"",""en"")"),"['internet', 'game', 'bnyak', 'donk', 'package', 'game', 'max', 'package', 'internet', 'main', 'package', 'internet', ' main ',' Abis', 'already', 'package', 'internet', 'game', 'max', 'poor']")</f>
        <v>['internet', 'game', 'bnyak', 'donk', 'package', 'game', 'max', 'package', 'internet', 'main', 'package', 'internet', ' main ',' Abis', 'already', 'package', 'internet', 'game', 'max', 'poor']</v>
      </c>
      <c r="D1960" s="3">
        <v>1.0</v>
      </c>
    </row>
    <row r="1961" ht="15.75" customHeight="1">
      <c r="A1961" s="1">
        <v>1959.0</v>
      </c>
      <c r="B1961" s="3" t="s">
        <v>1961</v>
      </c>
      <c r="C1961" s="3" t="str">
        <f>IFERROR(__xludf.DUMMYFUNCTION("GOOGLETRANSLATE(B1961,""id"",""en"")"),"['use', 'card', 'Telkomsel', 'use', 'sympathy', 'change', 'kekartu', 'card', 'change', 'card', 'hello', 'can', ' gifts', 'anything', 'times',' hopefully ',' proven ',' try ',' program ',' lottery ']")</f>
        <v>['use', 'card', 'Telkomsel', 'use', 'sympathy', 'change', 'kekartu', 'card', 'change', 'card', 'hello', 'can', ' gifts', 'anything', 'times',' hopefully ',' proven ',' try ',' program ',' lottery ']</v>
      </c>
      <c r="D1961" s="3">
        <v>5.0</v>
      </c>
    </row>
    <row r="1962" ht="15.75" customHeight="1">
      <c r="A1962" s="1">
        <v>1960.0</v>
      </c>
      <c r="B1962" s="3" t="s">
        <v>1962</v>
      </c>
      <c r="C1962" s="3" t="str">
        <f>IFERROR(__xludf.DUMMYFUNCTION("GOOGLETRANSLATE(B1962,""id"",""en"")"),"['Saranin', 'friend', 'friend', 'buy', 'package', 'quota', 'Telkomsel', 'price', 'expensive', 'network', 'pulp', 'buy', ' Im ',' ']")</f>
        <v>['Saranin', 'friend', 'friend', 'buy', 'package', 'quota', 'Telkomsel', 'price', 'expensive', 'network', 'pulp', 'buy', ' Im ',' ']</v>
      </c>
      <c r="D1962" s="3">
        <v>1.0</v>
      </c>
    </row>
    <row r="1963" ht="15.75" customHeight="1">
      <c r="A1963" s="1">
        <v>1961.0</v>
      </c>
      <c r="B1963" s="3" t="s">
        <v>1963</v>
      </c>
      <c r="C1963" s="3" t="str">
        <f>IFERROR(__xludf.DUMMYFUNCTION("GOOGLETRANSLATE(B1963,""id"",""en"")"),"['Dour', 'star', 'already', 'exciting', 'play', 'game', 'network', 'ugly', 'pdahl', 'already', 'replace', 'card', ' Sya ',' Telkomsel ',' already ',' Different ',' Kayak ',' ']")</f>
        <v>['Dour', 'star', 'already', 'exciting', 'play', 'game', 'network', 'ugly', 'pdahl', 'already', 'replace', 'card', ' Sya ',' Telkomsel ',' already ',' Different ',' Kayak ',' ']</v>
      </c>
      <c r="D1963" s="3">
        <v>1.0</v>
      </c>
    </row>
    <row r="1964" ht="15.75" customHeight="1">
      <c r="A1964" s="1">
        <v>1962.0</v>
      </c>
      <c r="B1964" s="3" t="s">
        <v>1964</v>
      </c>
      <c r="C1964" s="3" t="str">
        <f>IFERROR(__xludf.DUMMYFUNCTION("GOOGLETRANSLATE(B1964,""id"",""en"")"),"['Eliminating', 'Points', 'Telkomsel', 'Buy', 'Quota', 'Points', 'Bill', 'Credit', 'Points', 'Tsel', ""]")</f>
        <v>['Eliminating', 'Points', 'Telkomsel', 'Buy', 'Quota', 'Points', 'Bill', 'Credit', 'Points', 'Tsel', "]</v>
      </c>
      <c r="D1964" s="3">
        <v>1.0</v>
      </c>
    </row>
    <row r="1965" ht="15.75" customHeight="1">
      <c r="A1965" s="1">
        <v>1963.0</v>
      </c>
      <c r="B1965" s="3" t="s">
        <v>1965</v>
      </c>
      <c r="C1965" s="3" t="str">
        <f>IFERROR(__xludf.DUMMYFUNCTION("GOOGLETRANSLATE(B1965,""id"",""en"")"),"['oath', 'oprator', 'Dajjal', 'disappointed', 'bget', 'Jarigan', 'Timature', 'omogan', 'people', 'use', 'oprator', ' Doang ']")</f>
        <v>['oath', 'oprator', 'Dajjal', 'disappointed', 'bget', 'Jarigan', 'Timature', 'omogan', 'people', 'use', 'oprator', ' Doang ']</v>
      </c>
      <c r="D1965" s="3">
        <v>1.0</v>
      </c>
    </row>
    <row r="1966" ht="15.75" customHeight="1">
      <c r="A1966" s="1">
        <v>1964.0</v>
      </c>
      <c r="B1966" s="3" t="s">
        <v>1966</v>
      </c>
      <c r="C1966" s="3" t="str">
        <f>IFERROR(__xludf.DUMMYFUNCTION("GOOGLETRANSLATE(B1966,""id"",""en"")"),"['Telkomsel', 'Severe', 'The network', 'Ouch', 'Leet', '']")</f>
        <v>['Telkomsel', 'Severe', 'The network', 'Ouch', 'Leet', '']</v>
      </c>
      <c r="D1966" s="3">
        <v>2.0</v>
      </c>
    </row>
    <row r="1967" ht="15.75" customHeight="1">
      <c r="A1967" s="1">
        <v>1965.0</v>
      </c>
      <c r="B1967" s="3" t="s">
        <v>1967</v>
      </c>
      <c r="C1967" s="3" t="str">
        <f>IFERROR(__xludf.DUMMYFUNCTION("GOOGLETRANSLATE(B1967,""id"",""en"")"),"['user', 'loyal', 'sympathy', 'disappointed', 'application', 'Telkomsel', 'promo', 'special', 'rb', 'contents',' pulse ',' lost ',' Promo ',' as a result ',' install ',' Package ']")</f>
        <v>['user', 'loyal', 'sympathy', 'disappointed', 'application', 'Telkomsel', 'promo', 'special', 'rb', 'contents',' pulse ',' lost ',' Promo ',' as a result ',' install ',' Package ']</v>
      </c>
      <c r="D1967" s="3">
        <v>1.0</v>
      </c>
    </row>
    <row r="1968" ht="15.75" customHeight="1">
      <c r="A1968" s="1">
        <v>1966.0</v>
      </c>
      <c r="B1968" s="3" t="s">
        <v>1968</v>
      </c>
      <c r="C1968" s="3" t="str">
        <f>IFERROR(__xludf.DUMMYFUNCTION("GOOGLETRANSLATE(B1968,""id"",""en"")"),"['network', 'Telkomsen', 'destroyed', 'times', 'baahhhh', 'error', 'mulu', 'TDI', 'please', 'fix']")</f>
        <v>['network', 'Telkomsen', 'destroyed', 'times', 'baahhhh', 'error', 'mulu', 'TDI', 'please', 'fix']</v>
      </c>
      <c r="D1968" s="3">
        <v>1.0</v>
      </c>
    </row>
    <row r="1969" ht="15.75" customHeight="1">
      <c r="A1969" s="1">
        <v>1967.0</v>
      </c>
      <c r="B1969" s="3" t="s">
        <v>1969</v>
      </c>
      <c r="C1969" s="3" t="str">
        <f>IFERROR(__xludf.DUMMYFUNCTION("GOOGLETRANSLATE(B1969,""id"",""en"")"),"['Package', 'Information', 'Free', 'SMS', 'Free', 'Tel', 'Minutes', 'Credit', 'Reduced', '']")</f>
        <v>['Package', 'Information', 'Free', 'SMS', 'Free', 'Tel', 'Minutes', 'Credit', 'Reduced', '']</v>
      </c>
      <c r="D1969" s="3">
        <v>1.0</v>
      </c>
    </row>
    <row r="1970" ht="15.75" customHeight="1">
      <c r="A1970" s="1">
        <v>1968.0</v>
      </c>
      <c r="B1970" s="3" t="s">
        <v>1970</v>
      </c>
      <c r="C1970" s="3" t="str">
        <f>IFERROR(__xludf.DUMMYFUNCTION("GOOGLETRANSLATE(B1970,""id"",""en"")"),"['Forced', 'Hopefully', 'appears',' employees', 'BUMN', 'Damaged', 'Fast', 'Dead', 'Titles',' Seeds', 'Indonesia', 'Cured', ' Damaged ',' Example ',' Generation ',' ']")</f>
        <v>['Forced', 'Hopefully', 'appears',' employees', 'BUMN', 'Damaged', 'Fast', 'Dead', 'Titles',' Seeds', 'Indonesia', 'Cured', ' Damaged ',' Example ',' Generation ',' ']</v>
      </c>
      <c r="D1970" s="3">
        <v>1.0</v>
      </c>
    </row>
    <row r="1971" ht="15.75" customHeight="1">
      <c r="A1971" s="1">
        <v>1969.0</v>
      </c>
      <c r="B1971" s="3" t="s">
        <v>1971</v>
      </c>
      <c r="C1971" s="3" t="str">
        <f>IFERROR(__xludf.DUMMYFUNCTION("GOOGLETRANSLATE(B1971,""id"",""en"")"),"['Telkomsel', 'price', 'quota', 'expensive', 'quality', 'price', 'quota', 'expensive', 'quality', 'ugly', 'signal', 'weak', ' Game ',' Severe ',' Severe ',' BTW ',' Cave ',' Stay ',' Surabaya ',' Please ',' TOD ',' Fix ',' Network ',' Telkomsel ',' Suraba"&amp;"ya ' , 'Current', 'Jaya']")</f>
        <v>['Telkomsel', 'price', 'quota', 'expensive', 'quality', 'price', 'quota', 'expensive', 'quality', 'ugly', 'signal', 'weak', ' Game ',' Severe ',' Severe ',' BTW ',' Cave ',' Stay ',' Surabaya ',' Please ',' TOD ',' Fix ',' Network ',' Telkomsel ',' Surabaya ' , 'Current', 'Jaya']</v>
      </c>
      <c r="D1971" s="3">
        <v>1.0</v>
      </c>
    </row>
    <row r="1972" ht="15.75" customHeight="1">
      <c r="A1972" s="1">
        <v>1970.0</v>
      </c>
      <c r="B1972" s="3" t="s">
        <v>1972</v>
      </c>
      <c r="C1972" s="3" t="str">
        <f>IFERROR(__xludf.DUMMYFUNCTION("GOOGLETRANSLATE(B1972,""id"",""en"")"),"['Telkomsel', 'Network', 'exactly', 'Kayak', 'People', 'payday', 'QLO', 'Network', 'ugly', 'The network', 'invited', 'people', ' Fighting ',' ']")</f>
        <v>['Telkomsel', 'Network', 'exactly', 'Kayak', 'People', 'payday', 'QLO', 'Network', 'ugly', 'The network', 'invited', 'people', ' Fighting ',' ']</v>
      </c>
      <c r="D1972" s="3">
        <v>1.0</v>
      </c>
    </row>
    <row r="1973" ht="15.75" customHeight="1">
      <c r="A1973" s="1">
        <v>1971.0</v>
      </c>
      <c r="B1973" s="3" t="s">
        <v>1973</v>
      </c>
      <c r="C1973" s="3" t="str">
        <f>IFERROR(__xludf.DUMMYFUNCTION("GOOGLETRANSLATE(B1973,""id"",""en"")"),"['package', 'expensive', 'usage', 'quota', 'network', 'disorder', 'behaving']")</f>
        <v>['package', 'expensive', 'usage', 'quota', 'network', 'disorder', 'behaving']</v>
      </c>
      <c r="D1973" s="3">
        <v>2.0</v>
      </c>
    </row>
    <row r="1974" ht="15.75" customHeight="1">
      <c r="A1974" s="1">
        <v>1972.0</v>
      </c>
      <c r="B1974" s="3" t="s">
        <v>1974</v>
      </c>
      <c r="C1974" s="3" t="str">
        <f>IFERROR(__xludf.DUMMYFUNCTION("GOOGLETRANSLATE(B1974,""id"",""en"")"),"['Telkomsel', 'in the future', 'Karuan', 'expensive', 'Keep', 'Quality', 'Cook', 'SBY', 'internet', 'slow', ""]")</f>
        <v>['Telkomsel', 'in the future', 'Karuan', 'expensive', 'Keep', 'Quality', 'Cook', 'SBY', 'internet', 'slow', "]</v>
      </c>
      <c r="D1974" s="3">
        <v>2.0</v>
      </c>
    </row>
    <row r="1975" ht="15.75" customHeight="1">
      <c r="A1975" s="1">
        <v>1973.0</v>
      </c>
      <c r="B1975" s="3" t="s">
        <v>1975</v>
      </c>
      <c r="C1975" s="3" t="str">
        <f>IFERROR(__xludf.DUMMYFUNCTION("GOOGLETRANSLATE(B1975,""id"",""en"")"),"['buy', 'internet', 'Sakti', 'special', 'number', 'chosen', 'ehh', 'so shower', 'saktinya', 'internet', 'use', 'right', ' checked ',' quota ',' internet ',' GB ',' package ',' chat ',' stream ',' GB ',' how ',' solution ',' browsing ',' little ',' difficu"&amp;"lt ' , 'gini', 'mending', 'at home', 'wifi', 'purpose', 'buy', 'quota', 'gini', 'home', 'functioning', 'should', 'please', ' BTW ',' program ',' quota ',' use ',' data ',' quota ',' pulse ',' kepakai ',' what ',' ']")</f>
        <v>['buy', 'internet', 'Sakti', 'special', 'number', 'chosen', 'ehh', 'so shower', 'saktinya', 'internet', 'use', 'right', ' checked ',' quota ',' internet ',' GB ',' package ',' chat ',' stream ',' GB ',' how ',' solution ',' browsing ',' little ',' difficult ' , 'gini', 'mending', 'at home', 'wifi', 'purpose', 'buy', 'quota', 'gini', 'home', 'functioning', 'should', 'please', ' BTW ',' program ',' quota ',' use ',' data ',' quota ',' pulse ',' kepakai ',' what ',' ']</v>
      </c>
      <c r="D1975" s="3">
        <v>1.0</v>
      </c>
    </row>
    <row r="1976" ht="15.75" customHeight="1">
      <c r="A1976" s="1">
        <v>1974.0</v>
      </c>
      <c r="B1976" s="3" t="s">
        <v>1976</v>
      </c>
      <c r="C1976" s="3" t="str">
        <f>IFERROR(__xludf.DUMMYFUNCTION("GOOGLETRANSLATE(B1976,""id"",""en"")"),"['Dear', 'Telkomsel', 'Really', 'Disappointed', 'Believe', 'Sign', 'Telkomsel', 'sold', ""]")</f>
        <v>['Dear', 'Telkomsel', 'Really', 'Disappointed', 'Believe', 'Sign', 'Telkomsel', 'sold', "]</v>
      </c>
      <c r="D1976" s="3">
        <v>1.0</v>
      </c>
    </row>
    <row r="1977" ht="15.75" customHeight="1">
      <c r="A1977" s="1">
        <v>1975.0</v>
      </c>
      <c r="B1977" s="3" t="s">
        <v>1977</v>
      </c>
      <c r="C1977" s="3" t="str">
        <f>IFERROR(__xludf.DUMMYFUNCTION("GOOGLETRANSLATE(B1977,""id"",""en"")"),"['The use', 'buy', 'pulse', 'network', 'Telkomsel', 'disorder', '']")</f>
        <v>['The use', 'buy', 'pulse', 'network', 'Telkomsel', 'disorder', '']</v>
      </c>
      <c r="D1977" s="3">
        <v>1.0</v>
      </c>
    </row>
    <row r="1978" ht="15.75" customHeight="1">
      <c r="A1978" s="1">
        <v>1976.0</v>
      </c>
      <c r="B1978" s="3" t="s">
        <v>1978</v>
      </c>
      <c r="C1978" s="3" t="str">
        <f>IFERROR(__xludf.DUMMYFUNCTION("GOOGLETRANSLATE(B1978,""id"",""en"")"),"['sympathy', 'famous',' slow ',' now ',' wali ',' expensive ',' expensive ',' expensive ',' tetep ',' buy ',' qualito ',' disappoint ',' lost ',' Indosat ',' signal ',' rain ',' storm ',' Tetep ',' smooth ',' msh ',' cloudy ',' muter ',' pesi ',' packetan"&amp;" ',' msh ' , 'Disappointed', 'Boss', 'Change', 'Indosat', 'Enk']")</f>
        <v>['sympathy', 'famous',' slow ',' now ',' wali ',' expensive ',' expensive ',' expensive ',' tetep ',' buy ',' qualito ',' disappoint ',' lost ',' Indosat ',' signal ',' rain ',' storm ',' Tetep ',' smooth ',' msh ',' cloudy ',' muter ',' pesi ',' packetan ',' msh ' , 'Disappointed', 'Boss', 'Change', 'Indosat', 'Enk']</v>
      </c>
      <c r="D1978" s="3">
        <v>2.0</v>
      </c>
    </row>
    <row r="1979" ht="15.75" customHeight="1">
      <c r="A1979" s="1">
        <v>1977.0</v>
      </c>
      <c r="B1979" s="3" t="s">
        <v>1979</v>
      </c>
      <c r="C1979" s="3" t="str">
        <f>IFERROR(__xludf.DUMMYFUNCTION("GOOGLETRANSLATE(B1979,""id"",""en"")"),"['Alhamdulillah', 'Application', 'Afraid', 'Out', 'Kuotp', 'Where', 'Lgsung', 'Buy', 'Package', 'Cheap', 'Nampoooll']")</f>
        <v>['Alhamdulillah', 'Application', 'Afraid', 'Out', 'Kuotp', 'Where', 'Lgsung', 'Buy', 'Package', 'Cheap', 'Nampoooll']</v>
      </c>
      <c r="D1979" s="3">
        <v>5.0</v>
      </c>
    </row>
    <row r="1980" ht="15.75" customHeight="1">
      <c r="A1980" s="1">
        <v>1978.0</v>
      </c>
      <c r="B1980" s="3" t="s">
        <v>1980</v>
      </c>
      <c r="C1980" s="3" t="str">
        <f>IFERROR(__xludf.DUMMYFUNCTION("GOOGLETRANSLATE(B1980,""id"",""en"")"),"['The network', 'difficult', 'internet', 'difficult', '']")</f>
        <v>['The network', 'difficult', 'internet', 'difficult', '']</v>
      </c>
      <c r="D1980" s="3">
        <v>1.0</v>
      </c>
    </row>
    <row r="1981" ht="15.75" customHeight="1">
      <c r="A1981" s="1">
        <v>1979.0</v>
      </c>
      <c r="B1981" s="3" t="s">
        <v>1981</v>
      </c>
      <c r="C1981" s="3" t="str">
        <f>IFERROR(__xludf.DUMMYFUNCTION("GOOGLETRANSLATE(B1981,""id"",""en"")"),"['verytt', 'disappointed', 'sorry', 'network', 'Telkomsel', 'network', 'bad', 'stable', 'area', 'home', 'virtual', 'ugly', ' Network ',' Telkomsel ',' jeeellllleeeekkkkk ',' network ',' Telkomsel ']")</f>
        <v>['verytt', 'disappointed', 'sorry', 'network', 'Telkomsel', 'network', 'bad', 'stable', 'area', 'home', 'virtual', 'ugly', ' Network ',' Telkomsel ',' jeeellllleeeekkkkk ',' network ',' Telkomsel ']</v>
      </c>
      <c r="D1981" s="3">
        <v>1.0</v>
      </c>
    </row>
    <row r="1982" ht="15.75" customHeight="1">
      <c r="A1982" s="1">
        <v>1980.0</v>
      </c>
      <c r="B1982" s="3" t="s">
        <v>1982</v>
      </c>
      <c r="C1982" s="3" t="str">
        <f>IFERROR(__xludf.DUMMYFUNCTION("GOOGLETRANSLATE(B1982,""id"",""en"")"),"['My number', 'many years',' use ',' My Points', 'Telkomsel', 'Point', 'Point', 'Exchange', 'Kog', 'Test', 'Point', 'Telkomsel', ' The thief ',' ']")</f>
        <v>['My number', 'many years',' use ',' My Points', 'Telkomsel', 'Point', 'Point', 'Exchange', 'Kog', 'Test', 'Point', 'Telkomsel', ' The thief ',' ']</v>
      </c>
      <c r="D1982" s="3">
        <v>1.0</v>
      </c>
    </row>
    <row r="1983" ht="15.75" customHeight="1">
      <c r="A1983" s="1">
        <v>1981.0</v>
      </c>
      <c r="B1983" s="3" t="s">
        <v>1983</v>
      </c>
      <c r="C1983" s="3" t="str">
        <f>IFERROR(__xludf.DUMMYFUNCTION("GOOGLETRANSLATE(B1983,""id"",""en"")"),"['Thanks', 'Telkomsel', 'network', 'slow', 'hehehehe', 'kwkwkw', 'Telkomsel', 'loss', 'uda', 'slow', 'expensive']")</f>
        <v>['Thanks', 'Telkomsel', 'network', 'slow', 'hehehehe', 'kwkwkw', 'Telkomsel', 'loss', 'uda', 'slow', 'expensive']</v>
      </c>
      <c r="D1983" s="3">
        <v>1.0</v>
      </c>
    </row>
    <row r="1984" ht="15.75" customHeight="1">
      <c r="A1984" s="1">
        <v>1982.0</v>
      </c>
      <c r="B1984" s="3" t="s">
        <v>1984</v>
      </c>
      <c r="C1984" s="3" t="str">
        <f>IFERROR(__xludf.DUMMYFUNCTION("GOOGLETRANSLATE(B1984,""id"",""en"")"),"['network', 'Telkomsel', 'bad', 'watch', 'youtube', 'good', 'TPI', 'bad', 'really', 'package', 'data', '']")</f>
        <v>['network', 'Telkomsel', 'bad', 'watch', 'youtube', 'good', 'TPI', 'bad', 'really', 'package', 'data', '']</v>
      </c>
      <c r="D1984" s="3">
        <v>1.0</v>
      </c>
    </row>
    <row r="1985" ht="15.75" customHeight="1">
      <c r="A1985" s="1">
        <v>1983.0</v>
      </c>
      <c r="B1985" s="3" t="s">
        <v>1985</v>
      </c>
      <c r="C1985" s="3" t="str">
        <f>IFERROR(__xludf.DUMMYFUNCTION("GOOGLETRANSLATE(B1985,""id"",""en"")"),"['love', 'star', 'purchase', 'game', 'pulse', 'vain', 'vain', 'contents', 'pulses', ""]")</f>
        <v>['love', 'star', 'purchase', 'game', 'pulse', 'vain', 'vain', 'contents', 'pulses', "]</v>
      </c>
      <c r="D1985" s="3">
        <v>1.0</v>
      </c>
    </row>
    <row r="1986" ht="15.75" customHeight="1">
      <c r="A1986" s="1">
        <v>1984.0</v>
      </c>
      <c r="B1986" s="3" t="s">
        <v>1986</v>
      </c>
      <c r="C1986" s="3" t="str">
        <f>IFERROR(__xludf.DUMMYFUNCTION("GOOGLETRANSLATE(B1986,""id"",""en"")"),"['Please', 'The network', 'Fix', 'Telkomsel', 'Please', 'Fix', 'Network', 'Please', 'Customer', 'Faithful', 'Karna', 'The Network', ' ugly ',' see ',' network ',' full ',' right ',' open ',' internet ',' slow ',' package ',' data ',' run out ',' package '"&amp;",' data ' , 'dozens', 'please', 'fix', 'star', 'love', 'full']")</f>
        <v>['Please', 'The network', 'Fix', 'Telkomsel', 'Please', 'Fix', 'Network', 'Please', 'Customer', 'Faithful', 'Karna', 'The Network', ' ugly ',' see ',' network ',' full ',' right ',' open ',' internet ',' slow ',' package ',' data ',' run out ',' package ',' data ' , 'dozens', 'please', 'fix', 'star', 'love', 'full']</v>
      </c>
      <c r="D1986" s="3">
        <v>1.0</v>
      </c>
    </row>
    <row r="1987" ht="15.75" customHeight="1">
      <c r="A1987" s="1">
        <v>1985.0</v>
      </c>
      <c r="B1987" s="3" t="s">
        <v>1987</v>
      </c>
      <c r="C1987" s="3" t="str">
        <f>IFERROR(__xludf.DUMMYFUNCTION("GOOGLETRANSLATE(B1987,""id"",""en"")"),"['edit', 'network', 'Connect', 'internet', 'star', 'already', 'rating', 'network', 'price', 'doang', 'expensive', 'network', ' Trouble ',' Teros', 'card', 'Three', 'Good', 'rather than', 'Telkom', ""]")</f>
        <v>['edit', 'network', 'Connect', 'internet', 'star', 'already', 'rating', 'network', 'price', 'doang', 'expensive', 'network', ' Trouble ',' Teros', 'card', 'Three', 'Good', 'rather than', 'Telkom', "]</v>
      </c>
      <c r="D1987" s="3">
        <v>1.0</v>
      </c>
    </row>
    <row r="1988" ht="15.75" customHeight="1">
      <c r="A1988" s="1">
        <v>1986.0</v>
      </c>
      <c r="B1988" s="3" t="s">
        <v>1988</v>
      </c>
      <c r="C1988" s="3" t="str">
        <f>IFERROR(__xludf.DUMMYFUNCTION("GOOGLETRANSLATE(B1988,""id"",""en"")"),"['confused', 'Telkomsel', 'slow', 'really', 'proud', 'Telkomsel', 'package', 'main', 'run out', 'package', 'bonus',' open ',' YouTube ',' heavy ',' really ',' package ',' Sakti ',' RB ',' GB ',' GB ',' Package ',' main ',' GB ',' the rest ',' package ' , "&amp;"'bonus', 'GB', 'run out', 'GB', 'used', 'slow', 'really', 'hold', 'promo', 'sincere', 'bonus']")</f>
        <v>['confused', 'Telkomsel', 'slow', 'really', 'proud', 'Telkomsel', 'package', 'main', 'run out', 'package', 'bonus',' open ',' YouTube ',' heavy ',' really ',' package ',' Sakti ',' RB ',' GB ',' GB ',' Package ',' main ',' GB ',' the rest ',' package ' , 'bonus', 'GB', 'run out', 'GB', 'used', 'slow', 'really', 'hold', 'promo', 'sincere', 'bonus']</v>
      </c>
      <c r="D1988" s="3">
        <v>3.0</v>
      </c>
    </row>
    <row r="1989" ht="15.75" customHeight="1">
      <c r="A1989" s="1">
        <v>1987.0</v>
      </c>
      <c r="B1989" s="3" t="s">
        <v>1989</v>
      </c>
      <c r="C1989" s="3" t="str">
        <f>IFERROR(__xludf.DUMMYFUNCTION("GOOGLETRANSLATE(B1989,""id"",""en"")"),"['', 'gave', 'price', 'expensive', 'service', 'BECUZZ', 'NJING', 'loss',' Coxx ',' comparable ',' taekkk ',' please ',' Lahhhhh ',' aplagi ',' customer ',' make ',' quota ',' daily ',' tomorrow ',' already ',' pasted ',' how ',' coxxxx ',' compensation ',"&amp;"' gakkkkk ', 'Coxxx', 'thought', 'Elo', 'njing', 'loss',' maap ',' replace ',' it hurts', 'feedback', 'coxxx', 'please', 'fast', 'fix it ',' Network ',' people ',' communicate ',' relatives']")</f>
        <v>['', 'gave', 'price', 'expensive', 'service', 'BECUZZ', 'NJING', 'loss',' Coxx ',' comparable ',' taekkk ',' please ',' Lahhhhh ',' aplagi ',' customer ',' make ',' quota ',' daily ',' tomorrow ',' already ',' pasted ',' how ',' coxxxx ',' compensation ',' gakkkkk ', 'Coxxx', 'thought', 'Elo', 'njing', 'loss',' maap ',' replace ',' it hurts', 'feedback', 'coxxx', 'please', 'fast', 'fix it ',' Network ',' people ',' communicate ',' relatives']</v>
      </c>
      <c r="D1989" s="3">
        <v>1.0</v>
      </c>
    </row>
    <row r="1990" ht="15.75" customHeight="1">
      <c r="A1990" s="1">
        <v>1988.0</v>
      </c>
      <c r="B1990" s="3" t="s">
        <v>1990</v>
      </c>
      <c r="C1990" s="3" t="str">
        <f>IFERROR(__xludf.DUMMYFUNCTION("GOOGLETRANSLATE(B1990,""id"",""en"")"),"['', 'comment', 'understand', 'given', 'star', 'no', 'understand', 'no', 'thinking', 'severe', 'Abis',' network ',' internet ',' ']")</f>
        <v>['', 'comment', 'understand', 'given', 'star', 'no', 'understand', 'no', 'thinking', 'severe', 'Abis',' network ',' internet ',' ']</v>
      </c>
      <c r="D1990" s="3">
        <v>1.0</v>
      </c>
    </row>
    <row r="1991" ht="15.75" customHeight="1">
      <c r="A1991" s="1">
        <v>1989.0</v>
      </c>
      <c r="B1991" s="3" t="s">
        <v>1991</v>
      </c>
      <c r="C1991" s="3" t="str">
        <f>IFERROR(__xludf.DUMMYFUNCTION("GOOGLETRANSLATE(B1991,""id"",""en"")"),"['Harapan', 'Best', 'Ridzoi', '']")</f>
        <v>['Harapan', 'Best', 'Ridzoi', '']</v>
      </c>
      <c r="D1991" s="3">
        <v>5.0</v>
      </c>
    </row>
    <row r="1992" ht="15.75" customHeight="1">
      <c r="A1992" s="1">
        <v>1990.0</v>
      </c>
      <c r="B1992" s="3" t="s">
        <v>1992</v>
      </c>
      <c r="C1992" s="3" t="str">
        <f>IFERROR(__xludf.DUMMYFUNCTION("GOOGLETRANSLATE(B1992,""id"",""en"")"),"['signal', 'full', 'internet', 'lag', 'used', 'price', 'expensive', 'dbanding', 'competitor', 'replace', 'card', 'Telkomsel', ' Jaya ',' his time ']")</f>
        <v>['signal', 'full', 'internet', 'lag', 'used', 'price', 'expensive', 'dbanding', 'competitor', 'replace', 'card', 'Telkomsel', ' Jaya ',' his time ']</v>
      </c>
      <c r="D1992" s="3">
        <v>1.0</v>
      </c>
    </row>
    <row r="1993" ht="15.75" customHeight="1">
      <c r="A1993" s="1">
        <v>1991.0</v>
      </c>
      <c r="B1993" s="3" t="s">
        <v>1993</v>
      </c>
      <c r="C1993" s="3" t="str">
        <f>IFERROR(__xludf.DUMMYFUNCTION("GOOGLETRANSLATE(B1993,""id"",""en"")"),"['wahh', 'Telkomsel', 'evil', 'dehh', 'turn', 'UDH', 'SUCCESS', 'CLAIM', 'Daily', 'check', 'GB', 'pull', ' PHP ',' Mulu ',' Telkomsel ',' Nihh ',' Capee ',' Deehh ']")</f>
        <v>['wahh', 'Telkomsel', 'evil', 'dehh', 'turn', 'UDH', 'SUCCESS', 'CLAIM', 'Daily', 'check', 'GB', 'pull', ' PHP ',' Mulu ',' Telkomsel ',' Nihh ',' Capee ',' Deehh ']</v>
      </c>
      <c r="D1993" s="3">
        <v>1.0</v>
      </c>
    </row>
    <row r="1994" ht="15.75" customHeight="1">
      <c r="A1994" s="1">
        <v>1992.0</v>
      </c>
      <c r="B1994" s="3" t="s">
        <v>1994</v>
      </c>
      <c r="C1994" s="3" t="str">
        <f>IFERROR(__xludf.DUMMYFUNCTION("GOOGLETRANSLATE(B1994,""id"",""en"")"),"['Telkomsel', 'UDH', 'JRINGAN', 'Bad', 'APP', 'Bad', 'Buy', 'Package', 'Doank', 'Mahaal', 'Network', 'Fix', ' kah ',' run out ',' money ',' buy ',' pulse ',' data ',' network ',' BURIK ',' ']")</f>
        <v>['Telkomsel', 'UDH', 'JRINGAN', 'Bad', 'APP', 'Bad', 'Buy', 'Package', 'Doank', 'Mahaal', 'Network', 'Fix', ' kah ',' run out ',' money ',' buy ',' pulse ',' data ',' network ',' BURIK ',' ']</v>
      </c>
      <c r="D1994" s="3">
        <v>1.0</v>
      </c>
    </row>
    <row r="1995" ht="15.75" customHeight="1">
      <c r="A1995" s="1">
        <v>1993.0</v>
      </c>
      <c r="B1995" s="3" t="s">
        <v>1995</v>
      </c>
      <c r="C1995" s="3" t="str">
        <f>IFERROR(__xludf.DUMMYFUNCTION("GOOGLETRANSLATE(B1995,""id"",""en"")"),"['Telkomsel', 'a month', 'The network', 'slow', 'already', 'tried', 'Matiin', 'Data', 'Restart', 'Delete', 'Chace', 'Tetep', ' slow ',' use ',' post ',' pay ',' want ',' cry ', ""]")</f>
        <v>['Telkomsel', 'a month', 'The network', 'slow', 'already', 'tried', 'Matiin', 'Data', 'Restart', 'Delete', 'Chace', 'Tetep', ' slow ',' use ',' post ',' pay ',' want ',' cry ', "]</v>
      </c>
      <c r="D1995" s="3">
        <v>2.0</v>
      </c>
    </row>
    <row r="1996" ht="15.75" customHeight="1">
      <c r="A1996" s="1">
        <v>1994.0</v>
      </c>
      <c r="B1996" s="3" t="s">
        <v>1996</v>
      </c>
      <c r="C1996" s="3" t="str">
        <f>IFERROR(__xludf.DUMMYFUNCTION("GOOGLETRANSLATE(B1996,""id"",""en"")"),"['slow', 'internet', 'Telkomsel', 'package', 'data', 'msh', 'bnyak', 'dead', 'lights',' signal ',' lgsung ',' ilang ',' Cross', 'all']")</f>
        <v>['slow', 'internet', 'Telkomsel', 'package', 'data', 'msh', 'bnyak', 'dead', 'lights',' signal ',' lgsung ',' ilang ',' Cross', 'all']</v>
      </c>
      <c r="D1996" s="3">
        <v>1.0</v>
      </c>
    </row>
    <row r="1997" ht="15.75" customHeight="1">
      <c r="A1997" s="1">
        <v>1995.0</v>
      </c>
      <c r="B1997" s="3" t="s">
        <v>1997</v>
      </c>
      <c r="C1997" s="3" t="str">
        <f>IFERROR(__xludf.DUMMYFUNCTION("GOOGLETRANSLATE(B1997,""id"",""en"")"),"['Kenpa', 'Telkom', 'Difficult', 'Open', 'Signal', 'Like', 'Lost', 'Mulu', 'Please', 'Fix', 'As fast', 'Kesellll']")</f>
        <v>['Kenpa', 'Telkom', 'Difficult', 'Open', 'Signal', 'Like', 'Lost', 'Mulu', 'Please', 'Fix', 'As fast', 'Kesellll']</v>
      </c>
      <c r="D1997" s="3">
        <v>4.0</v>
      </c>
    </row>
    <row r="1998" ht="15.75" customHeight="1">
      <c r="A1998" s="1">
        <v>1996.0</v>
      </c>
      <c r="B1998" s="3" t="s">
        <v>1998</v>
      </c>
      <c r="C1998" s="3" t="str">
        <f>IFERROR(__xludf.DUMMYFUNCTION("GOOGLETRANSLATE(B1998,""id"",""en"")"),"['regret', 'active', 'package', 'data', 'sympathy', 'because', 'try', 'loss', 'package', 'data', 'im', '']")</f>
        <v>['regret', 'active', 'package', 'data', 'sympathy', 'because', 'try', 'loss', 'package', 'data', 'im', '']</v>
      </c>
      <c r="D1998" s="3">
        <v>1.0</v>
      </c>
    </row>
    <row r="1999" ht="15.75" customHeight="1">
      <c r="A1999" s="1">
        <v>1997.0</v>
      </c>
      <c r="B1999" s="3" t="s">
        <v>1999</v>
      </c>
      <c r="C1999" s="3" t="str">
        <f>IFERROR(__xludf.DUMMYFUNCTION("GOOGLETRANSLATE(B1999,""id"",""en"")"),"['Turn', 'buak', 'app', 'smooth', 'really', 'app', 'slow', 'really', 'quota', 'data', 'Telkomsel', 'free', ' The connection is', 'Karuan', 'Pay', 'Boss',' right ',' User ',' Diman ',' Love ',' Connection ',' Slow ',' Promotes', 'Fastest', 'cs' , 'Tlonpon'"&amp;", 'polite', 'solution', 'already', 'rich', 'sales',' vaccine ',' covid ',' right ',' customer ',' written ',' cheater ',' ']")</f>
        <v>['Turn', 'buak', 'app', 'smooth', 'really', 'app', 'slow', 'really', 'quota', 'data', 'Telkomsel', 'free', ' The connection is', 'Karuan', 'Pay', 'Boss',' right ',' User ',' Diman ',' Love ',' Connection ',' Slow ',' Promotes', 'Fastest', 'cs' , 'Tlonpon', 'polite', 'solution', 'already', 'rich', 'sales',' vaccine ',' covid ',' right ',' customer ',' written ',' cheater ',' ']</v>
      </c>
      <c r="D1999" s="3">
        <v>1.0</v>
      </c>
    </row>
    <row r="2000" ht="15.75" customHeight="1">
      <c r="A2000" s="1">
        <v>1998.0</v>
      </c>
      <c r="B2000" s="3" t="s">
        <v>2000</v>
      </c>
      <c r="C2000" s="3" t="str">
        <f>IFERROR(__xludf.DUMMYFUNCTION("GOOGLETRANSLATE(B2000,""id"",""en"")"),"['Expensive', 'Network', 'Bungiknya', 'Forgiveness', 'Already', 'City', 'Crazy', 'The Network', 'No', 'Ngilak']")</f>
        <v>['Expensive', 'Network', 'Bungiknya', 'Forgiveness', 'Already', 'City', 'Crazy', 'The Network', 'No', 'Ngilak']</v>
      </c>
      <c r="D2000" s="3">
        <v>1.0</v>
      </c>
    </row>
    <row r="2001" ht="15.75" customHeight="1">
      <c r="A2001" s="1">
        <v>1999.0</v>
      </c>
      <c r="B2001" s="3" t="s">
        <v>2001</v>
      </c>
      <c r="C2001" s="3" t="str">
        <f>IFERROR(__xludf.DUMMYFUNCTION("GOOGLETRANSLATE(B2001,""id"",""en"")"),"['Slmat', 'Night', 'NMA', 'Angga', 'Please', 'Sorry', 'Kenpa', 'Network', 'Difficult', 'Very', 'Open', 'Game', ' pokonya ',' media ',' difficult ',' bnget ',' pdahal ',' kouta ',' internet ',' error ',' please ',' fix ',' pliss', ""]")</f>
        <v>['Slmat', 'Night', 'NMA', 'Angga', 'Please', 'Sorry', 'Kenpa', 'Network', 'Difficult', 'Very', 'Open', 'Game', ' pokonya ',' media ',' difficult ',' bnget ',' pdahal ',' kouta ',' internet ',' error ',' please ',' fix ',' pliss', "]</v>
      </c>
      <c r="D2001" s="3">
        <v>1.0</v>
      </c>
    </row>
    <row r="2002" ht="15.75" customHeight="1">
      <c r="A2002" s="1">
        <v>2000.0</v>
      </c>
      <c r="B2002" s="3" t="s">
        <v>2002</v>
      </c>
      <c r="C2002" s="3" t="str">
        <f>IFERROR(__xludf.DUMMYFUNCTION("GOOGLETRANSLATE(B2002,""id"",""en"")"),"['', 'Disappointed', 'Telkomsel', 'Pay', 'expensive', 'quality', 'signal', 'weak', 'Switch', 'card', 'next door', 'stable', 'accordingly ',' payment ',' still ',' detrimental ',' consumer ',' thing ',' action ',' criminal ',' ']")</f>
        <v>['', 'Disappointed', 'Telkomsel', 'Pay', 'expensive', 'quality', 'signal', 'weak', 'Switch', 'card', 'next door', 'stable', 'accordingly ',' payment ',' still ',' detrimental ',' consumer ',' thing ',' action ',' criminal ',' ']</v>
      </c>
      <c r="D2002" s="3">
        <v>1.0</v>
      </c>
    </row>
    <row r="2003" ht="15.75" customHeight="1">
      <c r="A2003" s="1">
        <v>2001.0</v>
      </c>
      <c r="B2003" s="3" t="s">
        <v>2003</v>
      </c>
      <c r="C2003" s="3" t="str">
        <f>IFERROR(__xludf.DUMMYFUNCTION("GOOGLETRANSLATE(B2003,""id"",""en"")"),"['Getting to', 'Operator', 'Perdana', 'Telkomsel', 'Telkomsel', 'Feel', 'Benefits',' Excellence ',' Telkomsel ',' Telkomsel ',' The ',' Best ',' ']")</f>
        <v>['Getting to', 'Operator', 'Perdana', 'Telkomsel', 'Telkomsel', 'Feel', 'Benefits',' Excellence ',' Telkomsel ',' Telkomsel ',' The ',' Best ',' ']</v>
      </c>
      <c r="D2003" s="3">
        <v>5.0</v>
      </c>
    </row>
    <row r="2004" ht="15.75" customHeight="1">
      <c r="A2004" s="1">
        <v>2002.0</v>
      </c>
      <c r="B2004" s="3" t="s">
        <v>2004</v>
      </c>
      <c r="C2004" s="3" t="str">
        <f>IFERROR(__xludf.DUMMYFUNCTION("GOOGLETRANSLATE(B2004,""id"",""en"")"),"['strength', 'signal', 'bad', 'according to', 'package', 'quota', 'lazy', 'Langanan', 'Telkomsel']")</f>
        <v>['strength', 'signal', 'bad', 'according to', 'package', 'quota', 'lazy', 'Langanan', 'Telkomsel']</v>
      </c>
      <c r="D2004" s="3">
        <v>1.0</v>
      </c>
    </row>
    <row r="2005" ht="15.75" customHeight="1">
      <c r="A2005" s="1">
        <v>2003.0</v>
      </c>
      <c r="B2005" s="3" t="s">
        <v>2005</v>
      </c>
      <c r="C2005" s="3" t="str">
        <f>IFERROR(__xludf.DUMMYFUNCTION("GOOGLETRANSLATE(B2005,""id"",""en"")"),"['Network', 'Tekomsel', 'right', 'Rain', 'Leet', 'Severe', '']")</f>
        <v>['Network', 'Tekomsel', 'right', 'Rain', 'Leet', 'Severe', '']</v>
      </c>
      <c r="D2005" s="3">
        <v>1.0</v>
      </c>
    </row>
    <row r="2006" ht="15.75" customHeight="1">
      <c r="A2006" s="1">
        <v>2004.0</v>
      </c>
      <c r="B2006" s="3" t="s">
        <v>2006</v>
      </c>
      <c r="C2006" s="3" t="str">
        <f>IFERROR(__xludf.DUMMYFUNCTION("GOOGLETRANSLATE(B2006,""id"",""en"")"),"['Sorry', 'Lower', 'The Star', 'Karna', 'ugly', 'Nares', '']")</f>
        <v>['Sorry', 'Lower', 'The Star', 'Karna', 'ugly', 'Nares', '']</v>
      </c>
      <c r="D2006" s="3">
        <v>1.0</v>
      </c>
    </row>
    <row r="2007" ht="15.75" customHeight="1">
      <c r="A2007" s="1">
        <v>2005.0</v>
      </c>
      <c r="B2007" s="3" t="s">
        <v>2007</v>
      </c>
      <c r="C2007" s="3" t="str">
        <f>IFERROR(__xludf.DUMMYFUNCTION("GOOGLETRANSLATE(B2007,""id"",""en"")"),"['Error', 'Loading', 'Sometimes', 'Bugging', 'Experience', 'Bad', 'Wear', 'Application']")</f>
        <v>['Error', 'Loading', 'Sometimes', 'Bugging', 'Experience', 'Bad', 'Wear', 'Application']</v>
      </c>
      <c r="D2007" s="3">
        <v>1.0</v>
      </c>
    </row>
    <row r="2008" ht="15.75" customHeight="1">
      <c r="A2008" s="1">
        <v>2006.0</v>
      </c>
      <c r="B2008" s="3" t="s">
        <v>2008</v>
      </c>
      <c r="C2008" s="3" t="str">
        <f>IFERROR(__xludf.DUMMYFUNCTION("GOOGLETRANSLATE(B2008,""id"",""en"")"),"['quota', 'already', 'expensive', 'network', 'error', 'already', 'hour', 'wait', 'play', 'game', 'sundalaaa', 'ashu']")</f>
        <v>['quota', 'already', 'expensive', 'network', 'error', 'already', 'hour', 'wait', 'play', 'game', 'sundalaaa', 'ashu']</v>
      </c>
      <c r="D2008" s="3">
        <v>1.0</v>
      </c>
    </row>
    <row r="2009" ht="15.75" customHeight="1">
      <c r="A2009" s="1">
        <v>2007.0</v>
      </c>
      <c r="B2009" s="3" t="s">
        <v>2009</v>
      </c>
      <c r="C2009" s="3" t="str">
        <f>IFERROR(__xludf.DUMMYFUNCTION("GOOGLETRANSLATE(B2009,""id"",""en"")"),"['UDH', 'Keep', 'Telkomsel', 'Skrng', 'Kayak', 'Free', 'Roming', 'Skrng', 'Internet', 'Fuss',' Try ',' Check ',' History ',' Langanan ',' number ',' phone ',' LEG ',' Telkomsel ',' skng ']")</f>
        <v>['UDH', 'Keep', 'Telkomsel', 'Skrng', 'Kayak', 'Free', 'Roming', 'Skrng', 'Internet', 'Fuss',' Try ',' Check ',' History ',' Langanan ',' number ',' phone ',' LEG ',' Telkomsel ',' skng ']</v>
      </c>
      <c r="D2009" s="3">
        <v>1.0</v>
      </c>
    </row>
    <row r="2010" ht="15.75" customHeight="1">
      <c r="A2010" s="1">
        <v>2008.0</v>
      </c>
      <c r="B2010" s="3" t="s">
        <v>2010</v>
      </c>
      <c r="C2010" s="3" t="str">
        <f>IFERROR(__xludf.DUMMYFUNCTION("GOOGLETRANSLATE(B2010,""id"",""en"")"),"['Anjenkk', 'Network', 'Bad', 'Telkomsel', 'Animal', 'Fix', 'Network', 'Kamrett', ""]")</f>
        <v>['Anjenkk', 'Network', 'Bad', 'Telkomsel', 'Animal', 'Fix', 'Network', 'Kamrett', "]</v>
      </c>
      <c r="D2010" s="3">
        <v>1.0</v>
      </c>
    </row>
    <row r="2011" ht="15.75" customHeight="1">
      <c r="A2011" s="1">
        <v>2009.0</v>
      </c>
      <c r="B2011" s="3" t="s">
        <v>2011</v>
      </c>
      <c r="C2011" s="3" t="str">
        <f>IFERROR(__xludf.DUMMYFUNCTION("GOOGLETRANSLATE(B2011,""id"",""en"")"),"['Hadehh', 'Telkomsel', 'Signal', 'Lost', 'Area', 'Gresik', 'Telkomsel', 'Network', 'Lost', 'Package', 'Expensive', 'Min', ' Cook ',' Network ',' Kek ',' Gini ',' Mute ',' France ',' Lost ',' Tired ',' Cave ',' Complain ',' Grapari ',' Kampung ',' Hmmm ' "&amp;", 'Fix', 'Lahh']")</f>
        <v>['Hadehh', 'Telkomsel', 'Signal', 'Lost', 'Area', 'Gresik', 'Telkomsel', 'Network', 'Lost', 'Package', 'Expensive', 'Min', ' Cook ',' Network ',' Kek ',' Gini ',' Mute ',' France ',' Lost ',' Tired ',' Cave ',' Complain ',' Grapari ',' Kampung ',' Hmmm ' , 'Fix', 'Lahh']</v>
      </c>
      <c r="D2011" s="3">
        <v>1.0</v>
      </c>
    </row>
    <row r="2012" ht="15.75" customHeight="1">
      <c r="A2012" s="1">
        <v>2010.0</v>
      </c>
      <c r="B2012" s="3" t="s">
        <v>2012</v>
      </c>
      <c r="C2012" s="3" t="str">
        <f>IFERROR(__xludf.DUMMYFUNCTION("GOOGLETRANSLATE(B2012,""id"",""en"")"),"['Increasingly', 'Sinyal', 'stable', 'slow', 'Diskes',' really ',' please ',' Note ',' service ',' Sousal ',' busy ',' promo ',' Tuk ',' interesting ',' interest ',' tip ',' sucked ',' Gara ',' Lola ',' network ',' bgin ',' better ',' moved ',' provider '"&amp;",' then ' , 'Tuk', 'the application', 'Waduhhhh', 'annoying', 'use', 'space', 'Memory', 'Gede', 'Open', 'LemmoooooTTTTTnya', 'good', 'gregeeetan', ' tollloooonggggg ',' Note ',' complaints', 'Customer', '']")</f>
        <v>['Increasingly', 'Sinyal', 'stable', 'slow', 'Diskes',' really ',' please ',' Note ',' service ',' Sousal ',' busy ',' promo ',' Tuk ',' interesting ',' interest ',' tip ',' sucked ',' Gara ',' Lola ',' network ',' bgin ',' better ',' moved ',' provider ',' then ' , 'Tuk', 'the application', 'Waduhhhh', 'annoying', 'use', 'space', 'Memory', 'Gede', 'Open', 'LemmoooooTTTTTnya', 'good', 'gregeeetan', ' tollloooonggggg ',' Note ',' complaints', 'Customer', '']</v>
      </c>
      <c r="D2012" s="3">
        <v>2.0</v>
      </c>
    </row>
    <row r="2013" ht="15.75" customHeight="1">
      <c r="A2013" s="1">
        <v>2011.0</v>
      </c>
      <c r="B2013" s="3" t="s">
        <v>2013</v>
      </c>
      <c r="C2013" s="3" t="str">
        <f>IFERROR(__xludf.DUMMYFUNCTION("GOOGLETRANSLATE(B2013,""id"",""en"")"),"['Network', 'stable', 'sometimes', 'lost', 'signal', 'comfortable', 'internet', 'network', 'enhanced', 'repair']")</f>
        <v>['Network', 'stable', 'sometimes', 'lost', 'signal', 'comfortable', 'internet', 'network', 'enhanced', 'repair']</v>
      </c>
      <c r="D2013" s="3">
        <v>1.0</v>
      </c>
    </row>
    <row r="2014" ht="15.75" customHeight="1">
      <c r="A2014" s="1">
        <v>2012.0</v>
      </c>
      <c r="B2014" s="3" t="s">
        <v>2014</v>
      </c>
      <c r="C2014" s="3" t="str">
        <f>IFERROR(__xludf.DUMMYFUNCTION("GOOGLETRANSLATE(B2014,""id"",""en"")"),"['', 'Telkomsel', 'application', 'points', 'exchanged']")</f>
        <v>['', 'Telkomsel', 'application', 'points', 'exchanged']</v>
      </c>
      <c r="D2014" s="3">
        <v>5.0</v>
      </c>
    </row>
    <row r="2015" ht="15.75" customHeight="1">
      <c r="A2015" s="1">
        <v>2013.0</v>
      </c>
      <c r="B2015" s="3" t="s">
        <v>2015</v>
      </c>
      <c r="C2015" s="3" t="str">
        <f>IFERROR(__xludf.DUMMYFUNCTION("GOOGLETRANSLATE(B2015,""id"",""en"")"),"['already', 'package', 'expensive', 'network', 'bad', 'play', 'game', 'signal', 'down', 'stable', 'package', 'expensive', ' The network is', 'Good', 'Fix', 'The Network', '']")</f>
        <v>['already', 'package', 'expensive', 'network', 'bad', 'play', 'game', 'signal', 'down', 'stable', 'package', 'expensive', ' The network is', 'Good', 'Fix', 'The Network', '']</v>
      </c>
      <c r="D2015" s="3">
        <v>1.0</v>
      </c>
    </row>
    <row r="2016" ht="15.75" customHeight="1">
      <c r="A2016" s="1">
        <v>2014.0</v>
      </c>
      <c r="B2016" s="3" t="s">
        <v>2016</v>
      </c>
      <c r="C2016" s="3" t="str">
        <f>IFERROR(__xludf.DUMMYFUNCTION("GOOGLETRANSLATE(B2016,""id"",""en"")"),"['network', 'the fastest', 'reach', 'remote', 'network', 'slow', 'in the city', 'doang', 'network', 'good', 'diesa', 'make', ' City ',' Mulu ',' Murah ',' border ',' empty ',' mere ']")</f>
        <v>['network', 'the fastest', 'reach', 'remote', 'network', 'slow', 'in the city', 'doang', 'network', 'good', 'diesa', 'make', ' City ',' Mulu ',' Murah ',' border ',' empty ',' mere ']</v>
      </c>
      <c r="D2016" s="3">
        <v>1.0</v>
      </c>
    </row>
    <row r="2017" ht="15.75" customHeight="1">
      <c r="A2017" s="1">
        <v>2015.0</v>
      </c>
      <c r="B2017" s="3" t="s">
        <v>2017</v>
      </c>
      <c r="C2017" s="3" t="str">
        <f>IFERROR(__xludf.DUMMYFUNCTION("GOOGLETRANSLATE(B2017,""id"",""en"")"),"['', 'September', 'Telkomsel', 'ugly', 'really', 'fix', 'already', 'package', 'expensive', 'area', 'mountain', 'difficult', 'signal ',' missing ',' like ',' use ',' signal ',' edge ',' bang ',' ']")</f>
        <v>['', 'September', 'Telkomsel', 'ugly', 'really', 'fix', 'already', 'package', 'expensive', 'area', 'mountain', 'difficult', 'signal ',' missing ',' like ',' use ',' signal ',' edge ',' bang ',' ']</v>
      </c>
      <c r="D2017" s="3">
        <v>1.0</v>
      </c>
    </row>
    <row r="2018" ht="15.75" customHeight="1">
      <c r="A2018" s="1">
        <v>2016.0</v>
      </c>
      <c r="B2018" s="3" t="s">
        <v>2018</v>
      </c>
      <c r="C2018" s="3" t="str">
        <f>IFERROR(__xludf.DUMMYFUNCTION("GOOGLETRANSLATE(B2018,""id"",""en"")"),"['Come', 'Telkomsel', 'Network', 'Leet', 'Error', 'Costs',' TRF ',' PLSA ',' Paketan ',' Mhal ',' Mensadan ',' Network ',' Error ',' Lemot ',' ']")</f>
        <v>['Come', 'Telkomsel', 'Network', 'Leet', 'Error', 'Costs',' TRF ',' PLSA ',' Paketan ',' Mhal ',' Mensadan ',' Network ',' Error ',' Lemot ',' ']</v>
      </c>
      <c r="D2018" s="3">
        <v>1.0</v>
      </c>
    </row>
    <row r="2019" ht="15.75" customHeight="1">
      <c r="A2019" s="1">
        <v>2017.0</v>
      </c>
      <c r="B2019" s="3" t="s">
        <v>2019</v>
      </c>
      <c r="C2019" s="3" t="str">
        <f>IFERROR(__xludf.DUMMYFUNCTION("GOOGLETRANSLATE(B2019,""id"",""en"")"),"['Ngerti', 'network', 'Telkomsel', 'price', 'package', 'expensive', 'network', 'disappointing', 'come on', 'fix', 'believe', 'Telkomsel', ' Sampek ',' Telkomsel ',' Make ',' Gara ',' Quality ',' Badkkkk ',' Game ',' Sosmed ',' Current ',' Expensive ',' Ha"&amp;"dehhhhh ', ""]")</f>
        <v>['Ngerti', 'network', 'Telkomsel', 'price', 'package', 'expensive', 'network', 'disappointing', 'come on', 'fix', 'believe', 'Telkomsel', ' Sampek ',' Telkomsel ',' Make ',' Gara ',' Quality ',' Badkkkk ',' Game ',' Sosmed ',' Current ',' Expensive ',' Hadehhhhh ', "]</v>
      </c>
      <c r="D2019" s="3">
        <v>1.0</v>
      </c>
    </row>
    <row r="2020" ht="15.75" customHeight="1">
      <c r="A2020" s="1">
        <v>2018.0</v>
      </c>
      <c r="B2020" s="3" t="s">
        <v>2020</v>
      </c>
      <c r="C2020" s="3" t="str">
        <f>IFERROR(__xludf.DUMMYFUNCTION("GOOGLETRANSLATE(B2020,""id"",""en"")"),"['Oyyy', 'code', 'voucher', 'cave', 'enter', 'fix', 'already', 'network', 'slow', 'package', 'data', 'expensive']")</f>
        <v>['Oyyy', 'code', 'voucher', 'cave', 'enter', 'fix', 'already', 'network', 'slow', 'package', 'data', 'expensive']</v>
      </c>
      <c r="D2020" s="3">
        <v>1.0</v>
      </c>
    </row>
    <row r="2021" ht="15.75" customHeight="1">
      <c r="A2021" s="1">
        <v>2019.0</v>
      </c>
      <c r="B2021" s="3" t="s">
        <v>2021</v>
      </c>
      <c r="C2021" s="3" t="str">
        <f>IFERROR(__xludf.DUMMYFUNCTION("GOOGLETRANSLATE(B2021,""id"",""en"")"),"['clock', 'clock', 'segini', 'maen', 'game', 'signal', 'ping', 'red', 'then', 'package', 'expensive', 'gag', ' equivalent ',' network ',' alternating ',' gag ',' signal ']")</f>
        <v>['clock', 'clock', 'segini', 'maen', 'game', 'signal', 'ping', 'red', 'then', 'package', 'expensive', 'gag', ' equivalent ',' network ',' alternating ',' gag ',' signal ']</v>
      </c>
      <c r="D2021" s="3">
        <v>1.0</v>
      </c>
    </row>
    <row r="2022" ht="15.75" customHeight="1">
      <c r="A2022" s="1">
        <v>2020.0</v>
      </c>
      <c r="B2022" s="3" t="s">
        <v>2022</v>
      </c>
      <c r="C2022" s="3" t="str">
        <f>IFERROR(__xludf.DUMMYFUNCTION("GOOGLETRANSLATE(B2022,""id"",""en"")"),"['network', 'Telkomsel', 'bad', 'network', 'internet', 'missing', '']")</f>
        <v>['network', 'Telkomsel', 'bad', 'network', 'internet', 'missing', '']</v>
      </c>
      <c r="D2022" s="3">
        <v>1.0</v>
      </c>
    </row>
    <row r="2023" ht="15.75" customHeight="1">
      <c r="A2023" s="1">
        <v>2021.0</v>
      </c>
      <c r="B2023" s="3" t="s">
        <v>2023</v>
      </c>
      <c r="C2023" s="3" t="str">
        <f>IFERROR(__xludf.DUMMYFUNCTION("GOOGLETRANSLATE(B2023,""id"",""en"")"),"['', 'error', 'signal', 'Ngejin', 'task', 'error', 'lag', 'severe']")</f>
        <v>['', 'error', 'signal', 'Ngejin', 'task', 'error', 'lag', 'severe']</v>
      </c>
      <c r="D2023" s="3">
        <v>1.0</v>
      </c>
    </row>
    <row r="2024" ht="15.75" customHeight="1">
      <c r="A2024" s="1">
        <v>2022.0</v>
      </c>
      <c r="B2024" s="3" t="s">
        <v>2024</v>
      </c>
      <c r="C2024" s="3" t="str">
        <f>IFERROR(__xludf.DUMMYFUNCTION("GOOGLETRANSLATE(B2024,""id"",""en"")"),"['use', 'Telkomsel', 'number', 'use', 'difficult', 'maintain', 'number', 'quality', 'network', 'stable', 'open', 'apps',' Loading ',' quota ',' GB ',' quota ',' network ',' restricted ',' buy ',' quota ',' network ',' limited ',' change ',' operator ',' r"&amp;"estrictions' , 'Network', 'Thank you', 'Telkomsel', 'Service', ""]")</f>
        <v>['use', 'Telkomsel', 'number', 'use', 'difficult', 'maintain', 'number', 'quality', 'network', 'stable', 'open', 'apps',' Loading ',' quota ',' GB ',' quota ',' network ',' restricted ',' buy ',' quota ',' network ',' limited ',' change ',' operator ',' restrictions' , 'Network', 'Thank you', 'Telkomsel', 'Service', "]</v>
      </c>
      <c r="D2024" s="3">
        <v>1.0</v>
      </c>
    </row>
    <row r="2025" ht="15.75" customHeight="1">
      <c r="A2025" s="1">
        <v>2023.0</v>
      </c>
      <c r="B2025" s="3" t="s">
        <v>2025</v>
      </c>
      <c r="C2025" s="3" t="str">
        <f>IFERROR(__xludf.DUMMYFUNCTION("GOOGLETRANSLATE(B2025,""id"",""en"")"),"['signal', 'slow', 'udh', 'mode', 'plane', 'tetep', 'slow', 'kayak', 'spent', 'quota', 'signal', 'slow', ' critical', '']")</f>
        <v>['signal', 'slow', 'udh', 'mode', 'plane', 'tetep', 'slow', 'kayak', 'spent', 'quota', 'signal', 'slow', ' critical', '']</v>
      </c>
      <c r="D2025" s="3">
        <v>1.0</v>
      </c>
    </row>
    <row r="2026" ht="15.75" customHeight="1">
      <c r="A2026" s="1">
        <v>2024.0</v>
      </c>
      <c r="B2026" s="3" t="s">
        <v>2026</v>
      </c>
      <c r="C2026" s="3" t="str">
        <f>IFERROR(__xludf.DUMMYFUNCTION("GOOGLETRANSLATE(B2026,""id"",""en"")"),"['Sorong', 'board', 'pull', 'board', 'take', 'battery', 'boat', 'promo', 'contents', 'package', 'gas', 'repair']")</f>
        <v>['Sorong', 'board', 'pull', 'board', 'take', 'battery', 'boat', 'promo', 'contents', 'package', 'gas', 'repair']</v>
      </c>
      <c r="D2026" s="3">
        <v>1.0</v>
      </c>
    </row>
    <row r="2027" ht="15.75" customHeight="1">
      <c r="A2027" s="1">
        <v>2025.0</v>
      </c>
      <c r="B2027" s="3" t="s">
        <v>2027</v>
      </c>
      <c r="C2027" s="3" t="str">
        <f>IFERROR(__xludf.DUMMYFUNCTION("GOOGLETRANSLATE(B2027,""id"",""en"")"),"['Gatau', 'what', 'cook', 'quota', 'learn', 'gabisa', 'zoom', 'gabisa', 'open', 'link', 'university', 'gabisa', ' Want ',' What ',' Buy ',' Gabisa ',' Dipake ',' Samsek ',' please ',' Ayok ',' Telkomsel ',' Friendly ',' repaired ',' again ', ""]")</f>
        <v>['Gatau', 'what', 'cook', 'quota', 'learn', 'gabisa', 'zoom', 'gabisa', 'open', 'link', 'university', 'gabisa', ' Want ',' What ',' Buy ',' Gabisa ',' Dipake ',' Samsek ',' please ',' Ayok ',' Telkomsel ',' Friendly ',' repaired ',' again ', "]</v>
      </c>
      <c r="D2027" s="3">
        <v>1.0</v>
      </c>
    </row>
    <row r="2028" ht="15.75" customHeight="1">
      <c r="A2028" s="1">
        <v>2026.0</v>
      </c>
      <c r="B2028" s="3" t="s">
        <v>2028</v>
      </c>
      <c r="C2028" s="3" t="str">
        <f>IFERROR(__xludf.DUMMYFUNCTION("GOOGLETRANSLATE(B2028,""id"",""en"")"),"['price', 'package', 'expensive', 'quality', 'network', 'rich', 'garbage', 'loss',' subscription ',' Telkomsel ',' price ',' package ',' expensive ',' TTP ',' buy ',' please ',' quality ',' signal ',' note ',' convenience ',' customer ',' ']")</f>
        <v>['price', 'package', 'expensive', 'quality', 'network', 'rich', 'garbage', 'loss',' subscription ',' Telkomsel ',' price ',' package ',' expensive ',' TTP ',' buy ',' please ',' quality ',' signal ',' note ',' convenience ',' customer ',' ']</v>
      </c>
      <c r="D2028" s="3">
        <v>1.0</v>
      </c>
    </row>
    <row r="2029" ht="15.75" customHeight="1">
      <c r="A2029" s="1">
        <v>2027.0</v>
      </c>
      <c r="B2029" s="3" t="s">
        <v>2029</v>
      </c>
      <c r="C2029" s="3" t="str">
        <f>IFERROR(__xludf.DUMMYFUNCTION("GOOGLETRANSLATE(B2029,""id"",""en"")"),"['Network', 'Disorders', 'Severe', 'Ngga', 'Clarification', 'Cause', 'His Disorders']")</f>
        <v>['Network', 'Disorders', 'Severe', 'Ngga', 'Clarification', 'Cause', 'His Disorders']</v>
      </c>
      <c r="D2029" s="3">
        <v>1.0</v>
      </c>
    </row>
    <row r="2030" ht="15.75" customHeight="1">
      <c r="A2030" s="1">
        <v>2028.0</v>
      </c>
      <c r="B2030" s="3" t="s">
        <v>2030</v>
      </c>
      <c r="C2030" s="3" t="str">
        <f>IFERROR(__xludf.DUMMYFUNCTION("GOOGLETRANSLATE(B2030,""id"",""en"")"),"['expensive', 'really', 'Telkomsel', 'cheap', 'ugly', 'network', 'price', 'expensive']")</f>
        <v>['expensive', 'really', 'Telkomsel', 'cheap', 'ugly', 'network', 'price', 'expensive']</v>
      </c>
      <c r="D2030" s="3">
        <v>2.0</v>
      </c>
    </row>
    <row r="2031" ht="15.75" customHeight="1">
      <c r="A2031" s="1">
        <v>2029.0</v>
      </c>
      <c r="B2031" s="3" t="s">
        <v>2031</v>
      </c>
      <c r="C2031" s="3" t="str">
        <f>IFERROR(__xludf.DUMMYFUNCTION("GOOGLETRANSLATE(B2031,""id"",""en"")"),"['', 'please', 'repairs', 'network', 'UDH', 'expensive', 'buy', 'package', 'internet', 'slow', 'forgiveness']")</f>
        <v>['', 'please', 'repairs', 'network', 'UDH', 'expensive', 'buy', 'package', 'internet', 'slow', 'forgiveness']</v>
      </c>
      <c r="D2031" s="3">
        <v>1.0</v>
      </c>
    </row>
    <row r="2032" ht="15.75" customHeight="1">
      <c r="A2032" s="1">
        <v>2030.0</v>
      </c>
      <c r="B2032" s="3" t="s">
        <v>2032</v>
      </c>
      <c r="C2032" s="3" t="str">
        <f>IFERROR(__xludf.DUMMYFUNCTION("GOOGLETRANSLATE(B2032,""id"",""en"")"),"['slow', 'bangetttttttttttt', 'veronika', 'no', 'help', ""]")</f>
        <v>['slow', 'bangetttttttttttt', 'veronika', 'no', 'help', "]</v>
      </c>
      <c r="D2032" s="3">
        <v>1.0</v>
      </c>
    </row>
    <row r="2033" ht="15.75" customHeight="1">
      <c r="A2033" s="1">
        <v>2031.0</v>
      </c>
      <c r="B2033" s="3" t="s">
        <v>2033</v>
      </c>
      <c r="C2033" s="3" t="str">
        <f>IFERROR(__xludf.DUMMYFUNCTION("GOOGLETRANSLATE(B2033,""id"",""en"")"),"['Network', 'Burikkk', 'NOT', 'Destroyed', 'Paketan', 'Price', 'Expensive', 'Burikk', 'Sorry', 'Network', 'Lemott', 'Decided', ' Move ',' card ',' Perdana ',' Next to ',' Network ',' Good ',' Telkomsel ', ""]")</f>
        <v>['Network', 'Burikkk', 'NOT', 'Destroyed', 'Paketan', 'Price', 'Expensive', 'Burikk', 'Sorry', 'Network', 'Lemott', 'Decided', ' Move ',' card ',' Perdana ',' Next to ',' Network ',' Good ',' Telkomsel ', "]</v>
      </c>
      <c r="D2033" s="3">
        <v>1.0</v>
      </c>
    </row>
    <row r="2034" ht="15.75" customHeight="1">
      <c r="A2034" s="1">
        <v>2032.0</v>
      </c>
      <c r="B2034" s="3" t="s">
        <v>2034</v>
      </c>
      <c r="C2034" s="3" t="str">
        <f>IFERROR(__xludf.DUMMYFUNCTION("GOOGLETRANSLATE(B2034,""id"",""en"")"),"['comfortable', 'Telkomsel', 'disorder', 'connection', 'disappointed', '']")</f>
        <v>['comfortable', 'Telkomsel', 'disorder', 'connection', 'disappointed', '']</v>
      </c>
      <c r="D2034" s="3">
        <v>1.0</v>
      </c>
    </row>
    <row r="2035" ht="15.75" customHeight="1">
      <c r="A2035" s="1">
        <v>2033.0</v>
      </c>
      <c r="B2035" s="3" t="s">
        <v>2035</v>
      </c>
      <c r="C2035" s="3" t="str">
        <f>IFERROR(__xludf.DUMMYFUNCTION("GOOGLETRANSLATE(B2035,""id"",""en"")"),"['already', 'week', 'know', 'network', 'Telkomsel', 'bad', 'Central Java', 'East Java', 'mah', 'internet', 'regret', 'pay', ' bills', 'internet', 'nyesel', 'already', 'moved', 'card', 'hello', 'like', 'gini', 'turned', 'card', 'already', 'week' , 'Lho', '"&amp;"the difference', 'make', 'Telkomsel', '']")</f>
        <v>['already', 'week', 'know', 'network', 'Telkomsel', 'bad', 'Central Java', 'East Java', 'mah', 'internet', 'regret', 'pay', ' bills', 'internet', 'nyesel', 'already', 'moved', 'card', 'hello', 'like', 'gini', 'turned', 'card', 'already', 'week' , 'Lho', 'the difference', 'make', 'Telkomsel', '']</v>
      </c>
      <c r="D2035" s="3">
        <v>1.0</v>
      </c>
    </row>
    <row r="2036" ht="15.75" customHeight="1">
      <c r="A2036" s="1">
        <v>2034.0</v>
      </c>
      <c r="B2036" s="3" t="s">
        <v>2036</v>
      </c>
      <c r="C2036" s="3" t="str">
        <f>IFERROR(__xludf.DUMMYFUNCTION("GOOGLETRANSLATE(B2036,""id"",""en"")"),"['Please', 'Fix', 'Network', 'Wktu', 'Play', 'Game', 'lag', 'bad', 'Network', 'Pay', 'expensive']")</f>
        <v>['Please', 'Fix', 'Network', 'Wktu', 'Play', 'Game', 'lag', 'bad', 'Network', 'Pay', 'expensive']</v>
      </c>
      <c r="D2036" s="3">
        <v>2.0</v>
      </c>
    </row>
    <row r="2037" ht="15.75" customHeight="1">
      <c r="A2037" s="1">
        <v>2035.0</v>
      </c>
      <c r="B2037" s="3" t="s">
        <v>2037</v>
      </c>
      <c r="C2037" s="3" t="str">
        <f>IFERROR(__xludf.DUMMYFUNCTION("GOOGLETRANSLATE(B2037,""id"",""en"")"),"['The network', 'ugly', 'buy', 'quota', 'expensive', 'muter', 'doang', 'worse', 'quota', 'run out', 'padah', 'muter', ' Doang ',' ']")</f>
        <v>['The network', 'ugly', 'buy', 'quota', 'expensive', 'muter', 'doang', 'worse', 'quota', 'run out', 'padah', 'muter', ' Doang ',' ']</v>
      </c>
      <c r="D2037" s="3">
        <v>1.0</v>
      </c>
    </row>
    <row r="2038" ht="15.75" customHeight="1">
      <c r="A2038" s="1">
        <v>2036.0</v>
      </c>
      <c r="B2038" s="3" t="s">
        <v>2038</v>
      </c>
      <c r="C2038" s="3" t="str">
        <f>IFERROR(__xludf.DUMMYFUNCTION("GOOGLETRANSLATE(B2038,""id"",""en"")"),"['down', 'slow', 'open', 'the application', 'heavy', 'loading', 'application', 'heavy', 'need', 'source', 'big', 'pke', ' Nybar ',' biyuh ',' application ',' pooo ',' kiii ']")</f>
        <v>['down', 'slow', 'open', 'the application', 'heavy', 'loading', 'application', 'heavy', 'need', 'source', 'big', 'pke', ' Nybar ',' biyuh ',' application ',' pooo ',' kiii ']</v>
      </c>
      <c r="D2038" s="3">
        <v>1.0</v>
      </c>
    </row>
    <row r="2039" ht="15.75" customHeight="1">
      <c r="A2039" s="1">
        <v>2037.0</v>
      </c>
      <c r="B2039" s="3" t="s">
        <v>2039</v>
      </c>
      <c r="C2039" s="3" t="str">
        <f>IFERROR(__xludf.DUMMYFUNCTION("GOOGLETRANSLATE(B2039,""id"",""en"")"),"['network', 'service', 'ugly', 'bad', 'signal', 'lost', 'transmitter', 'Telkomsel', 'nearby', 'go out', 'electricity', 'network', ' Direct ',' Lost ',' Light ',' Waiting ',' Normal ',' Effort ',' Improve ',' Service ', ""]")</f>
        <v>['network', 'service', 'ugly', 'bad', 'signal', 'lost', 'transmitter', 'Telkomsel', 'nearby', 'go out', 'electricity', 'network', ' Direct ',' Lost ',' Light ',' Waiting ',' Normal ',' Effort ',' Improve ',' Service ', "]</v>
      </c>
      <c r="D2039" s="3">
        <v>1.0</v>
      </c>
    </row>
    <row r="2040" ht="15.75" customHeight="1">
      <c r="A2040" s="1">
        <v>2038.0</v>
      </c>
      <c r="B2040" s="3" t="s">
        <v>2040</v>
      </c>
      <c r="C2040" s="3" t="str">
        <f>IFERROR(__xludf.DUMMYFUNCTION("GOOGLETRANSLATE(B2040,""id"",""en"")"),"['Products',' Telkomsel ',' Help ',' Consumers', 'buy', 'Package', 'Kasih', 'Bener', 'Believe', 'Bener', 'State', 'already', ' broken ',' suffer ']")</f>
        <v>['Products',' Telkomsel ',' Help ',' Consumers', 'buy', 'Package', 'Kasih', 'Bener', 'Believe', 'Bener', 'State', 'already', ' broken ',' suffer ']</v>
      </c>
      <c r="D2040" s="3">
        <v>1.0</v>
      </c>
    </row>
    <row r="2041" ht="15.75" customHeight="1">
      <c r="A2041" s="1">
        <v>2039.0</v>
      </c>
      <c r="B2041" s="3" t="s">
        <v>2041</v>
      </c>
      <c r="C2041" s="3" t="str">
        <f>IFERROR(__xludf.DUMMYFUNCTION("GOOGLETRANSLATE(B2041,""id"",""en"")"),"['Malese', 'love', 'bintanggg', 'fill', 'pulse', 'direct', 'dsedottt', 'anjimmm', 'lahh', 'emng', 'dsedott', 'all', ' Alitha ',' Top ',' Dsedott ',' Anyinggg ',' Balikinn ',' Pulsaa ',' Anjimmm ', ""]")</f>
        <v>['Malese', 'love', 'bintanggg', 'fill', 'pulse', 'direct', 'dsedottt', 'anjimmm', 'lahh', 'emng', 'dsedott', 'all', ' Alitha ',' Top ',' Dsedott ',' Anyinggg ',' Balikinn ',' Pulsaa ',' Anjimmm ', "]</v>
      </c>
      <c r="D2041" s="3">
        <v>1.0</v>
      </c>
    </row>
    <row r="2042" ht="15.75" customHeight="1">
      <c r="A2042" s="1">
        <v>2040.0</v>
      </c>
      <c r="B2042" s="3" t="s">
        <v>2042</v>
      </c>
      <c r="C2042" s="3" t="str">
        <f>IFERROR(__xludf.DUMMYFUNCTION("GOOGLETRANSLATE(B2042,""id"",""en"")"),"['zero', 'star', 'willingly', 'love', 'star', 'network', 'tsel', 'super', 'duper', 'destroyed', 'night', 'responsibility', ' already ',' buy ',' quota ',' expensive ',' expensive ',' ehh ',' gunain ',' plunge ',' free ',' network ',' tsel ',' city ',' man"&amp;"ado ' , 'Anyway', 'Telkomsel', ""]")</f>
        <v>['zero', 'star', 'willingly', 'love', 'star', 'network', 'tsel', 'super', 'duper', 'destroyed', 'night', 'responsibility', ' already ',' buy ',' quota ',' expensive ',' expensive ',' ehh ',' gunain ',' plunge ',' free ',' network ',' tsel ',' city ',' manado ' , 'Anyway', 'Telkomsel', "]</v>
      </c>
      <c r="D2042" s="3">
        <v>1.0</v>
      </c>
    </row>
    <row r="2043" ht="15.75" customHeight="1">
      <c r="A2043" s="1">
        <v>2041.0</v>
      </c>
      <c r="B2043" s="3" t="s">
        <v>2043</v>
      </c>
      <c r="C2043" s="3" t="str">
        <f>IFERROR(__xludf.DUMMYFUNCTION("GOOGLETRANSLATE(B2043,""id"",""en"")"),"['super', 'duper', 'stupid', 'tsel', 'spoil', 'stupid', 'already', 'buy', 'quota', 'expensive', 'network', 'city', ' Manado ',' paralyzed ',' total ',' then ',' moan ',' Please ',' regret ',' tsel ']")</f>
        <v>['super', 'duper', 'stupid', 'tsel', 'spoil', 'stupid', 'already', 'buy', 'quota', 'expensive', 'network', 'city', ' Manado ',' paralyzed ',' total ',' then ',' moan ',' Please ',' regret ',' tsel ']</v>
      </c>
      <c r="D2043" s="3">
        <v>1.0</v>
      </c>
    </row>
    <row r="2044" ht="15.75" customHeight="1">
      <c r="A2044" s="1">
        <v>2042.0</v>
      </c>
      <c r="B2044" s="3" t="s">
        <v>2044</v>
      </c>
      <c r="C2044" s="3" t="str">
        <f>IFERROR(__xludf.DUMMYFUNCTION("GOOGLETRANSLATE(B2044,""id"",""en"")"),"['cheat', 'buy', 'data', 'game', 'requirements',' quota ',' main ',' enter ',' game ',' quota ',' main ',' sucked ',' run out ',' anything ',' buy ',' quota ',' main ',' reduce ',' data ',' game ',' reduce ',' quota ',' main ',' cheat ',' cheat ' , 'cheat"&amp;"', '']")</f>
        <v>['cheat', 'buy', 'data', 'game', 'requirements',' quota ',' main ',' enter ',' game ',' quota ',' main ',' sucked ',' run out ',' anything ',' buy ',' quota ',' main ',' reduce ',' data ',' game ',' reduce ',' quota ',' main ',' cheat ',' cheat ' , 'cheat', '']</v>
      </c>
      <c r="D2044" s="3">
        <v>1.0</v>
      </c>
    </row>
    <row r="2045" ht="15.75" customHeight="1">
      <c r="A2045" s="1">
        <v>2043.0</v>
      </c>
      <c r="B2045" s="3" t="s">
        <v>2045</v>
      </c>
      <c r="C2045" s="3" t="str">
        <f>IFERROR(__xludf.DUMMYFUNCTION("GOOGLETRANSLATE(B2045,""id"",""en"")"),"['Telkomsel', 'ngak', 'sanful', 'expensive', 'do "",' yes ',' network ',' lag ',' severe ',' play ',' do ',' lag ',' ngak ',' motion ',' stay ',' area ',' good ',' severe ',' user ',' disappointed ',' expensive ',' yes', 'network', 'nob' , 'ngak', 'kayak'"&amp;", 'gini', 'want', 'move', 'provider']")</f>
        <v>['Telkomsel', 'ngak', 'sanful', 'expensive', 'do ",' yes ',' network ',' lag ',' severe ',' play ',' do ',' lag ',' ngak ',' motion ',' stay ',' area ',' good ',' severe ',' user ',' disappointed ',' expensive ',' yes', 'network', 'nob' , 'ngak', 'kayak', 'gini', 'want', 'move', 'provider']</v>
      </c>
      <c r="D2045" s="3">
        <v>3.0</v>
      </c>
    </row>
    <row r="2046" ht="15.75" customHeight="1">
      <c r="A2046" s="1">
        <v>2044.0</v>
      </c>
      <c r="B2046" s="3" t="s">
        <v>2046</v>
      </c>
      <c r="C2046" s="3" t="str">
        <f>IFERROR(__xludf.DUMMYFUNCTION("GOOGLETRANSLATE(B2046,""id"",""en"")"),"['Sorry', 'Telkomsel', 'Sousal', 'bad', 'game', 'lag', 'ping', 'red', 'gamau', 'green', 'Please', 'fix']")</f>
        <v>['Sorry', 'Telkomsel', 'Sousal', 'bad', 'game', 'lag', 'ping', 'red', 'gamau', 'green', 'Please', 'fix']</v>
      </c>
      <c r="D2046" s="3">
        <v>3.0</v>
      </c>
    </row>
    <row r="2047" ht="15.75" customHeight="1">
      <c r="A2047" s="1">
        <v>2045.0</v>
      </c>
      <c r="B2047" s="3" t="s">
        <v>2047</v>
      </c>
      <c r="C2047" s="3" t="str">
        <f>IFERROR(__xludf.DUMMYFUNCTION("GOOGLETRANSLATE(B2047,""id"",""en"")"),"['network', 'hacur', 'times',' UDH ',' upgrade ',' destroyed ',' idiot ',' forced ',' indo ',' can be ',' vacuited ',' troubles', ' Users', 'Telkom', 'expensive', 'prices',' quality ',' network ',' worth ',' price ',' destroyed ',' Indonesia ',' Pantes', "&amp;"'advanced', 'network' , 'Internet', 'destroyed', 'stay', 'Copy', 'Indo', 'Nyepalk']")</f>
        <v>['network', 'hacur', 'times',' UDH ',' upgrade ',' destroyed ',' idiot ',' forced ',' indo ',' can be ',' vacuited ',' troubles', ' Users', 'Telkom', 'expensive', 'prices',' quality ',' network ',' worth ',' price ',' destroyed ',' Indonesia ',' Pantes', 'advanced', 'network' , 'Internet', 'destroyed', 'stay', 'Copy', 'Indo', 'Nyepalk']</v>
      </c>
      <c r="D2047" s="3">
        <v>1.0</v>
      </c>
    </row>
    <row r="2048" ht="15.75" customHeight="1">
      <c r="A2048" s="1">
        <v>2046.0</v>
      </c>
      <c r="B2048" s="3" t="s">
        <v>2048</v>
      </c>
      <c r="C2048" s="3" t="str">
        <f>IFERROR(__xludf.DUMMYFUNCTION("GOOGLETRANSLATE(B2048,""id"",""en"")"),"['', 'BLN', 'Open', 'BKA', 'Mnta', 'Update', 'Turn', 'See', 'Package', 'Mahallllll', 'Finally', 'Buy', 'Package ',' card ',' neighbors', 'poor', 'tmbah', 'star', 'min', 'referred to', 'trima', 'telko', 'knpa', 'signal', 'ilang', 'Mulu', 'tlong', 'min', 'n"&amp;"nti', 'tmbah', 'starny', '']")</f>
        <v>['', 'BLN', 'Open', 'BKA', 'Mnta', 'Update', 'Turn', 'See', 'Package', 'Mahallllll', 'Finally', 'Buy', 'Package ',' card ',' neighbors', 'poor', 'tmbah', 'star', 'min', 'referred to', 'trima', 'telko', 'knpa', 'signal', 'ilang', 'Mulu', 'tlong', 'min', 'nnti', 'tmbah', 'starny', '']</v>
      </c>
      <c r="D2048" s="3">
        <v>3.0</v>
      </c>
    </row>
    <row r="2049" ht="15.75" customHeight="1">
      <c r="A2049" s="1">
        <v>2047.0</v>
      </c>
      <c r="B2049" s="3" t="s">
        <v>2049</v>
      </c>
      <c r="C2049" s="3" t="str">
        <f>IFERROR(__xludf.DUMMYFUNCTION("GOOGLETRANSLATE(B2049,""id"",""en"")"),"['Telkomsel', 'Please', 'Fix', 'Network', 'Full', 'Cook', 'slow', 'really', 'already', 'package', 'expensive', 'lgi', ' already ',' kantel ',' msih ',' slow ',' buy ',' package ',' rb ',' slow ',' right ',' oath ',' regret ',' mending ',' pakek ' , 'card'"&amp;"]")</f>
        <v>['Telkomsel', 'Please', 'Fix', 'Network', 'Full', 'Cook', 'slow', 'really', 'already', 'package', 'expensive', 'lgi', ' already ',' kantel ',' msih ',' slow ',' buy ',' package ',' rb ',' slow ',' right ',' oath ',' regret ',' mending ',' pakek ' , 'card']</v>
      </c>
      <c r="D2049" s="3">
        <v>1.0</v>
      </c>
    </row>
    <row r="2050" ht="15.75" customHeight="1">
      <c r="A2050" s="1">
        <v>2048.0</v>
      </c>
      <c r="B2050" s="3" t="s">
        <v>2050</v>
      </c>
      <c r="C2050" s="3" t="str">
        <f>IFERROR(__xludf.DUMMYFUNCTION("GOOGLETRANSLATE(B2050,""id"",""en"")"),"['Hi', 'operator', 'Telkomsel', 'signal', 'Telkomsel', 'slow', 'bangeet', 'fast', ""]")</f>
        <v>['Hi', 'operator', 'Telkomsel', 'signal', 'Telkomsel', 'slow', 'bangeet', 'fast', "]</v>
      </c>
      <c r="D2050" s="3">
        <v>1.0</v>
      </c>
    </row>
    <row r="2051" ht="15.75" customHeight="1">
      <c r="A2051" s="1">
        <v>2049.0</v>
      </c>
      <c r="B2051" s="3" t="s">
        <v>2051</v>
      </c>
      <c r="C2051" s="3" t="str">
        <f>IFERROR(__xludf.DUMMYFUNCTION("GOOGLETRANSLATE(B2051,""id"",""en"")"),"['Destroyed', 'Telkomsel', 'signal', 'cmn', 'high', 'quality', 'signal', 'ndk', 'good', 'cmn', 'high', 'quality', ' ']")</f>
        <v>['Destroyed', 'Telkomsel', 'signal', 'cmn', 'high', 'quality', 'signal', 'ndk', 'good', 'cmn', 'high', 'quality', ' ']</v>
      </c>
      <c r="D2051" s="3">
        <v>1.0</v>
      </c>
    </row>
    <row r="2052" ht="15.75" customHeight="1">
      <c r="A2052" s="1">
        <v>2050.0</v>
      </c>
      <c r="B2052" s="3" t="s">
        <v>2052</v>
      </c>
      <c r="C2052" s="3" t="str">
        <f>IFERROR(__xludf.DUMMYFUNCTION("GOOGLETRANSLATE(B2052,""id"",""en"")"),"['Please', 'included', 'package', 'data', 'unlimited', 'quota', 'Telkomsel', 'expensive']")</f>
        <v>['Please', 'included', 'package', 'data', 'unlimited', 'quota', 'Telkomsel', 'expensive']</v>
      </c>
      <c r="D2052" s="3">
        <v>3.0</v>
      </c>
    </row>
    <row r="2053" ht="15.75" customHeight="1">
      <c r="A2053" s="1">
        <v>2051.0</v>
      </c>
      <c r="B2053" s="3" t="s">
        <v>2053</v>
      </c>
      <c r="C2053" s="3" t="str">
        <f>IFERROR(__xludf.DUMMYFUNCTION("GOOGLETRANSLATE(B2053,""id"",""en"")"),"['Star', 'Reduce', 'Network', 'Telkomsel', 'Down', 'Main', 'Game', 'Lag', 'Current', 'Price', 'Package', 'Data', ' Cellular ',' skyrocket ',' Customer ',' Telkomsel ',' Pakek ',' Please ',' Repaired ',' Price ',' Customize ',' Thank you ']")</f>
        <v>['Star', 'Reduce', 'Network', 'Telkomsel', 'Down', 'Main', 'Game', 'Lag', 'Current', 'Price', 'Package', 'Data', ' Cellular ',' skyrocket ',' Customer ',' Telkomsel ',' Pakek ',' Please ',' Repaired ',' Price ',' Customize ',' Thank you ']</v>
      </c>
      <c r="D2053" s="3">
        <v>2.0</v>
      </c>
    </row>
    <row r="2054" ht="15.75" customHeight="1">
      <c r="A2054" s="1">
        <v>2052.0</v>
      </c>
      <c r="B2054" s="3" t="s">
        <v>2054</v>
      </c>
      <c r="C2054" s="3" t="str">
        <f>IFERROR(__xludf.DUMMYFUNCTION("GOOGLETRANSLATE(B2054,""id"",""en"")"),"['signal', 'bad', 'rain', 'little', 'network', 'lost', 'restart', 'mode', 'plane', 'product', 'master', 'home', ' Good ',' bad ']")</f>
        <v>['signal', 'bad', 'rain', 'little', 'network', 'lost', 'restart', 'mode', 'plane', 'product', 'master', 'home', ' Good ',' bad ']</v>
      </c>
      <c r="D2054" s="3">
        <v>1.0</v>
      </c>
    </row>
    <row r="2055" ht="15.75" customHeight="1">
      <c r="A2055" s="1">
        <v>2053.0</v>
      </c>
      <c r="B2055" s="3" t="s">
        <v>2055</v>
      </c>
      <c r="C2055" s="3" t="str">
        <f>IFERROR(__xludf.DUMMYFUNCTION("GOOGLETRANSLATE(B2055,""id"",""en"")"),"['network', 'internet', 'disorder', 'annoying', 'all-round', 'online']")</f>
        <v>['network', 'internet', 'disorder', 'annoying', 'all-round', 'online']</v>
      </c>
      <c r="D2055" s="3">
        <v>1.0</v>
      </c>
    </row>
    <row r="2056" ht="15.75" customHeight="1">
      <c r="A2056" s="1">
        <v>2054.0</v>
      </c>
      <c r="B2056" s="3" t="s">
        <v>2056</v>
      </c>
      <c r="C2056" s="3" t="str">
        <f>IFERROR(__xludf.DUMMYFUNCTION("GOOGLETRANSLATE(B2056,""id"",""en"")"),"['signal', 'area', 'sometimes', 'disorder', 'price', 'package', 'decent', 'cheap', 'thank', 'love', 'tsel', ""]")</f>
        <v>['signal', 'area', 'sometimes', 'disorder', 'price', 'package', 'decent', 'cheap', 'thank', 'love', 'tsel', "]</v>
      </c>
      <c r="D2056" s="3">
        <v>4.0</v>
      </c>
    </row>
    <row r="2057" ht="15.75" customHeight="1">
      <c r="A2057" s="1">
        <v>2055.0</v>
      </c>
      <c r="B2057" s="3" t="s">
        <v>2057</v>
      </c>
      <c r="C2057" s="3" t="str">
        <f>IFERROR(__xludf.DUMMYFUNCTION("GOOGLETRANSLATE(B2057,""id"",""en"")"),"['please', 'quality', 'network', 'fix', 'already', 'price', 'package', 'expensive', 'signal', 'ugly', 'gosh', 'cry', ' Gegara ',' Signal ',' Telkomsel ',' ugly ',' My Exam ',' Late ',' Send ',' ']")</f>
        <v>['please', 'quality', 'network', 'fix', 'already', 'price', 'package', 'expensive', 'signal', 'ugly', 'gosh', 'cry', ' Gegara ',' Signal ',' Telkomsel ',' ugly ',' My Exam ',' Late ',' Send ',' ']</v>
      </c>
      <c r="D2057" s="3">
        <v>2.0</v>
      </c>
    </row>
    <row r="2058" ht="15.75" customHeight="1">
      <c r="A2058" s="1">
        <v>2056.0</v>
      </c>
      <c r="B2058" s="3" t="s">
        <v>2058</v>
      </c>
      <c r="C2058" s="3" t="str">
        <f>IFERROR(__xludf.DUMMYFUNCTION("GOOGLETRANSLATE(B2058,""id"",""en"")"),"['Please', 'checked', 'Operator', 'The network', 'Bad', '']")</f>
        <v>['Please', 'checked', 'Operator', 'The network', 'Bad', '']</v>
      </c>
      <c r="D2058" s="3">
        <v>3.0</v>
      </c>
    </row>
    <row r="2059" ht="15.75" customHeight="1">
      <c r="A2059" s="1">
        <v>2057.0</v>
      </c>
      <c r="B2059" s="3" t="s">
        <v>2059</v>
      </c>
      <c r="C2059" s="3" t="str">
        <f>IFERROR(__xludf.DUMMYFUNCTION("GOOGLETRANSLATE(B2059,""id"",""en"")"),"['network', 'internet', 'ugly', 'rain', 'compared', 'provider', 'good', 'leftover', 'pulse', 'run out', ""]")</f>
        <v>['network', 'internet', 'ugly', 'rain', 'compared', 'provider', 'good', 'leftover', 'pulse', 'run out', "]</v>
      </c>
      <c r="D2059" s="3">
        <v>1.0</v>
      </c>
    </row>
    <row r="2060" ht="15.75" customHeight="1">
      <c r="A2060" s="1">
        <v>2058.0</v>
      </c>
      <c r="B2060" s="3" t="s">
        <v>2060</v>
      </c>
      <c r="C2060" s="3" t="str">
        <f>IFERROR(__xludf.DUMMYFUNCTION("GOOGLETRANSLATE(B2060,""id"",""en"")"),"['cave', 'buy', 'unlimited', 'GB', 'strong', 'signal', 'idiot', 'kimak', 'really', 'package', 'expensive', 'pakek']")</f>
        <v>['cave', 'buy', 'unlimited', 'GB', 'strong', 'signal', 'idiot', 'kimak', 'really', 'package', 'expensive', 'pakek']</v>
      </c>
      <c r="D2060" s="3">
        <v>1.0</v>
      </c>
    </row>
    <row r="2061" ht="15.75" customHeight="1">
      <c r="A2061" s="1">
        <v>2059.0</v>
      </c>
      <c r="B2061" s="3" t="s">
        <v>2061</v>
      </c>
      <c r="C2061" s="3" t="str">
        <f>IFERROR(__xludf.DUMMYFUNCTION("GOOGLETRANSLATE(B2061,""id"",""en"")"),"['price', 'package', 'quota', 'internet', 'expensive', 'signal', 'kayak', 'garbage', 'stay', 'city', 'play', 'game', ' signal ',' Jumping ',' Jumping ',' sometimes', 'ping', 'sometimes',' ping ',' low ',' signal ',' stem ',' signal ',' reality ',' game ' "&amp;", 'signal', 'kayak', 'garbage', 'heart', 'guys']")</f>
        <v>['price', 'package', 'quota', 'internet', 'expensive', 'signal', 'kayak', 'garbage', 'stay', 'city', 'play', 'game', ' signal ',' Jumping ',' Jumping ',' sometimes', 'ping', 'sometimes',' ping ',' low ',' signal ',' stem ',' signal ',' reality ',' game ' , 'signal', 'kayak', 'garbage', 'heart', 'guys']</v>
      </c>
      <c r="D2061" s="3">
        <v>1.0</v>
      </c>
    </row>
    <row r="2062" ht="15.75" customHeight="1">
      <c r="A2062" s="1">
        <v>2060.0</v>
      </c>
      <c r="B2062" s="3" t="s">
        <v>2062</v>
      </c>
      <c r="C2062" s="3" t="str">
        <f>IFERROR(__xludf.DUMMYFUNCTION("GOOGLETRANSLATE(B2062,""id"",""en"")"),"['Network', 'kagak', 'stable', 'kagak', 'connected', 'internet', 'network', 'package', 'data', 'relationship', 'network', 'internet', ' ']")</f>
        <v>['Network', 'kagak', 'stable', 'kagak', 'connected', 'internet', 'network', 'package', 'data', 'relationship', 'network', 'internet', ' ']</v>
      </c>
      <c r="D2062" s="3">
        <v>1.0</v>
      </c>
    </row>
    <row r="2063" ht="15.75" customHeight="1">
      <c r="A2063" s="1">
        <v>2061.0</v>
      </c>
      <c r="B2063" s="3" t="s">
        <v>2063</v>
      </c>
      <c r="C2063" s="3" t="str">
        <f>IFERROR(__xludf.DUMMYFUNCTION("GOOGLETRANSLATE(B2063,""id"",""en"")"),"['Please', 'Sorry', 'Admin', 'Down', 'Telkomsel', 'Please', 'Sorry', 'Sampe', 'Down', 'Serimaksih', ""]")</f>
        <v>['Please', 'Sorry', 'Admin', 'Down', 'Telkomsel', 'Please', 'Sorry', 'Sampe', 'Down', 'Serimaksih', "]</v>
      </c>
      <c r="D2063" s="3">
        <v>2.0</v>
      </c>
    </row>
    <row r="2064" ht="15.75" customHeight="1">
      <c r="A2064" s="1">
        <v>2062.0</v>
      </c>
      <c r="B2064" s="3" t="s">
        <v>2064</v>
      </c>
      <c r="C2064" s="3" t="str">
        <f>IFERROR(__xludf.DUMMYFUNCTION("GOOGLETRANSLATE(B2064,""id"",""en"")"),"['disorder', 'kah', 'network', 'slow', 'quota', 'udh', 'expensive', 'network', 'good', 'slow', 'rich', 'gini', ' Customers', 'disappointed', 'Gara', 'slow', 'gini', 'work', 'please', 'fix', 'the network', ""]")</f>
        <v>['disorder', 'kah', 'network', 'slow', 'quota', 'udh', 'expensive', 'network', 'good', 'slow', 'rich', 'gini', ' Customers', 'disappointed', 'Gara', 'slow', 'gini', 'work', 'please', 'fix', 'the network', "]</v>
      </c>
      <c r="D2064" s="3">
        <v>1.0</v>
      </c>
    </row>
    <row r="2065" ht="15.75" customHeight="1">
      <c r="A2065" s="1">
        <v>2063.0</v>
      </c>
      <c r="B2065" s="3" t="s">
        <v>2065</v>
      </c>
      <c r="C2065" s="3" t="str">
        <f>IFERROR(__xludf.DUMMYFUNCTION("GOOGLETRANSLATE(B2065,""id"",""en"")"),"['', 'Genting', 'signal', 'problematic', 'package', 'expensive', 'comparable', 'service', ""]")</f>
        <v>['', 'Genting', 'signal', 'problematic', 'package', 'expensive', 'comparable', 'service', "]</v>
      </c>
      <c r="D2065" s="3">
        <v>1.0</v>
      </c>
    </row>
    <row r="2066" ht="15.75" customHeight="1">
      <c r="A2066" s="1">
        <v>2064.0</v>
      </c>
      <c r="B2066" s="3" t="s">
        <v>2066</v>
      </c>
      <c r="C2066" s="3" t="str">
        <f>IFERROR(__xludf.DUMMYFUNCTION("GOOGLETRANSLATE(B2066,""id"",""en"")"),"['Network', 'kayak', 'already', 'severe', 'connect', 'access',' anything ',' muter ',' already ',' trusted ',' gajelas', 'already', ' Rela ',' buy ',' package ',' expensive ',' quality ',' zooonnnkkkkk ',' ']")</f>
        <v>['Network', 'kayak', 'already', 'severe', 'connect', 'access',' anything ',' muter ',' already ',' trusted ',' gajelas', 'already', ' Rela ',' buy ',' package ',' expensive ',' quality ',' zooonnnkkkkk ',' ']</v>
      </c>
      <c r="D2066" s="3">
        <v>1.0</v>
      </c>
    </row>
    <row r="2067" ht="15.75" customHeight="1">
      <c r="A2067" s="1">
        <v>2065.0</v>
      </c>
      <c r="B2067" s="3" t="s">
        <v>2067</v>
      </c>
      <c r="C2067" s="3" t="str">
        <f>IFERROR(__xludf.DUMMYFUNCTION("GOOGLETRANSLATE(B2067,""id"",""en"")"),"['network', 'JLEK', 'really', 'admin', 'Lenget', 'really', '']")</f>
        <v>['network', 'JLEK', 'really', 'admin', 'Lenget', 'really', '']</v>
      </c>
      <c r="D2067" s="3">
        <v>1.0</v>
      </c>
    </row>
    <row r="2068" ht="15.75" customHeight="1">
      <c r="A2068" s="1">
        <v>2066.0</v>
      </c>
      <c r="B2068" s="3" t="s">
        <v>2068</v>
      </c>
      <c r="C2068" s="3" t="str">
        <f>IFERROR(__xludf.DUMMYFUNCTION("GOOGLETRANSLATE(B2068,""id"",""en"")"),"['Please', 'noticed', 'network', 'signal', 'stay', 'in the city', 'TPI', 'Network', 'signal', 'stable', 'Maen', 'game', ' Heavy ',' rich ',' play ',' Diplok ',' lag ',' then ',' ']")</f>
        <v>['Please', 'noticed', 'network', 'signal', 'stay', 'in the city', 'TPI', 'Network', 'signal', 'stable', 'Maen', 'game', ' Heavy ',' rich ',' play ',' Diplok ',' lag ',' then ',' ']</v>
      </c>
      <c r="D2068" s="3">
        <v>1.0</v>
      </c>
    </row>
    <row r="2069" ht="15.75" customHeight="1">
      <c r="A2069" s="1">
        <v>2067.0</v>
      </c>
      <c r="B2069" s="3" t="s">
        <v>2069</v>
      </c>
      <c r="C2069" s="3" t="str">
        <f>IFERROR(__xludf.DUMMYFUNCTION("GOOGLETRANSLATE(B2069,""id"",""en"")"),"['How', 'Telkomsel', 'Kuotaku', 'Access', 'YouTube', '']")</f>
        <v>['How', 'Telkomsel', 'Kuotaku', 'Access', 'YouTube', '']</v>
      </c>
      <c r="D2069" s="3">
        <v>1.0</v>
      </c>
    </row>
    <row r="2070" ht="15.75" customHeight="1">
      <c r="A2070" s="1">
        <v>2068.0</v>
      </c>
      <c r="B2070" s="3" t="s">
        <v>2070</v>
      </c>
      <c r="C2070" s="3" t="str">
        <f>IFERROR(__xludf.DUMMYFUNCTION("GOOGLETRANSLATE(B2070,""id"",""en"")"),"['Disappointed', 'really', 'Telkomzel', 'skrng', 'signal', 'ugly', 'fix', 'relax', 'already', 'complaint', 'signal', 'bad', ' woiii ',' adminnn ',' bls', 'doang', 'sorry', 'truss',' fix ',' reality ',' kaga ',' me ',' me ',' kasi ',' star ' , 'TTP', 'sign"&amp;"al', 'good', 'already', 'already', 'disappointed', 'really', 'Telkomsel']")</f>
        <v>['Disappointed', 'really', 'Telkomzel', 'skrng', 'signal', 'ugly', 'fix', 'relax', 'already', 'complaint', 'signal', 'bad', ' woiii ',' adminnn ',' bls', 'doang', 'sorry', 'truss',' fix ',' reality ',' kaga ',' me ',' me ',' kasi ',' star ' , 'TTP', 'signal', 'good', 'already', 'already', 'disappointed', 'really', 'Telkomsel']</v>
      </c>
      <c r="D2070" s="3">
        <v>1.0</v>
      </c>
    </row>
    <row r="2071" ht="15.75" customHeight="1">
      <c r="A2071" s="1">
        <v>2069.0</v>
      </c>
      <c r="B2071" s="3" t="s">
        <v>2071</v>
      </c>
      <c r="C2071" s="3" t="str">
        <f>IFERROR(__xludf.DUMMYFUNCTION("GOOGLETRANSLATE(B2071,""id"",""en"")"),"['The application', 'okay', 'the network', 'bad', 'disappointed', 'Telkomsel']")</f>
        <v>['The application', 'okay', 'the network', 'bad', 'disappointed', 'Telkomsel']</v>
      </c>
      <c r="D2071" s="3">
        <v>1.0</v>
      </c>
    </row>
    <row r="2072" ht="15.75" customHeight="1">
      <c r="A2072" s="1">
        <v>2070.0</v>
      </c>
      <c r="B2072" s="3" t="s">
        <v>2072</v>
      </c>
      <c r="C2072" s="3" t="str">
        <f>IFERROR(__xludf.DUMMYFUNCTION("GOOGLETRANSLATE(B2072,""id"",""en"")"),"['Please', 'yes',' Telkomsel ',' Network ',' Region ',' Madura ',' Increase ',' buy ',' Paketan ',' expensive ',' slow ',' forgiveness', ' Males', 'Makek']")</f>
        <v>['Please', 'yes',' Telkomsel ',' Network ',' Region ',' Madura ',' Increase ',' buy ',' Paketan ',' expensive ',' slow ',' forgiveness', ' Males', 'Makek']</v>
      </c>
      <c r="D2072" s="3">
        <v>1.0</v>
      </c>
    </row>
    <row r="2073" ht="15.75" customHeight="1">
      <c r="A2073" s="1">
        <v>2071.0</v>
      </c>
      <c r="B2073" s="3" t="s">
        <v>2073</v>
      </c>
      <c r="C2073" s="3" t="str">
        <f>IFERROR(__xludf.DUMMYFUNCTION("GOOGLETRANSLATE(B2073,""id"",""en"")"),"['Please', 'system', 'package', 'data', 'repaired', 'quota', 'main', 'quota', 'multimedia', 'sudh', 'run out', 'signal', ' Stubs', 'quota', 'multimedia', 'quota', 'browse', 'pdhl', 'quota', 'take', 'package', 'because', 'active', 'multimedia', 'ttp' , 'Br"&amp;"owsing']")</f>
        <v>['Please', 'system', 'package', 'data', 'repaired', 'quota', 'main', 'quota', 'multimedia', 'sudh', 'run out', 'signal', ' Stubs', 'quota', 'multimedia', 'quota', 'browse', 'pdhl', 'quota', 'take', 'package', 'because', 'active', 'multimedia', 'ttp' , 'Browsing']</v>
      </c>
      <c r="D2073" s="3">
        <v>2.0</v>
      </c>
    </row>
    <row r="2074" ht="15.75" customHeight="1">
      <c r="A2074" s="1">
        <v>2072.0</v>
      </c>
      <c r="B2074" s="3" t="s">
        <v>2074</v>
      </c>
      <c r="C2074" s="3" t="str">
        <f>IFERROR(__xludf.DUMMYFUNCTION("GOOGLETRANSLATE(B2074,""id"",""en"")"),"['Telkomsel', 'slow', 'and then', 'stay', 'City', 'Makassar', 'bgin', 'network', 'severe', 'Benerr', 'buy', 'data', ' expensive ',' network ',' TPI ',' lose ',' card ',' smartfren ',' Please ',' note ',' operator ',' buy ',' expensive ',' the network ',' "&amp;"slow ' , 'Mulu']")</f>
        <v>['Telkomsel', 'slow', 'and then', 'stay', 'City', 'Makassar', 'bgin', 'network', 'severe', 'Benerr', 'buy', 'data', ' expensive ',' network ',' TPI ',' lose ',' card ',' smartfren ',' Please ',' note ',' operator ',' buy ',' expensive ',' the network ',' slow ' , 'Mulu']</v>
      </c>
      <c r="D2074" s="3">
        <v>1.0</v>
      </c>
    </row>
    <row r="2075" ht="15.75" customHeight="1">
      <c r="A2075" s="1">
        <v>2073.0</v>
      </c>
      <c r="B2075" s="3" t="s">
        <v>2075</v>
      </c>
      <c r="C2075" s="3" t="str">
        <f>IFERROR(__xludf.DUMMYFUNCTION("GOOGLETRANSLATE(B2075,""id"",""en"")"),"['Telkomsel', 'quality', 'network', 'bad', 'signal', 'poor', 'parraaaah', 'PUTXX', 'nonx', 'bikess', 'jeleeek', ""]")</f>
        <v>['Telkomsel', 'quality', 'network', 'bad', 'signal', 'poor', 'parraaaah', 'PUTXX', 'nonx', 'bikess', 'jeleeek', "]</v>
      </c>
      <c r="D2075" s="3">
        <v>1.0</v>
      </c>
    </row>
    <row r="2076" ht="15.75" customHeight="1">
      <c r="A2076" s="1">
        <v>2074.0</v>
      </c>
      <c r="B2076" s="3" t="s">
        <v>2076</v>
      </c>
      <c r="C2076" s="3" t="str">
        <f>IFERROR(__xludf.DUMMYFUNCTION("GOOGLETRANSLATE(B2076,""id"",""en"")"),"['woii', 'signal', 'ugly', 'mulu', 'package', 'expensive', 'pity', 'buy', 'package', 'cheat', 'signal', 'bad', ' really ',' Hopefully ',' fast ',' go bankrupt ',' deh ',' culuced ',' money ',' org ',' package ',' expensive ', ""]")</f>
        <v>['woii', 'signal', 'ugly', 'mulu', 'package', 'expensive', 'pity', 'buy', 'package', 'cheat', 'signal', 'bad', ' really ',' Hopefully ',' fast ',' go bankrupt ',' deh ',' culuced ',' money ',' org ',' package ',' expensive ', "]</v>
      </c>
      <c r="D2076" s="3">
        <v>1.0</v>
      </c>
    </row>
    <row r="2077" ht="15.75" customHeight="1">
      <c r="A2077" s="1">
        <v>2075.0</v>
      </c>
      <c r="B2077" s="3" t="s">
        <v>2077</v>
      </c>
      <c r="C2077" s="3" t="str">
        <f>IFERROR(__xludf.DUMMYFUNCTION("GOOGLETRANSLATE(B2077,""id"",""en"")"),"['application', 'slow', 'fit', 'enter', 'application', 'ngaheng', 'delete', 'data', 'dlu', 'open']")</f>
        <v>['application', 'slow', 'fit', 'enter', 'application', 'ngaheng', 'delete', 'data', 'dlu', 'open']</v>
      </c>
      <c r="D2077" s="3">
        <v>1.0</v>
      </c>
    </row>
    <row r="2078" ht="15.75" customHeight="1">
      <c r="A2078" s="1">
        <v>2076.0</v>
      </c>
      <c r="B2078" s="3" t="s">
        <v>2078</v>
      </c>
      <c r="C2078" s="3" t="str">
        <f>IFERROR(__xludf.DUMMYFUNCTION("GOOGLETRANSLATE(B2078,""id"",""en"")"),"['Telkomsel', 'kepet', 'all day', 'internet', 'signal', 'data', 'taeekkk']")</f>
        <v>['Telkomsel', 'kepet', 'all day', 'internet', 'signal', 'data', 'taeekkk']</v>
      </c>
      <c r="D2078" s="3">
        <v>1.0</v>
      </c>
    </row>
    <row r="2079" ht="15.75" customHeight="1">
      <c r="A2079" s="1">
        <v>2077.0</v>
      </c>
      <c r="B2079" s="3" t="s">
        <v>2079</v>
      </c>
      <c r="C2079" s="3" t="str">
        <f>IFERROR(__xludf.DUMMYFUNCTION("GOOGLETRANSLATE(B2079,""id"",""en"")"),"['Gara', 'Gara', 'can', 'free', 'GB', 'active', 'package', 'data', 'run out', 'internet', 'direct', 'super', ' slow ',' package ',' masi ',' package ',' data ',' please ',' emg ',' wait ',' active ',' run out ',' love ',' stop ' , 'Package', 'Data', 'No',"&amp;" 'Kayak', 'Gini']")</f>
        <v>['Gara', 'Gara', 'can', 'free', 'GB', 'active', 'package', 'data', 'run out', 'internet', 'direct', 'super', ' slow ',' package ',' masi ',' package ',' data ',' please ',' emg ',' wait ',' active ',' run out ',' love ',' stop ' , 'Package', 'Data', 'No', 'Kayak', 'Gini']</v>
      </c>
      <c r="D2079" s="3">
        <v>1.0</v>
      </c>
    </row>
    <row r="2080" ht="15.75" customHeight="1">
      <c r="A2080" s="1">
        <v>2078.0</v>
      </c>
      <c r="B2080" s="3" t="s">
        <v>2080</v>
      </c>
      <c r="C2080" s="3" t="str">
        <f>IFERROR(__xludf.DUMMYFUNCTION("GOOGLETRANSLATE(B2080,""id"",""en"")"),"['Network', 'Good', 'Internet', 'Expensive', 'Connect', 'Disorders', 'Lagibini', 'internet', ""]")</f>
        <v>['Network', 'Good', 'Internet', 'Expensive', 'Connect', 'Disorders', 'Lagibini', 'internet', "]</v>
      </c>
      <c r="D2080" s="3">
        <v>1.0</v>
      </c>
    </row>
    <row r="2081" ht="15.75" customHeight="1">
      <c r="A2081" s="1">
        <v>2079.0</v>
      </c>
      <c r="B2081" s="3" t="s">
        <v>2081</v>
      </c>
      <c r="C2081" s="3" t="str">
        <f>IFERROR(__xludf.DUMMYFUNCTION("GOOGLETRANSLATE(B2081,""id"",""en"")"),"['Telkom', 'TELKOM', 'Need', 'expensive', 'internet', 'need', 'stability', 'internet', 'signal', 'open', 'fill', 'kouta', ' private ',' how ',' ornament ']")</f>
        <v>['Telkom', 'TELKOM', 'Need', 'expensive', 'internet', 'need', 'stability', 'internet', 'signal', 'open', 'fill', 'kouta', ' private ',' how ',' ornament ']</v>
      </c>
      <c r="D2081" s="3">
        <v>1.0</v>
      </c>
    </row>
    <row r="2082" ht="15.75" customHeight="1">
      <c r="A2082" s="1">
        <v>2080.0</v>
      </c>
      <c r="B2082" s="3" t="s">
        <v>2082</v>
      </c>
      <c r="C2082" s="3" t="str">
        <f>IFERROR(__xludf.DUMMYFUNCTION("GOOGLETRANSLATE(B2082,""id"",""en"")"),"['Network', 'Ngelag', 'Package', 'Data', 'GB', 'Ngelag', 'Rich', 'Package', 'Data', 'Mending', 'Move', 'Live', ' Thank you friend', '']")</f>
        <v>['Network', 'Ngelag', 'Package', 'Data', 'GB', 'Ngelag', 'Rich', 'Package', 'Data', 'Mending', 'Move', 'Live', ' Thank you friend', '']</v>
      </c>
      <c r="D2082" s="3">
        <v>1.0</v>
      </c>
    </row>
    <row r="2083" ht="15.75" customHeight="1">
      <c r="A2083" s="1">
        <v>2081.0</v>
      </c>
      <c r="B2083" s="3" t="s">
        <v>2083</v>
      </c>
      <c r="C2083" s="3" t="str">
        <f>IFERROR(__xludf.DUMMYFUNCTION("GOOGLETRANSLATE(B2083,""id"",""en"")"),"['user', 'card', 'Telkomsel', 'already', 'changed', 'changed', 'bad', 'signal', 'lost', 'network', 'because', 'try', ' replace ',' card ',' how ',' solution ',' replace ',' provider ',' solution ',' haedeuuh ']")</f>
        <v>['user', 'card', 'Telkomsel', 'already', 'changed', 'changed', 'bad', 'signal', 'lost', 'network', 'because', 'try', ' replace ',' card ',' how ',' solution ',' replace ',' provider ',' solution ',' haedeuuh ']</v>
      </c>
      <c r="D2083" s="3">
        <v>1.0</v>
      </c>
    </row>
    <row r="2084" ht="15.75" customHeight="1">
      <c r="A2084" s="1">
        <v>2082.0</v>
      </c>
      <c r="B2084" s="3" t="s">
        <v>2084</v>
      </c>
      <c r="C2084" s="3" t="str">
        <f>IFERROR(__xludf.DUMMYFUNCTION("GOOGLETRANSLATE(B2084,""id"",""en"")"),"['unfortunate', 'tariff', 'expensive', 'provider', 'quality', 'network', 'bad', 'missing', 'network', 'in', 'notification', 'compensation', ' ']")</f>
        <v>['unfortunate', 'tariff', 'expensive', 'provider', 'quality', 'network', 'bad', 'missing', 'network', 'in', 'notification', 'compensation', ' ']</v>
      </c>
      <c r="D2084" s="3">
        <v>1.0</v>
      </c>
    </row>
    <row r="2085" ht="15.75" customHeight="1">
      <c r="A2085" s="1">
        <v>2083.0</v>
      </c>
      <c r="B2085" s="3" t="s">
        <v>2085</v>
      </c>
      <c r="C2085" s="3" t="str">
        <f>IFERROR(__xludf.DUMMYFUNCTION("GOOGLETRANSLATE(B2085,""id"",""en"")"),"['Telkomsel', 'skrg', 'performance', 'good', 'package', 'internet', 'open', 'Facebook', 'mobile', 'slow', 'appears',' Facebook ',' Free ',' Eliminate ',' Kyk ',' Gini ', ""]")</f>
        <v>['Telkomsel', 'skrg', 'performance', 'good', 'package', 'internet', 'open', 'Facebook', 'mobile', 'slow', 'appears',' Facebook ',' Free ',' Eliminate ',' Kyk ',' Gini ', "]</v>
      </c>
      <c r="D2085" s="3">
        <v>1.0</v>
      </c>
    </row>
    <row r="2086" ht="15.75" customHeight="1">
      <c r="A2086" s="1">
        <v>2084.0</v>
      </c>
      <c r="B2086" s="3" t="s">
        <v>2086</v>
      </c>
      <c r="C2086" s="3" t="str">
        <f>IFERROR(__xludf.DUMMYFUNCTION("GOOGLETRANSLATE(B2086,""id"",""en"")"),"['Network', 'Telkomsel', 'ugly', 'Please', 'Fix', 'Quality', 'The Network', 'Darling', 'Card', 'Expensive', 'Network', 'ugly', ' ']")</f>
        <v>['Network', 'Telkomsel', 'ugly', 'Please', 'Fix', 'Quality', 'The Network', 'Darling', 'Card', 'Expensive', 'Network', 'ugly', ' ']</v>
      </c>
      <c r="D2086" s="3">
        <v>1.0</v>
      </c>
    </row>
    <row r="2087" ht="15.75" customHeight="1">
      <c r="A2087" s="1">
        <v>2085.0</v>
      </c>
      <c r="B2087" s="3" t="s">
        <v>2087</v>
      </c>
      <c r="C2087" s="3" t="str">
        <f>IFERROR(__xludf.DUMMYFUNCTION("GOOGLETRANSLATE(B2087,""id"",""en"")"),"['price', 'package', 'expensive', 'signal', 'ugly', 'udh', 'that's', 'app', 'ngeecrash', 'hamdeh', ""]")</f>
        <v>['price', 'package', 'expensive', 'signal', 'ugly', 'udh', 'that's', 'app', 'ngeecrash', 'hamdeh', "]</v>
      </c>
      <c r="D2087" s="3">
        <v>1.0</v>
      </c>
    </row>
    <row r="2088" ht="15.75" customHeight="1">
      <c r="A2088" s="1">
        <v>2086.0</v>
      </c>
      <c r="B2088" s="3" t="s">
        <v>2088</v>
      </c>
      <c r="C2088" s="3" t="str">
        <f>IFERROR(__xludf.DUMMYFUNCTION("GOOGLETRANSLATE(B2088,""id"",""en"")"),"['Telkomsel', 'signal', 'ugly', 'really', 'quota', 'use', 'see', 'status',' watch ',' YouTube ',' Severe ',' really ',' Contact ',' Agent ',' Veronika ',' Solution ']")</f>
        <v>['Telkomsel', 'signal', 'ugly', 'really', 'quota', 'use', 'see', 'status',' watch ',' YouTube ',' Severe ',' really ',' Contact ',' Agent ',' Veronika ',' Solution ']</v>
      </c>
      <c r="D2088" s="3">
        <v>1.0</v>
      </c>
    </row>
    <row r="2089" ht="15.75" customHeight="1">
      <c r="A2089" s="1">
        <v>2087.0</v>
      </c>
      <c r="B2089" s="3" t="s">
        <v>2089</v>
      </c>
      <c r="C2089" s="3" t="str">
        <f>IFERROR(__xludf.DUMMYFUNCTION("GOOGLETRANSLATE(B2089,""id"",""en"")"),"['Love', 'Star', 'Performance', 'Signal', 'Good', 'Nihyah', 'Lemot', 'Paaaaaarah', 'Bener', 'Bener', 'Paaaaarraaahahahhhhhhhhhhhhhhhhhhhhhhhhhhhhhhhhhhhhhh")</f>
        <v>['Love', 'Star', 'Performance', 'Signal', 'Good', 'Nihyah', 'Lemot', 'Paaaaaarah', 'Bener', 'Bener', 'Paaaaarraaahahahhhhhhhhhhhhhhhhhhhhhhhhhhhhhhhhhhhhhh</v>
      </c>
      <c r="D2089" s="3">
        <v>1.0</v>
      </c>
    </row>
    <row r="2090" ht="15.75" customHeight="1">
      <c r="A2090" s="1">
        <v>2088.0</v>
      </c>
      <c r="B2090" s="3" t="s">
        <v>2090</v>
      </c>
      <c r="C2090" s="3" t="str">
        <f>IFERROR(__xludf.DUMMYFUNCTION("GOOGLETRANSLATE(B2090,""id"",""en"")"),"['Please', 'yaaa', 'kalok', 'card', 'price', 'according to', 'network', 'laah', 'already', 'card', 'mahaal', 'package', ' Mahaal ',' TPI ',' network ',' kek ',' strange ',' package ',' ngelag ',' play ',' game ',' please ',' kalok ',' telkom ',' forward '"&amp;" , 'Network', 'fix', 'KEK', 'Nipu', 'package', 'expensive', 'network', 'kek', 'read', 'implement', 'direct', 'do it,' Read ',' kntle ', ""]")</f>
        <v>['Please', 'yaaa', 'kalok', 'card', 'price', 'according to', 'network', 'laah', 'already', 'card', 'mahaal', 'package', ' Mahaal ',' TPI ',' network ',' kek ',' strange ',' package ',' ngelag ',' play ',' game ',' please ',' kalok ',' telkom ',' forward ' , 'Network', 'fix', 'KEK', 'Nipu', 'package', 'expensive', 'network', 'kek', 'read', 'implement', 'direct', 'do it,' Read ',' kntle ', "]</v>
      </c>
      <c r="D2090" s="3">
        <v>1.0</v>
      </c>
    </row>
    <row r="2091" ht="15.75" customHeight="1">
      <c r="A2091" s="1">
        <v>2089.0</v>
      </c>
      <c r="B2091" s="3" t="s">
        <v>2091</v>
      </c>
      <c r="C2091" s="3" t="str">
        <f>IFERROR(__xludf.DUMMYFUNCTION("GOOGLETRANSLATE(B2091,""id"",""en"")"),"['network', 'internet', 'sympathy', 'bad', 'change', 'experience', 'friend', 'user', 'sympathy', 'complaining', '']")</f>
        <v>['network', 'internet', 'sympathy', 'bad', 'change', 'experience', 'friend', 'user', 'sympathy', 'complaining', '']</v>
      </c>
      <c r="D2091" s="3">
        <v>1.0</v>
      </c>
    </row>
    <row r="2092" ht="15.75" customHeight="1">
      <c r="A2092" s="1">
        <v>2090.0</v>
      </c>
      <c r="B2092" s="3" t="s">
        <v>2092</v>
      </c>
      <c r="C2092" s="3" t="str">
        <f>IFERROR(__xludf.DUMMYFUNCTION("GOOGLETRANSLATE(B2092,""id"",""en"")"),"['Signal', 'Ngilak', 'Ryesel', 'Cave', 'Buy', 'Telkomsel', ""]")</f>
        <v>['Signal', 'Ngilak', 'Ryesel', 'Cave', 'Buy', 'Telkomsel', "]</v>
      </c>
      <c r="D2092" s="3">
        <v>1.0</v>
      </c>
    </row>
    <row r="2093" ht="15.75" customHeight="1">
      <c r="A2093" s="1">
        <v>2091.0</v>
      </c>
      <c r="B2093" s="3" t="s">
        <v>2093</v>
      </c>
      <c r="C2093" s="3" t="str">
        <f>IFERROR(__xludf.DUMMYFUNCTION("GOOGLETRANSLATE(B2093,""id"",""en"")"),"['Sometimes', 'Telkomsel', 'bad', 'signal', 'slow', 'open', 'application', 'slow', 'better', 'use', 'card', 'sometimes' Telkomsel ',' signal ',' missing ',' embossed ',' enter ',' sense ',' funny ',' card ',' sultan ',' signal ',' cheap ',' really ']")</f>
        <v>['Sometimes', 'Telkomsel', 'bad', 'signal', 'slow', 'open', 'application', 'slow', 'better', 'use', 'card', 'sometimes' Telkomsel ',' signal ',' missing ',' embossed ',' enter ',' sense ',' funny ',' card ',' sultan ',' signal ',' cheap ',' really ']</v>
      </c>
      <c r="D2093" s="3">
        <v>1.0</v>
      </c>
    </row>
    <row r="2094" ht="15.75" customHeight="1">
      <c r="A2094" s="1">
        <v>2092.0</v>
      </c>
      <c r="B2094" s="3" t="s">
        <v>2094</v>
      </c>
      <c r="C2094" s="3" t="str">
        <f>IFERROR(__xludf.DUMMYFUNCTION("GOOGLETRANSLATE(B2094,""id"",""en"")"),"['Severe', 'really', 'signal', 'sympathy', 'bakyak', 'complaint', 'signal', 'already', 'ngail', 'need', 'improvement', 'significant', ' sympathy ',' signal ',' good ',' problem ',' signal ',' sympathy ',' here ',' ngeelus', 'chest']")</f>
        <v>['Severe', 'really', 'signal', 'sympathy', 'bakyak', 'complaint', 'signal', 'already', 'ngail', 'need', 'improvement', 'significant', ' sympathy ',' signal ',' good ',' problem ',' signal ',' sympathy ',' here ',' ngeelus', 'chest']</v>
      </c>
      <c r="D2094" s="3">
        <v>1.0</v>
      </c>
    </row>
    <row r="2095" ht="15.75" customHeight="1">
      <c r="A2095" s="1">
        <v>2093.0</v>
      </c>
      <c r="B2095" s="3" t="s">
        <v>2095</v>
      </c>
      <c r="C2095" s="3" t="str">
        <f>IFERROR(__xludf.DUMMYFUNCTION("GOOGLETRANSLATE(B2095,""id"",""en"")"),"['network', 'Telkomsel', 'stable', 'open', 'application', 'loding', 'play', 'tidka', 'solution', 'network', 'telkomsel', 'action']")</f>
        <v>['network', 'Telkomsel', 'stable', 'open', 'application', 'loding', 'play', 'tidka', 'solution', 'network', 'telkomsel', 'action']</v>
      </c>
      <c r="D2095" s="3">
        <v>1.0</v>
      </c>
    </row>
    <row r="2096" ht="15.75" customHeight="1">
      <c r="A2096" s="1">
        <v>2094.0</v>
      </c>
      <c r="B2096" s="3" t="s">
        <v>2096</v>
      </c>
      <c r="C2096" s="3" t="str">
        <f>IFERROR(__xludf.DUMMYFUNCTION("GOOGLETRANSLATE(B2096,""id"",""en"")"),"['Heh', 'Telkomsel', 'You', 'Lemot', 'Males', ""]")</f>
        <v>['Heh', 'Telkomsel', 'You', 'Lemot', 'Males', "]</v>
      </c>
      <c r="D2096" s="3">
        <v>1.0</v>
      </c>
    </row>
    <row r="2097" ht="15.75" customHeight="1">
      <c r="A2097" s="1">
        <v>2095.0</v>
      </c>
      <c r="B2097" s="3" t="s">
        <v>2097</v>
      </c>
      <c r="C2097" s="3" t="str">
        <f>IFERROR(__xludf.DUMMYFUNCTION("GOOGLETRANSLATE(B2097,""id"",""en"")"),"['package', 'expensive', 'sinya', 'kurwng', 'teach', 'sympathy', 'pig', 'badjasian', 'kontollll', '']")</f>
        <v>['package', 'expensive', 'sinya', 'kurwng', 'teach', 'sympathy', 'pig', 'badjasian', 'kontollll', '']</v>
      </c>
      <c r="D2097" s="3">
        <v>1.0</v>
      </c>
    </row>
    <row r="2098" ht="15.75" customHeight="1">
      <c r="A2098" s="1">
        <v>2096.0</v>
      </c>
      <c r="B2098" s="3" t="s">
        <v>2098</v>
      </c>
      <c r="C2098" s="3" t="str">
        <f>IFERROR(__xludf.DUMMYFUNCTION("GOOGLETRANSLATE(B2098,""id"",""en"")"),"['app', 'damaged', 'rates',' package ',' enter ',' sense ',' deh ',' provider ',' expensive ',' yes', 'quality', 'abal', ' make ',' provider ',' already ',' threat ',' price ',' quality ',' different ',' complain ',' Benerin ',' love ',' bot ', ""]")</f>
        <v>['app', 'damaged', 'rates',' package ',' enter ',' sense ',' deh ',' provider ',' expensive ',' yes', 'quality', 'abal', ' make ',' provider ',' already ',' threat ',' price ',' quality ',' different ',' complain ',' Benerin ',' love ',' bot ', "]</v>
      </c>
      <c r="D2098" s="3">
        <v>1.0</v>
      </c>
    </row>
    <row r="2099" ht="15.75" customHeight="1">
      <c r="A2099" s="1">
        <v>2097.0</v>
      </c>
      <c r="B2099" s="3" t="s">
        <v>2099</v>
      </c>
      <c r="C2099" s="3" t="str">
        <f>IFERROR(__xludf.DUMMYFUNCTION("GOOGLETRANSLATE(B2099,""id"",""en"")"),"['Telkomsel', 'tissue', 'taekkkkkk', 'eager', 'buy', 'GB', 'super', 'deal', 'network', 'defective', 'play', 'game', ' Mulukk ',' ']")</f>
        <v>['Telkomsel', 'tissue', 'taekkkkkk', 'eager', 'buy', 'GB', 'super', 'deal', 'network', 'defective', 'play', 'game', ' Mulukk ',' ']</v>
      </c>
      <c r="D2099" s="3">
        <v>1.0</v>
      </c>
    </row>
    <row r="2100" ht="15.75" customHeight="1">
      <c r="A2100" s="1">
        <v>2098.0</v>
      </c>
      <c r="B2100" s="3" t="s">
        <v>2100</v>
      </c>
      <c r="C2100" s="3" t="str">
        <f>IFERROR(__xludf.DUMMYFUNCTION("GOOGLETRANSLATE(B2100,""id"",""en"")"),"['Disappointed', 'Update', 'Quota', 'Telkomsel', 'Quota', 'Internet', 'Use', 'Social', 'Media', 'Suggestions',' Sayamhon ',' Update ',' Thank you ',' Lovers', 'Telkomsel', 'Care', 'Telkomsel']")</f>
        <v>['Disappointed', 'Update', 'Quota', 'Telkomsel', 'Quota', 'Internet', 'Use', 'Social', 'Media', 'Suggestions',' Sayamhon ',' Update ',' Thank you ',' Lovers', 'Telkomsel', 'Care', 'Telkomsel']</v>
      </c>
      <c r="D2100" s="3">
        <v>1.0</v>
      </c>
    </row>
    <row r="2101" ht="15.75" customHeight="1">
      <c r="A2101" s="1">
        <v>2099.0</v>
      </c>
      <c r="B2101" s="3" t="s">
        <v>2101</v>
      </c>
      <c r="C2101" s="3" t="str">
        <f>IFERROR(__xludf.DUMMYFUNCTION("GOOGLETRANSLATE(B2101,""id"",""en"")"),"['Woy', 'KNPA', 'sympathy', 'signal', 'slow', 'bngt', 'buy', 'expensive', 'expensive', 'TPI', 'signal', 'difficult', ' ']")</f>
        <v>['Woy', 'KNPA', 'sympathy', 'signal', 'slow', 'bngt', 'buy', 'expensive', 'expensive', 'TPI', 'signal', 'difficult', ' ']</v>
      </c>
      <c r="D2101" s="3">
        <v>5.0</v>
      </c>
    </row>
    <row r="2102" ht="15.75" customHeight="1">
      <c r="A2102" s="1">
        <v>2100.0</v>
      </c>
      <c r="B2102" s="3" t="s">
        <v>2102</v>
      </c>
      <c r="C2102" s="3" t="str">
        <f>IFERROR(__xludf.DUMMYFUNCTION("GOOGLETRANSLATE(B2102,""id"",""en"")"),"['Rain', 'Rain', 'Buy', 'Quota', 'Wear', 'Network', 'Dilombed', 'Disappointed', 'Network', 'Lemot', 'Ngak', 'Slow', ' Change ',' card ',' Network ',' Good ',' Telkomsel ',' ']")</f>
        <v>['Rain', 'Rain', 'Buy', 'Quota', 'Wear', 'Network', 'Dilombed', 'Disappointed', 'Network', 'Lemot', 'Ngak', 'Slow', ' Change ',' card ',' Network ',' Good ',' Telkomsel ',' ']</v>
      </c>
      <c r="D2102" s="3">
        <v>1.0</v>
      </c>
    </row>
    <row r="2103" ht="15.75" customHeight="1">
      <c r="A2103" s="1">
        <v>2101.0</v>
      </c>
      <c r="B2103" s="3" t="s">
        <v>2103</v>
      </c>
      <c r="C2103" s="3" t="str">
        <f>IFERROR(__xludf.DUMMYFUNCTION("GOOGLETRANSLATE(B2103,""id"",""en"")"),"['Network', 'bad', 'use', 'quota', 'internet', 'per month', 'thousands',' customers', 'platinum', 'quality', 'internet', 'bad', ' plans', 'move', 'card', 'next door', 'cheap', 'fast', 'quota', 'expensive', 'network', 'bad', ""]")</f>
        <v>['Network', 'bad', 'use', 'quota', 'internet', 'per month', 'thousands',' customers', 'platinum', 'quality', 'internet', 'bad', ' plans', 'move', 'card', 'next door', 'cheap', 'fast', 'quota', 'expensive', 'network', 'bad', "]</v>
      </c>
      <c r="D2103" s="3">
        <v>1.0</v>
      </c>
    </row>
    <row r="2104" ht="15.75" customHeight="1">
      <c r="A2104" s="1">
        <v>2102.0</v>
      </c>
      <c r="B2104" s="3" t="s">
        <v>2104</v>
      </c>
      <c r="C2104" s="3" t="str">
        <f>IFERROR(__xludf.DUMMYFUNCTION("GOOGLETRANSLATE(B2104,""id"",""en"")"),"['Network', 'like', 'missing', 'mohin', 'repaired', 'network', 'price', 'package', 'quality', 'deteriorating', '']")</f>
        <v>['Network', 'like', 'missing', 'mohin', 'repaired', 'network', 'price', 'package', 'quality', 'deteriorating', '']</v>
      </c>
      <c r="D2104" s="3">
        <v>1.0</v>
      </c>
    </row>
    <row r="2105" ht="15.75" customHeight="1">
      <c r="A2105" s="1">
        <v>2103.0</v>
      </c>
      <c r="B2105" s="3" t="s">
        <v>2105</v>
      </c>
      <c r="C2105" s="3" t="str">
        <f>IFERROR(__xludf.DUMMYFUNCTION("GOOGLETRANSLATE(B2105,""id"",""en"")"),"['BEH', 'Network', 'Ngilak', 'Slow', 'Astagaaa', 'Signal', 'Telkomsel', 'skrg', 'The network', 'JLK', 'PDA', 'Aaat', ' Maen ',' Game ',' Signal ',' Ngelag ',' Quota ',' Doang ',' Expensive ',' Network ',' Ngelag ',' Please ',' Repaired ',' Capital ',' Adv"&amp;"ertising ' , 'Doomgggg', '']")</f>
        <v>['BEH', 'Network', 'Ngilak', 'Slow', 'Astagaaa', 'Signal', 'Telkomsel', 'skrg', 'The network', 'JLK', 'PDA', 'Aaat', ' Maen ',' Game ',' Signal ',' Ngelag ',' Quota ',' Doang ',' Expensive ',' Network ',' Ngelag ',' Please ',' Repaired ',' Capital ',' Advertising ' , 'Doomgggg', '']</v>
      </c>
      <c r="D2105" s="3">
        <v>1.0</v>
      </c>
    </row>
    <row r="2106" ht="15.75" customHeight="1">
      <c r="A2106" s="1">
        <v>2104.0</v>
      </c>
      <c r="B2106" s="3" t="s">
        <v>2106</v>
      </c>
      <c r="C2106" s="3" t="str">
        <f>IFERROR(__xludf.DUMMYFUNCTION("GOOGLETRANSLATE(B2106,""id"",""en"")"),"['Gini', 'Klian', 'Jaringn', 'Kayak', 'Snail', 'City', 'Village', 'Network', 'Support', 'City', 'Network', 'Current', ' really ',' klu ',' buy ',' package ',' check ',' dlu ',' jringn ',' strong ',' jngn ',' impose ',' choose ',' nets', 'Telkomsel' ]")</f>
        <v>['Gini', 'Klian', 'Jaringn', 'Kayak', 'Snail', 'City', 'Village', 'Network', 'Support', 'City', 'Network', 'Current', ' really ',' klu ',' buy ',' package ',' check ',' dlu ',' jringn ',' strong ',' jngn ',' impose ',' choose ',' nets', 'Telkomsel' ]</v>
      </c>
      <c r="D2106" s="3">
        <v>5.0</v>
      </c>
    </row>
    <row r="2107" ht="15.75" customHeight="1">
      <c r="A2107" s="1">
        <v>2105.0</v>
      </c>
      <c r="B2107" s="3" t="s">
        <v>2107</v>
      </c>
      <c r="C2107" s="3" t="str">
        <f>IFERROR(__xludf.DUMMYFUNCTION("GOOGLETRANSLATE(B2107,""id"",""en"")"),"['', 'Gini', 'Package', 'On', 'DPT', 'SMS', 'Quota', 'Out', 'Data', 'Use', 'Disappointed', ""]")</f>
        <v>['', 'Gini', 'Package', 'On', 'DPT', 'SMS', 'Quota', 'Out', 'Data', 'Use', 'Disappointed', "]</v>
      </c>
      <c r="D2107" s="3">
        <v>3.0</v>
      </c>
    </row>
    <row r="2108" ht="15.75" customHeight="1">
      <c r="A2108" s="1">
        <v>2106.0</v>
      </c>
      <c r="B2108" s="3" t="s">
        <v>2108</v>
      </c>
      <c r="C2108" s="3" t="str">
        <f>IFERROR(__xludf.DUMMYFUNCTION("GOOGLETRANSLATE(B2108,""id"",""en"")"),"['signal', 'internet', 'Telkomsel', 'slow', 'maximum', 'internet', 'fix', 'signal', 'internet', 'trobel']")</f>
        <v>['signal', 'internet', 'Telkomsel', 'slow', 'maximum', 'internet', 'fix', 'signal', 'internet', 'trobel']</v>
      </c>
      <c r="D2108" s="3">
        <v>1.0</v>
      </c>
    </row>
    <row r="2109" ht="15.75" customHeight="1">
      <c r="A2109" s="1">
        <v>2107.0</v>
      </c>
      <c r="B2109" s="3" t="s">
        <v>2109</v>
      </c>
      <c r="C2109" s="3" t="str">
        <f>IFERROR(__xludf.DUMMYFUNCTION("GOOGLETRANSLATE(B2109,""id"",""en"")"),"['Telkomsel', 'network', 'signal', 'full', 'crash', 'open', 'slow', 'please', 'really', 'sorry', 'love', 'star', ' network ',' ugly ',' full ',' ']")</f>
        <v>['Telkomsel', 'network', 'signal', 'full', 'crash', 'open', 'slow', 'please', 'really', 'sorry', 'love', 'star', ' network ',' ugly ',' full ',' ']</v>
      </c>
      <c r="D2109" s="3">
        <v>1.0</v>
      </c>
    </row>
    <row r="2110" ht="15.75" customHeight="1">
      <c r="A2110" s="1">
        <v>2108.0</v>
      </c>
      <c r="B2110" s="3" t="s">
        <v>2110</v>
      </c>
      <c r="C2110" s="3" t="str">
        <f>IFERROR(__xludf.DUMMYFUNCTION("GOOGLETRANSLATE(B2110,""id"",""en"")"),"['Network', 'Not bad', 'TPI', 'right', 'buy', 'quota', 'GB', 'RB', 'quota', 'multimedia', 'use', 'want', ' Crying ',' savings', 'money', 'snack', 'already', 'please', 'Veronica', 'told', 'Wait', 'until', 'mnit', 'please', 'Murah' , 'Forgotten', 'quota', '"&amp;"multimedia', 'Murah', 'LGI', 'Dipake', '']")</f>
        <v>['Network', 'Not bad', 'TPI', 'right', 'buy', 'quota', 'GB', 'RB', 'quota', 'multimedia', 'use', 'want', ' Crying ',' savings', 'money', 'snack', 'already', 'please', 'Veronica', 'told', 'Wait', 'until', 'mnit', 'please', 'Murah' , 'Forgotten', 'quota', 'multimedia', 'Murah', 'LGI', 'Dipake', '']</v>
      </c>
      <c r="D2110" s="3">
        <v>2.0</v>
      </c>
    </row>
    <row r="2111" ht="15.75" customHeight="1">
      <c r="A2111" s="1">
        <v>2109.0</v>
      </c>
      <c r="B2111" s="3" t="s">
        <v>2111</v>
      </c>
      <c r="C2111" s="3" t="str">
        <f>IFERROR(__xludf.DUMMYFUNCTION("GOOGLETRANSLATE(B2111,""id"",""en"")"),"['signal', 'ilang', 'then', 'package', 'masi', 'price', 'expensive', 'TPI', 'signal', 'potato', 'udh', 'proud', ' cards', 'that's',' connection ',' price ',' package ',' draw ',' oath ',' ngeselin ',' kyak ',' comfortable ',' beg ',' increase ',' JGAN ' ,"&amp;" 'Gini', 'then']")</f>
        <v>['signal', 'ilang', 'then', 'package', 'masi', 'price', 'expensive', 'TPI', 'signal', 'potato', 'udh', 'proud', ' cards', 'that's',' connection ',' price ',' package ',' draw ',' oath ',' ngeselin ',' kyak ',' comfortable ',' beg ',' increase ',' JGAN ' , 'Gini', 'then']</v>
      </c>
      <c r="D2111" s="3">
        <v>1.0</v>
      </c>
    </row>
    <row r="2112" ht="15.75" customHeight="1">
      <c r="A2112" s="1">
        <v>2110.0</v>
      </c>
      <c r="B2112" s="3" t="s">
        <v>2112</v>
      </c>
      <c r="C2112" s="3" t="str">
        <f>IFERROR(__xludf.DUMMYFUNCTION("GOOGLETRANSLATE(B2112,""id"",""en"")"),"['Good', 'Helpful', 'Data', 'Package', 'remaining', 'BLI', 'Package', '']")</f>
        <v>['Good', 'Helpful', 'Data', 'Package', 'remaining', 'BLI', 'Package', '']</v>
      </c>
      <c r="D2112" s="3">
        <v>5.0</v>
      </c>
    </row>
    <row r="2113" ht="15.75" customHeight="1">
      <c r="A2113" s="1">
        <v>2111.0</v>
      </c>
      <c r="B2113" s="3" t="s">
        <v>2113</v>
      </c>
      <c r="C2113" s="3" t="str">
        <f>IFERROR(__xludf.DUMMYFUNCTION("GOOGLETRANSLATE(B2113,""id"",""en"")"),"['really', 'disappointed', 'Telkomsel', 'slow', 'missing', 'arising', 'in the area', 'week', 'be patient', 'fix', 'star', 'good', ' signal ']")</f>
        <v>['really', 'disappointed', 'Telkomsel', 'slow', 'missing', 'arising', 'in the area', 'week', 'be patient', 'fix', 'star', 'good', ' signal ']</v>
      </c>
      <c r="D2113" s="3">
        <v>1.0</v>
      </c>
    </row>
    <row r="2114" ht="15.75" customHeight="1">
      <c r="A2114" s="1">
        <v>2112.0</v>
      </c>
      <c r="B2114" s="3" t="s">
        <v>2114</v>
      </c>
      <c r="C2114" s="3" t="str">
        <f>IFERROR(__xludf.DUMMYFUNCTION("GOOGLETRANSLATE(B2114,""id"",""en"")"),"['his official', 'most', 'corruption', 'service', 'bad', 'disappointed', 'sorry', 'move', 'card', 'hello', 'service', 'bad', ' expensive ',' friend ',' offered ',' move ',' regular ',' postpaid ',' card ',' hello ',' loss', 'pay', 'expensive', 'plan', 'mo"&amp;"ve' , 'Indosat', 'Telkomsel', 'Win', 'Network', 'Spacious', 'Service', 'Worst', 'Operator', ""]")</f>
        <v>['his official', 'most', 'corruption', 'service', 'bad', 'disappointed', 'sorry', 'move', 'card', 'hello', 'service', 'bad', ' expensive ',' friend ',' offered ',' move ',' regular ',' postpaid ',' card ',' hello ',' loss', 'pay', 'expensive', 'plan', 'move' , 'Indosat', 'Telkomsel', 'Win', 'Network', 'Spacious', 'Service', 'Worst', 'Operator', "]</v>
      </c>
      <c r="D2114" s="3">
        <v>1.0</v>
      </c>
    </row>
    <row r="2115" ht="15.75" customHeight="1">
      <c r="A2115" s="1">
        <v>2113.0</v>
      </c>
      <c r="B2115" s="3" t="s">
        <v>2115</v>
      </c>
      <c r="C2115" s="3" t="str">
        <f>IFERROR(__xludf.DUMMYFUNCTION("GOOGLETRANSLATE(B2115,""id"",""en"")"),"['Please', 'fix', 'network', 'koq', 'error', 'trouble', 'ojol', 'disturbed', '']")</f>
        <v>['Please', 'fix', 'network', 'koq', 'error', 'trouble', 'ojol', 'disturbed', '']</v>
      </c>
      <c r="D2115" s="3">
        <v>1.0</v>
      </c>
    </row>
    <row r="2116" ht="15.75" customHeight="1">
      <c r="A2116" s="1">
        <v>2114.0</v>
      </c>
      <c r="B2116" s="3" t="s">
        <v>2116</v>
      </c>
      <c r="C2116" s="3" t="str">
        <f>IFERROR(__xludf.DUMMYFUNCTION("GOOGLETRANSLATE(B2116,""id"",""en"")"),"['Disruption', 'Disruption', 'Disorders',' Disorders', 'Telkomsel', 'Disright', 'Consumers',' Consumers', 'King', 'Consumers',' Responding ',' Complaints', ' Consumers', 'Change', 'Years']")</f>
        <v>['Disruption', 'Disruption', 'Disorders',' Disorders', 'Telkomsel', 'Disright', 'Consumers',' Consumers', 'King', 'Consumers',' Responding ',' Complaints', ' Consumers', 'Change', 'Years']</v>
      </c>
      <c r="D2116" s="3">
        <v>1.0</v>
      </c>
    </row>
    <row r="2117" ht="15.75" customHeight="1">
      <c r="A2117" s="1">
        <v>2115.0</v>
      </c>
      <c r="B2117" s="3" t="s">
        <v>2117</v>
      </c>
      <c r="C2117" s="3" t="str">
        <f>IFERROR(__xludf.DUMMYFUNCTION("GOOGLETRANSLATE(B2117,""id"",""en"")"),"['Experience', 'Telkomsel', 'Down', 'Strength', 'Sousal', 'Update', 'Telkomsel', 'Luama', 'Puol']")</f>
        <v>['Experience', 'Telkomsel', 'Down', 'Strength', 'Sousal', 'Update', 'Telkomsel', 'Luama', 'Puol']</v>
      </c>
      <c r="D2117" s="3">
        <v>2.0</v>
      </c>
    </row>
    <row r="2118" ht="15.75" customHeight="1">
      <c r="A2118" s="1">
        <v>2116.0</v>
      </c>
      <c r="B2118" s="3" t="s">
        <v>2118</v>
      </c>
      <c r="C2118" s="3" t="str">
        <f>IFERROR(__xludf.DUMMYFUNCTION("GOOGLETRANSLATE(B2118,""id"",""en"")"),"['Woe', 'I', 'Kasih', 'suggestion', 'Telkomsel', 'server', 'Loe', 'down', 'good', 'Loe', 'send', 'sms',' Kayak ',' Loe ',' Lakanin ',' Promoin ',' Paketan ',' Loe ',' Ngak ',' Appear ',' MSYRKT ',' MSYRKT ',' Indo ',' Make ',' Telkomsel ' , 'proper "",' S"&amp;"ervice ',' Levela ',' Lost ',' Kominfo ',""]")</f>
        <v>['Woe', 'I', 'Kasih', 'suggestion', 'Telkomsel', 'server', 'Loe', 'down', 'good', 'Loe', 'send', 'sms',' Kayak ',' Loe ',' Lakanin ',' Promoin ',' Paketan ',' Loe ',' Ngak ',' Appear ',' MSYRKT ',' MSYRKT ',' Indo ',' Make ',' Telkomsel ' , 'proper ",' Service ',' Levela ',' Lost ',' Kominfo ',"]</v>
      </c>
      <c r="D2118" s="3">
        <v>1.0</v>
      </c>
    </row>
    <row r="2119" ht="15.75" customHeight="1">
      <c r="A2119" s="1">
        <v>2117.0</v>
      </c>
      <c r="B2119" s="3" t="s">
        <v>2119</v>
      </c>
      <c r="C2119" s="3" t="str">
        <f>IFERROR(__xludf.DUMMYFUNCTION("GOOGLETRANSLATE(B2119,""id"",""en"")"),"['signal', 'difficult', 'sometimes', 'no', 'signal', ""]")</f>
        <v>['signal', 'difficult', 'sometimes', 'no', 'signal', "]</v>
      </c>
      <c r="D2119" s="3">
        <v>1.0</v>
      </c>
    </row>
    <row r="2120" ht="15.75" customHeight="1">
      <c r="A2120" s="1">
        <v>2118.0</v>
      </c>
      <c r="B2120" s="3" t="s">
        <v>2120</v>
      </c>
      <c r="C2120" s="3" t="str">
        <f>IFERROR(__xludf.DUMMYFUNCTION("GOOGLETRANSLATE(B2120,""id"",""en"")"),"['already', 'buy', 'quota', 'expensive', 'network', 'missing', 'maxutnya', 'sek', 'sihh', 'city', 'card', 'already', ' Change ',' Nihh ',' card ',' base ',' BURIK ']")</f>
        <v>['already', 'buy', 'quota', 'expensive', 'network', 'missing', 'maxutnya', 'sek', 'sihh', 'city', 'card', 'already', ' Change ',' Nihh ',' card ',' base ',' BURIK ']</v>
      </c>
      <c r="D2120" s="3">
        <v>1.0</v>
      </c>
    </row>
    <row r="2121" ht="15.75" customHeight="1">
      <c r="A2121" s="1">
        <v>2119.0</v>
      </c>
      <c r="B2121" s="3" t="s">
        <v>2121</v>
      </c>
      <c r="C2121" s="3" t="str">
        <f>IFERROR(__xludf.DUMMYFUNCTION("GOOGLETRANSLATE(B2121,""id"",""en"")"),"['Honest', 'disappointed', 'use', 'Telkomsel', 'like', 'error', 'signal', 'full', 'open', 'internet', 'package', 'expensive', ' Quality ',' rotten ',' ']")</f>
        <v>['Honest', 'disappointed', 'use', 'Telkomsel', 'like', 'error', 'signal', 'full', 'open', 'internet', 'package', 'expensive', ' Quality ',' rotten ',' ']</v>
      </c>
      <c r="D2121" s="3">
        <v>1.0</v>
      </c>
    </row>
    <row r="2122" ht="15.75" customHeight="1">
      <c r="A2122" s="1">
        <v>2120.0</v>
      </c>
      <c r="B2122" s="3" t="s">
        <v>2122</v>
      </c>
      <c r="C2122" s="3" t="str">
        <f>IFERROR(__xludf.DUMMYFUNCTION("GOOGLETRANSLATE(B2122,""id"",""en"")"),"['Good', 'package', 'cheap', 'network', 'smooth', 'ajah', 'play', 'game', 'obstacle', 'rich']")</f>
        <v>['Good', 'package', 'cheap', 'network', 'smooth', 'ajah', 'play', 'game', 'obstacle', 'rich']</v>
      </c>
      <c r="D2122" s="3">
        <v>5.0</v>
      </c>
    </row>
    <row r="2123" ht="15.75" customHeight="1">
      <c r="A2123" s="1">
        <v>2121.0</v>
      </c>
      <c r="B2123" s="3" t="s">
        <v>2123</v>
      </c>
      <c r="C2123" s="3" t="str">
        <f>IFERROR(__xludf.DUMMYFUNCTION("GOOGLETRANSLATE(B2123,""id"",""en"")"),"['Network', 'KB', 'Open', 'YouTube', 'Unlimited', 'YouTube', 'Severe', 'Network', 'Telkomsel', 'User', 'Disappointed', 'Heavy']")</f>
        <v>['Network', 'KB', 'Open', 'YouTube', 'Unlimited', 'YouTube', 'Severe', 'Network', 'Telkomsel', 'User', 'Disappointed', 'Heavy']</v>
      </c>
      <c r="D2123" s="3">
        <v>1.0</v>
      </c>
    </row>
    <row r="2124" ht="15.75" customHeight="1">
      <c r="A2124" s="1">
        <v>2122.0</v>
      </c>
      <c r="B2124" s="3" t="s">
        <v>2124</v>
      </c>
      <c r="C2124" s="3" t="str">
        <f>IFERROR(__xludf.DUMMYFUNCTION("GOOGLETRANSLATE(B2124,""id"",""en"")"),"['Please', 'Sorry', 'Sis', 'Telkomsel', 'Network', 'Data', 'Loading', 'Trus', ""]")</f>
        <v>['Please', 'Sorry', 'Sis', 'Telkomsel', 'Network', 'Data', 'Loading', 'Trus', "]</v>
      </c>
      <c r="D2124" s="3">
        <v>2.0</v>
      </c>
    </row>
    <row r="2125" ht="15.75" customHeight="1">
      <c r="A2125" s="1">
        <v>2123.0</v>
      </c>
      <c r="B2125" s="3" t="s">
        <v>2125</v>
      </c>
      <c r="C2125" s="3" t="str">
        <f>IFERROR(__xludf.DUMMYFUNCTION("GOOGLETRANSLATE(B2125,""id"",""en"")"),"['watch', 'Disney', 'Hotstar', 'truncated', 'quota', 'main', 'quota', 'watch', 'written', 'quota', 'watch', 'Disney', ' Hotstar ',' etc. ',' but overall ',' good ',' region ',' sometimes', 'signal', 'lag']")</f>
        <v>['watch', 'Disney', 'Hotstar', 'truncated', 'quota', 'main', 'quota', 'watch', 'written', 'quota', 'watch', 'Disney', ' Hotstar ',' etc. ',' but overall ',' good ',' region ',' sometimes', 'signal', 'lag']</v>
      </c>
      <c r="D2125" s="3">
        <v>4.0</v>
      </c>
    </row>
    <row r="2126" ht="15.75" customHeight="1">
      <c r="A2126" s="1">
        <v>2124.0</v>
      </c>
      <c r="B2126" s="3" t="s">
        <v>2126</v>
      </c>
      <c r="C2126" s="3" t="str">
        <f>IFERROR(__xludf.DUMMYFUNCTION("GOOGLETRANSLATE(B2126,""id"",""en"")"),"['Disappointed', 'SMA', 'Telkomsel', 'Package', 'Data', 'Miss',' Active ',' Extend ',' MSI ',' Dipke ',' Data ',' BLI ',' package ',' data ',' bnyak ',' actip ',' economical ',' emported ',' uda ',' gtu ',' lost ',' signal ']")</f>
        <v>['Disappointed', 'SMA', 'Telkomsel', 'Package', 'Data', 'Miss',' Active ',' Extend ',' MSI ',' Dipke ',' Data ',' BLI ',' package ',' data ',' bnyak ',' actip ',' economical ',' emported ',' uda ',' gtu ',' lost ',' signal ']</v>
      </c>
      <c r="D2126" s="3">
        <v>5.0</v>
      </c>
    </row>
    <row r="2127" ht="15.75" customHeight="1">
      <c r="A2127" s="1">
        <v>2125.0</v>
      </c>
      <c r="B2127" s="3" t="s">
        <v>2127</v>
      </c>
      <c r="C2127" s="3" t="str">
        <f>IFERROR(__xludf.DUMMYFUNCTION("GOOGLETRANSLATE(B2127,""id"",""en"")"),"['llllleeeeeemmmmmmoolooottttttttttt', 'Help', 'expensive', 'slow', '']")</f>
        <v>['llllleeeeeemmmmmmoolooottttttttttt', 'Help', 'expensive', 'slow', '']</v>
      </c>
      <c r="D2127" s="3">
        <v>1.0</v>
      </c>
    </row>
    <row r="2128" ht="15.75" customHeight="1">
      <c r="A2128" s="1">
        <v>2126.0</v>
      </c>
      <c r="B2128" s="3" t="s">
        <v>2128</v>
      </c>
      <c r="C2128" s="3" t="str">
        <f>IFERROR(__xludf.DUMMYFUNCTION("GOOGLETRANSLATE(B2128,""id"",""en"")"),"['Trouble', 'bar', 'signal', 'full', 'package', 'internet', 'active', 'buffering', 'mulu', '']")</f>
        <v>['Trouble', 'bar', 'signal', 'full', 'package', 'internet', 'active', 'buffering', 'mulu', '']</v>
      </c>
      <c r="D2128" s="3">
        <v>1.0</v>
      </c>
    </row>
    <row r="2129" ht="15.75" customHeight="1">
      <c r="A2129" s="1">
        <v>2127.0</v>
      </c>
      <c r="B2129" s="3" t="s">
        <v>2129</v>
      </c>
      <c r="C2129" s="3" t="str">
        <f>IFERROR(__xludf.DUMMYFUNCTION("GOOGLETRANSLATE(B2129,""id"",""en"")"),"['Network', 'Road', 'Refresh', 'Function', 'Kouta']")</f>
        <v>['Network', 'Road', 'Refresh', 'Function', 'Kouta']</v>
      </c>
      <c r="D2129" s="3">
        <v>2.0</v>
      </c>
    </row>
    <row r="2130" ht="15.75" customHeight="1">
      <c r="A2130" s="1">
        <v>2128.0</v>
      </c>
      <c r="B2130" s="3" t="s">
        <v>2130</v>
      </c>
      <c r="C2130" s="3" t="str">
        <f>IFERROR(__xludf.DUMMYFUNCTION("GOOGLETRANSLATE(B2130,""id"",""en"")"),"['love', 'star', 'Telkomsel', 'network', 'good', 'good', 'network', 'love', 'star', ""]")</f>
        <v>['love', 'star', 'Telkomsel', 'network', 'good', 'good', 'network', 'love', 'star', "]</v>
      </c>
      <c r="D2130" s="3">
        <v>3.0</v>
      </c>
    </row>
    <row r="2131" ht="15.75" customHeight="1">
      <c r="A2131" s="1">
        <v>2129.0</v>
      </c>
      <c r="B2131" s="3" t="s">
        <v>2131</v>
      </c>
      <c r="C2131" s="3" t="str">
        <f>IFERROR(__xludf.DUMMYFUNCTION("GOOGLETRANSLATE(B2131,""id"",""en"")"),"['Severe', 'Network', 'Internet', 'Telkomsel', 'Open', 'Application', 'MyTelkomsel', 'Please', 'Increase', 'Service']")</f>
        <v>['Severe', 'Network', 'Internet', 'Telkomsel', 'Open', 'Application', 'MyTelkomsel', 'Please', 'Increase', 'Service']</v>
      </c>
      <c r="D2131" s="3">
        <v>1.0</v>
      </c>
    </row>
    <row r="2132" ht="15.75" customHeight="1">
      <c r="A2132" s="1">
        <v>2130.0</v>
      </c>
      <c r="B2132" s="3" t="s">
        <v>2132</v>
      </c>
      <c r="C2132" s="3" t="str">
        <f>IFERROR(__xludf.DUMMYFUNCTION("GOOGLETRANSLATE(B2132,""id"",""en"")"),"['Ancur', 'Provider', 'Package', 'Data', 'Region', 'Reach', 'Support', 'Road', 'Internet', 'Really', 'Provider', 'Used']")</f>
        <v>['Ancur', 'Provider', 'Package', 'Data', 'Region', 'Reach', 'Support', 'Road', 'Internet', 'Really', 'Provider', 'Used']</v>
      </c>
      <c r="D2132" s="3">
        <v>1.0</v>
      </c>
    </row>
    <row r="2133" ht="15.75" customHeight="1">
      <c r="A2133" s="1">
        <v>2131.0</v>
      </c>
      <c r="B2133" s="3" t="s">
        <v>2133</v>
      </c>
      <c r="C2133" s="3" t="str">
        <f>IFERROR(__xludf.DUMMYFUNCTION("GOOGLETRANSLATE(B2133,""id"",""en"")"),"['love', 'star', 'because', 'technicians',' repairs', 'network', 'skrng', 'tsel', 'recurs',' noticed ',' clock ',' afternoon ',' above ',' network ',' slow ',' clock ',' name ',' network ',' ilang ',' open ',' application ',' twt ',' etc. ',' buffering ',"&amp;"' then ' , 'Pay', 'expensive', 'quality', 'internet', 'ugly', 'gini', 'please', 'repair']")</f>
        <v>['love', 'star', 'because', 'technicians',' repairs', 'network', 'skrng', 'tsel', 'recurs',' noticed ',' clock ',' afternoon ',' above ',' network ',' slow ',' clock ',' name ',' network ',' ilang ',' open ',' application ',' twt ',' etc. ',' buffering ',' then ' , 'Pay', 'expensive', 'quality', 'internet', 'ugly', 'gini', 'please', 'repair']</v>
      </c>
      <c r="D2133" s="3">
        <v>1.0</v>
      </c>
    </row>
    <row r="2134" ht="15.75" customHeight="1">
      <c r="A2134" s="1">
        <v>2132.0</v>
      </c>
      <c r="B2134" s="3" t="s">
        <v>2134</v>
      </c>
      <c r="C2134" s="3" t="str">
        <f>IFERROR(__xludf.DUMMYFUNCTION("GOOGLETRANSLATE(B2134,""id"",""en"")"),"['Telkomsel', 'Sorry', 'Love', 'Star', 'Solany', 'Key', 'pulses',' Adin ',' Kak ',' Kayak ',' Telkomsel ',' lock ',' Plis', 'Adin', 'Doang', 'Weakness',' Telkomsel ']")</f>
        <v>['Telkomsel', 'Sorry', 'Love', 'Star', 'Solany', 'Key', 'pulses',' Adin ',' Kak ',' Kayak ',' Telkomsel ',' lock ',' Plis', 'Adin', 'Doang', 'Weakness',' Telkomsel ']</v>
      </c>
      <c r="D2134" s="3">
        <v>1.0</v>
      </c>
    </row>
    <row r="2135" ht="15.75" customHeight="1">
      <c r="A2135" s="1">
        <v>2133.0</v>
      </c>
      <c r="B2135" s="3" t="s">
        <v>2135</v>
      </c>
      <c r="C2135" s="3" t="str">
        <f>IFERROR(__xludf.DUMMYFUNCTION("GOOGLETRANSLATE(B2135,""id"",""en"")"),"['network', 'error', 'really', 'slow', 'severe', 'price', 'peket', 'internet', 'expensive', 'network', 'ugly', 'please', ' The network is', 'Leet', '']")</f>
        <v>['network', 'error', 'really', 'slow', 'severe', 'price', 'peket', 'internet', 'expensive', 'network', 'ugly', 'please', ' The network is', 'Leet', '']</v>
      </c>
      <c r="D2135" s="3">
        <v>2.0</v>
      </c>
    </row>
    <row r="2136" ht="15.75" customHeight="1">
      <c r="A2136" s="1">
        <v>2134.0</v>
      </c>
      <c r="B2136" s="3" t="s">
        <v>2136</v>
      </c>
      <c r="C2136" s="3" t="str">
        <f>IFERROR(__xludf.DUMMYFUNCTION("GOOGLETRANSLATE(B2136,""id"",""en"")"),"['application', 'Telkomsel', 'steady', 'darling', 'point', 'contents', 'reset', 'exchange', 'balance', 'link']")</f>
        <v>['application', 'Telkomsel', 'steady', 'darling', 'point', 'contents', 'reset', 'exchange', 'balance', 'link']</v>
      </c>
      <c r="D2136" s="3">
        <v>5.0</v>
      </c>
    </row>
    <row r="2137" ht="15.75" customHeight="1">
      <c r="A2137" s="1">
        <v>2135.0</v>
      </c>
      <c r="B2137" s="3" t="s">
        <v>2137</v>
      </c>
      <c r="C2137" s="3" t="str">
        <f>IFERROR(__xludf.DUMMYFUNCTION("GOOGLETRANSLATE(B2137,""id"",""en"")"),"['here', 'No', 'Bener', 'site', 'block', 'site', 'anime', 'skrng', 'network', 'slow', 'work', 'right']")</f>
        <v>['here', 'No', 'Bener', 'site', 'block', 'site', 'anime', 'skrng', 'network', 'slow', 'work', 'right']</v>
      </c>
      <c r="D2137" s="3">
        <v>1.0</v>
      </c>
    </row>
    <row r="2138" ht="15.75" customHeight="1">
      <c r="A2138" s="1">
        <v>2136.0</v>
      </c>
      <c r="B2138" s="3" t="s">
        <v>2138</v>
      </c>
      <c r="C2138" s="3" t="str">
        <f>IFERROR(__xludf.DUMMYFUNCTION("GOOGLETRANSLATE(B2138,""id"",""en"")"),"['Telkomsel', 'Kyak', 'dlu', 'data', 'lag', 'forgiveness', 'kamrett', 'kamrettt', '']")</f>
        <v>['Telkomsel', 'Kyak', 'dlu', 'data', 'lag', 'forgiveness', 'kamrett', 'kamrettt', '']</v>
      </c>
      <c r="D2138" s="3">
        <v>1.0</v>
      </c>
    </row>
    <row r="2139" ht="15.75" customHeight="1">
      <c r="A2139" s="1">
        <v>2137.0</v>
      </c>
      <c r="B2139" s="3" t="s">
        <v>2139</v>
      </c>
      <c r="C2139" s="3" t="str">
        <f>IFERROR(__xludf.DUMMYFUNCTION("GOOGLETRANSLATE(B2139,""id"",""en"")"),"['Network', 'Error', 'Status', 'Signal', 'Strange', 'Kalimantan', 'East', 'Samarinda', ""]")</f>
        <v>['Network', 'Error', 'Status', 'Signal', 'Strange', 'Kalimantan', 'East', 'Samarinda', "]</v>
      </c>
      <c r="D2139" s="3">
        <v>1.0</v>
      </c>
    </row>
    <row r="2140" ht="15.75" customHeight="1">
      <c r="A2140" s="1">
        <v>2138.0</v>
      </c>
      <c r="B2140" s="3" t="s">
        <v>2140</v>
      </c>
      <c r="C2140" s="3" t="str">
        <f>IFERROR(__xludf.DUMMYFUNCTION("GOOGLETRANSLATE(B2140,""id"",""en"")"),"['service', 'Veronika', 'Bad', 'Telkom', 'handles',' complaints', 'customers',' service ',' kah ',' Telkomsel ',' class', 'Telkom', ' best service']")</f>
        <v>['service', 'Veronika', 'Bad', 'Telkom', 'handles',' complaints', 'customers',' service ',' kah ',' Telkomsel ',' class', 'Telkom', ' best service']</v>
      </c>
      <c r="D2140" s="3">
        <v>1.0</v>
      </c>
    </row>
    <row r="2141" ht="15.75" customHeight="1">
      <c r="A2141" s="1">
        <v>2139.0</v>
      </c>
      <c r="B2141" s="3" t="s">
        <v>2141</v>
      </c>
      <c r="C2141" s="3" t="str">
        <f>IFERROR(__xludf.DUMMYFUNCTION("GOOGLETRANSLATE(B2141,""id"",""en"")"),"['oath', 'package', 'sympathy', 'emotion', 'game', 'super', 'slow', 'expensive', 'according to', 'accepted', 'ampunnnnnnnn', ' emotions', 'sympathy', 'your signal', 'emotion', 'package', 'expensive', 'quality', 'your signal', 'make', 'emossiii']")</f>
        <v>['oath', 'package', 'sympathy', 'emotion', 'game', 'super', 'slow', 'expensive', 'according to', 'accepted', 'ampunnnnnnnn', ' emotions', 'sympathy', 'your signal', 'emotion', 'package', 'expensive', 'quality', 'your signal', 'make', 'emossiii']</v>
      </c>
      <c r="D2141" s="3">
        <v>1.0</v>
      </c>
    </row>
    <row r="2142" ht="15.75" customHeight="1">
      <c r="A2142" s="1">
        <v>2140.0</v>
      </c>
      <c r="B2142" s="3" t="s">
        <v>2142</v>
      </c>
      <c r="C2142" s="3" t="str">
        <f>IFERROR(__xludf.DUMMYFUNCTION("GOOGLETRANSLATE(B2142,""id"",""en"")"),"['What', 'Package', 'Data', 'Main', 'Game', 'Stuck', 'Loading', 'Screen', 'Send', 'Message', 'Jamkot', 'Signal', ' Sometimes', 'ilang', 'already', 'buy', 'Telkomsel', 'play', 'game', 'smooth', 'angel', 'angel', 'gave', 'star', 'kawand' , '']")</f>
        <v>['What', 'Package', 'Data', 'Main', 'Game', 'Stuck', 'Loading', 'Screen', 'Send', 'Message', 'Jamkot', 'Signal', ' Sometimes', 'ilang', 'already', 'buy', 'Telkomsel', 'play', 'game', 'smooth', 'angel', 'angel', 'gave', 'star', 'kawand' , '']</v>
      </c>
      <c r="D2142" s="3">
        <v>1.0</v>
      </c>
    </row>
    <row r="2143" ht="15.75" customHeight="1">
      <c r="A2143" s="1">
        <v>2141.0</v>
      </c>
      <c r="B2143" s="3" t="s">
        <v>2143</v>
      </c>
      <c r="C2143" s="3" t="str">
        <f>IFERROR(__xludf.DUMMYFUNCTION("GOOGLETRANSLATE(B2143,""id"",""en"")"),"['The network', 'Hadehhhh', 'Severe', 'price', 'expensive', 'signal', 'error', 'auto', 'moved', 'Indosat', 'price', 'cheap', ' The network is', 'disappointing', '']")</f>
        <v>['The network', 'Hadehhhh', 'Severe', 'price', 'expensive', 'signal', 'error', 'auto', 'moved', 'Indosat', 'price', 'cheap', ' The network is', 'disappointing', '']</v>
      </c>
      <c r="D2143" s="3">
        <v>1.0</v>
      </c>
    </row>
    <row r="2144" ht="15.75" customHeight="1">
      <c r="A2144" s="1">
        <v>2142.0</v>
      </c>
      <c r="B2144" s="3" t="s">
        <v>2144</v>
      </c>
      <c r="C2144" s="3" t="str">
        <f>IFERROR(__xludf.DUMMYFUNCTION("GOOGLETRANSLATE(B2144,""id"",""en"")"),"['right', 'buy', 'quota', 'slow', 'slow', 'pdahal', 'play', 'game', 'nge', 'lag', 'right', 'run out', ' NOTICE ',' OPEROR ',' SMS ',' Current ',' Telkomsel ',' Nipu ',' How ',' Males', 'Use', 'Quota', 'Telkomsel', ""]")</f>
        <v>['right', 'buy', 'quota', 'slow', 'slow', 'pdahal', 'play', 'game', 'nge', 'lag', 'right', 'run out', ' NOTICE ',' OPEROR ',' SMS ',' Current ',' Telkomsel ',' Nipu ',' How ',' Males', 'Use', 'Quota', 'Telkomsel', "]</v>
      </c>
      <c r="D2144" s="3">
        <v>1.0</v>
      </c>
    </row>
    <row r="2145" ht="15.75" customHeight="1">
      <c r="A2145" s="1">
        <v>2143.0</v>
      </c>
      <c r="B2145" s="3" t="s">
        <v>2145</v>
      </c>
      <c r="C2145" s="3" t="str">
        <f>IFERROR(__xludf.DUMMYFUNCTION("GOOGLETRANSLATE(B2145,""id"",""en"")"),"['Buy', 'Package', 'GB', 'Network', 'suits',' Price ',' Lemot ',' parahhhhhhhhhhhhhhhhhhhhhhhhhhhhhhhhhhhhhhhhhhhhhhhhhhhhhhhhhhhhhhhhhhhhhhhhhhhhhhhhhhhhhhhhhhhhhhhhhhhhhhhhhhhhhhhhhhhhhhhhhhhhhhhhhhhhhhhhhhhhhhhhhhhhhhhhhhhhhhhhhhhhhhhhhhhhhhhhhhhhhhhhh"&amp;"hhhhhhhhhhhhhhhhhhhhhhhhhhhhhhhhhhhhhhhhhhhhhhhhhhhhhhhhhh")</f>
        <v>['Buy', 'Package', 'GB', 'Network', 'suits',' Price ',' Lemot ',' parahhhhhhhhhhhhhhhhhhhhhhhhhhhhhhhhhhhhhhhhhhhhhhhhhhhhhhhhhhhhhhhhhhhhhhhhhhhhhhhhhhhhhhhhhhhhhhhhhhhhhhhhhhhhhhhhhhhhhhhhhhhhhhhhhhhhhhhhhhhhhhhhhhhhhhhhhhhhhhhhhhhhhhhhhhhhhhhhhhhhhhhhhhhhhhhhhhhhhhhhhhhhhhhhhhhhhhhhhhhhhhhhhhhhhhhhhhhhhhhhhhh</v>
      </c>
      <c r="D2145" s="3">
        <v>1.0</v>
      </c>
    </row>
    <row r="2146" ht="15.75" customHeight="1">
      <c r="A2146" s="1">
        <v>2144.0</v>
      </c>
      <c r="B2146" s="3" t="s">
        <v>2146</v>
      </c>
      <c r="C2146" s="3" t="str">
        <f>IFERROR(__xludf.DUMMYFUNCTION("GOOGLETRANSLATE(B2146,""id"",""en"")"),"['buy', 'package', 'self-help', 'ojol', 'network', 'broke', 'darling', 'buy', ""]")</f>
        <v>['buy', 'package', 'self-help', 'ojol', 'network', 'broke', 'darling', 'buy', "]</v>
      </c>
      <c r="D2146" s="3">
        <v>1.0</v>
      </c>
    </row>
    <row r="2147" ht="15.75" customHeight="1">
      <c r="A2147" s="1">
        <v>2145.0</v>
      </c>
      <c r="B2147" s="3" t="s">
        <v>2147</v>
      </c>
      <c r="C2147" s="3" t="str">
        <f>IFERROR(__xludf.DUMMYFUNCTION("GOOGLETRANSLATE(B2147,""id"",""en"")"),"['company', 'class', 'BUMN', 'slow', 'dead', 'ngojol', 'ngilangin', 'fortune', 'people', 'bad', ""]")</f>
        <v>['company', 'class', 'BUMN', 'slow', 'dead', 'ngojol', 'ngilangin', 'fortune', 'people', 'bad', "]</v>
      </c>
      <c r="D2147" s="3">
        <v>1.0</v>
      </c>
    </row>
    <row r="2148" ht="15.75" customHeight="1">
      <c r="A2148" s="1">
        <v>2146.0</v>
      </c>
      <c r="B2148" s="3" t="s">
        <v>2148</v>
      </c>
      <c r="C2148" s="3" t="str">
        <f>IFERROR(__xludf.DUMMYFUNCTION("GOOGLETRANSLATE(B2148,""id"",""en"")"),"['times',' sell ',' quota ',' think ',' price ',' sold ',' quota ',' expensive ',' strange ',' quota ',' taste ',' kek ',' Quota ',' Cheap ',' Lost ',' Signal ',' Rich ',' Mountains', ""]")</f>
        <v>['times',' sell ',' quota ',' think ',' price ',' sold ',' quota ',' expensive ',' strange ',' quota ',' taste ',' kek ',' Quota ',' Cheap ',' Lost ',' Signal ',' Rich ',' Mountains', "]</v>
      </c>
      <c r="D2148" s="3">
        <v>1.0</v>
      </c>
    </row>
    <row r="2149" ht="15.75" customHeight="1">
      <c r="A2149" s="1">
        <v>2147.0</v>
      </c>
      <c r="B2149" s="3" t="s">
        <v>2149</v>
      </c>
      <c r="C2149" s="3" t="str">
        <f>IFERROR(__xludf.DUMMYFUNCTION("GOOGLETRANSLATE(B2149,""id"",""en"")"),"['Paketan', 'printed', 'gelobal', 'hope', 'enhanced', 'gelobal', ""]")</f>
        <v>['Paketan', 'printed', 'gelobal', 'hope', 'enhanced', 'gelobal', "]</v>
      </c>
      <c r="D2149" s="3">
        <v>4.0</v>
      </c>
    </row>
    <row r="2150" ht="15.75" customHeight="1">
      <c r="A2150" s="1">
        <v>2148.0</v>
      </c>
      <c r="B2150" s="3" t="s">
        <v>2150</v>
      </c>
      <c r="C2150" s="3" t="str">
        <f>IFERROR(__xludf.DUMMYFUNCTION("GOOGLETRANSLATE(B2150,""id"",""en"")"),"['package', 'Dajal', 'run out', 'kouta', 'main', 'kagak', 'annulared', 'game', 'kagak', 'open', 'times']")</f>
        <v>['package', 'Dajal', 'run out', 'kouta', 'main', 'kagak', 'annulared', 'game', 'kagak', 'open', 'times']</v>
      </c>
      <c r="D2150" s="3">
        <v>1.0</v>
      </c>
    </row>
    <row r="2151" ht="15.75" customHeight="1">
      <c r="A2151" s="1">
        <v>2149.0</v>
      </c>
      <c r="B2151" s="3" t="s">
        <v>2151</v>
      </c>
      <c r="C2151" s="3" t="str">
        <f>IFERROR(__xludf.DUMMYFUNCTION("GOOGLETRANSLATE(B2151,""id"",""en"")"),"['here', 'card', 'Telkomsel', 'annoyed', 'real', 'my quota', 'GB', 'data', 'rates',' non ',' peket ',' pulses', ' Abis', 'package', 'package', 'active', 'first', 'abis',' package ',' active ',' msh ',' week ',' package ',' government ',' already ' , 'Male"&amp;"s', 'Package', 'Data', 'Telkomsel', '']")</f>
        <v>['here', 'card', 'Telkomsel', 'annoyed', 'real', 'my quota', 'GB', 'data', 'rates',' non ',' peket ',' pulses', ' Abis', 'package', 'package', 'active', 'first', 'abis',' package ',' active ',' msh ',' week ',' package ',' government ',' already ' , 'Males', 'Package', 'Data', 'Telkomsel', '']</v>
      </c>
      <c r="D2151" s="3">
        <v>2.0</v>
      </c>
    </row>
    <row r="2152" ht="15.75" customHeight="1">
      <c r="A2152" s="1">
        <v>2150.0</v>
      </c>
      <c r="B2152" s="3" t="s">
        <v>2152</v>
      </c>
      <c r="C2152" s="3" t="str">
        <f>IFERROR(__xludf.DUMMYFUNCTION("GOOGLETRANSLATE(B2152,""id"",""en"")"),"['Use', 'Fashion', 'Fly', 'Package', 'Data', 'Cepet', 'Out', 'Claim', 'Application', 'Claim', 'Use', 'Credit']")</f>
        <v>['Use', 'Fashion', 'Fly', 'Package', 'Data', 'Cepet', 'Out', 'Claim', 'Application', 'Claim', 'Use', 'Credit']</v>
      </c>
      <c r="D2152" s="3">
        <v>1.0</v>
      </c>
    </row>
    <row r="2153" ht="15.75" customHeight="1">
      <c r="A2153" s="1">
        <v>2151.0</v>
      </c>
      <c r="B2153" s="3" t="s">
        <v>2153</v>
      </c>
      <c r="C2153" s="3" t="str">
        <f>IFERROR(__xludf.DUMMYFUNCTION("GOOGLETRANSLATE(B2153,""id"",""en"")"),"['Internet', 'Gag', 'Signal', 'TPI', 'Open', 'Application', 'Disappointed', 'Fix']")</f>
        <v>['Internet', 'Gag', 'Signal', 'TPI', 'Open', 'Application', 'Disappointed', 'Fix']</v>
      </c>
      <c r="D2153" s="3">
        <v>1.0</v>
      </c>
    </row>
    <row r="2154" ht="15.75" customHeight="1">
      <c r="A2154" s="1">
        <v>2152.0</v>
      </c>
      <c r="B2154" s="3" t="s">
        <v>2154</v>
      </c>
      <c r="C2154" s="3" t="str">
        <f>IFERROR(__xludf.DUMMYFUNCTION("GOOGLETRANSLATE(B2154,""id"",""en"")"),"['Keapasih', 'Telkomsel', 'Sinyal', 'Rich', 'Gini', 'Bener', 'Disorders',' Loss', 'already', 'buy', 'Peket', 'expensive', ' Mlah ',' rich ',' gini ', ""]")</f>
        <v>['Keapasih', 'Telkomsel', 'Sinyal', 'Rich', 'Gini', 'Bener', 'Disorders',' Loss', 'already', 'buy', 'Peket', 'expensive', ' Mlah ',' rich ',' gini ', "]</v>
      </c>
      <c r="D2154" s="3">
        <v>1.0</v>
      </c>
    </row>
    <row r="2155" ht="15.75" customHeight="1">
      <c r="A2155" s="1">
        <v>2153.0</v>
      </c>
      <c r="B2155" s="3" t="s">
        <v>2155</v>
      </c>
      <c r="C2155" s="3" t="str">
        <f>IFERROR(__xludf.DUMMYFUNCTION("GOOGLETRANSLATE(B2155,""id"",""en"")"),"['Quality', 'Network', 'Javanese', 'East', 'Sidoarjo', 'Bad', 'Price', 'Expensive', 'Quality', 'Nares',' Ancurrr ',' Please ',' Fix ',' Consumers', 'Disappointed', '']")</f>
        <v>['Quality', 'Network', 'Javanese', 'East', 'Sidoarjo', 'Bad', 'Price', 'Expensive', 'Quality', 'Nares',' Ancurrr ',' Please ',' Fix ',' Consumers', 'Disappointed', '']</v>
      </c>
      <c r="D2155" s="3">
        <v>1.0</v>
      </c>
    </row>
    <row r="2156" ht="15.75" customHeight="1">
      <c r="A2156" s="1">
        <v>2154.0</v>
      </c>
      <c r="B2156" s="3" t="s">
        <v>2156</v>
      </c>
      <c r="C2156" s="3" t="str">
        <f>IFERROR(__xludf.DUMMYFUNCTION("GOOGLETRANSLATE(B2156,""id"",""en"")"),"['Please', 'Network', 'Dragus', 'Threat', 'Already', 'Rates', 'Expensive', '']")</f>
        <v>['Please', 'Network', 'Dragus', 'Threat', 'Already', 'Rates', 'Expensive', '']</v>
      </c>
      <c r="D2156" s="3">
        <v>1.0</v>
      </c>
    </row>
    <row r="2157" ht="15.75" customHeight="1">
      <c r="A2157" s="1">
        <v>2155.0</v>
      </c>
      <c r="B2157" s="3" t="s">
        <v>2157</v>
      </c>
      <c r="C2157" s="3" t="str">
        <f>IFERROR(__xludf.DUMMYFUNCTION("GOOGLETRANSLATE(B2157,""id"",""en"")"),"['Neh', 'Bintang', 'Try', 'Peka', 'The Reasons', 'Review', '']")</f>
        <v>['Neh', 'Bintang', 'Try', 'Peka', 'The Reasons', 'Review', '']</v>
      </c>
      <c r="D2157" s="3">
        <v>1.0</v>
      </c>
    </row>
    <row r="2158" ht="15.75" customHeight="1">
      <c r="A2158" s="1">
        <v>2156.0</v>
      </c>
      <c r="B2158" s="3" t="s">
        <v>2158</v>
      </c>
      <c r="C2158" s="3" t="str">
        <f>IFERROR(__xludf.DUMMYFUNCTION("GOOGLETRANSLATE(B2158,""id"",""en"")"),"['Please', 'Sinyal', 'Dwakiri', 'as soon as possible,' slow ',' really ',' watch ',' youtube ',' slow ',' play ',' what ',' please ',' As soon as possible ',' I ',' already ',' buy ',' package ',' expensive ',' expensive ',' slow ']")</f>
        <v>['Please', 'Sinyal', 'Dwakiri', 'as soon as possible,' slow ',' really ',' watch ',' youtube ',' slow ',' play ',' what ',' please ',' As soon as possible ',' I ',' already ',' buy ',' package ',' expensive ',' expensive ',' slow ']</v>
      </c>
      <c r="D2158" s="3">
        <v>1.0</v>
      </c>
    </row>
    <row r="2159" ht="15.75" customHeight="1">
      <c r="A2159" s="1">
        <v>2157.0</v>
      </c>
      <c r="B2159" s="3" t="s">
        <v>2159</v>
      </c>
      <c r="C2159" s="3" t="str">
        <f>IFERROR(__xludf.DUMMYFUNCTION("GOOGLETRANSLATE(B2159,""id"",""en"")"),"['buy', 'Package', 'Combo', 'Unlimited', 'RB', 'GB', 'Dipake', 'first', 'Package', 'Main', 'Stlh', 'Out', ' Quota ',' Unlimitted ',' Buffering ',' Mulu ',' Raying ', ""]")</f>
        <v>['buy', 'Package', 'Combo', 'Unlimited', 'RB', 'GB', 'Dipake', 'first', 'Package', 'Main', 'Stlh', 'Out', ' Quota ',' Unlimitted ',' Buffering ',' Mulu ',' Raying ', "]</v>
      </c>
      <c r="D2159" s="3">
        <v>2.0</v>
      </c>
    </row>
    <row r="2160" ht="15.75" customHeight="1">
      <c r="A2160" s="1">
        <v>2158.0</v>
      </c>
      <c r="B2160" s="3" t="s">
        <v>2160</v>
      </c>
      <c r="C2160" s="3" t="str">
        <f>IFERROR(__xludf.DUMMYFUNCTION("GOOGLETRANSLATE(B2160,""id"",""en"")"),"['min', 'bari', 'buy', 'package', 'max', 'week', 'already', 'open', 'facebook', 'told', 'buy', 'use', ' Kouta ',' rare ',' rare ',' ngeecewain ']")</f>
        <v>['min', 'bari', 'buy', 'package', 'max', 'week', 'already', 'open', 'facebook', 'told', 'buy', 'use', ' Kouta ',' rare ',' rare ',' ngeecewain ']</v>
      </c>
      <c r="D2160" s="3">
        <v>3.0</v>
      </c>
    </row>
    <row r="2161" ht="15.75" customHeight="1">
      <c r="A2161" s="1">
        <v>2159.0</v>
      </c>
      <c r="B2161" s="3" t="s">
        <v>2161</v>
      </c>
      <c r="C2161" s="3" t="str">
        <f>IFERROR(__xludf.DUMMYFUNCTION("GOOGLETRANSLATE(B2161,""id"",""en"")"),"['Telkomsel', 'poor', 'package', 'Dataku', 'report', 'run out', 'data', 'told', 'buy', 'ckckckckck']")</f>
        <v>['Telkomsel', 'poor', 'package', 'Dataku', 'report', 'run out', 'data', 'told', 'buy', 'ckckckckck']</v>
      </c>
      <c r="D2161" s="3">
        <v>1.0</v>
      </c>
    </row>
    <row r="2162" ht="15.75" customHeight="1">
      <c r="A2162" s="1">
        <v>2160.0</v>
      </c>
      <c r="B2162" s="3" t="s">
        <v>2162</v>
      </c>
      <c r="C2162" s="3" t="str">
        <f>IFERROR(__xludf.DUMMYFUNCTION("GOOGLETRANSLATE(B2162,""id"",""en"")"),"['Telkomsel', 'sekrang', 'slow', 'package', 'active', 'network', 'slow', 'polll']")</f>
        <v>['Telkomsel', 'sekrang', 'slow', 'package', 'active', 'network', 'slow', 'polll']</v>
      </c>
      <c r="D2162" s="3">
        <v>2.0</v>
      </c>
    </row>
    <row r="2163" ht="15.75" customHeight="1">
      <c r="A2163" s="1">
        <v>2161.0</v>
      </c>
      <c r="B2163" s="3" t="s">
        <v>2163</v>
      </c>
      <c r="C2163" s="3" t="str">
        <f>IFERROR(__xludf.DUMMYFUNCTION("GOOGLETRANSLATE(B2163,""id"",""en"")"),"['signal', 'ilang', 'game', 'lag', 'lag', 'please', 'fix', '']")</f>
        <v>['signal', 'ilang', 'game', 'lag', 'lag', 'please', 'fix', '']</v>
      </c>
      <c r="D2163" s="3">
        <v>1.0</v>
      </c>
    </row>
    <row r="2164" ht="15.75" customHeight="1">
      <c r="A2164" s="1">
        <v>2162.0</v>
      </c>
      <c r="B2164" s="3" t="s">
        <v>2164</v>
      </c>
      <c r="C2164" s="3" t="str">
        <f>IFERROR(__xludf.DUMMYFUNCTION("GOOGLETRANSLATE(B2164,""id"",""en"")"),"['please', 'Telkomsel', 'tasty', 'network', 'contents',' quota ',' ugly ',' network ',' please ',' telkomsel ',' delicious', 'expensive', ' Doang ',' its network ',' comparable ',' price ', ""]")</f>
        <v>['please', 'Telkomsel', 'tasty', 'network', 'contents',' quota ',' ugly ',' network ',' please ',' telkomsel ',' delicious', 'expensive', ' Doang ',' its network ',' comparable ',' price ', "]</v>
      </c>
      <c r="D2164" s="3">
        <v>1.0</v>
      </c>
    </row>
    <row r="2165" ht="15.75" customHeight="1">
      <c r="A2165" s="1">
        <v>2163.0</v>
      </c>
      <c r="B2165" s="3" t="s">
        <v>2165</v>
      </c>
      <c r="C2165" s="3" t="str">
        <f>IFERROR(__xludf.DUMMYFUNCTION("GOOGLETRANSLATE(B2165,""id"",""en"")"),"['network', 'Telkomsel', 'slow', 'snail', 'hope', 'future', 'network', 'fast', 'enter', 'NTT', 'flores',' replace ',' cards', 'bored', 'Telkomsel', 'poor']")</f>
        <v>['network', 'Telkomsel', 'slow', 'snail', 'hope', 'future', 'network', 'fast', 'enter', 'NTT', 'flores',' replace ',' cards', 'bored', 'Telkomsel', 'poor']</v>
      </c>
      <c r="D2165" s="3">
        <v>1.0</v>
      </c>
    </row>
    <row r="2166" ht="15.75" customHeight="1">
      <c r="A2166" s="1">
        <v>2164.0</v>
      </c>
      <c r="B2166" s="3" t="s">
        <v>2166</v>
      </c>
      <c r="C2166" s="3" t="str">
        <f>IFERROR(__xludf.DUMMYFUNCTION("GOOGLETRANSLATE(B2166,""id"",""en"")"),"['package', 'package', 'package', 'left', 'GB', 'active', 'leftover', 'because' because 'busy', 'buy', 'package', 'GB', ' package ',' package ',' package ',' emang ',' system ',' prioritize ',' package ',' package ',' ']")</f>
        <v>['package', 'package', 'package', 'left', 'GB', 'active', 'leftover', 'because' because 'busy', 'buy', 'package', 'GB', ' package ',' package ',' package ',' emang ',' system ',' prioritize ',' package ',' package ',' ']</v>
      </c>
      <c r="D2166" s="3">
        <v>2.0</v>
      </c>
    </row>
    <row r="2167" ht="15.75" customHeight="1">
      <c r="A2167" s="1">
        <v>2165.0</v>
      </c>
      <c r="B2167" s="3" t="s">
        <v>2167</v>
      </c>
      <c r="C2167" s="3" t="str">
        <f>IFERROR(__xludf.DUMMYFUNCTION("GOOGLETRANSLATE(B2167,""id"",""en"")"),"['Signal', 'Telkomsel', 'skrg', 'ugly', 'mabar', 'signal', 'good', 'red', 'ngeselin']")</f>
        <v>['Signal', 'Telkomsel', 'skrg', 'ugly', 'mabar', 'signal', 'good', 'red', 'ngeselin']</v>
      </c>
      <c r="D2167" s="3">
        <v>1.0</v>
      </c>
    </row>
    <row r="2168" ht="15.75" customHeight="1">
      <c r="A2168" s="1">
        <v>2166.0</v>
      </c>
      <c r="B2168" s="3" t="s">
        <v>2168</v>
      </c>
      <c r="C2168" s="3" t="str">
        <f>IFERROR(__xludf.DUMMYFUNCTION("GOOGLETRANSLATE(B2168,""id"",""en"")"),"['woi', 'Please', 'fix', 'connection', 'my package', 'udh', 'ngelag', 'ngelag', 'play', 'game', 'ngelag', 'my cellphone', ' UDH ',' restart ',' times', 'connection', 'ngellag', 'Please', 'fix', 'move', 'package', 'data', 'indihome', 'ngak', 'yabg' , 'fast"&amp;"', 'fix', 'snail', '']")</f>
        <v>['woi', 'Please', 'fix', 'connection', 'my package', 'udh', 'ngelag', 'ngelag', 'play', 'game', 'ngelag', 'my cellphone', ' UDH ',' restart ',' times', 'connection', 'ngellag', 'Please', 'fix', 'move', 'package', 'data', 'indihome', 'ngak', 'yabg' , 'fast', 'fix', 'snail', '']</v>
      </c>
      <c r="D2168" s="3">
        <v>1.0</v>
      </c>
    </row>
    <row r="2169" ht="15.75" customHeight="1">
      <c r="A2169" s="1">
        <v>2167.0</v>
      </c>
      <c r="B2169" s="3" t="s">
        <v>2169</v>
      </c>
      <c r="C2169" s="3" t="str">
        <f>IFERROR(__xludf.DUMMYFUNCTION("GOOGLETRANSLATE(B2169,""id"",""en"")"),"['Telkomsel', 'bad', 'sms', 'block', 'how', 'work', 'number', 'Hello', 'convenience', 'customer', '']")</f>
        <v>['Telkomsel', 'bad', 'sms', 'block', 'how', 'work', 'number', 'Hello', 'convenience', 'customer', '']</v>
      </c>
      <c r="D2169" s="3">
        <v>5.0</v>
      </c>
    </row>
    <row r="2170" ht="15.75" customHeight="1">
      <c r="A2170" s="1">
        <v>2168.0</v>
      </c>
      <c r="B2170" s="3" t="s">
        <v>2170</v>
      </c>
      <c r="C2170" s="3" t="str">
        <f>IFERROR(__xludf.DUMMYFUNCTION("GOOGLETRANSLATE(B2170,""id"",""en"")"),"['Telkomsel', 'Ngilak', 'really', 'network', 'already', 'slow', 'slow', 'quota', 'kyak', 'quota', 'try', 'fix', ' Telkomsel ',' kmi ',' jdi ',' difficult ']")</f>
        <v>['Telkomsel', 'Ngilak', 'really', 'network', 'already', 'slow', 'slow', 'quota', 'kyak', 'quota', 'try', 'fix', ' Telkomsel ',' kmi ',' jdi ',' difficult ']</v>
      </c>
      <c r="D2170" s="3">
        <v>1.0</v>
      </c>
    </row>
    <row r="2171" ht="15.75" customHeight="1">
      <c r="A2171" s="1">
        <v>2169.0</v>
      </c>
      <c r="B2171" s="3" t="s">
        <v>2171</v>
      </c>
      <c r="C2171" s="3" t="str">
        <f>IFERROR(__xludf.DUMMYFUNCTION("GOOGLETRANSLATE(B2171,""id"",""en"")"),"['The network', 'destroyed', 'really', 'Send', 'chat', 'WhatsApp', 'slow', 'really', 'ngak', 'ngotak', 'really', 'the network']")</f>
        <v>['The network', 'destroyed', 'really', 'Send', 'chat', 'WhatsApp', 'slow', 'really', 'ngak', 'ngotak', 'really', 'the network']</v>
      </c>
      <c r="D2171" s="3">
        <v>1.0</v>
      </c>
    </row>
    <row r="2172" ht="15.75" customHeight="1">
      <c r="A2172" s="1">
        <v>2170.0</v>
      </c>
      <c r="B2172" s="3" t="s">
        <v>2172</v>
      </c>
      <c r="C2172" s="3" t="str">
        <f>IFERROR(__xludf.DUMMYFUNCTION("GOOGLETRANSLATE(B2172,""id"",""en"")"),"['application', 'Good', 'bangetttttttttttttttttttttttttttttttttttttttttttttttttttttttttttttttttttttttttttttttttttttttttttttttttttttttttttttttttttttttttttttttttttttttttttttttttt")</f>
        <v>['application', 'Good', 'bangetttttttttttttttttttttttttttttttttttttttttttttttttttttttttttttttttttttttttttttttttttttttttttttttttttttttttttttttttttttttttttttttttttttttttttttttttt</v>
      </c>
      <c r="D2172" s="3">
        <v>5.0</v>
      </c>
    </row>
    <row r="2173" ht="15.75" customHeight="1">
      <c r="A2173" s="1">
        <v>2171.0</v>
      </c>
      <c r="B2173" s="3" t="s">
        <v>2173</v>
      </c>
      <c r="C2173" s="3" t="str">
        <f>IFERROR(__xludf.DUMMYFUNCTION("GOOGLETRANSLATE(B2173,""id"",""en"")"),"['buy', 'package', 'Sakti', 'GB', 'thousand', 'internet', 'normal', 'GB', 'watch', 'a day', 'sosmed', 'rare', ' Open ',' YouTube ',' quota ',' leftover ',' mb ',' hahah ',' base ',' culuci ',' really ']")</f>
        <v>['buy', 'package', 'Sakti', 'GB', 'thousand', 'internet', 'normal', 'GB', 'watch', 'a day', 'sosmed', 'rare', ' Open ',' YouTube ',' quota ',' leftover ',' mb ',' hahah ',' base ',' culuci ',' really ']</v>
      </c>
      <c r="D2173" s="3">
        <v>1.0</v>
      </c>
    </row>
    <row r="2174" ht="15.75" customHeight="1">
      <c r="A2174" s="1">
        <v>2172.0</v>
      </c>
      <c r="B2174" s="3" t="s">
        <v>2174</v>
      </c>
      <c r="C2174" s="3" t="str">
        <f>IFERROR(__xludf.DUMMYFUNCTION("GOOGLETRANSLATE(B2174,""id"",""en"")"),"['knapa', 'list', 'package', 'monthly', 'pulse', 'run out', 'network', 'error', 'notification', 'access',' internet ',' worn ',' Rates', 'Non', 'Packages',' Quota ',' Out ',' ']")</f>
        <v>['knapa', 'list', 'package', 'monthly', 'pulse', 'run out', 'network', 'error', 'notification', 'access',' internet ',' worn ',' Rates', 'Non', 'Packages',' Quota ',' Out ',' ']</v>
      </c>
      <c r="D2174" s="3">
        <v>5.0</v>
      </c>
    </row>
    <row r="2175" ht="15.75" customHeight="1">
      <c r="A2175" s="1">
        <v>2173.0</v>
      </c>
      <c r="B2175" s="3" t="s">
        <v>2175</v>
      </c>
      <c r="C2175" s="3" t="str">
        <f>IFERROR(__xludf.DUMMYFUNCTION("GOOGLETRANSLATE(B2175,""id"",""en"")"),"['network', 'setabilia', 'update', 'Padahall', 'package', 'sorry', 'kasi', 'star', ""]")</f>
        <v>['network', 'setabilia', 'update', 'Padahall', 'package', 'sorry', 'kasi', 'star', "]</v>
      </c>
      <c r="D2175" s="3">
        <v>1.0</v>
      </c>
    </row>
    <row r="2176" ht="15.75" customHeight="1">
      <c r="A2176" s="1">
        <v>2174.0</v>
      </c>
      <c r="B2176" s="3" t="s">
        <v>2176</v>
      </c>
      <c r="C2176" s="3" t="str">
        <f>IFERROR(__xludf.DUMMYFUNCTION("GOOGLETRANSLATE(B2176,""id"",""en"")"),"['Disappointed', 'Heavy', 'Heavy', 'Disappointed', 'Contents',' Credit ',' Rb ',' Exchange ',' Kouta ',' Remnant ',' Credit ',' Rb ',' Sumpot ',' already ',' application ',' dill ',' delete ',' application ',' cave ',' cave ',' dwonload ',' application ',"&amp;"' detrimental ',' ']")</f>
        <v>['Disappointed', 'Heavy', 'Heavy', 'Disappointed', 'Contents',' Credit ',' Rb ',' Exchange ',' Kouta ',' Remnant ',' Credit ',' Rb ',' Sumpot ',' already ',' application ',' dill ',' delete ',' application ',' cave ',' cave ',' dwonload ',' application ',' detrimental ',' ']</v>
      </c>
      <c r="D2176" s="3">
        <v>1.0</v>
      </c>
    </row>
    <row r="2177" ht="15.75" customHeight="1">
      <c r="A2177" s="1">
        <v>2175.0</v>
      </c>
      <c r="B2177" s="3" t="s">
        <v>2177</v>
      </c>
      <c r="C2177" s="3" t="str">
        <f>IFERROR(__xludf.DUMMYFUNCTION("GOOGLETRANSLATE(B2177,""id"",""en"")"),"['buy', 'Package', 'Combo', 'Sakti', 'Kouta', 'Main', 'Out', 'left', 'Kouta),' Multimedia ',' Chat ',' Music ',' Games', 'sosmed', 'try', 'use', 'kouta', 'multimedia', '']")</f>
        <v>['buy', 'Package', 'Combo', 'Sakti', 'Kouta', 'Main', 'Out', 'left', 'Kouta),' Multimedia ',' Chat ',' Music ',' Games', 'sosmed', 'try', 'use', 'kouta', 'multimedia', '']</v>
      </c>
      <c r="D2177" s="3">
        <v>1.0</v>
      </c>
    </row>
    <row r="2178" ht="15.75" customHeight="1">
      <c r="A2178" s="1">
        <v>2176.0</v>
      </c>
      <c r="B2178" s="3" t="s">
        <v>2178</v>
      </c>
      <c r="C2178" s="3" t="str">
        <f>IFERROR(__xludf.DUMMYFUNCTION("GOOGLETRANSLATE(B2178,""id"",""en"")"),"['Come on', 'friends', 'moved', 'Profider', 'Telkomsel', 'slow', 'Centraleng', 'wih', 'horrified', ""]")</f>
        <v>['Come on', 'friends', 'moved', 'Profider', 'Telkomsel', 'slow', 'Centraleng', 'wih', 'horrified', "]</v>
      </c>
      <c r="D2178" s="3">
        <v>1.0</v>
      </c>
    </row>
    <row r="2179" ht="15.75" customHeight="1">
      <c r="A2179" s="1">
        <v>2177.0</v>
      </c>
      <c r="B2179" s="3" t="s">
        <v>2179</v>
      </c>
      <c r="C2179" s="3" t="str">
        <f>IFERROR(__xludf.DUMMYFUNCTION("GOOGLETRANSLATE(B2179,""id"",""en"")"),"['sympathy', 'package', 'expensive', 'kga', 'cheap', 'signal', 'skrng', 'good', 'anti', 'slow']")</f>
        <v>['sympathy', 'package', 'expensive', 'kga', 'cheap', 'signal', 'skrng', 'good', 'anti', 'slow']</v>
      </c>
      <c r="D2179" s="3">
        <v>3.0</v>
      </c>
    </row>
    <row r="2180" ht="15.75" customHeight="1">
      <c r="A2180" s="1">
        <v>2178.0</v>
      </c>
      <c r="B2180" s="3" t="s">
        <v>2180</v>
      </c>
      <c r="C2180" s="3" t="str">
        <f>IFERROR(__xludf.DUMMYFUNCTION("GOOGLETRANSLATE(B2180,""id"",""en"")"),"['Data', 'private', 'leaked', 'scary', 'Package', 'Offer', '']")</f>
        <v>['Data', 'private', 'leaked', 'scary', 'Package', 'Offer', '']</v>
      </c>
      <c r="D2180" s="3">
        <v>1.0</v>
      </c>
    </row>
    <row r="2181" ht="15.75" customHeight="1">
      <c r="A2181" s="1">
        <v>2179.0</v>
      </c>
      <c r="B2181" s="3" t="s">
        <v>2181</v>
      </c>
      <c r="C2181" s="3" t="str">
        <f>IFERROR(__xludf.DUMMYFUNCTION("GOOGLETRANSLATE(B2181,""id"",""en"")"),"['application', 'ugly', 'really', 'boong', '']")</f>
        <v>['application', 'ugly', 'really', 'boong', '']</v>
      </c>
      <c r="D2181" s="3">
        <v>5.0</v>
      </c>
    </row>
    <row r="2182" ht="15.75" customHeight="1">
      <c r="A2182" s="1">
        <v>2180.0</v>
      </c>
      <c r="B2182" s="3" t="s">
        <v>2182</v>
      </c>
      <c r="C2182" s="3" t="str">
        <f>IFERROR(__xludf.DUMMYFUNCTION("GOOGLETRANSLATE(B2182,""id"",""en"")"),"['How', 'update', 'game', 'quota', 'unlimited', 'play', 'update', 'no', 'gmna', 'play', 'no', 'update']")</f>
        <v>['How', 'update', 'game', 'quota', 'unlimited', 'play', 'update', 'no', 'gmna', 'play', 'no', 'update']</v>
      </c>
      <c r="D2182" s="3">
        <v>1.0</v>
      </c>
    </row>
    <row r="2183" ht="15.75" customHeight="1">
      <c r="A2183" s="1">
        <v>2181.0</v>
      </c>
      <c r="B2183" s="3" t="s">
        <v>2183</v>
      </c>
      <c r="C2183" s="3" t="str">
        <f>IFERROR(__xludf.DUMMYFUNCTION("GOOGLETRANSLATE(B2183,""id"",""en"")"),"['era', 'advanced', 'sophisticated', 'Telkomsel', 'backward', 'decline', 'bangat', 'signal', 'disappointing', 'user', 'trmsk', 'income', ' Gede ',' fortunately ',' service ',' network ',' signal ',' bad ',' Bangat ',' really ',' disappointed ',' my heart "&amp;"', ""]")</f>
        <v>['era', 'advanced', 'sophisticated', 'Telkomsel', 'backward', 'decline', 'bangat', 'signal', 'disappointing', 'user', 'trmsk', 'income', ' Gede ',' fortunately ',' service ',' network ',' signal ',' bad ',' Bangat ',' really ',' disappointed ',' my heart ', "]</v>
      </c>
      <c r="D2183" s="3">
        <v>1.0</v>
      </c>
    </row>
    <row r="2184" ht="15.75" customHeight="1">
      <c r="A2184" s="1">
        <v>2182.0</v>
      </c>
      <c r="B2184" s="3" t="s">
        <v>2184</v>
      </c>
      <c r="C2184" s="3" t="str">
        <f>IFERROR(__xludf.DUMMYFUNCTION("GOOGLETRANSLATE(B2184,""id"",""en"")"),"['application', 'steady', 'hopefully', 'Telkomsel', 'gift', 'surprise', 'customer', 'wear', 'card', 'prepaid', 'Telkomsel', 'name', ' Cards', 'Sympathy', 'Nusantara', '']")</f>
        <v>['application', 'steady', 'hopefully', 'Telkomsel', 'gift', 'surprise', 'customer', 'wear', 'card', 'prepaid', 'Telkomsel', 'name', ' Cards', 'Sympathy', 'Nusantara', '']</v>
      </c>
      <c r="D2184" s="3">
        <v>5.0</v>
      </c>
    </row>
    <row r="2185" ht="15.75" customHeight="1">
      <c r="A2185" s="1">
        <v>2183.0</v>
      </c>
      <c r="B2185" s="3" t="s">
        <v>2185</v>
      </c>
      <c r="C2185" s="3" t="str">
        <f>IFERROR(__xludf.DUMMYFUNCTION("GOOGLETRANSLATE(B2185,""id"",""en"")"),"['Please', 'signal', 'strengthen', 'cook', 'Fiks', 'comfortable', 'bang', 'signal', 'red', 'trus', 'ngegame']")</f>
        <v>['Please', 'signal', 'strengthen', 'cook', 'Fiks', 'comfortable', 'bang', 'signal', 'red', 'trus', 'ngegame']</v>
      </c>
      <c r="D2185" s="3">
        <v>1.0</v>
      </c>
    </row>
    <row r="2186" ht="15.75" customHeight="1">
      <c r="A2186" s="1">
        <v>2184.0</v>
      </c>
      <c r="B2186" s="3" t="s">
        <v>2186</v>
      </c>
      <c r="C2186" s="3" t="str">
        <f>IFERROR(__xludf.DUMMYFUNCTION("GOOGLETRANSLATE(B2186,""id"",""en"")"),"['quota', 'multimedia', 'reduced', 'use', 'quota', 'main', 'quota', 'main', 'bad', '']")</f>
        <v>['quota', 'multimedia', 'reduced', 'use', 'quota', 'main', 'quota', 'main', 'bad', '']</v>
      </c>
      <c r="D2186" s="3">
        <v>1.0</v>
      </c>
    </row>
    <row r="2187" ht="15.75" customHeight="1">
      <c r="A2187" s="1">
        <v>2185.0</v>
      </c>
      <c r="B2187" s="3" t="s">
        <v>2187</v>
      </c>
      <c r="C2187" s="3" t="str">
        <f>IFERROR(__xludf.DUMMYFUNCTION("GOOGLETRANSLATE(B2187,""id"",""en"")"),"['Sis',' subscriber ',' Disney ',' right ',' press', 'it's a big', 'good', 'right', 'check', 'pulse', 'please', 'update', ' JDI ',' Good ']")</f>
        <v>['Sis',' subscriber ',' Disney ',' right ',' press', 'it's a big', 'good', 'right', 'check', 'pulse', 'please', 'update', ' JDI ',' Good ']</v>
      </c>
      <c r="D2187" s="3">
        <v>1.0</v>
      </c>
    </row>
    <row r="2188" ht="15.75" customHeight="1">
      <c r="A2188" s="1">
        <v>2186.0</v>
      </c>
      <c r="B2188" s="3" t="s">
        <v>2188</v>
      </c>
      <c r="C2188" s="3" t="str">
        <f>IFERROR(__xludf.DUMMYFUNCTION("GOOGLETRANSLATE(B2188,""id"",""en"")"),"['promo', 'buy', 'package', 'expensive', 'slow', 'signal', 'full', 'edge', 'comedy', 'really', ""]")</f>
        <v>['promo', 'buy', 'package', 'expensive', 'slow', 'signal', 'full', 'edge', 'comedy', 'really', "]</v>
      </c>
      <c r="D2188" s="3">
        <v>1.0</v>
      </c>
    </row>
    <row r="2189" ht="15.75" customHeight="1">
      <c r="A2189" s="1">
        <v>2187.0</v>
      </c>
      <c r="B2189" s="3" t="s">
        <v>2189</v>
      </c>
      <c r="C2189" s="3" t="str">
        <f>IFERROR(__xludf.DUMMYFUNCTION("GOOGLETRANSLATE(B2189,""id"",""en"")"),"['Collectin', 'Points',' Fill ',' Credit ',' Points', 'Exchangeable', 'Tuker', 'Points',' Quota ',' Mulu ',' Reasons', 'Server', ' Busy ',' Please ',' Sorry ',' System ',' Busy ',' Try ',' Points', 'Returned', 'Thank', 'Love', ""]")</f>
        <v>['Collectin', 'Points',' Fill ',' Credit ',' Points', 'Exchangeable', 'Tuker', 'Points',' Quota ',' Mulu ',' Reasons', 'Server', ' Busy ',' Please ',' Sorry ',' System ',' Busy ',' Try ',' Points', 'Returned', 'Thank', 'Love', "]</v>
      </c>
      <c r="D2189" s="3">
        <v>1.0</v>
      </c>
    </row>
    <row r="2190" ht="15.75" customHeight="1">
      <c r="A2190" s="1">
        <v>2188.0</v>
      </c>
      <c r="B2190" s="3" t="s">
        <v>2190</v>
      </c>
      <c r="C2190" s="3" t="str">
        <f>IFERROR(__xludf.DUMMYFUNCTION("GOOGLETRANSLATE(B2190,""id"",""en"")"),"['Sorry', 'Love', 'Star', 'Network', 'Hose', 'Telkomsel', 'Severe', 'Network', ""]")</f>
        <v>['Sorry', 'Love', 'Star', 'Network', 'Hose', 'Telkomsel', 'Severe', 'Network', "]</v>
      </c>
      <c r="D2190" s="3">
        <v>3.0</v>
      </c>
    </row>
    <row r="2191" ht="15.75" customHeight="1">
      <c r="A2191" s="1">
        <v>2189.0</v>
      </c>
      <c r="B2191" s="3" t="s">
        <v>2191</v>
      </c>
      <c r="C2191" s="3" t="str">
        <f>IFERROR(__xludf.DUMMYFUNCTION("GOOGLETRANSLATE(B2191,""id"",""en"")"),"['Difficult', 'Download', 'Telkomsel', 'Come Come', 'Good', 'Difficult', 'Access', 'Telkomsel', 'Register', 'Package', 'Internet', ""]")</f>
        <v>['Difficult', 'Download', 'Telkomsel', 'Come Come', 'Good', 'Difficult', 'Access', 'Telkomsel', 'Register', 'Package', 'Internet', "]</v>
      </c>
      <c r="D2191" s="3">
        <v>4.0</v>
      </c>
    </row>
    <row r="2192" ht="15.75" customHeight="1">
      <c r="A2192" s="1">
        <v>2190.0</v>
      </c>
      <c r="B2192" s="3" t="s">
        <v>2192</v>
      </c>
      <c r="C2192" s="3" t="str">
        <f>IFERROR(__xludf.DUMMYFUNCTION("GOOGLETRANSLATE(B2192,""id"",""en"")"),"['expensive', 'buy', 'quota', 'unlimited', 'already', 'rare', 'already', 'bro', 'move', 'card', 'expensive', 'quota', ' Suggestion ',' bro ',' Network ',' good ',' really ',' plosok ',' disorder ',' rain ',' go out ',' Telkomsel ',' mah ',' severe ',' bro"&amp;" ' , 'Sousal', 'right', 'rain', 'already', 'slow', 'really']")</f>
        <v>['expensive', 'buy', 'quota', 'unlimited', 'already', 'rare', 'already', 'bro', 'move', 'card', 'expensive', 'quota', ' Suggestion ',' bro ',' Network ',' good ',' really ',' plosok ',' disorder ',' rain ',' go out ',' Telkomsel ',' mah ',' severe ',' bro ' , 'Sousal', 'right', 'rain', 'already', 'slow', 'really']</v>
      </c>
      <c r="D2192" s="3">
        <v>1.0</v>
      </c>
    </row>
    <row r="2193" ht="15.75" customHeight="1">
      <c r="A2193" s="1">
        <v>2191.0</v>
      </c>
      <c r="B2193" s="3" t="s">
        <v>2193</v>
      </c>
      <c r="C2193" s="3" t="str">
        <f>IFERROR(__xludf.DUMMYFUNCTION("GOOGLETRANSLATE(B2193,""id"",""en"")"),"['wahhh', 'beressss',' quota ',' main ',' quota ',' chat ',' pulseku ',' cheek ',' little ',' pdhl ',' sms', 'nelphone', ' Kagak ',' System ',' SBNR ',' SPRTI ',' WOIII ',' Maling ',' Nyolong ',' Low ',' Low ',' BKN ',' Numbers', 'already', 'Discard' , 'h"&amp;"armful', '']")</f>
        <v>['wahhh', 'beressss',' quota ',' main ',' quota ',' chat ',' pulseku ',' cheek ',' little ',' pdhl ',' sms', 'nelphone', ' Kagak ',' System ',' SBNR ',' SPRTI ',' WOIII ',' Maling ',' Nyolong ',' Low ',' Low ',' BKN ',' Numbers', 'already', 'Discard' , 'harmful', '']</v>
      </c>
      <c r="D2193" s="3">
        <v>2.0</v>
      </c>
    </row>
    <row r="2194" ht="15.75" customHeight="1">
      <c r="A2194" s="1">
        <v>2192.0</v>
      </c>
      <c r="B2194" s="3" t="s">
        <v>2194</v>
      </c>
      <c r="C2194" s="3" t="str">
        <f>IFERROR(__xludf.DUMMYFUNCTION("GOOGLETRANSLATE(B2194,""id"",""en"")"),"['', 'package', 'internet', 'expensive', 'Located', 'already', 'cheap', 'love', 'star']")</f>
        <v>['', 'package', 'internet', 'expensive', 'Located', 'already', 'cheap', 'love', 'star']</v>
      </c>
      <c r="D2194" s="3">
        <v>1.0</v>
      </c>
    </row>
    <row r="2195" ht="15.75" customHeight="1">
      <c r="A2195" s="1">
        <v>2193.0</v>
      </c>
      <c r="B2195" s="3" t="s">
        <v>2195</v>
      </c>
      <c r="C2195" s="3" t="str">
        <f>IFERROR(__xludf.DUMMYFUNCTION("GOOGLETRANSLATE(B2195,""id"",""en"")"),"['Telkomsel', 'Joblok', 'Sousal', 'Maen', 'Game', 'Blood', 'Kog', 'No', 'Repair', ""]")</f>
        <v>['Telkomsel', 'Joblok', 'Sousal', 'Maen', 'Game', 'Blood', 'Kog', 'No', 'Repair', "]</v>
      </c>
      <c r="D2195" s="3">
        <v>1.0</v>
      </c>
    </row>
    <row r="2196" ht="15.75" customHeight="1">
      <c r="A2196" s="1">
        <v>2194.0</v>
      </c>
      <c r="B2196" s="3" t="s">
        <v>2196</v>
      </c>
      <c r="C2196" s="3" t="str">
        <f>IFERROR(__xludf.DUMMYFUNCTION("GOOGLETRANSLATE(B2196,""id"",""en"")"),"['Network', 'Cool', 'price', 'quota', 'internet', 'cheap', 'community', 'enjoy']")</f>
        <v>['Network', 'Cool', 'price', 'quota', 'internet', 'cheap', 'community', 'enjoy']</v>
      </c>
      <c r="D2196" s="3">
        <v>5.0</v>
      </c>
    </row>
    <row r="2197" ht="15.75" customHeight="1">
      <c r="A2197" s="1">
        <v>2195.0</v>
      </c>
      <c r="B2197" s="3" t="s">
        <v>2197</v>
      </c>
      <c r="C2197" s="3" t="str">
        <f>IFERROR(__xludf.DUMMYFUNCTION("GOOGLETRANSLATE(B2197,""id"",""en"")"),"['quota', 'Ministry of Education and Culture', 'Nge', 'lag', 'Open', 'Google', 'Bener', 'lag', 'work', 'task', ""]")</f>
        <v>['quota', 'Ministry of Education and Culture', 'Nge', 'lag', 'Open', 'Google', 'Bener', 'lag', 'work', 'task', "]</v>
      </c>
      <c r="D2197" s="3">
        <v>1.0</v>
      </c>
    </row>
    <row r="2198" ht="15.75" customHeight="1">
      <c r="A2198" s="1">
        <v>2196.0</v>
      </c>
      <c r="B2198" s="3" t="s">
        <v>2198</v>
      </c>
      <c r="C2198" s="3" t="str">
        <f>IFERROR(__xludf.DUMMYFUNCTION("GOOGLETRANSLATE(B2198,""id"",""en"")"),"['thanks',' love ',' Telkomsel ',' facilitates', 'community', 'Indonesia', 'purchase', 'pulse', 'application', 'keep', 'innovate', 'life', ' Indonesian society', '']")</f>
        <v>['thanks',' love ',' Telkomsel ',' facilitates', 'community', 'Indonesia', 'purchase', 'pulse', 'application', 'keep', 'innovate', 'life', ' Indonesian society', '']</v>
      </c>
      <c r="D2198" s="3">
        <v>5.0</v>
      </c>
    </row>
    <row r="2199" ht="15.75" customHeight="1">
      <c r="A2199" s="1">
        <v>2197.0</v>
      </c>
      <c r="B2199" s="3" t="s">
        <v>2199</v>
      </c>
      <c r="C2199" s="3" t="str">
        <f>IFERROR(__xludf.DUMMYFUNCTION("GOOGLETRANSLATE(B2199,""id"",""en"")"),"['Network', 'disappointing', 'price', 'quality', 'sifutt', 'sangaat', 'disappointing', 'lag', 'haughing', 'games',' watch ',' video ',' Loading ',' essence ',' disappointing ',' ']")</f>
        <v>['Network', 'disappointing', 'price', 'quality', 'sifutt', 'sangaat', 'disappointing', 'lag', 'haughing', 'games',' watch ',' video ',' Loading ',' essence ',' disappointing ',' ']</v>
      </c>
      <c r="D2199" s="3">
        <v>1.0</v>
      </c>
    </row>
    <row r="2200" ht="15.75" customHeight="1">
      <c r="A2200" s="1">
        <v>2198.0</v>
      </c>
      <c r="B2200" s="3" t="s">
        <v>2200</v>
      </c>
      <c r="C2200" s="3" t="str">
        <f>IFERROR(__xludf.DUMMYFUNCTION("GOOGLETRANSLATE(B2200,""id"",""en"")"),"['promo', 'package', 'cheap', 'network', 'slow', 'consistent', 'disappointed', 'really', 'costumer']")</f>
        <v>['promo', 'package', 'cheap', 'network', 'slow', 'consistent', 'disappointed', 'really', 'costumer']</v>
      </c>
      <c r="D2200" s="3">
        <v>2.0</v>
      </c>
    </row>
    <row r="2201" ht="15.75" customHeight="1">
      <c r="A2201" s="1">
        <v>2199.0</v>
      </c>
      <c r="B2201" s="3" t="s">
        <v>2201</v>
      </c>
      <c r="C2201" s="3" t="str">
        <f>IFERROR(__xludf.DUMMYFUNCTION("GOOGLETRANSLATE(B2201,""id"",""en"")"),"['Customer', 'Telkomsel', 'Lottery', 'form', 'anything', 'smg', 'can', 'lottery', 'hepi', 'aamin']")</f>
        <v>['Customer', 'Telkomsel', 'Lottery', 'form', 'anything', 'smg', 'can', 'lottery', 'hepi', 'aamin']</v>
      </c>
      <c r="D2201" s="3">
        <v>5.0</v>
      </c>
    </row>
    <row r="2202" ht="15.75" customHeight="1">
      <c r="A2202" s="1">
        <v>2200.0</v>
      </c>
      <c r="B2202" s="3" t="s">
        <v>2202</v>
      </c>
      <c r="C2202" s="3" t="str">
        <f>IFERROR(__xludf.DUMMYFUNCTION("GOOGLETRANSLATE(B2202,""id"",""en"")"),"['package', 'normal', 'game', 'online', 'sorry', 'love', 'star', 'game', 'online', 'love', 'full']")</f>
        <v>['package', 'normal', 'game', 'online', 'sorry', 'love', 'star', 'game', 'online', 'love', 'full']</v>
      </c>
      <c r="D2202" s="3">
        <v>1.0</v>
      </c>
    </row>
    <row r="2203" ht="15.75" customHeight="1">
      <c r="A2203" s="1">
        <v>2201.0</v>
      </c>
      <c r="B2203" s="3" t="s">
        <v>2203</v>
      </c>
      <c r="C2203" s="3" t="str">
        <f>IFERROR(__xludf.DUMMYFUNCTION("GOOGLETRANSLATE(B2203,""id"",""en"")"),"['account', 'yaa', 'hargi', 'open', 'the application', 'uninstall', 'fit', 'install', 'install', 'what', 'solution', ""]")</f>
        <v>['account', 'yaa', 'hargi', 'open', 'the application', 'uninstall', 'fit', 'install', 'install', 'what', 'solution', "]</v>
      </c>
      <c r="D2203" s="3">
        <v>1.0</v>
      </c>
    </row>
    <row r="2204" ht="15.75" customHeight="1">
      <c r="A2204" s="1">
        <v>2202.0</v>
      </c>
      <c r="B2204" s="3" t="s">
        <v>2204</v>
      </c>
      <c r="C2204" s="3" t="str">
        <f>IFERROR(__xludf.DUMMYFUNCTION("GOOGLETRANSLATE(B2204,""id"",""en"")"),"['network', 'kek', 'network', 'fix', 'package', 'love', 'expensive', 'price', 'expensive', 'network', 'zero', 'package', ' expensive ',' quality ',' zero ']")</f>
        <v>['network', 'kek', 'network', 'fix', 'package', 'love', 'expensive', 'price', 'expensive', 'network', 'zero', 'package', ' expensive ',' quality ',' zero ']</v>
      </c>
      <c r="D2204" s="3">
        <v>1.0</v>
      </c>
    </row>
    <row r="2205" ht="15.75" customHeight="1">
      <c r="A2205" s="1">
        <v>2203.0</v>
      </c>
      <c r="B2205" s="3" t="s">
        <v>2205</v>
      </c>
      <c r="C2205" s="3" t="str">
        <f>IFERROR(__xludf.DUMMYFUNCTION("GOOGLETRANSLATE(B2205,""id"",""en"")"),"['Please', 'Network', 'Region', 'Cikarang', 'North', 'Fix', 'Buy', 'Paketan', 'Expensive', 'Network', 'Drop', 'Mulu', ' The tip ',' quota ',' angus', 'kepakai', 'because', 'jaribgan', 'weak', 'stem', ""]")</f>
        <v>['Please', 'Network', 'Region', 'Cikarang', 'North', 'Fix', 'Buy', 'Paketan', 'Expensive', 'Network', 'Drop', 'Mulu', ' The tip ',' quota ',' angus', 'kepakai', 'because', 'jaribgan', 'weak', 'stem', "]</v>
      </c>
      <c r="D2205" s="3">
        <v>3.0</v>
      </c>
    </row>
    <row r="2206" ht="15.75" customHeight="1">
      <c r="A2206" s="1">
        <v>2204.0</v>
      </c>
      <c r="B2206" s="3" t="s">
        <v>2206</v>
      </c>
      <c r="C2206" s="3" t="str">
        <f>IFERROR(__xludf.DUMMYFUNCTION("GOOGLETRANSLATE(B2206,""id"",""en"")"),"['', 'Telkomsel', 'good', 'quota', 'check']")</f>
        <v>['', 'Telkomsel', 'good', 'quota', 'check']</v>
      </c>
      <c r="D2206" s="3">
        <v>5.0</v>
      </c>
    </row>
    <row r="2207" ht="15.75" customHeight="1">
      <c r="A2207" s="1">
        <v>2205.0</v>
      </c>
      <c r="B2207" s="3" t="s">
        <v>2207</v>
      </c>
      <c r="C2207" s="3" t="str">
        <f>IFERROR(__xludf.DUMMYFUNCTION("GOOGLETRANSLATE(B2207,""id"",""en"")"),"['Package', 'Changed', 'Change', 'Competitors', 'Strong', 'The Network', 'Sya', 'Leave', '']")</f>
        <v>['Package', 'Changed', 'Change', 'Competitors', 'Strong', 'The Network', 'Sya', 'Leave', '']</v>
      </c>
      <c r="D2207" s="3">
        <v>5.0</v>
      </c>
    </row>
    <row r="2208" ht="15.75" customHeight="1">
      <c r="A2208" s="1">
        <v>2206.0</v>
      </c>
      <c r="B2208" s="3" t="s">
        <v>2208</v>
      </c>
      <c r="C2208" s="3" t="str">
        <f>IFERROR(__xludf.DUMMYFUNCTION("GOOGLETRANSLATE(B2208,""id"",""en"")"),"['Uhhh', 'Wrong', 'Forgot', 'Wear', 'Pulses', 'Nge', 'SMS', 'Call', ""]")</f>
        <v>['Uhhh', 'Wrong', 'Forgot', 'Wear', 'Pulses', 'Nge', 'SMS', 'Call', "]</v>
      </c>
      <c r="D2208" s="3">
        <v>5.0</v>
      </c>
    </row>
    <row r="2209" ht="15.75" customHeight="1">
      <c r="A2209" s="1">
        <v>2207.0</v>
      </c>
      <c r="B2209" s="3" t="s">
        <v>2209</v>
      </c>
      <c r="C2209" s="3" t="str">
        <f>IFERROR(__xludf.DUMMYFUNCTION("GOOGLETRANSLATE(B2209,""id"",""en"")"),"['Telkomsel', 'severe', 'network', 'cellular', 'network', 'internet', 'slow', 'lose', 'Indosat', 'card', 'Telkomselku', 'waste', ' Toilet ']")</f>
        <v>['Telkomsel', 'severe', 'network', 'cellular', 'network', 'internet', 'slow', 'lose', 'Indosat', 'card', 'Telkomselku', 'waste', ' Toilet ']</v>
      </c>
      <c r="D2209" s="3">
        <v>1.0</v>
      </c>
    </row>
    <row r="2210" ht="15.75" customHeight="1">
      <c r="A2210" s="1">
        <v>2208.0</v>
      </c>
      <c r="B2210" s="3" t="s">
        <v>2210</v>
      </c>
      <c r="C2210" s="3" t="str">
        <f>IFERROR(__xludf.DUMMYFUNCTION("GOOGLETRANSLATE(B2210,""id"",""en"")"),"['Application', 'open', 'dupgarade', 'difficult', 'enter', 'check', 'pulse', 'quota', 'sms', 'installed', 'the application', ""]")</f>
        <v>['Application', 'open', 'dupgarade', 'difficult', 'enter', 'check', 'pulse', 'quota', 'sms', 'installed', 'the application', "]</v>
      </c>
      <c r="D2210" s="3">
        <v>1.0</v>
      </c>
    </row>
    <row r="2211" ht="15.75" customHeight="1">
      <c r="A2211" s="1">
        <v>2209.0</v>
      </c>
      <c r="B2211" s="3" t="s">
        <v>2211</v>
      </c>
      <c r="C2211" s="3" t="str">
        <f>IFERROR(__xludf.DUMMYFUNCTION("GOOGLETRANSLATE(B2211,""id"",""en"")"),"['worry', 'run out', 'package', 'data', 'program', 'promo', 'free', 'convenience', 'transact']")</f>
        <v>['worry', 'run out', 'package', 'data', 'program', 'promo', 'free', 'convenience', 'transact']</v>
      </c>
      <c r="D2211" s="3">
        <v>5.0</v>
      </c>
    </row>
    <row r="2212" ht="15.75" customHeight="1">
      <c r="A2212" s="1">
        <v>2210.0</v>
      </c>
      <c r="B2212" s="3" t="s">
        <v>2212</v>
      </c>
      <c r="C2212" s="3" t="str">
        <f>IFERROR(__xludf.DUMMYFUNCTION("GOOGLETRANSLATE(B2212,""id"",""en"")"),"['Application', 'Sorry', 'Rough', 'Bad', 'Bad', 'Anyway', 'Telkomsel', 'Vendor', 'Buy', 'Credit', 'ilang', 'Credit', ' Pointed ',' Data ',' Direct ',' Out ']")</f>
        <v>['Application', 'Sorry', 'Rough', 'Bad', 'Bad', 'Anyway', 'Telkomsel', 'Vendor', 'Buy', 'Credit', 'ilang', 'Credit', ' Pointed ',' Data ',' Direct ',' Out ']</v>
      </c>
      <c r="D2212" s="3">
        <v>1.0</v>
      </c>
    </row>
    <row r="2213" ht="15.75" customHeight="1">
      <c r="A2213" s="1">
        <v>2211.0</v>
      </c>
      <c r="B2213" s="3" t="s">
        <v>2213</v>
      </c>
      <c r="C2213" s="3" t="str">
        <f>IFERROR(__xludf.DUMMYFUNCTION("GOOGLETRANSLATE(B2213,""id"",""en"")"),"['signal', 'promo', 'easy', 'reached', '']")</f>
        <v>['signal', 'promo', 'easy', 'reached', '']</v>
      </c>
      <c r="D2213" s="3">
        <v>5.0</v>
      </c>
    </row>
    <row r="2214" ht="15.75" customHeight="1">
      <c r="A2214" s="1">
        <v>2212.0</v>
      </c>
      <c r="B2214" s="3" t="s">
        <v>2214</v>
      </c>
      <c r="C2214" s="3" t="str">
        <f>IFERROR(__xludf.DUMMYFUNCTION("GOOGLETRANSLATE(B2214,""id"",""en"")"),"['May', 'tekomsel', 'application', 'help', 'hope', 'promo', 'free']")</f>
        <v>['May', 'tekomsel', 'application', 'help', 'hope', 'promo', 'free']</v>
      </c>
      <c r="D2214" s="3">
        <v>5.0</v>
      </c>
    </row>
    <row r="2215" ht="15.75" customHeight="1">
      <c r="A2215" s="1">
        <v>2213.0</v>
      </c>
      <c r="B2215" s="3" t="s">
        <v>2215</v>
      </c>
      <c r="C2215" s="3" t="str">
        <f>IFERROR(__xludf.DUMMYFUNCTION("GOOGLETRANSLATE(B2215,""id"",""en"")"),"['Network', 'pig', 'price', 'expensive', 'quality', 'ugly', 'ride', 'quality', 'card', 'minimal', 'tuinin', 'price', ' Expensive ',' expensive ',' ugly ', ""]")</f>
        <v>['Network', 'pig', 'price', 'expensive', 'quality', 'ugly', 'ride', 'quality', 'card', 'minimal', 'tuinin', 'price', ' Expensive ',' expensive ',' ugly ', "]</v>
      </c>
      <c r="D2215" s="3">
        <v>1.0</v>
      </c>
    </row>
    <row r="2216" ht="15.75" customHeight="1">
      <c r="A2216" s="1">
        <v>2214.0</v>
      </c>
      <c r="B2216" s="3" t="s">
        <v>2216</v>
      </c>
      <c r="C2216" s="3" t="str">
        <f>IFERROR(__xludf.DUMMYFUNCTION("GOOGLETRANSLATE(B2216,""id"",""en"")"),"['min', 'area', 'Tegal', 'buy', 'quota', 'internet', 'daily', 'cookkkkk', 'lazy', 'want', 'move', 'card', ' Telkomsel ']")</f>
        <v>['min', 'area', 'Tegal', 'buy', 'quota', 'internet', 'daily', 'cookkkkk', 'lazy', 'want', 'move', 'card', ' Telkomsel ']</v>
      </c>
      <c r="D2216" s="3">
        <v>1.0</v>
      </c>
    </row>
    <row r="2217" ht="15.75" customHeight="1">
      <c r="A2217" s="1">
        <v>2215.0</v>
      </c>
      <c r="B2217" s="3" t="s">
        <v>2217</v>
      </c>
      <c r="C2217" s="3" t="str">
        <f>IFERROR(__xludf.DUMMYFUNCTION("GOOGLETRANSLATE(B2217,""id"",""en"")"),"['PAS', 'Login', 'Enter', 'Bangettt', 'Dulunia', 'Baguss',' No "", '']")</f>
        <v>['PAS', 'Login', 'Enter', 'Bangettt', 'Dulunia', 'Baguss',' No ", '']</v>
      </c>
      <c r="D2217" s="3">
        <v>3.0</v>
      </c>
    </row>
    <row r="2218" ht="15.75" customHeight="1">
      <c r="A2218" s="1">
        <v>2216.0</v>
      </c>
      <c r="B2218" s="3" t="s">
        <v>2218</v>
      </c>
      <c r="C2218" s="3" t="str">
        <f>IFERROR(__xludf.DUMMYFUNCTION("GOOGLETRANSLATE(B2218,""id"",""en"")"),"['signal', 'ugly', 'Please', 'Telkomsel', 'explains', 'thank you']")</f>
        <v>['signal', 'ugly', 'Please', 'Telkomsel', 'explains', 'thank you']</v>
      </c>
      <c r="D2218" s="3">
        <v>1.0</v>
      </c>
    </row>
    <row r="2219" ht="15.75" customHeight="1">
      <c r="A2219" s="1">
        <v>2217.0</v>
      </c>
      <c r="B2219" s="3" t="s">
        <v>2219</v>
      </c>
      <c r="C2219" s="3" t="str">
        <f>IFERROR(__xludf.DUMMYFUNCTION("GOOGLETRANSLATE(B2219,""id"",""en"")"),"['Good', 'please', 'quota', 'city', 'city', 'thank you']")</f>
        <v>['Good', 'please', 'quota', 'city', 'city', 'thank you']</v>
      </c>
      <c r="D2219" s="3">
        <v>4.0</v>
      </c>
    </row>
    <row r="2220" ht="15.75" customHeight="1">
      <c r="A2220" s="1">
        <v>2218.0</v>
      </c>
      <c r="B2220" s="3" t="s">
        <v>2220</v>
      </c>
      <c r="C2220" s="3" t="str">
        <f>IFERROR(__xludf.DUMMYFUNCTION("GOOGLETRANSLATE(B2220,""id"",""en"")"),"['Gara', 'Gara', 'Main', 'Game', 'Online', 'Sousal', 'ugly', 'account', 'Kewned', 'Gara', 'Frequency', 'AFK', ' Play ',' Sosmed ',' Current ',' Please ',' HOLDA ',' TELKOMSELL ',' LOSS ',' Account ',' Kewned ',' Gara ',' Gara ',' AFK ',' Please ' , 'HOLDA"&amp;"', 'answers']")</f>
        <v>['Gara', 'Gara', 'Main', 'Game', 'Online', 'Sousal', 'ugly', 'account', 'Kewned', 'Gara', 'Frequency', 'AFK', ' Play ',' Sosmed ',' Current ',' Please ',' HOLDA ',' TELKOMSELL ',' LOSS ',' Account ',' Kewned ',' Gara ',' Gara ',' AFK ',' Please ' , 'HOLDA', 'answers']</v>
      </c>
      <c r="D2220" s="3">
        <v>1.0</v>
      </c>
    </row>
    <row r="2221" ht="15.75" customHeight="1">
      <c r="A2221" s="1">
        <v>2219.0</v>
      </c>
      <c r="B2221" s="3" t="s">
        <v>2221</v>
      </c>
      <c r="C2221" s="3" t="str">
        <f>IFERROR(__xludf.DUMMYFUNCTION("GOOGLETRANSLATE(B2221,""id"",""en"")"),"['Baguuuus', 'application', '']")</f>
        <v>['Baguuuus', 'application', '']</v>
      </c>
      <c r="D2221" s="3">
        <v>5.0</v>
      </c>
    </row>
    <row r="2222" ht="15.75" customHeight="1">
      <c r="A2222" s="1">
        <v>2220.0</v>
      </c>
      <c r="B2222" s="3" t="s">
        <v>2222</v>
      </c>
      <c r="C2222" s="3" t="str">
        <f>IFERROR(__xludf.DUMMYFUNCTION("GOOGLETRANSLATE(B2222,""id"",""en"")"),"['love', 'zero', 'star', 'empty', 'star', 'application', 'trash', 'pay', 'purchase', 'install', 'link', 'auto', ' Uninstall ',' Apps', 'Menuhin', 'Storage']")</f>
        <v>['love', 'zero', 'star', 'empty', 'star', 'application', 'trash', 'pay', 'purchase', 'install', 'link', 'auto', ' Uninstall ',' Apps', 'Menuhin', 'Storage']</v>
      </c>
      <c r="D2222" s="3">
        <v>1.0</v>
      </c>
    </row>
    <row r="2223" ht="15.75" customHeight="1">
      <c r="A2223" s="1">
        <v>2221.0</v>
      </c>
      <c r="B2223" s="3" t="s">
        <v>2223</v>
      </c>
      <c r="C2223" s="3" t="str">
        <f>IFERROR(__xludf.DUMMYFUNCTION("GOOGLETRANSLATE(B2223,""id"",""en"")"),"['admin', 'update', 'entry', 'select', 'shopping', 'loading', 'viewer', 'smooth', 'update', 'display', 'different', 'ndak', ' believe ',' please ',' chabbed ',' admin ',' suggestion ',' build ',' reward ']")</f>
        <v>['admin', 'update', 'entry', 'select', 'shopping', 'loading', 'viewer', 'smooth', 'update', 'display', 'different', 'ndak', ' believe ',' please ',' chabbed ',' admin ',' suggestion ',' build ',' reward ']</v>
      </c>
      <c r="D2223" s="3">
        <v>5.0</v>
      </c>
    </row>
    <row r="2224" ht="15.75" customHeight="1">
      <c r="A2224" s="1">
        <v>2222.0</v>
      </c>
      <c r="B2224" s="3" t="s">
        <v>2224</v>
      </c>
      <c r="C2224" s="3" t="str">
        <f>IFERROR(__xludf.DUMMYFUNCTION("GOOGLETRANSLATE(B2224,""id"",""en"")"),"['clock', 'pulse', 'pdhl', 'sent', 'repeated', 'pulses', 'sent', 'where', 'pulse']")</f>
        <v>['clock', 'pulse', 'pdhl', 'sent', 'repeated', 'pulses', 'sent', 'where', 'pulse']</v>
      </c>
      <c r="D2224" s="3">
        <v>1.0</v>
      </c>
    </row>
    <row r="2225" ht="15.75" customHeight="1">
      <c r="A2225" s="1">
        <v>2223.0</v>
      </c>
      <c r="B2225" s="3" t="s">
        <v>2225</v>
      </c>
      <c r="C2225" s="3" t="str">
        <f>IFERROR(__xludf.DUMMYFUNCTION("GOOGLETRANSLATE(B2225,""id"",""en"")"),"['version', 'newest', 'enter', 'play', 'menu', 'update', 'severe', 'chaotic']")</f>
        <v>['version', 'newest', 'enter', 'play', 'menu', 'update', 'severe', 'chaotic']</v>
      </c>
      <c r="D2225" s="3">
        <v>2.0</v>
      </c>
    </row>
    <row r="2226" ht="15.75" customHeight="1">
      <c r="A2226" s="1">
        <v>2224.0</v>
      </c>
      <c r="B2226" s="3" t="s">
        <v>2226</v>
      </c>
      <c r="C2226" s="3" t="str">
        <f>IFERROR(__xludf.DUMMYFUNCTION("GOOGLETRANSLATE(B2226,""id"",""en"")"),"['Help', 'hope', 'application', 'promo', 'in the future', '']")</f>
        <v>['Help', 'hope', 'application', 'promo', 'in the future', '']</v>
      </c>
      <c r="D2226" s="3">
        <v>5.0</v>
      </c>
    </row>
    <row r="2227" ht="15.75" customHeight="1">
      <c r="A2227" s="1">
        <v>2225.0</v>
      </c>
      <c r="B2227" s="3" t="s">
        <v>2227</v>
      </c>
      <c r="C2227" s="3" t="str">
        <f>IFERROR(__xludf.DUMMYFUNCTION("GOOGLETRANSLATE(B2227,""id"",""en"")"),"['really', 'got', 'promo', 'package', 'data', 'right', 'bought', 'use', 'manual', 'appears',' system ',' busy ',' Send ',' message ',' promo ',' right ',' bought ',' ']")</f>
        <v>['really', 'got', 'promo', 'package', 'data', 'right', 'bought', 'use', 'manual', 'appears',' system ',' busy ',' Send ',' message ',' promo ',' right ',' bought ',' ']</v>
      </c>
      <c r="D2227" s="3">
        <v>1.0</v>
      </c>
    </row>
    <row r="2228" ht="15.75" customHeight="1">
      <c r="A2228" s="1">
        <v>2226.0</v>
      </c>
      <c r="B2228" s="3" t="s">
        <v>2228</v>
      </c>
      <c r="C2228" s="3" t="str">
        <f>IFERROR(__xludf.DUMMYFUNCTION("GOOGLETRANSLATE(B2228,""id"",""en"")"),"['Help', 'Increase', 'Speed', 'Network', 'Donk', 'Kecamatan', 'Tayu', 'Kabupaten', 'Pati', 'Central Java', 'Measons',' Diesa ',' Keboromo ',' because ',' the network ',' weak ',' trimakasih ']")</f>
        <v>['Help', 'Increase', 'Speed', 'Network', 'Donk', 'Kecamatan', 'Tayu', 'Kabupaten', 'Pati', 'Central Java', 'Measons',' Diesa ',' Keboromo ',' because ',' the network ',' weak ',' trimakasih ']</v>
      </c>
      <c r="D2228" s="3">
        <v>5.0</v>
      </c>
    </row>
    <row r="2229" ht="15.75" customHeight="1">
      <c r="A2229" s="1">
        <v>2227.0</v>
      </c>
      <c r="B2229" s="3" t="s">
        <v>2229</v>
      </c>
      <c r="C2229" s="3" t="str">
        <f>IFERROR(__xludf.DUMMYFUNCTION("GOOGLETRANSLATE(B2229,""id"",""en"")"),"['', 'Package', 'Package', 'Inet', 'SMS', 'number', 'offer', 'Pinjol', 'Hopefully', 'convenience', 'Customer', 'in the future', "" ]")</f>
        <v>['', 'Package', 'Package', 'Inet', 'SMS', 'number', 'offer', 'Pinjol', 'Hopefully', 'convenience', 'Customer', 'in the future', " ]</v>
      </c>
      <c r="D2229" s="3">
        <v>3.0</v>
      </c>
    </row>
    <row r="2230" ht="15.75" customHeight="1">
      <c r="A2230" s="1">
        <v>2228.0</v>
      </c>
      <c r="B2230" s="3" t="s">
        <v>2230</v>
      </c>
      <c r="C2230" s="3" t="str">
        <f>IFERROR(__xludf.DUMMYFUNCTION("GOOGLETRANSLATE(B2230,""id"",""en"")"),"['User', 'quota', 'affordable', 'Missing', 'expensive', 'Ngani', 'promo', 'sablas', 'disappointed']")</f>
        <v>['User', 'quota', 'affordable', 'Missing', 'expensive', 'Ngani', 'promo', 'sablas', 'disappointed']</v>
      </c>
      <c r="D2230" s="3">
        <v>1.0</v>
      </c>
    </row>
    <row r="2231" ht="15.75" customHeight="1">
      <c r="A2231" s="1">
        <v>2229.0</v>
      </c>
      <c r="B2231" s="3" t="s">
        <v>2231</v>
      </c>
      <c r="C2231" s="3" t="str">
        <f>IFERROR(__xludf.DUMMYFUNCTION("GOOGLETRANSLATE(B2231,""id"",""en"")"),"['network', 'error', 'contact', 'area', 'home', 'network', 'good', 'report', 'constraints',' in the area ',' network ',' city ',' PELOGSOK ',' Credit ',' Out ',' Package ',' Data ',' Out ',' Magic ',' Tuch ',' Nyolong ',' Pulses', ""]")</f>
        <v>['network', 'error', 'contact', 'area', 'home', 'network', 'good', 'report', 'constraints',' in the area ',' network ',' city ',' PELOGSOK ',' Credit ',' Out ',' Package ',' Data ',' Out ',' Magic ',' Tuch ',' Nyolong ',' Pulses', "]</v>
      </c>
      <c r="D2231" s="3">
        <v>1.0</v>
      </c>
    </row>
    <row r="2232" ht="15.75" customHeight="1">
      <c r="A2232" s="1">
        <v>2230.0</v>
      </c>
      <c r="B2232" s="3" t="s">
        <v>2232</v>
      </c>
      <c r="C2232" s="3" t="str">
        <f>IFERROR(__xludf.DUMMYFUNCTION("GOOGLETRANSLATE(B2232,""id"",""en"")"),"['already', 'reporting', 'Jarigan', 'ugly', 'Telkomsel', 'ndak', 'improvement', 'change']")</f>
        <v>['already', 'reporting', 'Jarigan', 'ugly', 'Telkomsel', 'ndak', 'improvement', 'change']</v>
      </c>
      <c r="D2232" s="3">
        <v>1.0</v>
      </c>
    </row>
    <row r="2233" ht="15.75" customHeight="1">
      <c r="A2233" s="1">
        <v>2231.0</v>
      </c>
      <c r="B2233" s="3" t="s">
        <v>2233</v>
      </c>
      <c r="C2233" s="3" t="str">
        <f>IFERROR(__xludf.DUMMYFUNCTION("GOOGLETRANSLATE(B2233,""id"",""en"")"),"['Telkomsel', 'severe', 'pulse', 'drained', 'quota', 'notification', 'SMS', 'use', 'rates',' non ',' package ',' quota ',' please ',' fix ',' detrimental ']")</f>
        <v>['Telkomsel', 'severe', 'pulse', 'drained', 'quota', 'notification', 'SMS', 'use', 'rates',' non ',' package ',' quota ',' please ',' fix ',' detrimental ']</v>
      </c>
      <c r="D2233" s="3">
        <v>1.0</v>
      </c>
    </row>
    <row r="2234" ht="15.75" customHeight="1">
      <c r="A2234" s="1">
        <v>2232.0</v>
      </c>
      <c r="B2234" s="3" t="s">
        <v>2234</v>
      </c>
      <c r="C2234" s="3" t="str">
        <f>IFERROR(__xludf.DUMMYFUNCTION("GOOGLETRANSLATE(B2234,""id"",""en"")"),"['Telkomsel', 'expensive', 'doang', 'network', '']")</f>
        <v>['Telkomsel', 'expensive', 'doang', 'network', '']</v>
      </c>
      <c r="D2234" s="3">
        <v>1.0</v>
      </c>
    </row>
    <row r="2235" ht="15.75" customHeight="1">
      <c r="A2235" s="1">
        <v>2233.0</v>
      </c>
      <c r="B2235" s="3" t="s">
        <v>2235</v>
      </c>
      <c r="C2235" s="3" t="str">
        <f>IFERROR(__xludf.DUMMYFUNCTION("GOOGLETRANSLATE(B2235,""id"",""en"")"),"['already', 'Telkomsel', 'signal', 'ugly', 'Raying', 'Telkomsel', '']")</f>
        <v>['already', 'Telkomsel', 'signal', 'ugly', 'Raying', 'Telkomsel', '']</v>
      </c>
      <c r="D2235" s="3">
        <v>1.0</v>
      </c>
    </row>
    <row r="2236" ht="15.75" customHeight="1">
      <c r="A2236" s="1">
        <v>2234.0</v>
      </c>
      <c r="B2236" s="3" t="s">
        <v>2236</v>
      </c>
      <c r="C2236" s="3" t="str">
        <f>IFERROR(__xludf.DUMMYFUNCTION("GOOGLETRANSLATE(B2236,""id"",""en"")"),"['likes', 'problematic', 'login']")</f>
        <v>['likes', 'problematic', 'login']</v>
      </c>
      <c r="D2236" s="3">
        <v>1.0</v>
      </c>
    </row>
    <row r="2237" ht="15.75" customHeight="1">
      <c r="A2237" s="1">
        <v>2235.0</v>
      </c>
      <c r="B2237" s="3" t="s">
        <v>2237</v>
      </c>
      <c r="C2237" s="3" t="str">
        <f>IFERROR(__xludf.DUMMYFUNCTION("GOOGLETRANSLATE(B2237,""id"",""en"")"),"['jerk', 'Telkomsel', 'here', 'signal', 'ilang', 'Season', 'I', 'Tens',' Telkomsel ',' here ',' signal ',' emotion ',' Soul ',' Area ',' Jakarta ',' Sue ']")</f>
        <v>['jerk', 'Telkomsel', 'here', 'signal', 'ilang', 'Season', 'I', 'Tens',' Telkomsel ',' here ',' signal ',' emotion ',' Soul ',' Area ',' Jakarta ',' Sue ']</v>
      </c>
      <c r="D2237" s="3">
        <v>1.0</v>
      </c>
    </row>
    <row r="2238" ht="15.75" customHeight="1">
      <c r="A2238" s="1">
        <v>2236.0</v>
      </c>
      <c r="B2238" s="3" t="s">
        <v>2238</v>
      </c>
      <c r="C2238" s="3" t="str">
        <f>IFERROR(__xludf.DUMMYFUNCTION("GOOGLETRANSLATE(B2238,""id"",""en"")"),"['The application', 'slow', 'shy', 'shame', 'brand', 'the application', 'slow', 'lose', 'AXIS']")</f>
        <v>['The application', 'slow', 'shy', 'shame', 'brand', 'the application', 'slow', 'lose', 'AXIS']</v>
      </c>
      <c r="D2238" s="3">
        <v>1.0</v>
      </c>
    </row>
    <row r="2239" ht="15.75" customHeight="1">
      <c r="A2239" s="1">
        <v>2237.0</v>
      </c>
      <c r="B2239" s="3" t="s">
        <v>2239</v>
      </c>
      <c r="C2239" s="3" t="str">
        <f>IFERROR(__xludf.DUMMYFUNCTION("GOOGLETRANSLATE(B2239,""id"",""en"")"),"['Card', 'Network', 'Matre', 'Call', 'SMS', 'Internet', 'Credit', 'Reduced', 'Honited', 'Vestibution', 'People', 'Lazy', ' fill in ',' pulse ',' hope ',' rich ',' deh ',' suck ',' pulse ',' thank ',' love ']")</f>
        <v>['Card', 'Network', 'Matre', 'Call', 'SMS', 'Internet', 'Credit', 'Reduced', 'Honited', 'Vestibution', 'People', 'Lazy', ' fill in ',' pulse ',' hope ',' rich ',' deh ',' suck ',' pulse ',' thank ',' love ']</v>
      </c>
      <c r="D2239" s="3">
        <v>2.0</v>
      </c>
    </row>
    <row r="2240" ht="15.75" customHeight="1">
      <c r="A2240" s="1">
        <v>2238.0</v>
      </c>
      <c r="B2240" s="3" t="s">
        <v>2240</v>
      </c>
      <c r="C2240" s="3" t="str">
        <f>IFERROR(__xludf.DUMMYFUNCTION("GOOGLETRANSLATE(B2240,""id"",""en"")"),"['garbage', 'network', 'slow', 'price', 'expensive', 'gave', 'bonus',' point ',' point ',' exchange ',' reason ',' system ',' Busy ',' cuih ',' company ',' Hina ',' closed ',' bro ',' closed ',' already ',' believe ',' community ',' Telkomsel ', ""]")</f>
        <v>['garbage', 'network', 'slow', 'price', 'expensive', 'gave', 'bonus',' point ',' point ',' exchange ',' reason ',' system ',' Busy ',' cuih ',' company ',' Hina ',' closed ',' bro ',' closed ',' already ',' believe ',' community ',' Telkomsel ', "]</v>
      </c>
      <c r="D2240" s="3">
        <v>1.0</v>
      </c>
    </row>
    <row r="2241" ht="15.75" customHeight="1">
      <c r="A2241" s="1">
        <v>2239.0</v>
      </c>
      <c r="B2241" s="3" t="s">
        <v>2241</v>
      </c>
      <c r="C2241" s="3" t="str">
        <f>IFERROR(__xludf.DUMMYFUNCTION("GOOGLETRANSLATE(B2241,""id"",""en"")"),"['strange', 'pulse', 'suck', 'mulu', 'kmrn', 'pdhl', 'quota', 'sya', 'suck', 'mulu', 'turn', 'just', ' thousand ',' pulses', 'suck', 'pulse', 'suck', 'quota', ""]")</f>
        <v>['strange', 'pulse', 'suck', 'mulu', 'kmrn', 'pdhl', 'quota', 'sya', 'suck', 'mulu', 'turn', 'just', ' thousand ',' pulses', 'suck', 'pulse', 'suck', 'quota', "]</v>
      </c>
      <c r="D2241" s="3">
        <v>2.0</v>
      </c>
    </row>
    <row r="2242" ht="15.75" customHeight="1">
      <c r="A2242" s="1">
        <v>2240.0</v>
      </c>
      <c r="B2242" s="3" t="s">
        <v>2242</v>
      </c>
      <c r="C2242" s="3" t="str">
        <f>IFERROR(__xludf.DUMMYFUNCTION("GOOGLETRANSLATE(B2242,""id"",""en"")"),"['Telkomsel', 'auto', 'cuts',' pulses', 'cost', 'internet', 'package', 'data', 'abundant', 'theft', 'pulse', 'his name', ' ']")</f>
        <v>['Telkomsel', 'auto', 'cuts',' pulses', 'cost', 'internet', 'package', 'data', 'abundant', 'theft', 'pulse', 'his name', ' ']</v>
      </c>
      <c r="D2242" s="3">
        <v>1.0</v>
      </c>
    </row>
    <row r="2243" ht="15.75" customHeight="1">
      <c r="A2243" s="1">
        <v>2241.0</v>
      </c>
      <c r="B2243" s="3" t="s">
        <v>2243</v>
      </c>
      <c r="C2243" s="3" t="str">
        <f>IFERROR(__xludf.DUMMYFUNCTION("GOOGLETRANSLATE(B2243,""id"",""en"")"),"['steady', 'min', 'just', 'suggestion', 'network', 'please', 'maximized', 'area', 'remote', 'package', 'bought', 'citizen', ' "", 'Sia', 'expensive']")</f>
        <v>['steady', 'min', 'just', 'suggestion', 'network', 'please', 'maximized', 'area', 'remote', 'package', 'bought', 'citizen', ' ", 'Sia', 'expensive']</v>
      </c>
      <c r="D2243" s="3">
        <v>5.0</v>
      </c>
    </row>
    <row r="2244" ht="15.75" customHeight="1">
      <c r="A2244" s="1">
        <v>2242.0</v>
      </c>
      <c r="B2244" s="3" t="s">
        <v>2244</v>
      </c>
      <c r="C2244" s="3" t="str">
        <f>IFERROR(__xludf.DUMMYFUNCTION("GOOGLETRANSLATE(B2244,""id"",""en"")"),"['Severe', 'aing', 'buy', 'Paketan', 'use', 'APK', 'can', 'network', 'slow', 'his writing', 'Try', 'minutes',' After ',' Wait ',' kagak ',' bought ',' package ',' APK ',' NII ',' Parahhhh ',' Severe ']")</f>
        <v>['Severe', 'aing', 'buy', 'Paketan', 'use', 'APK', 'can', 'network', 'slow', 'his writing', 'Try', 'minutes',' After ',' Wait ',' kagak ',' bought ',' package ',' APK ',' NII ',' Parahhhh ',' Severe ']</v>
      </c>
      <c r="D2244" s="3">
        <v>1.0</v>
      </c>
    </row>
    <row r="2245" ht="15.75" customHeight="1">
      <c r="A2245" s="1">
        <v>2243.0</v>
      </c>
      <c r="B2245" s="3" t="s">
        <v>2245</v>
      </c>
      <c r="C2245" s="3" t="str">
        <f>IFERROR(__xludf.DUMMYFUNCTION("GOOGLETRANSLATE(B2245,""id"",""en"")"),"['Difficult', 'Check', 'Turn', 'Claim', 'Eeeee', 'Points', ""]")</f>
        <v>['Difficult', 'Check', 'Turn', 'Claim', 'Eeeee', 'Points', "]</v>
      </c>
      <c r="D2245" s="3">
        <v>1.0</v>
      </c>
    </row>
    <row r="2246" ht="15.75" customHeight="1">
      <c r="A2246" s="1">
        <v>2244.0</v>
      </c>
      <c r="B2246" s="3" t="s">
        <v>2246</v>
      </c>
      <c r="C2246" s="3" t="str">
        <f>IFERROR(__xludf.DUMMYFUNCTION("GOOGLETRANSLATE(B2246,""id"",""en"")"),"['Please', 'Signal', 'Sumbul', 'Dairi', 'Increase', 'Child', 'School', 'Wear', 'Online', ""]")</f>
        <v>['Please', 'Signal', 'Sumbul', 'Dairi', 'Increase', 'Child', 'School', 'Wear', 'Online', "]</v>
      </c>
      <c r="D2246" s="3">
        <v>5.0</v>
      </c>
    </row>
    <row r="2247" ht="15.75" customHeight="1">
      <c r="A2247" s="1">
        <v>2245.0</v>
      </c>
      <c r="B2247" s="3" t="s">
        <v>2247</v>
      </c>
      <c r="C2247" s="3" t="str">
        <f>IFERROR(__xludf.DUMMYFUNCTION("GOOGLETRANSLATE(B2247,""id"",""en"")"),"['expensive', 'doang', 'quality', 'garbage', 'use', 'operator', 'here', 'qualitations', 'quantity', 'pulp', ""]")</f>
        <v>['expensive', 'doang', 'quality', 'garbage', 'use', 'operator', 'here', 'qualitations', 'quantity', 'pulp', "]</v>
      </c>
      <c r="D2247" s="3">
        <v>1.0</v>
      </c>
    </row>
    <row r="2248" ht="15.75" customHeight="1">
      <c r="A2248" s="1">
        <v>2246.0</v>
      </c>
      <c r="B2248" s="3" t="s">
        <v>2248</v>
      </c>
      <c r="C2248" s="3" t="str">
        <f>IFERROR(__xludf.DUMMYFUNCTION("GOOGLETRANSLATE(B2248,""id"",""en"")"),"['Min', 'call', 'check', 'pulse', 'check', 'network', 'active', 'card', 'notification', 'AKTF', ""]")</f>
        <v>['Min', 'call', 'check', 'pulse', 'check', 'network', 'active', 'card', 'notification', 'AKTF', "]</v>
      </c>
      <c r="D2248" s="3">
        <v>1.0</v>
      </c>
    </row>
    <row r="2249" ht="15.75" customHeight="1">
      <c r="A2249" s="1">
        <v>2247.0</v>
      </c>
      <c r="B2249" s="3" t="s">
        <v>2249</v>
      </c>
      <c r="C2249" s="3" t="str">
        <f>IFERROR(__xludf.DUMMYFUNCTION("GOOGLETRANSLATE(B2249,""id"",""en"")"),"['Network', 'Ngilak', 'Ujan', 'Disruption', 'Mulu', 'Price', 'Doang', 'Expensive', 'Jaringn', 'Kayak', 'Fix', 'Region', ' Bekasi ',' already ',' Kyak ',' gini ',' area ']")</f>
        <v>['Network', 'Ngilak', 'Ujan', 'Disruption', 'Mulu', 'Price', 'Doang', 'Expensive', 'Jaringn', 'Kayak', 'Fix', 'Region', ' Bekasi ',' already ',' Kyak ',' gini ',' area ']</v>
      </c>
      <c r="D2249" s="3">
        <v>1.0</v>
      </c>
    </row>
    <row r="2250" ht="15.75" customHeight="1">
      <c r="A2250" s="1">
        <v>2248.0</v>
      </c>
      <c r="B2250" s="3" t="s">
        <v>2250</v>
      </c>
      <c r="C2250" s="3" t="str">
        <f>IFERROR(__xludf.DUMMYFUNCTION("GOOGLETRANSLATE(B2250,""id"",""en"")"),"['Kian', 'increasingly', 'expensive', 'Telkomsel', 'The application', 'LemooOoottttt', 'Open', 'Application', 'Telkomsel', 'waiting', 'Minute', 'lebiiiiihh', ' Please 'repair']")</f>
        <v>['Kian', 'increasingly', 'expensive', 'Telkomsel', 'The application', 'LemooOoottttt', 'Open', 'Application', 'Telkomsel', 'waiting', 'Minute', 'lebiiiiihh', ' Please 'repair']</v>
      </c>
      <c r="D2250" s="3">
        <v>1.0</v>
      </c>
    </row>
    <row r="2251" ht="15.75" customHeight="1">
      <c r="A2251" s="1">
        <v>2249.0</v>
      </c>
      <c r="B2251" s="3" t="s">
        <v>2251</v>
      </c>
      <c r="C2251" s="3" t="str">
        <f>IFERROR(__xludf.DUMMYFUNCTION("GOOGLETRANSLATE(B2251,""id"",""en"")"),"['Bags', 'Price', 'Package', 'Internet', 'Credit', 'Wort', 'Pay', 'Via', 'Shopee', 'Get', 'Cashback', ""]")</f>
        <v>['Bags', 'Price', 'Package', 'Internet', 'Credit', 'Wort', 'Pay', 'Via', 'Shopee', 'Get', 'Cashback', "]</v>
      </c>
      <c r="D2251" s="3">
        <v>5.0</v>
      </c>
    </row>
    <row r="2252" ht="15.75" customHeight="1">
      <c r="A2252" s="1">
        <v>2250.0</v>
      </c>
      <c r="B2252" s="3" t="s">
        <v>2252</v>
      </c>
      <c r="C2252" s="3" t="str">
        <f>IFERROR(__xludf.DUMMYFUNCTION("GOOGLETRANSLATE(B2252,""id"",""en"")"),"['signal', 'Telkomsel', 'belongs', 'destroyed', 'difficulty', 'online', 'all of them']")</f>
        <v>['signal', 'Telkomsel', 'belongs', 'destroyed', 'difficulty', 'online', 'all of them']</v>
      </c>
      <c r="D2252" s="3">
        <v>1.0</v>
      </c>
    </row>
    <row r="2253" ht="15.75" customHeight="1">
      <c r="A2253" s="1">
        <v>2251.0</v>
      </c>
      <c r="B2253" s="3" t="s">
        <v>2253</v>
      </c>
      <c r="C2253" s="3" t="str">
        <f>IFERROR(__xludf.DUMMYFUNCTION("GOOGLETRANSLATE(B2253,""id"",""en"")"),"['Telkomsel', 'please', 'yaa', 'network', 'fix', 'acting', 'cave', 'tuker', 'card', 'already', 'package', ' Jringan ',' chaotic ', ""]")</f>
        <v>['Telkomsel', 'please', 'yaa', 'network', 'fix', 'acting', 'cave', 'tuker', 'card', 'already', 'package', ' Jringan ',' chaotic ', "]</v>
      </c>
      <c r="D2253" s="3">
        <v>1.0</v>
      </c>
    </row>
    <row r="2254" ht="15.75" customHeight="1">
      <c r="A2254" s="1">
        <v>2252.0</v>
      </c>
      <c r="B2254" s="3" t="s">
        <v>2254</v>
      </c>
      <c r="C2254" s="3" t="str">
        <f>IFERROR(__xludf.DUMMYFUNCTION("GOOGLETRANSLATE(B2254,""id"",""en"")"),"['The application', 'good', 'like', 'cth', 'quota', 'buy', 'quota', 'his time', 'eaten', 'quota', 'stay', 'annoyed', ' ']")</f>
        <v>['The application', 'good', 'like', 'cth', 'quota', 'buy', 'quota', 'his time', 'eaten', 'quota', 'stay', 'annoyed', ' ']</v>
      </c>
      <c r="D2254" s="3">
        <v>4.0</v>
      </c>
    </row>
    <row r="2255" ht="15.75" customHeight="1">
      <c r="A2255" s="1">
        <v>2253.0</v>
      </c>
      <c r="B2255" s="3" t="s">
        <v>2255</v>
      </c>
      <c r="C2255" s="3" t="str">
        <f>IFERROR(__xludf.DUMMYFUNCTION("GOOGLETRANSLATE(B2255,""id"",""en"")"),"['', 'area', 'network', 'internet', 'stable', 'please', 'fix', 'network', 'area', 'city', 'sii', 'trimakasih', 'response ',' ']")</f>
        <v>['', 'area', 'network', 'internet', 'stable', 'please', 'fix', 'network', 'area', 'city', 'sii', 'trimakasih', 'response ',' ']</v>
      </c>
      <c r="D2255" s="3">
        <v>3.0</v>
      </c>
    </row>
    <row r="2256" ht="15.75" customHeight="1">
      <c r="A2256" s="1">
        <v>2254.0</v>
      </c>
      <c r="B2256" s="3" t="s">
        <v>2256</v>
      </c>
      <c r="C2256" s="3" t="str">
        <f>IFERROR(__xludf.DUMMYFUNCTION("GOOGLETRANSLATE(B2256,""id"",""en"")"),"['Telkomsel', 'Game', 'Slow', 'Network', 'Quota', 'Combo', 'Sakti', 'Wait', 'Night', 'Kenceng', 'Out', 'Magrib', ' ',' night ',' slow ',' network ',' disappointed ',' Telkomsel ',' ']")</f>
        <v>['Telkomsel', 'Game', 'Slow', 'Network', 'Quota', 'Combo', 'Sakti', 'Wait', 'Night', 'Kenceng', 'Out', 'Magrib', ' ',' night ',' slow ',' network ',' disappointed ',' Telkomsel ',' ']</v>
      </c>
      <c r="D2256" s="3">
        <v>1.0</v>
      </c>
    </row>
    <row r="2257" ht="15.75" customHeight="1">
      <c r="A2257" s="1">
        <v>2255.0</v>
      </c>
      <c r="B2257" s="3" t="s">
        <v>2257</v>
      </c>
      <c r="C2257" s="3" t="str">
        <f>IFERROR(__xludf.DUMMYFUNCTION("GOOGLETRANSLATE(B2257,""id"",""en"")"),"['Network', 'Please', 'Fix', 'Donh', 'Network', 'Indonesia', 'Jakarta', 'Lemott']")</f>
        <v>['Network', 'Please', 'Fix', 'Donh', 'Network', 'Indonesia', 'Jakarta', 'Lemott']</v>
      </c>
      <c r="D2257" s="3">
        <v>1.0</v>
      </c>
    </row>
    <row r="2258" ht="15.75" customHeight="1">
      <c r="A2258" s="1">
        <v>2256.0</v>
      </c>
      <c r="B2258" s="3" t="s">
        <v>2258</v>
      </c>
      <c r="C2258" s="3" t="str">
        <f>IFERROR(__xludf.DUMMYFUNCTION("GOOGLETRANSLATE(B2258,""id"",""en"")"),"['WOI', 'Telkomsel', 'Knp', 'quota', 'games',' sosmed ',' She ',' Package ',' Gara ',' quota ',' Ministry of Education ',' quota ',' JDI ',' MAIN ',' GAME ',' GAME ',' LOOK ',' WOI ',' TELKOMSEL ',' JDI ',' Provider ',' yes ',' Gunain ',' package ',' Doly"&amp;" "" , 'expensive', 'ajjgg', 'buy', 'rb', 'gakk', 'quota', 'kemendikbud', 'run out', 'quota', 'sosmed', 'games',' ttap ',' Open ',' Sell ',' AJGG ',' Loss', 'BGSDDD', ""]")</f>
        <v>['WOI', 'Telkomsel', 'Knp', 'quota', 'games',' sosmed ',' She ',' Package ',' Gara ',' quota ',' Ministry of Education ',' quota ',' JDI ',' MAIN ',' GAME ',' GAME ',' LOOK ',' WOI ',' TELKOMSEL ',' JDI ',' Provider ',' yes ',' Gunain ',' package ',' Doly " , 'expensive', 'ajjgg', 'buy', 'rb', 'gakk', 'quota', 'kemendikbud', 'run out', 'quota', 'sosmed', 'games',' ttap ',' Open ',' Sell ',' AJGG ',' Loss', 'BGSDDD', "]</v>
      </c>
      <c r="D2258" s="3">
        <v>1.0</v>
      </c>
    </row>
    <row r="2259" ht="15.75" customHeight="1">
      <c r="A2259" s="1">
        <v>2257.0</v>
      </c>
      <c r="B2259" s="3" t="s">
        <v>2259</v>
      </c>
      <c r="C2259" s="3" t="str">
        <f>IFERROR(__xludf.DUMMYFUNCTION("GOOGLETRANSLATE(B2259,""id"",""en"")"),"['hi', 'Telkomsel', 'network', 'stay', 'in the city', 'network', 'no', 'good', 'slow', 'network', 'eat', 'quota', ' people ',' speed ',' speed ',' network ',' slow ',' compared to ',' network ',' please ',' repay ',' like ',' gini ',' missing ',' make ' ,"&amp;" 'Telkomsel', 'Kayak', 'Gini', 'Network', '']")</f>
        <v>['hi', 'Telkomsel', 'network', 'stay', 'in the city', 'network', 'no', 'good', 'slow', 'network', 'eat', 'quota', ' people ',' speed ',' speed ',' network ',' slow ',' compared to ',' network ',' please ',' repay ',' like ',' gini ',' missing ',' make ' , 'Telkomsel', 'Kayak', 'Gini', 'Network', '']</v>
      </c>
      <c r="D2259" s="3">
        <v>1.0</v>
      </c>
    </row>
    <row r="2260" ht="15.75" customHeight="1">
      <c r="A2260" s="1">
        <v>2258.0</v>
      </c>
      <c r="B2260" s="3" t="s">
        <v>2260</v>
      </c>
      <c r="C2260" s="3" t="str">
        <f>IFERROR(__xludf.DUMMYFUNCTION("GOOGLETRANSLATE(B2260,""id"",""en"")"),"['Sya', 'Kasi', 'Bintang', 'Karna', 'Connection', 'Disruption', ""]")</f>
        <v>['Sya', 'Kasi', 'Bintang', 'Karna', 'Connection', 'Disruption', "]</v>
      </c>
      <c r="D2260" s="3">
        <v>1.0</v>
      </c>
    </row>
    <row r="2261" ht="15.75" customHeight="1">
      <c r="A2261" s="1">
        <v>2259.0</v>
      </c>
      <c r="B2261" s="3" t="s">
        <v>2261</v>
      </c>
      <c r="C2261" s="3" t="str">
        <f>IFERROR(__xludf.DUMMYFUNCTION("GOOGLETRANSLATE(B2261,""id"",""en"")"),"['Application', 'Telkomsel', 'Good', 'Cool', 'Credit', 'Quota', 'Internet', 'Cheap', 'Like', 'Thank', 'You', ""]")</f>
        <v>['Application', 'Telkomsel', 'Good', 'Cool', 'Credit', 'Quota', 'Internet', 'Cheap', 'Like', 'Thank', 'You', "]</v>
      </c>
      <c r="D2261" s="3">
        <v>5.0</v>
      </c>
    </row>
    <row r="2262" ht="15.75" customHeight="1">
      <c r="A2262" s="1">
        <v>2260.0</v>
      </c>
      <c r="B2262" s="3" t="s">
        <v>2262</v>
      </c>
      <c r="C2262" s="3" t="str">
        <f>IFERROR(__xludf.DUMMYFUNCTION("GOOGLETRANSLATE(B2262,""id"",""en"")"),"['number', 'check', 'pulse', 'page', 'telephone']")</f>
        <v>['number', 'check', 'pulse', 'page', 'telephone']</v>
      </c>
      <c r="D2262" s="3">
        <v>2.0</v>
      </c>
    </row>
    <row r="2263" ht="15.75" customHeight="1">
      <c r="A2263" s="1">
        <v>2261.0</v>
      </c>
      <c r="B2263" s="3" t="s">
        <v>2263</v>
      </c>
      <c r="C2263" s="3" t="str">
        <f>IFERROR(__xludf.DUMMYFUNCTION("GOOGLETRANSLATE(B2263,""id"",""en"")"),"['Sorry', 'star', 'connection', 'down', 'package', 'run out', 'buy', 'package', 'slow', 'please', 'repair', 'streaming', ' Disrupted ',' TKP ',' Kab ',' Pekalongan ',' Centraleng ',' Speaking ',' Full ',' Star ',' Current ',' Jaya ',' TKP ',' TKS ']")</f>
        <v>['Sorry', 'star', 'connection', 'down', 'package', 'run out', 'buy', 'package', 'slow', 'please', 'repair', 'streaming', ' Disrupted ',' TKP ',' Kab ',' Pekalongan ',' Centraleng ',' Speaking ',' Full ',' Star ',' Current ',' Jaya ',' TKP ',' TKS ']</v>
      </c>
      <c r="D2263" s="3">
        <v>1.0</v>
      </c>
    </row>
    <row r="2264" ht="15.75" customHeight="1">
      <c r="A2264" s="1">
        <v>2262.0</v>
      </c>
      <c r="B2264" s="3" t="s">
        <v>2264</v>
      </c>
      <c r="C2264" s="3" t="str">
        <f>IFERROR(__xludf.DUMMYFUNCTION("GOOGLETRANSLATE(B2264,""id"",""en"")"),"['Application', 'Tree', 'Angpao', 'Bogor', 'home', 'Atok', 'Padahalkalkan', 'Minutes',' Sis', 'Ros',' Bring ',' bicycle ',' go home ',' office ',' center ',' eight ',' history ',' development ',' plants', 'durin', 'world', 'meet', 'okezone', 'world', 'col"&amp;"lect' , 'Information', 'Game', 'Online', '']")</f>
        <v>['Application', 'Tree', 'Angpao', 'Bogor', 'home', 'Atok', 'Padahalkalkan', 'Minutes',' Sis', 'Ros',' Bring ',' bicycle ',' go home ',' office ',' center ',' eight ',' history ',' development ',' plants', 'durin', 'world', 'meet', 'okezone', 'world', 'collect' , 'Information', 'Game', 'Online', '']</v>
      </c>
      <c r="D2264" s="3">
        <v>5.0</v>
      </c>
    </row>
    <row r="2265" ht="15.75" customHeight="1">
      <c r="A2265" s="1">
        <v>2263.0</v>
      </c>
      <c r="B2265" s="3" t="s">
        <v>2265</v>
      </c>
      <c r="C2265" s="3" t="str">
        <f>IFERROR(__xludf.DUMMYFUNCTION("GOOGLETRANSLATE(B2265,""id"",""en"")"),"['Paketan', 'Dipake', 'Internet', 'just', 'checked', 'reset', 'quota', 'Msih', 'Dipake', 'disappointing', 'Severe', 'distinguish', ' Quota ',' Learning ',' Quota ',' Internet ',' Local ',' ']")</f>
        <v>['Paketan', 'Dipake', 'Internet', 'just', 'checked', 'reset', 'quota', 'Msih', 'Dipake', 'disappointing', 'Severe', 'distinguish', ' Quota ',' Learning ',' Quota ',' Internet ',' Local ',' ']</v>
      </c>
      <c r="D2265" s="3">
        <v>1.0</v>
      </c>
    </row>
    <row r="2266" ht="15.75" customHeight="1">
      <c r="A2266" s="1">
        <v>2264.0</v>
      </c>
      <c r="B2266" s="3" t="s">
        <v>2266</v>
      </c>
      <c r="C2266" s="3" t="str">
        <f>IFERROR(__xludf.DUMMYFUNCTION("GOOGLETRANSLATE(B2266,""id"",""en"")"),"['Mersa', 'Telkomsel', 'sekrang', 'signal', 'ugly', 'sustainable', 'replace']")</f>
        <v>['Mersa', 'Telkomsel', 'sekrang', 'signal', 'ugly', 'sustainable', 'replace']</v>
      </c>
      <c r="D2266" s="3">
        <v>1.0</v>
      </c>
    </row>
    <row r="2267" ht="15.75" customHeight="1">
      <c r="A2267" s="1">
        <v>2265.0</v>
      </c>
      <c r="B2267" s="3" t="s">
        <v>2267</v>
      </c>
      <c r="C2267" s="3" t="str">
        <f>IFERROR(__xludf.DUMMYFUNCTION("GOOGLETRANSLATE(B2267,""id"",""en"")"),"['disappointing', 'SDUH', 'subscription', 'a year', 'disappointed', 'tereaaat', 'signal', 'Telkomsel', 'Good', 'Jueleeek', 'Buangeet', ""]")</f>
        <v>['disappointing', 'SDUH', 'subscription', 'a year', 'disappointed', 'tereaaat', 'signal', 'Telkomsel', 'Good', 'Jueleeek', 'Buangeet', "]</v>
      </c>
      <c r="D2267" s="3">
        <v>1.0</v>
      </c>
    </row>
    <row r="2268" ht="15.75" customHeight="1">
      <c r="A2268" s="1">
        <v>2266.0</v>
      </c>
      <c r="B2268" s="3" t="s">
        <v>2268</v>
      </c>
      <c r="C2268" s="3" t="str">
        <f>IFERROR(__xludf.DUMMYFUNCTION("GOOGLETRANSLATE(B2268,""id"",""en"")"),"['Network', 'quota', 'expensive', 'signal', 'no', 'squeezed', 'little', 'buy', 'quota', 'expensive', 'network', 'like', ' ilang ',' Nilagan ',' Gini ',' moved ',' card ',' quota ',' expensive ',' gaada ',' network ',' ugly ',' mulu ',' lol ']")</f>
        <v>['Network', 'quota', 'expensive', 'signal', 'no', 'squeezed', 'little', 'buy', 'quota', 'expensive', 'network', 'like', ' ilang ',' Nilagan ',' Gini ',' moved ',' card ',' quota ',' expensive ',' gaada ',' network ',' ugly ',' mulu ',' lol ']</v>
      </c>
      <c r="D2268" s="3">
        <v>1.0</v>
      </c>
    </row>
    <row r="2269" ht="15.75" customHeight="1">
      <c r="A2269" s="1">
        <v>2267.0</v>
      </c>
      <c r="B2269" s="3" t="s">
        <v>2269</v>
      </c>
      <c r="C2269" s="3" t="str">
        <f>IFERROR(__xludf.DUMMYFUNCTION("GOOGLETRANSLATE(B2269,""id"",""en"")"),"['Please', 'Telkomsel', 'see', 'buy', 'gamemax', 'silver', 'given', 'voucher', 'please', 'sendin']")</f>
        <v>['Please', 'Telkomsel', 'see', 'buy', 'gamemax', 'silver', 'given', 'voucher', 'please', 'sendin']</v>
      </c>
      <c r="D2269" s="3">
        <v>1.0</v>
      </c>
    </row>
    <row r="2270" ht="15.75" customHeight="1">
      <c r="A2270" s="1">
        <v>2268.0</v>
      </c>
      <c r="B2270" s="3" t="s">
        <v>2270</v>
      </c>
      <c r="C2270" s="3" t="str">
        <f>IFERROR(__xludf.DUMMYFUNCTION("GOOGLETRANSLATE(B2270,""id"",""en"")"),"['Provider', 'Pay', 'Credit', 'Package', 'Peblayaran', 'Bank', 'Ewallet', 'Credit', ""]")</f>
        <v>['Provider', 'Pay', 'Credit', 'Package', 'Peblayaran', 'Bank', 'Ewallet', 'Credit', "]</v>
      </c>
      <c r="D2270" s="3">
        <v>1.0</v>
      </c>
    </row>
    <row r="2271" ht="15.75" customHeight="1">
      <c r="A2271" s="1">
        <v>2269.0</v>
      </c>
      <c r="B2271" s="3" t="s">
        <v>2271</v>
      </c>
      <c r="C2271" s="3" t="str">
        <f>IFERROR(__xludf.DUMMYFUNCTION("GOOGLETRANSLATE(B2271,""id"",""en"")"),"['already', 'Telkomsel', 'internet', 'hope', 'good', '']")</f>
        <v>['already', 'Telkomsel', 'internet', 'hope', 'good', '']</v>
      </c>
      <c r="D2271" s="3">
        <v>3.0</v>
      </c>
    </row>
    <row r="2272" ht="15.75" customHeight="1">
      <c r="A2272" s="1">
        <v>2270.0</v>
      </c>
      <c r="B2272" s="3" t="s">
        <v>2272</v>
      </c>
      <c r="C2272" s="3" t="str">
        <f>IFERROR(__xludf.DUMMYFUNCTION("GOOGLETRANSLATE(B2272,""id"",""en"")"),"['Application', 'Telkomsel', 'Open', 'Download', 'Open', 'Close', 'Direct', 'Open', 'Screen', 'Screen', 'White', 'times',' Download ',' Unistall ',' Download ',' reset ',' ']")</f>
        <v>['Application', 'Telkomsel', 'Open', 'Download', 'Open', 'Close', 'Direct', 'Open', 'Screen', 'Screen', 'White', 'times',' Download ',' Unistall ',' Download ',' reset ',' ']</v>
      </c>
      <c r="D2272" s="3">
        <v>1.0</v>
      </c>
    </row>
    <row r="2273" ht="15.75" customHeight="1">
      <c r="A2273" s="1">
        <v>2271.0</v>
      </c>
      <c r="B2273" s="3" t="s">
        <v>2273</v>
      </c>
      <c r="C2273" s="3" t="str">
        <f>IFERROR(__xludf.DUMMYFUNCTION("GOOGLETRANSLATE(B2273,""id"",""en"")"),"['signal', 'down', 'please', 'repaired', 'convenience', 'user', 'Telkomsel']")</f>
        <v>['signal', 'down', 'please', 'repaired', 'convenience', 'user', 'Telkomsel']</v>
      </c>
      <c r="D2273" s="3">
        <v>2.0</v>
      </c>
    </row>
    <row r="2274" ht="15.75" customHeight="1">
      <c r="A2274" s="1">
        <v>2272.0</v>
      </c>
      <c r="B2274" s="3" t="s">
        <v>2274</v>
      </c>
      <c r="C2274" s="3" t="str">
        <f>IFERROR(__xludf.DUMMYFUNCTION("GOOGLETRANSLATE(B2274,""id"",""en"")"),"['package', 'expensive', 'expensive', 'rain', 'signal', 'direct', 'according to', 'price', 'expensive', 'package', 'emang', 'ngerak', ' Emang ',' Telkomsel ']")</f>
        <v>['package', 'expensive', 'expensive', 'rain', 'signal', 'direct', 'according to', 'price', 'expensive', 'package', 'emang', 'ngerak', ' Emang ',' Telkomsel ']</v>
      </c>
      <c r="D2274" s="3">
        <v>1.0</v>
      </c>
    </row>
    <row r="2275" ht="15.75" customHeight="1">
      <c r="A2275" s="1">
        <v>2273.0</v>
      </c>
      <c r="B2275" s="3" t="s">
        <v>2275</v>
      </c>
      <c r="C2275" s="3" t="str">
        <f>IFERROR(__xludf.DUMMYFUNCTION("GOOGLETRANSLATE(B2275,""id"",""en"")"),"['signal', 'internet', 'Telkomsel', 'skrg', 'smakin', 'slow', 'kagak', 'stable', 'super', 'severe', 'sekaleeeeee', 'downlod', ' Maen ',' Game ',' Watch ',' Yutub ',' Malming ',' KCPTN ',' CMN ',' KB ',' DTK ',' Bener ',' Disappointing ',' ']")</f>
        <v>['signal', 'internet', 'Telkomsel', 'skrg', 'smakin', 'slow', 'kagak', 'stable', 'super', 'severe', 'sekaleeeeee', 'downlod', ' Maen ',' Game ',' Watch ',' Yutub ',' Malming ',' KCPTN ',' CMN ',' KB ',' DTK ',' Bener ',' Disappointing ',' ']</v>
      </c>
      <c r="D2275" s="3">
        <v>1.0</v>
      </c>
    </row>
    <row r="2276" ht="15.75" customHeight="1">
      <c r="A2276" s="1">
        <v>2274.0</v>
      </c>
      <c r="B2276" s="3" t="s">
        <v>2276</v>
      </c>
      <c r="C2276" s="3" t="str">
        <f>IFERROR(__xludf.DUMMYFUNCTION("GOOGLETRANSLATE(B2276,""id"",""en"")"),"['Telkomsel', 'bad', 'network', 'ugly', 'go bankrupt', 'fix', 'problem', 'so', 'pretentious', 'sok', 'switch', 'hahahahaaasssuuuuuuuuuuuuuuuuuuuuuuuuuu' ugly ',' application ',' cool ',' updet ',' njirrr ',' ']")</f>
        <v>['Telkomsel', 'bad', 'network', 'ugly', 'go bankrupt', 'fix', 'problem', 'so', 'pretentious', 'sok', 'switch', 'hahahahaaasssuuuuuuuuuuuuuuuuuuuuuuuuuu' ugly ',' application ',' cool ',' updet ',' njirrr ',' ']</v>
      </c>
      <c r="D2276" s="3">
        <v>1.0</v>
      </c>
    </row>
    <row r="2277" ht="15.75" customHeight="1">
      <c r="A2277" s="1">
        <v>2275.0</v>
      </c>
      <c r="B2277" s="3" t="s">
        <v>2277</v>
      </c>
      <c r="C2277" s="3" t="str">
        <f>IFERROR(__xludf.DUMMYFUNCTION("GOOGLETRANSLATE(B2277,""id"",""en"")"),"['oath', 'disappointed', 'Telkomsel', 'slow', 'bngt', 'play', 'game', 'missing', 'signal', 'network', 'quota', 'Please', ' repair', '']")</f>
        <v>['oath', 'disappointed', 'Telkomsel', 'slow', 'bngt', 'play', 'game', 'missing', 'signal', 'network', 'quota', 'Please', ' repair', '']</v>
      </c>
      <c r="D2277" s="3">
        <v>1.0</v>
      </c>
    </row>
    <row r="2278" ht="15.75" customHeight="1">
      <c r="A2278" s="1">
        <v>2276.0</v>
      </c>
      <c r="B2278" s="3" t="s">
        <v>2278</v>
      </c>
      <c r="C2278" s="3" t="str">
        <f>IFERROR(__xludf.DUMMYFUNCTION("GOOGLETRANSLATE(B2278,""id"",""en"")"),"['hate', 'operator', 'sympathy', 'contents',' pulse ',' hri ',' pulse ',' lost ',' pdahal ',' activate ',' palette ',' data ',' Telkomsel ',' Dri ',' operator ',' SMS ',' use ',' access', 'internet', 'rates',' non ',' package ',' please ',' steal ',' puls"&amp;"es' , 'Customers', 'Haram', 'Law', 'Lagging', 'Enter', 'hell', 'Krna', 'his staff', 'steal', 'pulses', 'customer', 'Where' Heart ',' Please ',' Restore ',' Credit ',' Demand ',' Telkomsel ',' Basic ',' Satan ',' Real ']")</f>
        <v>['hate', 'operator', 'sympathy', 'contents',' pulse ',' hri ',' pulse ',' lost ',' pdahal ',' activate ',' palette ',' data ',' Telkomsel ',' Dri ',' operator ',' SMS ',' use ',' access', 'internet', 'rates',' non ',' package ',' please ',' steal ',' pulses' , 'Customers', 'Haram', 'Law', 'Lagging', 'Enter', 'hell', 'Krna', 'his staff', 'steal', 'pulses', 'customer', 'Where' Heart ',' Please ',' Restore ',' Credit ',' Demand ',' Telkomsel ',' Basic ',' Satan ',' Real ']</v>
      </c>
      <c r="D2278" s="3">
        <v>1.0</v>
      </c>
    </row>
    <row r="2279" ht="15.75" customHeight="1">
      <c r="A2279" s="1">
        <v>2277.0</v>
      </c>
      <c r="B2279" s="3" t="s">
        <v>2279</v>
      </c>
      <c r="C2279" s="3" t="str">
        <f>IFERROR(__xludf.DUMMYFUNCTION("GOOGLETRANSLATE(B2279,""id"",""en"")"),"['Telkomsel', 'YTH', 'complaints',' package ',' internet ',' pulse ',' TLF ',' SMS ',' subscribe ',' anything ',' for ',' package ',' Internet ',' pls', 'run out', '']")</f>
        <v>['Telkomsel', 'YTH', 'complaints',' package ',' internet ',' pulse ',' TLF ',' SMS ',' subscribe ',' anything ',' for ',' package ',' Internet ',' pls', 'run out', '']</v>
      </c>
      <c r="D2279" s="3">
        <v>1.0</v>
      </c>
    </row>
    <row r="2280" ht="15.75" customHeight="1">
      <c r="A2280" s="1">
        <v>2278.0</v>
      </c>
      <c r="B2280" s="3" t="s">
        <v>2280</v>
      </c>
      <c r="C2280" s="3" t="str">
        <f>IFERROR(__xludf.DUMMYFUNCTION("GOOGLETRANSLATE(B2280,""id"",""en"")"),"['Exchange', 'Points',' prnh ',' can ',' pdhal ',' card ',' wrong ',' hope ',' times', 'can', 'gift', 'Aamiin', ' ']")</f>
        <v>['Exchange', 'Points',' prnh ',' can ',' pdhal ',' card ',' wrong ',' hope ',' times', 'can', 'gift', 'Aamiin', ' ']</v>
      </c>
      <c r="D2280" s="3">
        <v>5.0</v>
      </c>
    </row>
    <row r="2281" ht="15.75" customHeight="1">
      <c r="A2281" s="1">
        <v>2279.0</v>
      </c>
      <c r="B2281" s="3" t="s">
        <v>2281</v>
      </c>
      <c r="C2281" s="3" t="str">
        <f>IFERROR(__xludf.DUMMYFUNCTION("GOOGLETRANSLATE(B2281,""id"",""en"")"),"['Credit', 'truncated', 'Tampa', 'clarity', 'log', 'transaction', 'printed', 'Purchase', 'Package', 'MaxStream', 'Log', 'transaction', ' Rupiah ',' transaction ',' kah ',' pulse ',' where ',' ']")</f>
        <v>['Credit', 'truncated', 'Tampa', 'clarity', 'log', 'transaction', 'printed', 'Purchase', 'Package', 'MaxStream', 'Log', 'transaction', ' Rupiah ',' transaction ',' kah ',' pulse ',' where ',' ']</v>
      </c>
      <c r="D2281" s="3">
        <v>1.0</v>
      </c>
    </row>
    <row r="2282" ht="15.75" customHeight="1">
      <c r="A2282" s="1">
        <v>2280.0</v>
      </c>
      <c r="B2282" s="3" t="s">
        <v>2282</v>
      </c>
      <c r="C2282" s="3" t="str">
        <f>IFERROR(__xludf.DUMMYFUNCTION("GOOGLETRANSLATE(B2282,""id"",""en"")"),"['Kirain', 'friend', 'expensive', 'signal', 'slow', '']")</f>
        <v>['Kirain', 'friend', 'expensive', 'signal', 'slow', '']</v>
      </c>
      <c r="D2282" s="3">
        <v>5.0</v>
      </c>
    </row>
    <row r="2283" ht="15.75" customHeight="1">
      <c r="A2283" s="1">
        <v>2281.0</v>
      </c>
      <c r="B2283" s="3" t="s">
        <v>2283</v>
      </c>
      <c r="C2283" s="3" t="str">
        <f>IFERROR(__xludf.DUMMYFUNCTION("GOOGLETRANSLATE(B2283,""id"",""en"")"),"['Please', 'min', 'application', 'buy', 'package', 'internet', 'already', 'repeated', 'reading', 'ganguan', 'application', 'please', ' Fix ',' thank you ']")</f>
        <v>['Please', 'min', 'application', 'buy', 'package', 'internet', 'already', 'repeated', 'reading', 'ganguan', 'application', 'please', ' Fix ',' thank you ']</v>
      </c>
      <c r="D2283" s="3">
        <v>1.0</v>
      </c>
    </row>
    <row r="2284" ht="15.75" customHeight="1">
      <c r="A2284" s="1">
        <v>2282.0</v>
      </c>
      <c r="B2284" s="3" t="s">
        <v>2284</v>
      </c>
      <c r="C2284" s="3" t="str">
        <f>IFERROR(__xludf.DUMMYFUNCTION("GOOGLETRANSLATE(B2284,""id"",""en"")"),"['Please', 'fix', 'nominal', 'purchase', 'buy', 'package', 'combo', 'for', 'rb', 'pulse', 'rb', 'thank you']")</f>
        <v>['Please', 'fix', 'nominal', 'purchase', 'buy', 'package', 'combo', 'for', 'rb', 'pulse', 'rb', 'thank you']</v>
      </c>
      <c r="D2284" s="3">
        <v>1.0</v>
      </c>
    </row>
    <row r="2285" ht="15.75" customHeight="1">
      <c r="A2285" s="1">
        <v>2283.0</v>
      </c>
      <c r="B2285" s="3" t="s">
        <v>2285</v>
      </c>
      <c r="C2285" s="3" t="str">
        <f>IFERROR(__xludf.DUMMYFUNCTION("GOOGLETRANSLATE(B2285,""id"",""en"")"),"['Harms', 'buy', 'pulse', 'direct', 'scorched', 'buy', 'Package', 'Telkomsel']")</f>
        <v>['Harms', 'buy', 'pulse', 'direct', 'scorched', 'buy', 'Package', 'Telkomsel']</v>
      </c>
      <c r="D2285" s="3">
        <v>1.0</v>
      </c>
    </row>
    <row r="2286" ht="15.75" customHeight="1">
      <c r="A2286" s="1">
        <v>2284.0</v>
      </c>
      <c r="B2286" s="3" t="s">
        <v>2286</v>
      </c>
      <c r="C2286" s="3" t="str">
        <f>IFERROR(__xludf.DUMMYFUNCTION("GOOGLETRANSLATE(B2286,""id"",""en"")"),"['Please', 'Telkomsel', 'like', 'slow', 'slow', 'add', 'slow', 'please', 'Consider']")</f>
        <v>['Please', 'Telkomsel', 'like', 'slow', 'slow', 'add', 'slow', 'please', 'Consider']</v>
      </c>
      <c r="D2286" s="3">
        <v>1.0</v>
      </c>
    </row>
    <row r="2287" ht="15.75" customHeight="1">
      <c r="A2287" s="1">
        <v>2285.0</v>
      </c>
      <c r="B2287" s="3" t="s">
        <v>2287</v>
      </c>
      <c r="C2287" s="3" t="str">
        <f>IFERROR(__xludf.DUMMYFUNCTION("GOOGLETRANSLATE(B2287,""id"",""en"")"),"['Severe', 'so worry', 'bitter', 'taun', 'use', 'Telkomsel', 'network', 'no', 'really', 'chek', 'daily', ' Get ',' Voucher ',' Abis', 'PHP', 'Abis',' Anyway ',' mah ',' forgiveness', ""]")</f>
        <v>['Severe', 'so worry', 'bitter', 'taun', 'use', 'Telkomsel', 'network', 'no', 'really', 'chek', 'daily', ' Get ',' Voucher ',' Abis', 'PHP', 'Abis',' Anyway ',' mah ',' forgiveness', "]</v>
      </c>
      <c r="D2287" s="3">
        <v>3.0</v>
      </c>
    </row>
    <row r="2288" ht="15.75" customHeight="1">
      <c r="A2288" s="1">
        <v>2286.0</v>
      </c>
      <c r="B2288" s="3" t="s">
        <v>2288</v>
      </c>
      <c r="C2288" s="3" t="str">
        <f>IFERROR(__xludf.DUMMYFUNCTION("GOOGLETRANSLATE(B2288,""id"",""en"")"),"['The application', 'ugly', 'transfer', 'quota', 'brother', 'buy', 'quota', 'quota', 'mubasir', 'share', 'ribet', 'strange']")</f>
        <v>['The application', 'ugly', 'transfer', 'quota', 'brother', 'buy', 'quota', 'quota', 'mubasir', 'share', 'ribet', 'strange']</v>
      </c>
      <c r="D2288" s="3">
        <v>1.0</v>
      </c>
    </row>
    <row r="2289" ht="15.75" customHeight="1">
      <c r="A2289" s="1">
        <v>2287.0</v>
      </c>
      <c r="B2289" s="3" t="s">
        <v>2289</v>
      </c>
      <c r="C2289" s="3" t="str">
        <f>IFERROR(__xludf.DUMMYFUNCTION("GOOGLETRANSLATE(B2289,""id"",""en"")"),"['application', 'good', 'signal', 'Telkomsel', 'good', 'bar', 'network', 'lose', 'operator', 'cheap', 'signal', ""]")</f>
        <v>['application', 'good', 'signal', 'Telkomsel', 'good', 'bar', 'network', 'lose', 'operator', 'cheap', 'signal', "]</v>
      </c>
      <c r="D2289" s="3">
        <v>2.0</v>
      </c>
    </row>
    <row r="2290" ht="15.75" customHeight="1">
      <c r="A2290" s="1">
        <v>2288.0</v>
      </c>
      <c r="B2290" s="3" t="s">
        <v>2290</v>
      </c>
      <c r="C2290" s="3" t="str">
        <f>IFERROR(__xludf.DUMMYFUNCTION("GOOGLETRANSLATE(B2290,""id"",""en"")"),"['Network', 'worst', 'establishment', 'Telkomsel', 'BUMN', 'by one', 'chaotic', 'Sumatra', 'signal', 'Telkomsel', 'Laris',' stay ',' Memories', 'Tariff', 'Internet', 'Expensive', 'Quality', 'Network', 'Network', 'Edge', 'Embossed', 'Soon', 'Disappear', 'H"&amp;"old', 'Kesah' , 'Admin', 'Media', 'Social', 'Telkomsel', 'Change', 'Change', 'Card', 'Provider', 'Blm']")</f>
        <v>['Network', 'worst', 'establishment', 'Telkomsel', 'BUMN', 'by one', 'chaotic', 'Sumatra', 'signal', 'Telkomsel', 'Laris',' stay ',' Memories', 'Tariff', 'Internet', 'Expensive', 'Quality', 'Network', 'Network', 'Edge', 'Embossed', 'Soon', 'Disappear', 'Hold', 'Kesah' , 'Admin', 'Media', 'Social', 'Telkomsel', 'Change', 'Change', 'Card', 'Provider', 'Blm']</v>
      </c>
      <c r="D2290" s="3">
        <v>1.0</v>
      </c>
    </row>
    <row r="2291" ht="15.75" customHeight="1">
      <c r="A2291" s="1">
        <v>2289.0</v>
      </c>
      <c r="B2291" s="3" t="s">
        <v>2291</v>
      </c>
      <c r="C2291" s="3" t="str">
        <f>IFERROR(__xludf.DUMMYFUNCTION("GOOGLETRANSLATE(B2291,""id"",""en"")"),"['Bad', 'Veronika', 'Telkomsel', 'Stay', 'Promo', 'Promo', 'Fix', 'The Network']")</f>
        <v>['Bad', 'Veronika', 'Telkomsel', 'Stay', 'Promo', 'Promo', 'Fix', 'The Network']</v>
      </c>
      <c r="D2291" s="3">
        <v>1.0</v>
      </c>
    </row>
    <row r="2292" ht="15.75" customHeight="1">
      <c r="A2292" s="1">
        <v>2290.0</v>
      </c>
      <c r="B2292" s="3" t="s">
        <v>2292</v>
      </c>
      <c r="C2292" s="3" t="str">
        <f>IFERROR(__xludf.DUMMYFUNCTION("GOOGLETRANSLATE(B2292,""id"",""en"")"),"['buy', 'package', 'anything', 'Telkomsel', 'obstacle', '']")</f>
        <v>['buy', 'package', 'anything', 'Telkomsel', 'obstacle', '']</v>
      </c>
      <c r="D2292" s="3">
        <v>3.0</v>
      </c>
    </row>
    <row r="2293" ht="15.75" customHeight="1">
      <c r="A2293" s="1">
        <v>2291.0</v>
      </c>
      <c r="B2293" s="3" t="s">
        <v>2293</v>
      </c>
      <c r="C2293" s="3" t="str">
        <f>IFERROR(__xludf.DUMMYFUNCTION("GOOGLETRANSLATE(B2293,""id"",""en"")"),"['Confused', 'Min', 'People', 'Different', 'Different', 'Paketan', 'Nambah', 'friend', 'cheap', 'cheap', 'really', 'package', ' strange']")</f>
        <v>['Confused', 'Min', 'People', 'Different', 'Different', 'Paketan', 'Nambah', 'friend', 'cheap', 'cheap', 'really', 'package', ' strange']</v>
      </c>
      <c r="D2293" s="3">
        <v>2.0</v>
      </c>
    </row>
    <row r="2294" ht="15.75" customHeight="1">
      <c r="A2294" s="1">
        <v>2292.0</v>
      </c>
      <c r="B2294" s="3" t="s">
        <v>2294</v>
      </c>
      <c r="C2294" s="3" t="str">
        <f>IFERROR(__xludf.DUMMYFUNCTION("GOOGLETRANSLATE(B2294,""id"",""en"")"),"['Live', 'chat', 'Telkomsel', 'complaint', 'Direct', '']")</f>
        <v>['Live', 'chat', 'Telkomsel', 'complaint', 'Direct', '']</v>
      </c>
      <c r="D2294" s="3">
        <v>3.0</v>
      </c>
    </row>
    <row r="2295" ht="15.75" customHeight="1">
      <c r="A2295" s="1">
        <v>2293.0</v>
      </c>
      <c r="B2295" s="3" t="s">
        <v>2295</v>
      </c>
      <c r="C2295" s="3" t="str">
        <f>IFERROR(__xludf.DUMMYFUNCTION("GOOGLETRANSLATE(B2295,""id"",""en"")"),"['Kek', 'taik', 'network', 'you', 'already', 'package', 'expensive', 'according to', 'quality', 'ama', 'price', 'gajelas',' you', '']")</f>
        <v>['Kek', 'taik', 'network', 'you', 'already', 'package', 'expensive', 'according to', 'quality', 'ama', 'price', 'gajelas',' you', '']</v>
      </c>
      <c r="D2295" s="3">
        <v>3.0</v>
      </c>
    </row>
    <row r="2296" ht="15.75" customHeight="1">
      <c r="A2296" s="1">
        <v>2294.0</v>
      </c>
      <c r="B2296" s="3" t="s">
        <v>2296</v>
      </c>
      <c r="C2296" s="3" t="str">
        <f>IFERROR(__xludf.DUMMYFUNCTION("GOOGLETRANSLATE(B2296,""id"",""en"")"),"['Please', 'already', 'subscription', 'card', 'hello', 'unlimited', 'viu', 'iqiyi', 'dlu', 'no', 'please', 'fix', ' ']")</f>
        <v>['Please', 'already', 'subscription', 'card', 'hello', 'unlimited', 'viu', 'iqiyi', 'dlu', 'no', 'please', 'fix', ' ']</v>
      </c>
      <c r="D2296" s="3">
        <v>1.0</v>
      </c>
    </row>
    <row r="2297" ht="15.75" customHeight="1">
      <c r="A2297" s="1">
        <v>2295.0</v>
      </c>
      <c r="B2297" s="3" t="s">
        <v>2297</v>
      </c>
      <c r="C2297" s="3" t="str">
        <f>IFERROR(__xludf.DUMMYFUNCTION("GOOGLETRANSLATE(B2297,""id"",""en"")"),"['App', 'already', 'good', 'class',' suggestion ',' ajah ',' add to ',' impression ',' tasty ',' change ',' angle ',' icon ',' Round ',' Box ',' Most ',' App ',' Thank you ']")</f>
        <v>['App', 'already', 'good', 'class',' suggestion ',' ajah ',' add to ',' impression ',' tasty ',' change ',' angle ',' icon ',' Round ',' Box ',' Most ',' App ',' Thank you ']</v>
      </c>
      <c r="D2297" s="3">
        <v>5.0</v>
      </c>
    </row>
    <row r="2298" ht="15.75" customHeight="1">
      <c r="A2298" s="1">
        <v>2296.0</v>
      </c>
      <c r="B2298" s="3" t="s">
        <v>2298</v>
      </c>
      <c r="C2298" s="3" t="str">
        <f>IFERROR(__xludf.DUMMYFUNCTION("GOOGLETRANSLATE(B2298,""id"",""en"")"),"['use', 'functions', 'complicated', 'deliberate', 'complicated', 'pulse', 'run out', 'quota', 'robbery', 'disappointed', 'application', ""]")</f>
        <v>['use', 'functions', 'complicated', 'deliberate', 'complicated', 'pulse', 'run out', 'quota', 'robbery', 'disappointed', 'application', "]</v>
      </c>
      <c r="D2298" s="3">
        <v>1.0</v>
      </c>
    </row>
    <row r="2299" ht="15.75" customHeight="1">
      <c r="A2299" s="1">
        <v>2297.0</v>
      </c>
      <c r="B2299" s="3" t="s">
        <v>2299</v>
      </c>
      <c r="C2299" s="3" t="str">
        <f>IFERROR(__xludf.DUMMYFUNCTION("GOOGLETRANSLATE(B2299,""id"",""en"")"),"['Package', 'main', 'abis',' leftover ',' package ',' music ',' sosmed ',' game ',' right ',' use ',' slow ',' play ',' Hard ',' in ',' Game ',' Need ',' Mnt ',' Enter ']")</f>
        <v>['Package', 'main', 'abis',' leftover ',' package ',' music ',' sosmed ',' game ',' right ',' use ',' slow ',' play ',' Hard ',' in ',' Game ',' Need ',' Mnt ',' Enter ']</v>
      </c>
      <c r="D2299" s="3">
        <v>1.0</v>
      </c>
    </row>
    <row r="2300" ht="15.75" customHeight="1">
      <c r="A2300" s="1">
        <v>2298.0</v>
      </c>
      <c r="B2300" s="3" t="s">
        <v>2300</v>
      </c>
      <c r="C2300" s="3" t="str">
        <f>IFERROR(__xludf.DUMMYFUNCTION("GOOGLETRANSLATE(B2300,""id"",""en"")"),"['network', 'choose', 'because' best ',' knpa ',' skrng ',' worst ',' aduhhhh ',' severe ',' forced ',' because ',' card ',' Already ',' Banyk ',' number ',' ']")</f>
        <v>['network', 'choose', 'because' best ',' knpa ',' skrng ',' worst ',' aduhhhh ',' severe ',' forced ',' because ',' card ',' Already ',' Banyk ',' number ',' ']</v>
      </c>
      <c r="D2300" s="3">
        <v>1.0</v>
      </c>
    </row>
    <row r="2301" ht="15.75" customHeight="1">
      <c r="A2301" s="1">
        <v>2299.0</v>
      </c>
      <c r="B2301" s="3" t="s">
        <v>2301</v>
      </c>
      <c r="C2301" s="3" t="str">
        <f>IFERROR(__xludf.DUMMYFUNCTION("GOOGLETRANSLATE(B2301,""id"",""en"")"),"['Napa', 'Gaess',' use ',' quota ',' gift ',' check ',' app ',' connection ',' greget ',' network ',' pul ',' porji ',' Different ',' quota ',' purchase ',' quota ',' gift ',' nebus', 'Points',' Feel ',' Customer ', ""]")</f>
        <v>['Napa', 'Gaess',' use ',' quota ',' gift ',' check ',' app ',' connection ',' greget ',' network ',' pul ',' porji ',' Different ',' quota ',' purchase ',' quota ',' gift ',' nebus', 'Points',' Feel ',' Customer ', "]</v>
      </c>
      <c r="D2301" s="3">
        <v>5.0</v>
      </c>
    </row>
    <row r="2302" ht="15.75" customHeight="1">
      <c r="A2302" s="1">
        <v>2300.0</v>
      </c>
      <c r="B2302" s="3" t="s">
        <v>2302</v>
      </c>
      <c r="C2302" s="3" t="str">
        <f>IFERROR(__xludf.DUMMYFUNCTION("GOOGLETRANSLATE(B2302,""id"",""en"")"),"['Bad', 'Group', 'Signal', 'like', 'ilang', 'ilang', 'already', 'Hold', 'Wait', 'gada', 'change', 'otw', ' replace ',' provider ',' pulp ',' expensive ',' doang ',' spec ',' lowly ']")</f>
        <v>['Bad', 'Group', 'Signal', 'like', 'ilang', 'ilang', 'already', 'Hold', 'Wait', 'gada', 'change', 'otw', ' replace ',' provider ',' pulp ',' expensive ',' doang ',' spec ',' lowly ']</v>
      </c>
      <c r="D2302" s="3">
        <v>1.0</v>
      </c>
    </row>
    <row r="2303" ht="15.75" customHeight="1">
      <c r="A2303" s="1">
        <v>2301.0</v>
      </c>
      <c r="B2303" s="3" t="s">
        <v>2303</v>
      </c>
      <c r="C2303" s="3" t="str">
        <f>IFERROR(__xludf.DUMMYFUNCTION("GOOGLETRANSLATE(B2303,""id"",""en"")"),"['APK', 'Update', 'Kuhapan', 'Install', 'Package', 'Data', 'Install', 'APK', ""]")</f>
        <v>['APK', 'Update', 'Kuhapan', 'Install', 'Package', 'Data', 'Install', 'APK', "]</v>
      </c>
      <c r="D2303" s="3">
        <v>1.0</v>
      </c>
    </row>
    <row r="2304" ht="15.75" customHeight="1">
      <c r="A2304" s="1">
        <v>2302.0</v>
      </c>
      <c r="B2304" s="3" t="s">
        <v>2304</v>
      </c>
      <c r="C2304" s="3" t="str">
        <f>IFERROR(__xludf.DUMMYFUNCTION("GOOGLETRANSLATE(B2304,""id"",""en"")"),"['Signal', 'Network', 'Telkomsel', 'Damaged', 'Severe', 'Follow', 'said', 'Signal', 'Bentar', 'Severe', 'watch', 'Video', ' Duration ',' Minutes', 'Serasa', 'Clock', 'Liat', 'Story', 'Taste', 'Card', 'Cheap', 'Card', 'Cheap', 'Gini', 'Lemooott' , 'really'"&amp;", 'please', 'fix', 'network', 'signal', '']")</f>
        <v>['Signal', 'Network', 'Telkomsel', 'Damaged', 'Severe', 'Follow', 'said', 'Signal', 'Bentar', 'Severe', 'watch', 'Video', ' Duration ',' Minutes', 'Serasa', 'Clock', 'Liat', 'Story', 'Taste', 'Card', 'Cheap', 'Card', 'Cheap', 'Gini', 'Lemooott' , 'really', 'please', 'fix', 'network', 'signal', '']</v>
      </c>
      <c r="D2304" s="3">
        <v>1.0</v>
      </c>
    </row>
    <row r="2305" ht="15.75" customHeight="1">
      <c r="A2305" s="1">
        <v>2303.0</v>
      </c>
      <c r="B2305" s="3" t="s">
        <v>2305</v>
      </c>
      <c r="C2305" s="3" t="str">
        <f>IFERROR(__xludf.DUMMYFUNCTION("GOOGLETRANSLATE(B2305,""id"",""en"")"),"['Network', 'ugly', 'buy', 'package', 'expensive', 'Dirin', 'Tower', 'Pasaman', 'West', 'net', 'Ngan', 'Telkomsel', ' Hard ',' little ',' make ',' switch ',' exsis', '']")</f>
        <v>['Network', 'ugly', 'buy', 'package', 'expensive', 'Dirin', 'Tower', 'Pasaman', 'West', 'net', 'Ngan', 'Telkomsel', ' Hard ',' little ',' make ',' switch ',' exsis', '']</v>
      </c>
      <c r="D2305" s="3">
        <v>1.0</v>
      </c>
    </row>
    <row r="2306" ht="15.75" customHeight="1">
      <c r="A2306" s="1">
        <v>2304.0</v>
      </c>
      <c r="B2306" s="3" t="s">
        <v>2306</v>
      </c>
      <c r="C2306" s="3" t="str">
        <f>IFERROR(__xludf.DUMMYFUNCTION("GOOGLETRANSLATE(B2306,""id"",""en"")"),"['Why', 'Telkomsel', 'Yesterday', 'Network', 'Lost', 'Morning', 'Network', 'Nasty', 'Clock', 'Afternoon', 'Bar', 'Empty', ' Sometimes', 'sometimes',' appears', 'bar', 'then', 'ilang', 'ilang', 'why', 'btw', 'muara', 'enim', 'mountain', 'hold' , 'UDH', 'a "&amp;"week', 'The network', 'Kek', 'That's',' Clock ',' Sampe ',' Gifts', 'Watch', 'Speed', 'Internet', 'Jga', ' decrease ',' drastically ',' right ',' malem ',' hamlet ',' hamlet ',' difficult ',' bngt ',' life ',' hamlet ',' ']")</f>
        <v>['Why', 'Telkomsel', 'Yesterday', 'Network', 'Lost', 'Morning', 'Network', 'Nasty', 'Clock', 'Afternoon', 'Bar', 'Empty', ' Sometimes', 'sometimes',' appears', 'bar', 'then', 'ilang', 'ilang', 'why', 'btw', 'muara', 'enim', 'mountain', 'hold' , 'UDH', 'a week', 'The network', 'Kek', 'That's',' Clock ',' Sampe ',' Gifts', 'Watch', 'Speed', 'Internet', 'Jga', ' decrease ',' drastically ',' right ',' malem ',' hamlet ',' hamlet ',' difficult ',' bngt ',' life ',' hamlet ',' ']</v>
      </c>
      <c r="D2306" s="3">
        <v>3.0</v>
      </c>
    </row>
    <row r="2307" ht="15.75" customHeight="1">
      <c r="A2307" s="1">
        <v>2305.0</v>
      </c>
      <c r="B2307" s="3" t="s">
        <v>2307</v>
      </c>
      <c r="C2307" s="3" t="str">
        <f>IFERROR(__xludf.DUMMYFUNCTION("GOOGLETRANSLATE(B2307,""id"",""en"")"),"['Dear', 'Telkomsel', 'price', 'package', 'data', 'mahalin', 'network', 'fix', 'according to', 'hrga', 'package', 'data', ' Quality ',' Network ',' Hrga ',' Package ',' Data ',' NGK ',' Enter ',' Word ',' Network ',' Ngk ',' Ngkak ',' close ',' PDDK ' , '"&amp;"NTB', '']")</f>
        <v>['Dear', 'Telkomsel', 'price', 'package', 'data', 'mahalin', 'network', 'fix', 'according to', 'hrga', 'package', 'data', ' Quality ',' Network ',' Hrga ',' Package ',' Data ',' NGK ',' Enter ',' Word ',' Network ',' Ngk ',' Ngkak ',' close ',' PDDK ' , 'NTB', '']</v>
      </c>
      <c r="D2307" s="3">
        <v>2.0</v>
      </c>
    </row>
    <row r="2308" ht="15.75" customHeight="1">
      <c r="A2308" s="1">
        <v>2306.0</v>
      </c>
      <c r="B2308" s="3" t="s">
        <v>2308</v>
      </c>
      <c r="C2308" s="3" t="str">
        <f>IFERROR(__xludf.DUMMYFUNCTION("GOOGLETRANSLATE(B2308,""id"",""en"")"),"['crazy', 'crazy', 'already', 'like', 'axis',' sucked ',' pulse ',' wifi ',' package ',' data ',' cellular ',' dead ',' Credit ',' RbU ',' Eat ',' Pas', 'Check', 'Use', 'Written', 'Costs',' Access', 'Internet', 'waw', 'waw', 'waw' , 'forgiveness',' mercy "&amp;"',' mnding ',' move ',' klw ',' gini ',' pdhal ',' routine ',' take ',' package ',' yng ',' combo ',' Sakti ',' extra ',' unlimited ',' ']")</f>
        <v>['crazy', 'crazy', 'already', 'like', 'axis',' sucked ',' pulse ',' wifi ',' package ',' data ',' cellular ',' dead ',' Credit ',' RbU ',' Eat ',' Pas', 'Check', 'Use', 'Written', 'Costs',' Access', 'Internet', 'waw', 'waw', 'waw' , 'forgiveness',' mercy ',' mnding ',' move ',' klw ',' gini ',' pdhal ',' routine ',' take ',' package ',' yng ',' combo ',' Sakti ',' extra ',' unlimited ',' ']</v>
      </c>
      <c r="D2308" s="3">
        <v>1.0</v>
      </c>
    </row>
    <row r="2309" ht="15.75" customHeight="1">
      <c r="A2309" s="1">
        <v>2307.0</v>
      </c>
      <c r="B2309" s="3" t="s">
        <v>2309</v>
      </c>
      <c r="C2309" s="3" t="str">
        <f>IFERROR(__xludf.DUMMYFUNCTION("GOOGLETRANSLATE(B2309,""id"",""en"")"),"['Application', 'Damaged', 'Ngak', 'Pressed', 'Loading', 'Slow', 'Restart', 'Application', 'Daily', 'Checkin', 'Package', 'Emergency', ' Message ',' yesterday ',' entered ',' package ',' turn ',' buy ',' package ',' enter ',' package ',' emergency ',' alr"&amp;"eady ',' for 'was' , 'Money', 'Telkomsel', 'BURIK']")</f>
        <v>['Application', 'Damaged', 'Ngak', 'Pressed', 'Loading', 'Slow', 'Restart', 'Application', 'Daily', 'Checkin', 'Package', 'Emergency', ' Message ',' yesterday ',' entered ',' package ',' turn ',' buy ',' package ',' enter ',' package ',' emergency ',' already ',' for 'was' , 'Money', 'Telkomsel', 'BURIK']</v>
      </c>
      <c r="D2309" s="3">
        <v>1.0</v>
      </c>
    </row>
    <row r="2310" ht="15.75" customHeight="1">
      <c r="A2310" s="1">
        <v>2308.0</v>
      </c>
      <c r="B2310" s="3" t="s">
        <v>2310</v>
      </c>
      <c r="C2310" s="3" t="str">
        <f>IFERROR(__xludf.DUMMYFUNCTION("GOOGLETRANSLATE(B2310,""id"",""en"")"),"['pulse', 'left', 'contents',' reset ',' contents', 'package', 'thereafter', 'directly', 'run out', 'use', 'explanation', 'answer', ' Fix ',' mentang ',' name ',' service ',' bad ',' lose ',' provider ']")</f>
        <v>['pulse', 'left', 'contents',' reset ',' contents', 'package', 'thereafter', 'directly', 'run out', 'use', 'explanation', 'answer', ' Fix ',' mentang ',' name ',' service ',' bad ',' lose ',' provider ']</v>
      </c>
      <c r="D2310" s="3">
        <v>1.0</v>
      </c>
    </row>
    <row r="2311" ht="15.75" customHeight="1">
      <c r="A2311" s="1">
        <v>2309.0</v>
      </c>
      <c r="B2311" s="3" t="s">
        <v>2311</v>
      </c>
      <c r="C2311" s="3" t="str">
        <f>IFERROR(__xludf.DUMMYFUNCTION("GOOGLETRANSLATE(B2311,""id"",""en"")"),"['I guess',' Telkomsel ',' improvement ',' obstacles', 'purchase', 'please', 'fix', 'system', 'buy', 'quota', 'price', 'thousand', ' already ',' purchase ',' jga ',' system ',' busy ',' ']")</f>
        <v>['I guess',' Telkomsel ',' improvement ',' obstacles', 'purchase', 'please', 'fix', 'system', 'buy', 'quota', 'price', 'thousand', ' already ',' purchase ',' jga ',' system ',' busy ',' ']</v>
      </c>
      <c r="D2311" s="3">
        <v>1.0</v>
      </c>
    </row>
    <row r="2312" ht="15.75" customHeight="1">
      <c r="A2312" s="1">
        <v>2310.0</v>
      </c>
      <c r="B2312" s="3" t="s">
        <v>2312</v>
      </c>
      <c r="C2312" s="3" t="str">
        <f>IFERROR(__xludf.DUMMYFUNCTION("GOOGLETRANSLATE(B2312,""id"",""en"")"),"['network', 'Telkomsel', 'knp', 'ugly', 'sekrang', 'missing', 'arising', 'network', 'ngeta', 'in', 'difficult', '']")</f>
        <v>['network', 'Telkomsel', 'knp', 'ugly', 'sekrang', 'missing', 'arising', 'network', 'ngeta', 'in', 'difficult', '']</v>
      </c>
      <c r="D2312" s="3">
        <v>1.0</v>
      </c>
    </row>
    <row r="2313" ht="15.75" customHeight="1">
      <c r="A2313" s="1">
        <v>2311.0</v>
      </c>
      <c r="B2313" s="3" t="s">
        <v>2313</v>
      </c>
      <c r="C2313" s="3" t="str">
        <f>IFERROR(__xludf.DUMMYFUNCTION("GOOGLETRANSLATE(B2313,""id"",""en"")"),"['Sorry', 'error', 'system', 'please', 'Load', 'reset', 'Loading', 'Mulu', 'application', 'NGK', 'Useful']")</f>
        <v>['Sorry', 'error', 'system', 'please', 'Load', 'reset', 'Loading', 'Mulu', 'application', 'NGK', 'Useful']</v>
      </c>
      <c r="D2313" s="3">
        <v>1.0</v>
      </c>
    </row>
    <row r="2314" ht="15.75" customHeight="1">
      <c r="A2314" s="1">
        <v>2312.0</v>
      </c>
      <c r="B2314" s="3" t="s">
        <v>2314</v>
      </c>
      <c r="C2314" s="3" t="str">
        <f>IFERROR(__xludf.DUMMYFUNCTION("GOOGLETRANSLATE(B2314,""id"",""en"")"),"['Telkomsel', 'customers', 'loyal', 'great', 'hope', 'great', '']")</f>
        <v>['Telkomsel', 'customers', 'loyal', 'great', 'hope', 'great', '']</v>
      </c>
      <c r="D2314" s="3">
        <v>5.0</v>
      </c>
    </row>
    <row r="2315" ht="15.75" customHeight="1">
      <c r="A2315" s="1">
        <v>2313.0</v>
      </c>
      <c r="B2315" s="3" t="s">
        <v>2315</v>
      </c>
      <c r="C2315" s="3" t="str">
        <f>IFERROR(__xludf.DUMMYFUNCTION("GOOGLETRANSLATE(B2315,""id"",""en"")"),"['', 'kibulin', 'migration', 'card', 'Hallo', 'wallet', 'broken', 'service', 'quality', 'really', 'trapping', 'people', 'lay ',' ']")</f>
        <v>['', 'kibulin', 'migration', 'card', 'Hallo', 'wallet', 'broken', 'service', 'quality', 'really', 'trapping', 'people', 'lay ',' ']</v>
      </c>
      <c r="D2315" s="3">
        <v>1.0</v>
      </c>
    </row>
    <row r="2316" ht="15.75" customHeight="1">
      <c r="A2316" s="1">
        <v>2314.0</v>
      </c>
      <c r="B2316" s="3" t="s">
        <v>2316</v>
      </c>
      <c r="C2316" s="3" t="str">
        <f>IFERROR(__xludf.DUMMYFUNCTION("GOOGLETRANSLATE(B2316,""id"",""en"")"),"['love', 'star', 'UDH', 'signal', 'UDH', 'package', 'expensive', 'pulse', 'palak', 'package', 'data', 'child', ' Stepming ',' ']")</f>
        <v>['love', 'star', 'UDH', 'signal', 'UDH', 'package', 'expensive', 'pulse', 'palak', 'package', 'data', 'child', ' Stepming ',' ']</v>
      </c>
      <c r="D2316" s="3">
        <v>1.0</v>
      </c>
    </row>
    <row r="2317" ht="15.75" customHeight="1">
      <c r="A2317" s="1">
        <v>2315.0</v>
      </c>
      <c r="B2317" s="3" t="s">
        <v>2317</v>
      </c>
      <c r="C2317" s="3" t="str">
        <f>IFERROR(__xludf.DUMMYFUNCTION("GOOGLETRANSLATE(B2317,""id"",""en"")"),"['Good', 'contents', 'pulse', 'Points', 'enter', '']")</f>
        <v>['Good', 'contents', 'pulse', 'Points', 'enter', '']</v>
      </c>
      <c r="D2317" s="3">
        <v>5.0</v>
      </c>
    </row>
    <row r="2318" ht="15.75" customHeight="1">
      <c r="A2318" s="1">
        <v>2316.0</v>
      </c>
      <c r="B2318" s="3" t="s">
        <v>2318</v>
      </c>
      <c r="C2318" s="3" t="str">
        <f>IFERROR(__xludf.DUMMYFUNCTION("GOOGLETRANSLATE(B2318,""id"",""en"")"),"['signal', 'good', 'service', 'product', 'offer', 'dizziness',' user ',' friend ',' sam ',' sympathy ',' promo ',' product ',' Offer ',' Different ',' Notification ',' Exhaustible ',' Quota ',' Late ',' Suspensive ',' Credit ',' Cutting ',' Disruption ','"&amp;" Claim ',' Gift ',' Thank "" , 'Love', 'Telkomsel', 'moved', 'survive', 'good', 'already', 'use it', '']")</f>
        <v>['signal', 'good', 'service', 'product', 'offer', 'dizziness',' user ',' friend ',' sam ',' sympathy ',' promo ',' product ',' Offer ',' Different ',' Notification ',' Exhaustible ',' Quota ',' Late ',' Suspensive ',' Credit ',' Cutting ',' Disruption ',' Claim ',' Gift ',' Thank " , 'Love', 'Telkomsel', 'moved', 'survive', 'good', 'already', 'use it', '']</v>
      </c>
      <c r="D2318" s="3">
        <v>2.0</v>
      </c>
    </row>
    <row r="2319" ht="15.75" customHeight="1">
      <c r="A2319" s="1">
        <v>2317.0</v>
      </c>
      <c r="B2319" s="3" t="s">
        <v>2319</v>
      </c>
      <c r="C2319" s="3" t="str">
        <f>IFERROR(__xludf.DUMMYFUNCTION("GOOGLETRANSLATE(B2319,""id"",""en"")"),"['Steady', 'people', 'gifts', 'lottery', '']")</f>
        <v>['Steady', 'people', 'gifts', 'lottery', '']</v>
      </c>
      <c r="D2319" s="3">
        <v>5.0</v>
      </c>
    </row>
    <row r="2320" ht="15.75" customHeight="1">
      <c r="A2320" s="1">
        <v>2318.0</v>
      </c>
      <c r="B2320" s="3" t="s">
        <v>2320</v>
      </c>
      <c r="C2320" s="3" t="str">
        <f>IFERROR(__xludf.DUMMYFUNCTION("GOOGLETRANSLATE(B2320,""id"",""en"")"),"['signal', 'Telkomsel', 'mmg', 'good', 'APLG', 'area', 'remote', 'front', 'LOTIN', 'bonus',' quota ',' exchange ',' Points', '']")</f>
        <v>['signal', 'Telkomsel', 'mmg', 'good', 'APLG', 'area', 'remote', 'front', 'LOTIN', 'bonus',' quota ',' exchange ',' Points', '']</v>
      </c>
      <c r="D2320" s="3">
        <v>4.0</v>
      </c>
    </row>
    <row r="2321" ht="15.75" customHeight="1">
      <c r="A2321" s="1">
        <v>2319.0</v>
      </c>
      <c r="B2321" s="3" t="s">
        <v>2321</v>
      </c>
      <c r="C2321" s="3" t="str">
        <f>IFERROR(__xludf.DUMMYFUNCTION("GOOGLETRANSLATE(B2321,""id"",""en"")"),"['Likes', 'Package', 'Special', 'Promo', 'Klu', 'Min', 'Hehhehe', ""]")</f>
        <v>['Likes', 'Package', 'Special', 'Promo', 'Klu', 'Min', 'Hehhehe', "]</v>
      </c>
      <c r="D2321" s="3">
        <v>5.0</v>
      </c>
    </row>
    <row r="2322" ht="15.75" customHeight="1">
      <c r="A2322" s="1">
        <v>2320.0</v>
      </c>
      <c r="B2322" s="3" t="s">
        <v>2322</v>
      </c>
      <c r="C2322" s="3" t="str">
        <f>IFERROR(__xludf.DUMMYFUNCTION("GOOGLETRANSLATE(B2322,""id"",""en"")"),"['', '']")</f>
        <v>['', '']</v>
      </c>
      <c r="D2322" s="3">
        <v>5.0</v>
      </c>
    </row>
    <row r="2323" ht="15.75" customHeight="1">
      <c r="A2323" s="1">
        <v>2321.0</v>
      </c>
      <c r="B2323" s="3" t="s">
        <v>2323</v>
      </c>
      <c r="C2323" s="3" t="str">
        <f>IFERROR(__xludf.DUMMYFUNCTION("GOOGLETRANSLATE(B2323,""id"",""en"")"),"['Network', 'Good', 'room', 'Dalem', 'room', 'bright', 'Telkomsel', 'village', 'ugly', 'really', 'tower', 'tower', ' close ',' really ',' home ',' distance ',' meter ',' work ',' internet ',' loading ',' aga ',' play ',' game ',' no ',' ping it ' , 'ugly'"&amp;", 'provider', 'abandoned', 'replaced', 'provider', 'country', 'hope', '']")</f>
        <v>['Network', 'Good', 'room', 'Dalem', 'room', 'bright', 'Telkomsel', 'village', 'ugly', 'really', 'tower', 'tower', ' close ',' really ',' home ',' distance ',' meter ',' work ',' internet ',' loading ',' aga ',' play ',' game ',' no ',' ping it ' , 'ugly', 'provider', 'abandoned', 'replaced', 'provider', 'country', 'hope', '']</v>
      </c>
      <c r="D2323" s="3">
        <v>1.0</v>
      </c>
    </row>
    <row r="2324" ht="15.75" customHeight="1">
      <c r="A2324" s="1">
        <v>2322.0</v>
      </c>
      <c r="B2324" s="3" t="s">
        <v>2324</v>
      </c>
      <c r="C2324" s="3" t="str">
        <f>IFERROR(__xludf.DUMMYFUNCTION("GOOGLETRANSLATE(B2324,""id"",""en"")"),"['package', 'expensive', 'signal', 'problematic', 'open', 'youtube', 'etc.', 'open', 'google', 'difficult', 'telkomsel', 'emg', ' The signal ',' good ',' really ',' below ',' price ',' quota ',' expensive ',' quality ',' enhanced ']")</f>
        <v>['package', 'expensive', 'signal', 'problematic', 'open', 'youtube', 'etc.', 'open', 'google', 'difficult', 'telkomsel', 'emg', ' The signal ',' good ',' really ',' below ',' price ',' quota ',' expensive ',' quality ',' enhanced ']</v>
      </c>
      <c r="D2324" s="3">
        <v>1.0</v>
      </c>
    </row>
    <row r="2325" ht="15.75" customHeight="1">
      <c r="A2325" s="1">
        <v>2323.0</v>
      </c>
      <c r="B2325" s="3" t="s">
        <v>2325</v>
      </c>
      <c r="C2325" s="3" t="str">
        <f>IFERROR(__xludf.DUMMYFUNCTION("GOOGLETRANSLATE(B2325,""id"",""en"")"),"['Package', 'A Week', 'YouTube', 'Walking', 'Quota', 'Internet', 'Out', 'Helooooo', 'Fix', 'Program', 'Computer', ""]")</f>
        <v>['Package', 'A Week', 'YouTube', 'Walking', 'Quota', 'Internet', 'Out', 'Helooooo', 'Fix', 'Program', 'Computer', "]</v>
      </c>
      <c r="D2325" s="3">
        <v>3.0</v>
      </c>
    </row>
    <row r="2326" ht="15.75" customHeight="1">
      <c r="A2326" s="1">
        <v>2324.0</v>
      </c>
      <c r="B2326" s="3" t="s">
        <v>2326</v>
      </c>
      <c r="C2326" s="3" t="str">
        <f>IFERROR(__xludf.DUMMYFUNCTION("GOOGLETRANSLATE(B2326,""id"",""en"")"),"['menu', 'buy', 'quota', 'most', 'internet', 'telephone', 'sms',' gausah ',' appendage ',' tiktod ',' facebook ',' what ',' Macem ',' already ',' that's', 'expensive', 'exchange', 'point', 'quota', 'GB', 'the reason', 'system', 'busy', 'hold', 'exchange' "&amp;", 'Exchange', 'Maen', 'Game', 'pub', 'mobile', 'sometimes', 'likes', 'lag', ""]")</f>
        <v>['menu', 'buy', 'quota', 'most', 'internet', 'telephone', 'sms',' gausah ',' appendage ',' tiktod ',' facebook ',' what ',' Macem ',' already ',' that's', 'expensive', 'exchange', 'point', 'quota', 'GB', 'the reason', 'system', 'busy', 'hold', 'exchange' , 'Exchange', 'Maen', 'Game', 'pub', 'mobile', 'sometimes', 'likes', 'lag', "]</v>
      </c>
      <c r="D2326" s="3">
        <v>1.0</v>
      </c>
    </row>
    <row r="2327" ht="15.75" customHeight="1">
      <c r="A2327" s="1">
        <v>2325.0</v>
      </c>
      <c r="B2327" s="3" t="s">
        <v>2327</v>
      </c>
      <c r="C2327" s="3" t="str">
        <f>IFERROR(__xludf.DUMMYFUNCTION("GOOGLETRANSLATE(B2327,""id"",""en"")"),"['application', 'Telkomsel', 'update', 'update', 'package', 'internet', 'cheap', 'AKTF', 'wasted', 'Sia', 'quota', 'bought', ' Please, 'admin', 'promo', 'interesting', 'cheap', 'active', 'OJANG', 'quota', 'inernet', ""]")</f>
        <v>['application', 'Telkomsel', 'update', 'update', 'package', 'internet', 'cheap', 'AKTF', 'wasted', 'Sia', 'quota', 'bought', ' Please, 'admin', 'promo', 'interesting', 'cheap', 'active', 'OJANG', 'quota', 'inernet', "]</v>
      </c>
      <c r="D2327" s="3">
        <v>3.0</v>
      </c>
    </row>
    <row r="2328" ht="15.75" customHeight="1">
      <c r="A2328" s="1">
        <v>2326.0</v>
      </c>
      <c r="B2328" s="3" t="s">
        <v>2328</v>
      </c>
      <c r="C2328" s="3" t="str">
        <f>IFERROR(__xludf.DUMMYFUNCTION("GOOGLETRANSLATE(B2328,""id"",""en"")"),"['Update', 'Mulu', 'Changed', 'Changed', 'Quota', 'Tetep', 'Ngealg', 'Yes', 'Hard', 'Tower']")</f>
        <v>['Update', 'Mulu', 'Changed', 'Changed', 'Quota', 'Tetep', 'Ngealg', 'Yes', 'Hard', 'Tower']</v>
      </c>
      <c r="D2328" s="3">
        <v>3.0</v>
      </c>
    </row>
    <row r="2329" ht="15.75" customHeight="1">
      <c r="A2329" s="1">
        <v>2327.0</v>
      </c>
      <c r="B2329" s="3" t="s">
        <v>2329</v>
      </c>
      <c r="C2329" s="3" t="str">
        <f>IFERROR(__xludf.DUMMYFUNCTION("GOOGLETRANSLATE(B2329,""id"",""en"")"),"['easy', 'help', 'manufacture', 'package', 'recommended', '']")</f>
        <v>['easy', 'help', 'manufacture', 'package', 'recommended', '']</v>
      </c>
      <c r="D2329" s="3">
        <v>4.0</v>
      </c>
    </row>
    <row r="2330" ht="15.75" customHeight="1">
      <c r="A2330" s="1">
        <v>2328.0</v>
      </c>
      <c r="B2330" s="3" t="s">
        <v>2330</v>
      </c>
      <c r="C2330" s="3" t="str">
        <f>IFERROR(__xludf.DUMMYFUNCTION("GOOGLETRANSLATE(B2330,""id"",""en"")"),"['just', 'contents',' pulse ',' then ',' KNPA ',' reduced ',' right ',' buy ',' package ',' combo ',' GB ',' APK ',' Telkomsel ',' TPI ',' leftover ',' pulse ',' sufficient ',' buy ',' package ',' because ',' forced ',' try ',' buy ',' healthy ',' GB ' , "&amp;"'TPI', 'Message', 'rich', 'leftover', 'pulse', 'sufficient', 'buy', 'package', 'mean', 'bangs',' Ajg ',' Udh ',' Expensive ',' Network ',' Sometimes', 'Stable', 'Teus',' Sumpa ',' Raying ',' Buy ',' Credit ', ""]")</f>
        <v>['just', 'contents',' pulse ',' then ',' KNPA ',' reduced ',' right ',' buy ',' package ',' combo ',' GB ',' APK ',' Telkomsel ',' TPI ',' leftover ',' pulse ',' sufficient ',' buy ',' package ',' because ',' forced ',' try ',' buy ',' healthy ',' GB ' , 'TPI', 'Message', 'rich', 'leftover', 'pulse', 'sufficient', 'buy', 'package', 'mean', 'bangs',' Ajg ',' Udh ',' Expensive ',' Network ',' Sometimes', 'Stable', 'Teus',' Sumpa ',' Raying ',' Buy ',' Credit ', "]</v>
      </c>
      <c r="D2330" s="3">
        <v>1.0</v>
      </c>
    </row>
    <row r="2331" ht="15.75" customHeight="1">
      <c r="A2331" s="1">
        <v>2329.0</v>
      </c>
      <c r="B2331" s="3" t="s">
        <v>2331</v>
      </c>
      <c r="C2331" s="3" t="str">
        <f>IFERROR(__xludf.DUMMYFUNCTION("GOOGLETRANSLATE(B2331,""id"",""en"")"),"['Cook', 'Package', 'Combo', 'Sakti', 'Unlimited', 'Restricted', 'Usage', 'Naturally', 'Unlimited', 'Limited', 'Telkomsel', 'Play', ' The limit ',' Limit ',' usage ',' Naturally ',' sincere ',' Ngasi ',' Unlimited ',' Delete ',' Embed ',' Embed ',' Unlimi"&amp;"ted ',' Love ',' hope ' , 'fake', 'customer']")</f>
        <v>['Cook', 'Package', 'Combo', 'Sakti', 'Unlimited', 'Restricted', 'Usage', 'Naturally', 'Unlimited', 'Limited', 'Telkomsel', 'Play', ' The limit ',' Limit ',' usage ',' Naturally ',' sincere ',' Ngasi ',' Unlimited ',' Delete ',' Embed ',' Embed ',' Unlimited ',' Love ',' hope ' , 'fake', 'customer']</v>
      </c>
      <c r="D2331" s="3">
        <v>1.0</v>
      </c>
    </row>
    <row r="2332" ht="15.75" customHeight="1">
      <c r="A2332" s="1">
        <v>2330.0</v>
      </c>
      <c r="B2332" s="3" t="s">
        <v>2332</v>
      </c>
      <c r="C2332" s="3" t="str">
        <f>IFERROR(__xludf.DUMMYFUNCTION("GOOGLETRANSLATE(B2332,""id"",""en"")"),"['expensive', 'package', 'crazy', 'put', 'network', 'rich', 'snail', 'sorry', 'cave', 'uninstall', ""]")</f>
        <v>['expensive', 'package', 'crazy', 'put', 'network', 'rich', 'snail', 'sorry', 'cave', 'uninstall', "]</v>
      </c>
      <c r="D2332" s="3">
        <v>1.0</v>
      </c>
    </row>
    <row r="2333" ht="15.75" customHeight="1">
      <c r="A2333" s="1">
        <v>2331.0</v>
      </c>
      <c r="B2333" s="3" t="s">
        <v>2333</v>
      </c>
      <c r="C2333" s="3" t="str">
        <f>IFERROR(__xludf.DUMMYFUNCTION("GOOGLETRANSLATE(B2333,""id"",""en"")"),"['Quota', 'Out', 'Discount', 'Cut', 'Pulse', 'Damn', '']")</f>
        <v>['Quota', 'Out', 'Discount', 'Cut', 'Pulse', 'Damn', '']</v>
      </c>
      <c r="D2333" s="3">
        <v>1.0</v>
      </c>
    </row>
    <row r="2334" ht="15.75" customHeight="1">
      <c r="A2334" s="1">
        <v>2332.0</v>
      </c>
      <c r="B2334" s="3" t="s">
        <v>2334</v>
      </c>
      <c r="C2334" s="3" t="str">
        <f>IFERROR(__xludf.DUMMYFUNCTION("GOOGLETRANSLATE(B2334,""id"",""en"")"),"['quota', 'expensive', 'doang', 'signal', 'gembel', 'number', 'already', 'widening', 'waste', 'card', 'signal', 'Rapihin', ' Lost ',' Ama ',' cheap ',' shy ',' ']")</f>
        <v>['quota', 'expensive', 'doang', 'signal', 'gembel', 'number', 'already', 'widening', 'waste', 'card', 'signal', 'Rapihin', ' Lost ',' Ama ',' cheap ',' shy ',' ']</v>
      </c>
      <c r="D2334" s="3">
        <v>1.0</v>
      </c>
    </row>
    <row r="2335" ht="15.75" customHeight="1">
      <c r="A2335" s="1">
        <v>2333.0</v>
      </c>
      <c r="B2335" s="3" t="s">
        <v>2335</v>
      </c>
      <c r="C2335" s="3" t="str">
        <f>IFERROR(__xludf.DUMMYFUNCTION("GOOGLETRANSLATE(B2335,""id"",""en"")"),"['quota', 'kagak', 'just', 'need', 'quota', 'local', 'people', 'likes', 'nnton', 'stream', 'maxstream']")</f>
        <v>['quota', 'kagak', 'just', 'need', 'quota', 'local', 'people', 'likes', 'nnton', 'stream', 'maxstream']</v>
      </c>
      <c r="D2335" s="3">
        <v>1.0</v>
      </c>
    </row>
    <row r="2336" ht="15.75" customHeight="1">
      <c r="A2336" s="1">
        <v>2334.0</v>
      </c>
      <c r="B2336" s="3" t="s">
        <v>2336</v>
      </c>
      <c r="C2336" s="3" t="str">
        <f>IFERROR(__xludf.DUMMYFUNCTION("GOOGLETRANSLATE(B2336,""id"",""en"")"),"['Download it', 'Knp', 'download', 'DOWNLOADLOAAD']")</f>
        <v>['Download it', 'Knp', 'download', 'DOWNLOADLOAAD']</v>
      </c>
      <c r="D2336" s="3">
        <v>5.0</v>
      </c>
    </row>
    <row r="2337" ht="15.75" customHeight="1">
      <c r="A2337" s="1">
        <v>2335.0</v>
      </c>
      <c r="B2337" s="3" t="s">
        <v>2337</v>
      </c>
      <c r="C2337" s="3" t="str">
        <f>IFERROR(__xludf.DUMMYFUNCTION("GOOGLETRANSLATE(B2337,""id"",""en"")"),"['Reduce', 'Bintang', 'Buy', 'Package', 'Yesterday', 'Disruption', 'Please', 'Fix']")</f>
        <v>['Reduce', 'Bintang', 'Buy', 'Package', 'Yesterday', 'Disruption', 'Please', 'Fix']</v>
      </c>
      <c r="D2337" s="3">
        <v>4.0</v>
      </c>
    </row>
    <row r="2338" ht="15.75" customHeight="1">
      <c r="A2338" s="1">
        <v>2336.0</v>
      </c>
      <c r="B2338" s="3" t="s">
        <v>2338</v>
      </c>
      <c r="C2338" s="3" t="str">
        <f>IFERROR(__xludf.DUMMYFUNCTION("GOOGLETRANSLATE(B2338,""id"",""en"")"),"['Please', 'Sorry', 'Experience', 'Disruption', 'Network', 'Stable', 'Buy', 'Paketan', 'APK', 'System', 'Notify', 'Disorders',' hope ',' check ',' connection ',' connection ',' stable ',' smooth ']")</f>
        <v>['Please', 'Sorry', 'Experience', 'Disruption', 'Network', 'Stable', 'Buy', 'Paketan', 'APK', 'System', 'Notify', 'Disorders',' hope ',' check ',' connection ',' connection ',' stable ',' smooth ']</v>
      </c>
      <c r="D2338" s="3">
        <v>1.0</v>
      </c>
    </row>
    <row r="2339" ht="15.75" customHeight="1">
      <c r="A2339" s="1">
        <v>2337.0</v>
      </c>
      <c r="B2339" s="3" t="s">
        <v>2339</v>
      </c>
      <c r="C2339" s="3" t="str">
        <f>IFERROR(__xludf.DUMMYFUNCTION("GOOGLETRANSLATE(B2339,""id"",""en"")"),"['thank', 'love', 'help', 'claim', 'prize', 'problematic', 'enjoy']")</f>
        <v>['thank', 'love', 'help', 'claim', 'prize', 'problematic', 'enjoy']</v>
      </c>
      <c r="D2339" s="3">
        <v>5.0</v>
      </c>
    </row>
    <row r="2340" ht="15.75" customHeight="1">
      <c r="A2340" s="1">
        <v>2338.0</v>
      </c>
      <c r="B2340" s="3" t="s">
        <v>2340</v>
      </c>
      <c r="C2340" s="3" t="str">
        <f>IFERROR(__xludf.DUMMYFUNCTION("GOOGLETRANSLATE(B2340,""id"",""en"")"),"['Severe', 'really', 'Telkomsel', 'skrng', 'quota', 'internet', 'ngembat', 'pulses', 'also', 'network', 'rot']")</f>
        <v>['Severe', 'really', 'Telkomsel', 'skrng', 'quota', 'internet', 'ngembat', 'pulses', 'also', 'network', 'rot']</v>
      </c>
      <c r="D2340" s="3">
        <v>1.0</v>
      </c>
    </row>
    <row r="2341" ht="15.75" customHeight="1">
      <c r="A2341" s="1">
        <v>2339.0</v>
      </c>
      <c r="B2341" s="3" t="s">
        <v>2341</v>
      </c>
      <c r="C2341" s="3" t="str">
        <f>IFERROR(__xludf.DUMMYFUNCTION("GOOGLETRANSLATE(B2341,""id"",""en"")"),"['application', 'good', 'quota', 'free', 'check', 'setipa', 'doang', ""]")</f>
        <v>['application', 'good', 'quota', 'free', 'check', 'setipa', 'doang', "]</v>
      </c>
      <c r="D2341" s="3">
        <v>5.0</v>
      </c>
    </row>
    <row r="2342" ht="15.75" customHeight="1">
      <c r="A2342" s="1">
        <v>2340.0</v>
      </c>
      <c r="B2342" s="3" t="s">
        <v>2342</v>
      </c>
      <c r="C2342" s="3" t="str">
        <f>IFERROR(__xludf.DUMMYFUNCTION("GOOGLETRANSLATE(B2342,""id"",""en"")"),"['Helpful', 'Download', 'Application', 'Axisnet', 'There', 'Quota', 'Free', 'Day', 'Hurry', 'Download', 'Axisnet', 'Using', ' card ',' axis']")</f>
        <v>['Helpful', 'Download', 'Application', 'Axisnet', 'There', 'Quota', 'Free', 'Day', 'Hurry', 'Download', 'Axisnet', 'Using', ' card ',' axis']</v>
      </c>
      <c r="D2342" s="3">
        <v>1.0</v>
      </c>
    </row>
    <row r="2343" ht="15.75" customHeight="1">
      <c r="A2343" s="1">
        <v>2341.0</v>
      </c>
      <c r="B2343" s="3" t="s">
        <v>2343</v>
      </c>
      <c r="C2343" s="3" t="str">
        <f>IFERROR(__xludf.DUMMYFUNCTION("GOOGLETRANSLATE(B2343,""id"",""en"")"),"['signal', 'good', 'bangetttttt', '']")</f>
        <v>['signal', 'good', 'bangetttttt', '']</v>
      </c>
      <c r="D2343" s="3">
        <v>5.0</v>
      </c>
    </row>
    <row r="2344" ht="15.75" customHeight="1">
      <c r="A2344" s="1">
        <v>2342.0</v>
      </c>
      <c r="B2344" s="3" t="s">
        <v>2344</v>
      </c>
      <c r="C2344" s="3" t="str">
        <f>IFERROR(__xludf.DUMMYFUNCTION("GOOGLETRANSLATE(B2344,""id"",""en"")"),"['Please', 'repaired', 'Combo', 'Sakti', 'Ultimatea', 'slow', 'NGK', 'Open', 'YouTube', 'Ultimate', 'satisfying', 'Package', ' Ultimate ',' slow ',' use ',' ']")</f>
        <v>['Please', 'repaired', 'Combo', 'Sakti', 'Ultimatea', 'slow', 'NGK', 'Open', 'YouTube', 'Ultimate', 'satisfying', 'Package', ' Ultimate ',' slow ',' use ',' ']</v>
      </c>
      <c r="D2344" s="3">
        <v>1.0</v>
      </c>
    </row>
    <row r="2345" ht="15.75" customHeight="1">
      <c r="A2345" s="1">
        <v>2343.0</v>
      </c>
      <c r="B2345" s="3" t="s">
        <v>2345</v>
      </c>
      <c r="C2345" s="3" t="str">
        <f>IFERROR(__xludf.DUMMYFUNCTION("GOOGLETRANSLATE(B2345,""id"",""en"")"),"['Alhamdulillah', 'Telkomsel', 'buy', 'package', 'price', 'cheap', 'thank', 'love', ""]")</f>
        <v>['Alhamdulillah', 'Telkomsel', 'buy', 'package', 'price', 'cheap', 'thank', 'love', "]</v>
      </c>
      <c r="D2345" s="3">
        <v>3.0</v>
      </c>
    </row>
    <row r="2346" ht="15.75" customHeight="1">
      <c r="A2346" s="1">
        <v>2344.0</v>
      </c>
      <c r="B2346" s="3" t="s">
        <v>2346</v>
      </c>
      <c r="C2346" s="3" t="str">
        <f>IFERROR(__xludf.DUMMYFUNCTION("GOOGLETRANSLATE(B2346,""id"",""en"")"),"['', 'Telkomsel', 'no', 'buy', 'package', 'games',' voucher ',' DIJO ',' love ',' buy ',' no ',' Ajing ',' Lahh ']")</f>
        <v>['', 'Telkomsel', 'no', 'buy', 'package', 'games',' voucher ',' DIJO ',' love ',' buy ',' no ',' Ajing ',' Lahh ']</v>
      </c>
      <c r="D2346" s="3">
        <v>1.0</v>
      </c>
    </row>
    <row r="2347" ht="15.75" customHeight="1">
      <c r="A2347" s="1">
        <v>2345.0</v>
      </c>
      <c r="B2347" s="3" t="s">
        <v>2347</v>
      </c>
      <c r="C2347" s="3" t="str">
        <f>IFERROR(__xludf.DUMMYFUNCTION("GOOGLETRANSLATE(B2347,""id"",""en"")"),"['Credit', 'Save', 'Application', 'Sumpot', 'Have', 'Debt', 'Call', 'Hesitant', 'Nyimpen', 'Credit']")</f>
        <v>['Credit', 'Save', 'Application', 'Sumpot', 'Have', 'Debt', 'Call', 'Hesitant', 'Nyimpen', 'Credit']</v>
      </c>
      <c r="D2347" s="3">
        <v>1.0</v>
      </c>
    </row>
    <row r="2348" ht="15.75" customHeight="1">
      <c r="A2348" s="1">
        <v>2346.0</v>
      </c>
      <c r="B2348" s="3" t="s">
        <v>2348</v>
      </c>
      <c r="C2348" s="3" t="str">
        <f>IFERROR(__xludf.DUMMYFUNCTION("GOOGLETRANSLATE(B2348,""id"",""en"")"),"['Telkomsel', 'network', 'okay', 'Telkomsel', 'gift', 'happy', 'really', 'surprise', 'his draw', 'thank', 'love', 'Telkomsel', ' ']")</f>
        <v>['Telkomsel', 'network', 'okay', 'Telkomsel', 'gift', 'happy', 'really', 'surprise', 'his draw', 'thank', 'love', 'Telkomsel', ' ']</v>
      </c>
      <c r="D2348" s="3">
        <v>5.0</v>
      </c>
    </row>
    <row r="2349" ht="15.75" customHeight="1">
      <c r="A2349" s="1">
        <v>2347.0</v>
      </c>
      <c r="B2349" s="3" t="s">
        <v>2349</v>
      </c>
      <c r="C2349" s="3" t="str">
        <f>IFERROR(__xludf.DUMMYFUNCTION("GOOGLETRANSLATE(B2349,""id"",""en"")"),"['signal', 'strong', 'setabilizer', 'increase', 'quality', 'signal', 'program', 'promo']")</f>
        <v>['signal', 'strong', 'setabilizer', 'increase', 'quality', 'signal', 'program', 'promo']</v>
      </c>
      <c r="D2349" s="3">
        <v>5.0</v>
      </c>
    </row>
    <row r="2350" ht="15.75" customHeight="1">
      <c r="A2350" s="1">
        <v>2348.0</v>
      </c>
      <c r="B2350" s="3" t="s">
        <v>2350</v>
      </c>
      <c r="C2350" s="3" t="str">
        <f>IFERROR(__xludf.DUMMYFUNCTION("GOOGLETRANSLATE(B2350,""id"",""en"")"),"['taking', 'discount', 'voucher', 'paid', 'contents', 'pulse', 'gift', 'free', 'internet', 'program', 'check', 'Telkomsel']")</f>
        <v>['taking', 'discount', 'voucher', 'paid', 'contents', 'pulse', 'gift', 'free', 'internet', 'program', 'check', 'Telkomsel']</v>
      </c>
      <c r="D2350" s="3">
        <v>3.0</v>
      </c>
    </row>
    <row r="2351" ht="15.75" customHeight="1">
      <c r="A2351" s="1">
        <v>2349.0</v>
      </c>
      <c r="B2351" s="3" t="s">
        <v>2351</v>
      </c>
      <c r="C2351" s="3" t="str">
        <f>IFERROR(__xludf.DUMMYFUNCTION("GOOGLETRANSLATE(B2351,""id"",""en"")"),"['Practical', 'Ribet', 'Easy', 'Telkomsel', 'Network', 'Telkomsel', 'Weakening', 'Where', 'City', 'Collater', 'Village', 'Village', ' village ',' affordable ',' suggestion ',' network ',' Telkomsel ',' users', 'Telkomsel', 'network', 'Telkomsel', 'satisfi"&amp;"ed', 'happy', 'Telkomsel', 'thank' , 'love', '']")</f>
        <v>['Practical', 'Ribet', 'Easy', 'Telkomsel', 'Network', 'Telkomsel', 'Weakening', 'Where', 'City', 'Collater', 'Village', 'Village', ' village ',' affordable ',' suggestion ',' network ',' Telkomsel ',' users', 'Telkomsel', 'network', 'Telkomsel', 'satisfied', 'happy', 'Telkomsel', 'thank' , 'love', '']</v>
      </c>
      <c r="D2351" s="3">
        <v>5.0</v>
      </c>
    </row>
    <row r="2352" ht="15.75" customHeight="1">
      <c r="A2352" s="1">
        <v>2350.0</v>
      </c>
      <c r="B2352" s="3" t="s">
        <v>2352</v>
      </c>
      <c r="C2352" s="3" t="str">
        <f>IFERROR(__xludf.DUMMYFUNCTION("GOOGLETRANSLATE(B2352,""id"",""en"")"),"['Tuker', 'Points',' Ama ',' quota ',' extra ',' pulses', 'expensive', 'mending', 'promo', 'like', 'that's',' Percuna ',' Pakek ',' Points', 'Plus',' Credit ',' Nanggung ',' Credit ',' Mending ',' Buy ',' Quota ',' Lansung ',' Disappointed ']")</f>
        <v>['Tuker', 'Points',' Ama ',' quota ',' extra ',' pulses', 'expensive', 'mending', 'promo', 'like', 'that's',' Percuna ',' Pakek ',' Points', 'Plus',' Credit ',' Nanggung ',' Credit ',' Mending ',' Buy ',' Quota ',' Lansung ',' Disappointed ']</v>
      </c>
      <c r="D2352" s="3">
        <v>5.0</v>
      </c>
    </row>
    <row r="2353" ht="15.75" customHeight="1">
      <c r="A2353" s="1">
        <v>2351.0</v>
      </c>
      <c r="B2353" s="3" t="s">
        <v>2353</v>
      </c>
      <c r="C2353" s="3" t="str">
        <f>IFERROR(__xludf.DUMMYFUNCTION("GOOGLETRANSLATE(B2353,""id"",""en"")"),"['easy', 'cheap', 'telkomsel', 'check', 'bonus', 'unfortunately', 'leftover', 'pulse', 'sumps', ""]")</f>
        <v>['easy', 'cheap', 'telkomsel', 'check', 'bonus', 'unfortunately', 'leftover', 'pulse', 'sumps', "]</v>
      </c>
      <c r="D2353" s="3">
        <v>3.0</v>
      </c>
    </row>
    <row r="2354" ht="15.75" customHeight="1">
      <c r="A2354" s="1">
        <v>2352.0</v>
      </c>
      <c r="B2354" s="3" t="s">
        <v>2354</v>
      </c>
      <c r="C2354" s="3" t="str">
        <f>IFERROR(__xludf.DUMMYFUNCTION("GOOGLETRANSLATE(B2354,""id"",""en"")"),"['quota', 'open', 'application', 'Telkomsel', 'quota', 'direct', 'zero', 'times',' use ',' Telkomsel ',' event ',' friend ',' Brother ',' Feel ',' Direct ',' Play ',' Cut ',' Credit ',' Telephone ',' Take ',' Money ',' Customer ',' ']")</f>
        <v>['quota', 'open', 'application', 'Telkomsel', 'quota', 'direct', 'zero', 'times',' use ',' Telkomsel ',' event ',' friend ',' Brother ',' Feel ',' Direct ',' Play ',' Cut ',' Credit ',' Telephone ',' Take ',' Money ',' Customer ',' ']</v>
      </c>
      <c r="D2354" s="3">
        <v>1.0</v>
      </c>
    </row>
    <row r="2355" ht="15.75" customHeight="1">
      <c r="A2355" s="1">
        <v>2353.0</v>
      </c>
      <c r="B2355" s="3" t="s">
        <v>2355</v>
      </c>
      <c r="C2355" s="3" t="str">
        <f>IFERROR(__xludf.DUMMYFUNCTION("GOOGLETRANSLATE(B2355,""id"",""en"")"),"['Please', 'level', 'signal', 'special', 'area', 'Java', 'good', 'Telkomsel', '']")</f>
        <v>['Please', 'level', 'signal', 'special', 'area', 'Java', 'good', 'Telkomsel', '']</v>
      </c>
      <c r="D2355" s="3">
        <v>5.0</v>
      </c>
    </row>
    <row r="2356" ht="15.75" customHeight="1">
      <c r="A2356" s="1">
        <v>2354.0</v>
      </c>
      <c r="B2356" s="3" t="s">
        <v>2356</v>
      </c>
      <c r="C2356" s="3" t="str">
        <f>IFERROR(__xludf.DUMMYFUNCTION("GOOGLETRANSLATE(B2356,""id"",""en"")"),"['a day', 'dead', 'open', 'application', 'anything', 'network', 'dead', 'like', 'use', 'card', ""]")</f>
        <v>['a day', 'dead', 'open', 'application', 'anything', 'network', 'dead', 'like', 'use', 'card', "]</v>
      </c>
      <c r="D2356" s="3">
        <v>1.0</v>
      </c>
    </row>
    <row r="2357" ht="15.75" customHeight="1">
      <c r="A2357" s="1">
        <v>2355.0</v>
      </c>
      <c r="B2357" s="3" t="s">
        <v>2357</v>
      </c>
      <c r="C2357" s="3" t="str">
        <f>IFERROR(__xludf.DUMMYFUNCTION("GOOGLETRANSLATE(B2357,""id"",""en"")"),"['Package', 'Offered', 'Telkomsel', 'Different', 'Everything', 'User', 'Palmu', 'Package', 'Internet', 'Offered', 'Expensive', 'Fair', ' Users', 'already', 'rich', 'division', 'bansos',' Please ',' Sya ',' people ',' rich ',' switch ',' provider ']")</f>
        <v>['Package', 'Offered', 'Telkomsel', 'Different', 'Everything', 'User', 'Palmu', 'Package', 'Internet', 'Offered', 'Expensive', 'Fair', ' Users', 'already', 'rich', 'division', 'bansos',' Please ',' Sya ',' people ',' rich ',' switch ',' provider ']</v>
      </c>
      <c r="D2357" s="3">
        <v>1.0</v>
      </c>
    </row>
    <row r="2358" ht="15.75" customHeight="1">
      <c r="A2358" s="1">
        <v>2356.0</v>
      </c>
      <c r="B2358" s="3" t="s">
        <v>2358</v>
      </c>
      <c r="C2358" s="3" t="str">
        <f>IFERROR(__xludf.DUMMYFUNCTION("GOOGLETRANSLATE(B2358,""id"",""en"")"),"['Anyway', 'steady', 'deh', 'the application', 'see', 'bring', 'satisfied', '']")</f>
        <v>['Anyway', 'steady', 'deh', 'the application', 'see', 'bring', 'satisfied', '']</v>
      </c>
      <c r="D2358" s="3">
        <v>5.0</v>
      </c>
    </row>
    <row r="2359" ht="15.75" customHeight="1">
      <c r="A2359" s="1">
        <v>2357.0</v>
      </c>
      <c r="B2359" s="3" t="s">
        <v>2359</v>
      </c>
      <c r="C2359" s="3" t="str">
        <f>IFERROR(__xludf.DUMMYFUNCTION("GOOGLETRANSLATE(B2359,""id"",""en"")"),"['Thank you', 'Telkomsel', 'Sya', 'Happy', 'Bangt', 'BNYK', 'Package', 'Choice', 'Bonus', 'Bony', 'Moving', 'Sympathy']")</f>
        <v>['Thank you', 'Telkomsel', 'Sya', 'Happy', 'Bangt', 'BNYK', 'Package', 'Choice', 'Bonus', 'Bony', 'Moving', 'Sympathy']</v>
      </c>
      <c r="D2359" s="3">
        <v>5.0</v>
      </c>
    </row>
    <row r="2360" ht="15.75" customHeight="1">
      <c r="A2360" s="1">
        <v>2358.0</v>
      </c>
      <c r="B2360" s="3" t="s">
        <v>2360</v>
      </c>
      <c r="C2360" s="3" t="str">
        <f>IFERROR(__xludf.DUMMYFUNCTION("GOOGLETRANSLATE(B2360,""id"",""en"")"),"['down', 'price', 'package', 'kayak', 'leech', 'land', 'price', 'naturally', 'package', 'divided', 'dizziness',' package ',' Complaints', 'Listen', 'Direct', 'Love', 'Bintang', ""]")</f>
        <v>['down', 'price', 'package', 'kayak', 'leech', 'land', 'price', 'naturally', 'package', 'divided', 'dizziness',' package ',' Complaints', 'Listen', 'Direct', 'Love', 'Bintang', "]</v>
      </c>
      <c r="D2360" s="3">
        <v>1.0</v>
      </c>
    </row>
    <row r="2361" ht="15.75" customHeight="1">
      <c r="A2361" s="1">
        <v>2359.0</v>
      </c>
      <c r="B2361" s="3" t="s">
        <v>2361</v>
      </c>
      <c r="C2361" s="3" t="str">
        <f>IFERROR(__xludf.DUMMYFUNCTION("GOOGLETRANSLATE(B2361,""id"",""en"")"),"['buy', 'package', 'night', 'pulse', 'memiliki', 'pulse', ""]")</f>
        <v>['buy', 'package', 'night', 'pulse', 'memiliki', 'pulse', "]</v>
      </c>
      <c r="D2361" s="3">
        <v>1.0</v>
      </c>
    </row>
    <row r="2362" ht="15.75" customHeight="1">
      <c r="A2362" s="1">
        <v>2360.0</v>
      </c>
      <c r="B2362" s="3" t="s">
        <v>2362</v>
      </c>
      <c r="C2362" s="3" t="str">
        <f>IFERROR(__xludf.DUMMYFUNCTION("GOOGLETRANSLATE(B2362,""id"",""en"")"),"['buy', 'package', 'internet', 'night', 'used', 'quota', 'main', 'brush', 'adain', 'package', 'internet', 'night', ' The tip ',' quota ',' main ',' fraud ',' auto ',' down ',' star ',' ']")</f>
        <v>['buy', 'package', 'internet', 'night', 'used', 'quota', 'main', 'brush', 'adain', 'package', 'internet', 'night', ' The tip ',' quota ',' main ',' fraud ',' auto ',' down ',' star ',' ']</v>
      </c>
      <c r="D2362" s="3">
        <v>2.0</v>
      </c>
    </row>
    <row r="2363" ht="15.75" customHeight="1">
      <c r="A2363" s="1">
        <v>2361.0</v>
      </c>
      <c r="B2363" s="3" t="s">
        <v>2363</v>
      </c>
      <c r="C2363" s="3" t="str">
        <f>IFERROR(__xludf.DUMMYFUNCTION("GOOGLETRANSLATE(B2363,""id"",""en"")"),"['Napa', 'claim', 'package', 'Daily', 'check', 'GB', 'Claim', 'MLU', 'usually', 'quota', 'enter', 'Napa', ' UDH ',' Diligently ',' Log ',' BLANAN ',' Disappointed ',' Sorry ',' Love ', ""]")</f>
        <v>['Napa', 'claim', 'package', 'Daily', 'check', 'GB', 'Claim', 'MLU', 'usually', 'quota', 'enter', 'Napa', ' UDH ',' Diligently ',' Log ',' BLANAN ',' Disappointed ',' Sorry ',' Love ', "]</v>
      </c>
      <c r="D2363" s="3">
        <v>1.0</v>
      </c>
    </row>
    <row r="2364" ht="15.75" customHeight="1">
      <c r="A2364" s="1">
        <v>2362.0</v>
      </c>
      <c r="B2364" s="3" t="s">
        <v>2364</v>
      </c>
      <c r="C2364" s="3" t="str">
        <f>IFERROR(__xludf.DUMMYFUNCTION("GOOGLETRANSLATE(B2364,""id"",""en"")"),"['buy', 'pulse', 'uda', 'run out', 'live', 'data', 'application', 'setting', 'uda', 'Matiin', 'run out', ' Data ',' Truz ',' Direct ',' Application ',' Telkomsel ',' take ',' pketan ',' unlimet ',' see ',' pulse ',' stay ',' directly ',' cave ' , 'Matiin'"&amp;", 'data', 'get', 'SMS', 'LGI', 'usage', 'non', 'internet', 'spend', 'regret', 'cave', 'buy', ' Tekomel ',' Dare ',' Try ',' Pakek ',' Telkomsel ',' Loss', 'Credit', 'Corruption']")</f>
        <v>['buy', 'pulse', 'uda', 'run out', 'live', 'data', 'application', 'setting', 'uda', 'Matiin', 'run out', ' Data ',' Truz ',' Direct ',' Application ',' Telkomsel ',' take ',' pketan ',' unlimet ',' see ',' pulse ',' stay ',' directly ',' cave ' , 'Matiin', 'data', 'get', 'SMS', 'LGI', 'usage', 'non', 'internet', 'spend', 'regret', 'cave', 'buy', ' Tekomel ',' Dare ',' Try ',' Pakek ',' Telkomsel ',' Loss', 'Credit', 'Corruption']</v>
      </c>
      <c r="D2364" s="3">
        <v>1.0</v>
      </c>
    </row>
    <row r="2365" ht="15.75" customHeight="1">
      <c r="A2365" s="1">
        <v>2363.0</v>
      </c>
      <c r="B2365" s="3" t="s">
        <v>2365</v>
      </c>
      <c r="C2365" s="3" t="str">
        <f>IFERROR(__xludf.DUMMYFUNCTION("GOOGLETRANSLATE(B2365,""id"",""en"")"),"['Open', 'Application', 'Use', 'Quota', 'Data', 'Quota', 'Data', 'Out', 'Enter', 'Application', 'Credit', 'Regular', ' truncated ',' conscious', 'finished', 'contents',' pulse ',' counter ',' open ',' application ',' buy ',' package ',' data ',' pulse ','"&amp;" reduced ' , 'buy', 'package', 'data', 'frustration', 'person', 'wear', 'application', 'just', 'transact', 'browsing', 'streaming', 'load', ' Data ',' features', 'protection', 'pulses',' ']")</f>
        <v>['Open', 'Application', 'Use', 'Quota', 'Data', 'Quota', 'Data', 'Out', 'Enter', 'Application', 'Credit', 'Regular', ' truncated ',' conscious', 'finished', 'contents',' pulse ',' counter ',' open ',' application ',' buy ',' package ',' data ',' pulse ',' reduced ' , 'buy', 'package', 'data', 'frustration', 'person', 'wear', 'application', 'just', 'transact', 'browsing', 'streaming', 'load', ' Data ',' features', 'protection', 'pulses',' ']</v>
      </c>
      <c r="D2365" s="3">
        <v>3.0</v>
      </c>
    </row>
    <row r="2366" ht="15.75" customHeight="1">
      <c r="A2366" s="1">
        <v>2364.0</v>
      </c>
      <c r="B2366" s="3" t="s">
        <v>2366</v>
      </c>
      <c r="C2366" s="3" t="str">
        <f>IFERROR(__xludf.DUMMYFUNCTION("GOOGLETRANSLATE(B2366,""id"",""en"")"),"['Telkomsel', 'please', 'repaired', 'klau', 'package', 'internet', 'run out', 'suck', 'pulse', 'any', 'pulses',' take ',' Rights', 'People', 'Maling', 'France', 'Pulse', 'Sucked']")</f>
        <v>['Telkomsel', 'please', 'repaired', 'klau', 'package', 'internet', 'run out', 'suck', 'pulse', 'any', 'pulses',' take ',' Rights', 'People', 'Maling', 'France', 'Pulse', 'Sucked']</v>
      </c>
      <c r="D2366" s="3">
        <v>1.0</v>
      </c>
    </row>
    <row r="2367" ht="15.75" customHeight="1">
      <c r="A2367" s="1">
        <v>2365.0</v>
      </c>
      <c r="B2367" s="3" t="s">
        <v>2367</v>
      </c>
      <c r="C2367" s="3" t="str">
        <f>IFERROR(__xludf.DUMMYFUNCTION("GOOGLETRANSLATE(B2367,""id"",""en"")"),"['package', 'emergency', 'ajah', 'disappointed']")</f>
        <v>['package', 'emergency', 'ajah', 'disappointed']</v>
      </c>
      <c r="D2367" s="3">
        <v>1.0</v>
      </c>
    </row>
    <row r="2368" ht="15.75" customHeight="1">
      <c r="A2368" s="1">
        <v>2366.0</v>
      </c>
      <c r="B2368" s="3" t="s">
        <v>2368</v>
      </c>
      <c r="C2368" s="3" t="str">
        <f>IFERROR(__xludf.DUMMYFUNCTION("GOOGLETRANSLATE(B2368,""id"",""en"")"),"['Min', 'contents', 'pulse', 'morning', 'enter', 'enter', 'transaction', 'already', 'success', 'Taoi', 'pulses', 'enter']")</f>
        <v>['Min', 'contents', 'pulse', 'morning', 'enter', 'enter', 'transaction', 'already', 'success', 'Taoi', 'pulses', 'enter']</v>
      </c>
      <c r="D2368" s="3">
        <v>1.0</v>
      </c>
    </row>
    <row r="2369" ht="15.75" customHeight="1">
      <c r="A2369" s="1">
        <v>2367.0</v>
      </c>
      <c r="B2369" s="3" t="s">
        <v>2369</v>
      </c>
      <c r="C2369" s="3" t="str">
        <f>IFERROR(__xludf.DUMMYFUNCTION("GOOGLETRANSLATE(B2369,""id"",""en"")"),"['Suggestion', 'Live', 'Location', 'Palembang', 'Sematang', 'Borang', 'Bridge', 'Pakek', 'Telkomsel', 'Use', 'Operator', 'Smartfren', ' ugly ',' signal ',' Telkomsel ',' location ',' road ',' fit ',' entry ',' housing ',' home ',' destroyed ',' signal ','"&amp;" comment ',' Telkomsel ' , 'Enga', 'solution', 'repressed', 'down', 'spaciousness', 'check', 'and', 'monitor', 'strength', 'signal']")</f>
        <v>['Suggestion', 'Live', 'Location', 'Palembang', 'Sematang', 'Borang', 'Bridge', 'Pakek', 'Telkomsel', 'Use', 'Operator', 'Smartfren', ' ugly ',' signal ',' Telkomsel ',' location ',' road ',' fit ',' entry ',' housing ',' home ',' destroyed ',' signal ',' comment ',' Telkomsel ' , 'Enga', 'solution', 'repressed', 'down', 'spaciousness', 'check', 'and', 'monitor', 'strength', 'signal']</v>
      </c>
      <c r="D2369" s="3">
        <v>1.0</v>
      </c>
    </row>
    <row r="2370" ht="15.75" customHeight="1">
      <c r="A2370" s="1">
        <v>2368.0</v>
      </c>
      <c r="B2370" s="3" t="s">
        <v>2370</v>
      </c>
      <c r="C2370" s="3" t="str">
        <f>IFERROR(__xludf.DUMMYFUNCTION("GOOGLETRANSLATE(B2370,""id"",""en"")"),"['Price', 'expensive', 'package', 'used', 'detrimental', '']")</f>
        <v>['Price', 'expensive', 'package', 'used', 'detrimental', '']</v>
      </c>
      <c r="D2370" s="3">
        <v>1.0</v>
      </c>
    </row>
    <row r="2371" ht="15.75" customHeight="1">
      <c r="A2371" s="1">
        <v>2369.0</v>
      </c>
      <c r="B2371" s="3" t="s">
        <v>2371</v>
      </c>
      <c r="C2371" s="3" t="str">
        <f>IFERROR(__xludf.DUMMYFUNCTION("GOOGLETRANSLATE(B2371,""id"",""en"")"),"['Severe', 'contents',' credit ',' intention ',' buy ',' quota ',' let ',' enter ',' here ',' get ',' pulse ',' non ',' Quota ',' credit ',' reduced ',' buy ',' quota ',' kamfreettttt ',' ']")</f>
        <v>['Severe', 'contents',' credit ',' intention ',' buy ',' quota ',' let ',' enter ',' here ',' get ',' pulse ',' non ',' Quota ',' credit ',' reduced ',' buy ',' quota ',' kamfreettttt ',' ']</v>
      </c>
      <c r="D2371" s="3">
        <v>1.0</v>
      </c>
    </row>
    <row r="2372" ht="15.75" customHeight="1">
      <c r="A2372" s="1">
        <v>2370.0</v>
      </c>
      <c r="B2372" s="3" t="s">
        <v>2372</v>
      </c>
      <c r="C2372" s="3" t="str">
        <f>IFERROR(__xludf.DUMMYFUNCTION("GOOGLETRANSLATE(B2372,""id"",""en"")"),"['Telkomsel', 'sick', 'heart', 'package', 'data', 'byk', 'sms',' usage ',' internet ',' non ',' package ',' pulse ',' SBYK ',' Abis', 'in', 'Akhr', 'notification', 'appears',' already ',' pulse ',' abis', 'sms',' entry ',' sek ',' gini ' , 'poor', 'result"&amp;"s', 'Poroti', 'TNPA', 'conscious', 'Kek', 'Gini', 'how', 'Telkomsel', 'chat', 'application', 'solution']")</f>
        <v>['Telkomsel', 'sick', 'heart', 'package', 'data', 'byk', 'sms',' usage ',' internet ',' non ',' package ',' pulse ',' SBYK ',' Abis', 'in', 'Akhr', 'notification', 'appears',' already ',' pulse ',' abis', 'sms',' entry ',' sek ',' gini ' , 'poor', 'results', 'Poroti', 'TNPA', 'conscious', 'Kek', 'Gini', 'how', 'Telkomsel', 'chat', 'application', 'solution']</v>
      </c>
      <c r="D2372" s="3">
        <v>1.0</v>
      </c>
    </row>
    <row r="2373" ht="15.75" customHeight="1">
      <c r="A2373" s="1">
        <v>2371.0</v>
      </c>
      <c r="B2373" s="3" t="s">
        <v>2373</v>
      </c>
      <c r="C2373" s="3" t="str">
        <f>IFERROR(__xludf.DUMMYFUNCTION("GOOGLETRANSLATE(B2373,""id"",""en"")"),"['application', 'ugly', 'pulse', 'truncated', 'usage', 'already', 'chat', 'tomorrow', 'tomorrow', 'that's',' smakin ',' you ',' telkomsel ',' play ',' cut ',' cut ',' pulse ',' person ',' you ',' reply ',' comment ',' fix ',' system ',' eat ',' salary ' ,"&amp;" 'blind', '']")</f>
        <v>['application', 'ugly', 'pulse', 'truncated', 'usage', 'already', 'chat', 'tomorrow', 'tomorrow', 'that's',' smakin ',' you ',' telkomsel ',' play ',' cut ',' cut ',' pulse ',' person ',' you ',' reply ',' comment ',' fix ',' system ',' eat ',' salary ' , 'blind', '']</v>
      </c>
      <c r="D2373" s="3">
        <v>1.0</v>
      </c>
    </row>
    <row r="2374" ht="15.75" customHeight="1">
      <c r="A2374" s="1">
        <v>2372.0</v>
      </c>
      <c r="B2374" s="3" t="s">
        <v>2374</v>
      </c>
      <c r="C2374" s="3" t="str">
        <f>IFERROR(__xludf.DUMMYFUNCTION("GOOGLETRANSLATE(B2374,""id"",""en"")"),"['Woy', 'Telkomsel', 'pig', 'package', 'internet', 'package', 'telephone', 'pulse', 'suck', 'bangsatttt', ""]")</f>
        <v>['Woy', 'Telkomsel', 'pig', 'package', 'internet', 'package', 'telephone', 'pulse', 'suck', 'bangsatttt', "]</v>
      </c>
      <c r="D2374" s="3">
        <v>1.0</v>
      </c>
    </row>
    <row r="2375" ht="15.75" customHeight="1">
      <c r="A2375" s="1">
        <v>2373.0</v>
      </c>
      <c r="B2375" s="3" t="s">
        <v>2375</v>
      </c>
      <c r="C2375" s="3" t="str">
        <f>IFERROR(__xludf.DUMMYFUNCTION("GOOGLETRANSLATE(B2375,""id"",""en"")"),"['APK', 'comed', 'regarding', 'package', 'already', 'buy', 'package', 'learn', 'key', 'tetep', 'quota', 'main']")</f>
        <v>['APK', 'comed', 'regarding', 'package', 'already', 'buy', 'package', 'learn', 'key', 'tetep', 'quota', 'main']</v>
      </c>
      <c r="D2375" s="3">
        <v>3.0</v>
      </c>
    </row>
    <row r="2376" ht="15.75" customHeight="1">
      <c r="A2376" s="1">
        <v>2374.0</v>
      </c>
      <c r="B2376" s="3" t="s">
        <v>2376</v>
      </c>
      <c r="C2376" s="3" t="str">
        <f>IFERROR(__xludf.DUMMYFUNCTION("GOOGLETRANSLATE(B2376,""id"",""en"")"),"['Help', 'Bangett', 'description', 'quota', 'contents', 'pulse', 'buy', 'package', 'data', 'mainly', 'baguerated']")</f>
        <v>['Help', 'Bangett', 'description', 'quota', 'contents', 'pulse', 'buy', 'package', 'data', 'mainly', 'baguerated']</v>
      </c>
      <c r="D2376" s="3">
        <v>5.0</v>
      </c>
    </row>
    <row r="2377" ht="15.75" customHeight="1">
      <c r="A2377" s="1">
        <v>2375.0</v>
      </c>
      <c r="B2377" s="3" t="s">
        <v>2377</v>
      </c>
      <c r="C2377" s="3" t="str">
        <f>IFERROR(__xludf.DUMMYFUNCTION("GOOGLETRANSLATE(B2377,""id"",""en"")"),"['Hello', 'Telkomsel', 'Disappointed', 'Quality', 'Network', 'Telkomsel', 'Rada', 'Lost', 'Sometimes',' Mentong ',' Sometimes', 'Sometimes',' Please ',' Fix ',' Quality ',' Network ',' Consumers', 'Disappointed', 'Thank you']")</f>
        <v>['Hello', 'Telkomsel', 'Disappointed', 'Quality', 'Network', 'Telkomsel', 'Rada', 'Lost', 'Sometimes',' Mentong ',' Sometimes', 'Sometimes',' Please ',' Fix ',' Quality ',' Network ',' Consumers', 'Disappointed', 'Thank you']</v>
      </c>
      <c r="D2377" s="3">
        <v>5.0</v>
      </c>
    </row>
    <row r="2378" ht="15.75" customHeight="1">
      <c r="A2378" s="1">
        <v>2376.0</v>
      </c>
      <c r="B2378" s="3" t="s">
        <v>2378</v>
      </c>
      <c r="C2378" s="3" t="str">
        <f>IFERROR(__xludf.DUMMYFUNCTION("GOOGLETRANSLATE(B2378,""id"",""en"")"),"['Package', 'expensive', 'network', 'bad', 'area', 'Pasaman', 'West', 'Sumatran', 'West', 'Rain', 'Dateng', 'signal', ' Slow ',' slow ',' snail ',' ']")</f>
        <v>['Package', 'expensive', 'network', 'bad', 'area', 'Pasaman', 'West', 'Sumatran', 'West', 'Rain', 'Dateng', 'signal', ' Slow ',' slow ',' snail ',' ']</v>
      </c>
      <c r="D2378" s="3">
        <v>1.0</v>
      </c>
    </row>
    <row r="2379" ht="15.75" customHeight="1">
      <c r="A2379" s="1">
        <v>2377.0</v>
      </c>
      <c r="B2379" s="3" t="s">
        <v>2379</v>
      </c>
      <c r="C2379" s="3" t="str">
        <f>IFERROR(__xludf.DUMMYFUNCTION("GOOGLETRANSLATE(B2379,""id"",""en"")"),"['The application', 'good', 'easy', 'network', 'tsel', 'like', 'lag', 'drop', 'sampe', 'ms',' right ',' maen ',' games', 'right', 'download', 'file', 'google', 'mb', 'please', 'repaired', 'signal', 'network', 'thank', 'love']")</f>
        <v>['The application', 'good', 'easy', 'network', 'tsel', 'like', 'lag', 'drop', 'sampe', 'ms',' right ',' maen ',' games', 'right', 'download', 'file', 'google', 'mb', 'please', 'repaired', 'signal', 'network', 'thank', 'love']</v>
      </c>
      <c r="D2379" s="3">
        <v>3.0</v>
      </c>
    </row>
    <row r="2380" ht="15.75" customHeight="1">
      <c r="A2380" s="1">
        <v>2378.0</v>
      </c>
      <c r="B2380" s="3" t="s">
        <v>2380</v>
      </c>
      <c r="C2380" s="3" t="str">
        <f>IFERROR(__xludf.DUMMYFUNCTION("GOOGLETRANSLATE(B2380,""id"",""en"")"),"['Since', 'given', 'star', 'network', 'disappointing', 'credit', 'disappears',' base ',' notification ',' notification ',' Telkomsel ',' where ',' Credit ',' pay ',' pulse ', ""]")</f>
        <v>['Since', 'given', 'star', 'network', 'disappointing', 'credit', 'disappears',' base ',' notification ',' notification ',' Telkomsel ',' where ',' Credit ',' pay ',' pulse ', "]</v>
      </c>
      <c r="D2380" s="3">
        <v>5.0</v>
      </c>
    </row>
    <row r="2381" ht="15.75" customHeight="1">
      <c r="A2381" s="1">
        <v>2379.0</v>
      </c>
      <c r="B2381" s="3" t="s">
        <v>2381</v>
      </c>
      <c r="C2381" s="3" t="str">
        <f>IFERROR(__xludf.DUMMYFUNCTION("GOOGLETRANSLATE(B2381,""id"",""en"")"),"['Review', 'See', 'Pedes',' Love ',' Five ',' Star ',' Telkomsel ',' Pride ',' Thank you ',' Telkomsel ',' Gift ',' You ',' Mantab ',' Success', '']")</f>
        <v>['Review', 'See', 'Pedes',' Love ',' Five ',' Star ',' Telkomsel ',' Pride ',' Thank you ',' Telkomsel ',' Gift ',' You ',' Mantab ',' Success', '']</v>
      </c>
      <c r="D2381" s="3">
        <v>5.0</v>
      </c>
    </row>
    <row r="2382" ht="15.75" customHeight="1">
      <c r="A2382" s="1">
        <v>2380.0</v>
      </c>
      <c r="B2382" s="3" t="s">
        <v>2382</v>
      </c>
      <c r="C2382" s="3" t="str">
        <f>IFERROR(__xludf.DUMMYFUNCTION("GOOGLETRANSLATE(B2382,""id"",""en"")"),"['create', 'provider', 'good', 'signal', 'user', 'satisfied', 'use it', 'many years',' use ',' Telkomsel ',' network ',' bad ',' Play ',' Game ',' Online ',' Jumping ',' Jumping ',' Satisfaction ',' Customer ',' Customer ',' Times', 'Missing', 'Komplen', "&amp;"'Please', 'Complement' , 'Please', 'Best', 'User', 'Telkomsel']")</f>
        <v>['create', 'provider', 'good', 'signal', 'user', 'satisfied', 'use it', 'many years',' use ',' Telkomsel ',' network ',' bad ',' Play ',' Game ',' Online ',' Jumping ',' Jumping ',' Satisfaction ',' Customer ',' Customer ',' Times', 'Missing', 'Komplen', 'Please', 'Complement' , 'Please', 'Best', 'User', 'Telkomsel']</v>
      </c>
      <c r="D2382" s="3">
        <v>1.0</v>
      </c>
    </row>
    <row r="2383" ht="15.75" customHeight="1">
      <c r="A2383" s="1">
        <v>2381.0</v>
      </c>
      <c r="B2383" s="3" t="s">
        <v>2383</v>
      </c>
      <c r="C2383" s="3" t="str">
        <f>IFERROR(__xludf.DUMMYFUNCTION("GOOGLETRANSLATE(B2383,""id"",""en"")"),"['Application', 'Useful', 'Karna', 'Promo', 'Cheap', 'User', 'Condition', 'Pandemic', 'Application', 'Telkomsel', 'Help', 'Buy', ' package ',' cheap ',' learn ',' hope ',' company ',' Telkomsel ',' developed ',' advanced ',' hope ',' Telkomsel ',' promo '"&amp;",' cheap ',' festive ' , 'Karna', 'Help', 'Recommend', 'APK', 'Thank you']")</f>
        <v>['Application', 'Useful', 'Karna', 'Promo', 'Cheap', 'User', 'Condition', 'Pandemic', 'Application', 'Telkomsel', 'Help', 'Buy', ' package ',' cheap ',' learn ',' hope ',' company ',' Telkomsel ',' developed ',' advanced ',' hope ',' Telkomsel ',' promo ',' cheap ',' festive ' , 'Karna', 'Help', 'Recommend', 'APK', 'Thank you']</v>
      </c>
      <c r="D2383" s="3">
        <v>5.0</v>
      </c>
    </row>
    <row r="2384" ht="15.75" customHeight="1">
      <c r="A2384" s="1">
        <v>2382.0</v>
      </c>
      <c r="B2384" s="3" t="s">
        <v>2384</v>
      </c>
      <c r="C2384" s="3" t="str">
        <f>IFERROR(__xludf.DUMMYFUNCTION("GOOGLETRANSLATE(B2384,""id"",""en"")"),"['Yesterday', 'buy', 'package', 'Hot', 'Star', 'GB', 'Seharaga', 'Date', 'September', 'Please', 'Hold', 'Package', ' buy']")</f>
        <v>['Yesterday', 'buy', 'package', 'Hot', 'Star', 'GB', 'Seharaga', 'Date', 'September', 'Please', 'Hold', 'Package', ' buy']</v>
      </c>
      <c r="D2384" s="3">
        <v>1.0</v>
      </c>
    </row>
    <row r="2385" ht="15.75" customHeight="1">
      <c r="A2385" s="1">
        <v>2383.0</v>
      </c>
      <c r="B2385" s="3" t="s">
        <v>2385</v>
      </c>
      <c r="C2385" s="3" t="str">
        <f>IFERROR(__xludf.DUMMYFUNCTION("GOOGLETRANSLATE(B2385,""id"",""en"")"),"['Crazy', 'Tlkomsel', 'oath', 'disgust', 'see', 'network', 'already', 'buy', 'expensive', 'network', 'Kek', ""]")</f>
        <v>['Crazy', 'Tlkomsel', 'oath', 'disgust', 'see', 'network', 'already', 'buy', 'expensive', 'network', 'Kek', "]</v>
      </c>
      <c r="D2385" s="3">
        <v>1.0</v>
      </c>
    </row>
    <row r="2386" ht="15.75" customHeight="1">
      <c r="A2386" s="1">
        <v>2384.0</v>
      </c>
      <c r="B2386" s="3" t="s">
        <v>2386</v>
      </c>
      <c r="C2386" s="3" t="str">
        <f>IFERROR(__xludf.DUMMYFUNCTION("GOOGLETRANSLATE(B2386,""id"",""en"")"),"['proud', 'Package', 'Telkomsel', 'package', 'expensive', 'internet', 'smooth', 'Season', 'signal', 'slow', 'bad', 'want', ' Hanting ',' because ',' Signal ',' Telkomsel ',' Weather ',' Safe ',' Changed ',' Karna ',' Card ',' Price ',' Cheap ',' Signal ',"&amp;"' BEH ' , 'No.', 'Towning', 'Loud', 'Bye']")</f>
        <v>['proud', 'Package', 'Telkomsel', 'package', 'expensive', 'internet', 'smooth', 'Season', 'signal', 'slow', 'bad', 'want', ' Hanting ',' because ',' Signal ',' Telkomsel ',' Weather ',' Safe ',' Changed ',' Karna ',' Card ',' Price ',' Cheap ',' Signal ',' BEH ' , 'No.', 'Towning', 'Loud', 'Bye']</v>
      </c>
      <c r="D2386" s="3">
        <v>1.0</v>
      </c>
    </row>
    <row r="2387" ht="15.75" customHeight="1">
      <c r="A2387" s="1">
        <v>2385.0</v>
      </c>
      <c r="B2387" s="3" t="s">
        <v>2387</v>
      </c>
      <c r="C2387" s="3" t="str">
        <f>IFERROR(__xludf.DUMMYFUNCTION("GOOGLETRANSLATE(B2387,""id"",""en"")"),"['hard', 'updet', 'slow', 'exchange', 'point', 'stuck', 'situ', 'situ', 'exchange', 'game', 'complete', 'test', ' ']")</f>
        <v>['hard', 'updet', 'slow', 'exchange', 'point', 'stuck', 'situ', 'situ', 'exchange', 'game', 'complete', 'test', ' ']</v>
      </c>
      <c r="D2387" s="3">
        <v>3.0</v>
      </c>
    </row>
    <row r="2388" ht="15.75" customHeight="1">
      <c r="A2388" s="1">
        <v>2386.0</v>
      </c>
      <c r="B2388" s="3" t="s">
        <v>2388</v>
      </c>
      <c r="C2388" s="3" t="str">
        <f>IFERROR(__xludf.DUMMYFUNCTION("GOOGLETRANSLATE(B2388,""id"",""en"")"),"['ugly', 'really', 'network', 'Telkomsel', 'tasty', 'really', 'package', 'data', 'expensive', 'signal', 'smooth', 'package', ' Data ',' cheap ',' network ',' ugly ',' why ',' please ',' repaired ',' user ',' Telkomsel ',' missing ', ""]")</f>
        <v>['ugly', 'really', 'network', 'Telkomsel', 'tasty', 'really', 'package', 'data', 'expensive', 'signal', 'smooth', 'package', ' Data ',' cheap ',' network ',' ugly ',' why ',' please ',' repaired ',' user ',' Telkomsel ',' missing ', "]</v>
      </c>
      <c r="D2388" s="3">
        <v>1.0</v>
      </c>
    </row>
    <row r="2389" ht="15.75" customHeight="1">
      <c r="A2389" s="1">
        <v>2387.0</v>
      </c>
      <c r="B2389" s="3" t="s">
        <v>2389</v>
      </c>
      <c r="C2389" s="3" t="str">
        <f>IFERROR(__xludf.DUMMYFUNCTION("GOOGLETRANSLATE(B2389,""id"",""en"")"),"['suggestion', 'have', 'quota', 'filled', 'pulse', 'use', 'pulse', 'separated', 'card', 'guard', 'notif', 'quota', ' run out ',' quota ',' drained ',' pulses', '']")</f>
        <v>['suggestion', 'have', 'quota', 'filled', 'pulse', 'use', 'pulse', 'separated', 'card', 'guard', 'notif', 'quota', ' run out ',' quota ',' drained ',' pulses', '']</v>
      </c>
      <c r="D2389" s="3">
        <v>5.0</v>
      </c>
    </row>
    <row r="2390" ht="15.75" customHeight="1">
      <c r="A2390" s="1">
        <v>2388.0</v>
      </c>
      <c r="B2390" s="3" t="s">
        <v>2390</v>
      </c>
      <c r="C2390" s="3" t="str">
        <f>IFERROR(__xludf.DUMMYFUNCTION("GOOGLETRANSLATE(B2390,""id"",""en"")"),"['Telkomsel', 'ugliness', 'network', '']")</f>
        <v>['Telkomsel', 'ugliness', 'network', '']</v>
      </c>
      <c r="D2390" s="3">
        <v>1.0</v>
      </c>
    </row>
    <row r="2391" ht="15.75" customHeight="1">
      <c r="A2391" s="1">
        <v>2389.0</v>
      </c>
      <c r="B2391" s="3" t="s">
        <v>2391</v>
      </c>
      <c r="C2391" s="3" t="str">
        <f>IFERROR(__xludf.DUMMYFUNCTION("GOOGLETRANSLATE(B2391,""id"",""en"")"),"['strange', 'really', 'contents',' quota ',' rb ',' packagein ',' combo ',' sakti ',' giga ',' tomorrow ',' quota ',' direct ',' ilang ',' please ',' help ',' loss', 'already', 'contents',' pulse ',' rb ',' vain ',' sia ',' contents', 'pulses', ""]")</f>
        <v>['strange', 'really', 'contents',' quota ',' rb ',' packagein ',' combo ',' sakti ',' giga ',' tomorrow ',' quota ',' direct ',' ilang ',' please ',' help ',' loss', 'already', 'contents',' pulse ',' rb ',' vain ',' sia ',' contents', 'pulses', "]</v>
      </c>
      <c r="D2391" s="3">
        <v>1.0</v>
      </c>
    </row>
    <row r="2392" ht="15.75" customHeight="1">
      <c r="A2392" s="1">
        <v>2390.0</v>
      </c>
      <c r="B2392" s="3" t="s">
        <v>2392</v>
      </c>
      <c r="C2392" s="3" t="str">
        <f>IFERROR(__xludf.DUMMYFUNCTION("GOOGLETRANSLATE(B2392,""id"",""en"")"),"['Contents', 'pulse', 'right', 'looks', 'no', 'number', 'Please', 'min', 'fix', ""]")</f>
        <v>['Contents', 'pulse', 'right', 'looks', 'no', 'number', 'Please', 'min', 'fix', "]</v>
      </c>
      <c r="D2392" s="3">
        <v>1.0</v>
      </c>
    </row>
    <row r="2393" ht="15.75" customHeight="1">
      <c r="A2393" s="1">
        <v>2391.0</v>
      </c>
      <c r="B2393" s="3" t="s">
        <v>2393</v>
      </c>
      <c r="C2393" s="3" t="str">
        <f>IFERROR(__xludf.DUMMYFUNCTION("GOOGLETRANSLATE(B2393,""id"",""en"")"),"['Telkomsel', 'anjingg', 'signal', 'the network', 'emotion', 'repaired', 'closed', 'Telkomsel', 'doglah', 'emotion', 'cave', ""]")</f>
        <v>['Telkomsel', 'anjingg', 'signal', 'the network', 'emotion', 'repaired', 'closed', 'Telkomsel', 'doglah', 'emotion', 'cave', "]</v>
      </c>
      <c r="D2393" s="3">
        <v>1.0</v>
      </c>
    </row>
    <row r="2394" ht="15.75" customHeight="1">
      <c r="A2394" s="1">
        <v>2392.0</v>
      </c>
      <c r="B2394" s="3" t="s">
        <v>2394</v>
      </c>
      <c r="C2394" s="3" t="str">
        <f>IFERROR(__xludf.DUMMYFUNCTION("GOOGLETRANSLATE(B2394,""id"",""en"")"),"['Region', 'OKU', 'Package', 'UnlimitedMax', 'Package', 'Eliminate', 'Card', 'Content', 'Credit', 'Eliminate']")</f>
        <v>['Region', 'OKU', 'Package', 'UnlimitedMax', 'Package', 'Eliminate', 'Card', 'Content', 'Credit', 'Eliminate']</v>
      </c>
      <c r="D2394" s="3">
        <v>3.0</v>
      </c>
    </row>
    <row r="2395" ht="15.75" customHeight="1">
      <c r="A2395" s="1">
        <v>2393.0</v>
      </c>
      <c r="B2395" s="3" t="s">
        <v>2395</v>
      </c>
      <c r="C2395" s="3" t="str">
        <f>IFERROR(__xludf.DUMMYFUNCTION("GOOGLETRANSLATE(B2395,""id"",""en"")"),"['already', 'expensive', 'network', 'slow', 'Telkomsel', 'telkontollllll', 'telkomtodd']")</f>
        <v>['already', 'expensive', 'network', 'slow', 'Telkomsel', 'telkontollllll', 'telkomtodd']</v>
      </c>
      <c r="D2395" s="3">
        <v>1.0</v>
      </c>
    </row>
    <row r="2396" ht="15.75" customHeight="1">
      <c r="A2396" s="1">
        <v>2394.0</v>
      </c>
      <c r="B2396" s="3" t="s">
        <v>2396</v>
      </c>
      <c r="C2396" s="3" t="str">
        <f>IFERROR(__xludf.DUMMYFUNCTION("GOOGLETRANSLATE(B2396,""id"",""en"")"),"['Try', 'pke', 'credit', 'emergency', 'rb', 'interest', 'telephone', 'nelfon', 'pdhl', 'number', 'tsel', 'return', ' money ',' RB ',' Not bad ',' PackageData ',' Kann ']")</f>
        <v>['Try', 'pke', 'credit', 'emergency', 'rb', 'interest', 'telephone', 'nelfon', 'pdhl', 'number', 'tsel', 'return', ' money ',' RB ',' Not bad ',' PackageData ',' Kann ']</v>
      </c>
      <c r="D2396" s="3">
        <v>1.0</v>
      </c>
    </row>
    <row r="2397" ht="15.75" customHeight="1">
      <c r="A2397" s="1">
        <v>2395.0</v>
      </c>
      <c r="B2397" s="3" t="s">
        <v>2397</v>
      </c>
      <c r="C2397" s="3" t="str">
        <f>IFERROR(__xludf.DUMMYFUNCTION("GOOGLETRANSLATE(B2397,""id"",""en"")"),"['Sensitive', 'a little', 'woy', 'already', 'criticism', 'soall', 'sinyall', 'lag', 'game', 'ilang', 'sinyall', 'renting', ' Stars', 'love', 'ajh', 'smpe', 'skrng', 'change']")</f>
        <v>['Sensitive', 'a little', 'woy', 'already', 'criticism', 'soall', 'sinyall', 'lag', 'game', 'ilang', 'sinyall', 'renting', ' Stars', 'love', 'ajh', 'smpe', 'skrng', 'change']</v>
      </c>
      <c r="D2397" s="3">
        <v>1.0</v>
      </c>
    </row>
    <row r="2398" ht="15.75" customHeight="1">
      <c r="A2398" s="1">
        <v>2396.0</v>
      </c>
      <c r="B2398" s="3" t="s">
        <v>2398</v>
      </c>
      <c r="C2398" s="3" t="str">
        <f>IFERROR(__xludf.DUMMYFUNCTION("GOOGLETRANSLATE(B2398,""id"",""en"")"),"['love', 'star', 'pulse', 'main', 'direct', 'run out', 'sumps',' internet ',' package ',' internet ',' active ',' tariff ',' Non ',' package ',' Litu ',' Telkomsel ']")</f>
        <v>['love', 'star', 'pulse', 'main', 'direct', 'run out', 'sumps',' internet ',' package ',' internet ',' active ',' tariff ',' Non ',' package ',' Litu ',' Telkomsel ']</v>
      </c>
      <c r="D2398" s="3">
        <v>2.0</v>
      </c>
    </row>
    <row r="2399" ht="15.75" customHeight="1">
      <c r="A2399" s="1">
        <v>2397.0</v>
      </c>
      <c r="B2399" s="3" t="s">
        <v>2399</v>
      </c>
      <c r="C2399" s="3" t="str">
        <f>IFERROR(__xludf.DUMMYFUNCTION("GOOGLETRANSLATE(B2399,""id"",""en"")"),"['APK', 'help', 'users', 'Telokomsel', 'price', 'cheap', 'APK', 'quota']")</f>
        <v>['APK', 'help', 'users', 'Telokomsel', 'price', 'cheap', 'APK', 'quota']</v>
      </c>
      <c r="D2399" s="3">
        <v>4.0</v>
      </c>
    </row>
    <row r="2400" ht="15.75" customHeight="1">
      <c r="A2400" s="1">
        <v>2398.0</v>
      </c>
      <c r="B2400" s="3" t="s">
        <v>2400</v>
      </c>
      <c r="C2400" s="3" t="str">
        <f>IFERROR(__xludf.DUMMYFUNCTION("GOOGLETRANSLATE(B2400,""id"",""en"")"),"['LEG', 'Network', 'Video', 'Call', 'Disconnected', 'Disconnect', 'Current', 'Skrg', 'Lemot', 'Comfortable', 'Ngapa', 'In', ' ']")</f>
        <v>['LEG', 'Network', 'Video', 'Call', 'Disconnected', 'Disconnect', 'Current', 'Skrg', 'Lemot', 'Comfortable', 'Ngapa', 'In', ' ']</v>
      </c>
      <c r="D2400" s="3">
        <v>3.0</v>
      </c>
    </row>
    <row r="2401" ht="15.75" customHeight="1">
      <c r="A2401" s="1">
        <v>2399.0</v>
      </c>
      <c r="B2401" s="3" t="s">
        <v>2401</v>
      </c>
      <c r="C2401" s="3" t="str">
        <f>IFERROR(__xludf.DUMMYFUNCTION("GOOGLETRANSLATE(B2401,""id"",""en"")"),"['Increases', 'Service', 'Network', 'Suskes', 'Telkomsel']")</f>
        <v>['Increases', 'Service', 'Network', 'Suskes', 'Telkomsel']</v>
      </c>
      <c r="D2401" s="3">
        <v>5.0</v>
      </c>
    </row>
    <row r="2402" ht="15.75" customHeight="1">
      <c r="A2402" s="1">
        <v>2400.0</v>
      </c>
      <c r="B2402" s="3" t="s">
        <v>2402</v>
      </c>
      <c r="C2402" s="3" t="str">
        <f>IFERROR(__xludf.DUMMYFUNCTION("GOOGLETRANSLATE(B2402,""id"",""en"")"),"['use', 'lom', 'can', 'gift']")</f>
        <v>['use', 'lom', 'can', 'gift']</v>
      </c>
      <c r="D2402" s="3">
        <v>5.0</v>
      </c>
    </row>
    <row r="2403" ht="15.75" customHeight="1">
      <c r="A2403" s="1">
        <v>2401.0</v>
      </c>
      <c r="B2403" s="3" t="s">
        <v>2403</v>
      </c>
      <c r="C2403" s="3" t="str">
        <f>IFERROR(__xludf.DUMMYFUNCTION("GOOGLETRANSLATE(B2403,""id"",""en"")"),"['times',' use ',' try ',' list ',' package ',' pulse ',' sya ',' chopped ',' price ',' network ',' like ',' ngelag ',' Wear ',' Credit ',' Original ',' Package ',' Registered ',' Cuman ',' Prank ',' Untung ',' Millions', 'Millions',' Org ',' Presentage '"&amp;",' Play ' , 'Store', 'Adalh', 'Victim', 'Benefit', 'Telkomsel', 'Kasi', 'Bintang', 'Good', 'Love', 'Bintang', 'ugly', 'Mending', ' Move ',' Indosat ']")</f>
        <v>['times',' use ',' try ',' list ',' package ',' pulse ',' sya ',' chopped ',' price ',' network ',' like ',' ngelag ',' Wear ',' Credit ',' Original ',' Package ',' Registered ',' Cuman ',' Prank ',' Untung ',' Millions', 'Millions',' Org ',' Presentage ',' Play ' , 'Store', 'Adalh', 'Victim', 'Benefit', 'Telkomsel', 'Kasi', 'Bintang', 'Good', 'Love', 'Bintang', 'ugly', 'Mending', ' Move ',' Indosat ']</v>
      </c>
      <c r="D2403" s="3">
        <v>2.0</v>
      </c>
    </row>
    <row r="2404" ht="15.75" customHeight="1">
      <c r="A2404" s="1">
        <v>2402.0</v>
      </c>
      <c r="B2404" s="3" t="s">
        <v>2404</v>
      </c>
      <c r="C2404" s="3" t="str">
        <f>IFERROR(__xludf.DUMMYFUNCTION("GOOGLETRANSLATE(B2404,""id"",""en"")"),"['Please', 'Tanggai', 'Network', 'Package', 'Network', 'Telkom', 'Ngeleg', 'Network', 'Card', 'Laen', 'Please', 'Respond', ' complaint', '']")</f>
        <v>['Please', 'Tanggai', 'Network', 'Package', 'Network', 'Telkom', 'Ngeleg', 'Network', 'Card', 'Laen', 'Please', 'Respond', ' complaint', '']</v>
      </c>
      <c r="D2404" s="3">
        <v>1.0</v>
      </c>
    </row>
    <row r="2405" ht="15.75" customHeight="1">
      <c r="A2405" s="1">
        <v>2403.0</v>
      </c>
      <c r="B2405" s="3" t="s">
        <v>2405</v>
      </c>
      <c r="C2405" s="3" t="str">
        <f>IFERROR(__xludf.DUMMYFUNCTION("GOOGLETRANSLATE(B2405,""id"",""en"")"),"['Bedbah', 'Provider', 'Most', 'Sorry', 'Sorry', 'knapa', 'AFA', 'Police']")</f>
        <v>['Bedbah', 'Provider', 'Most', 'Sorry', 'Sorry', 'knapa', 'AFA', 'Police']</v>
      </c>
      <c r="D2405" s="3">
        <v>1.0</v>
      </c>
    </row>
    <row r="2406" ht="15.75" customHeight="1">
      <c r="A2406" s="1">
        <v>2404.0</v>
      </c>
      <c r="B2406" s="3" t="s">
        <v>2406</v>
      </c>
      <c r="C2406" s="3" t="str">
        <f>IFERROR(__xludf.DUMMYFUNCTION("GOOGLETRANSLATE(B2406,""id"",""en"")"),"['Please', 'Telkomsel', 'Please', 'Add', 'Feature', 'Pulse', 'Lock', 'Cut', 'Credit', 'Quota', 'Out', 'Please', ' mah ',' nnti ',' kasi ',' star ',' features']")</f>
        <v>['Please', 'Telkomsel', 'Please', 'Add', 'Feature', 'Pulse', 'Lock', 'Cut', 'Credit', 'Quota', 'Out', 'Please', ' mah ',' nnti ',' kasi ',' star ',' features']</v>
      </c>
      <c r="D2406" s="3">
        <v>1.0</v>
      </c>
    </row>
    <row r="2407" ht="15.75" customHeight="1">
      <c r="A2407" s="1">
        <v>2405.0</v>
      </c>
      <c r="B2407" s="3" t="s">
        <v>2407</v>
      </c>
      <c r="C2407" s="3" t="str">
        <f>IFERROR(__xludf.DUMMYFUNCTION("GOOGLETRANSLATE(B2407,""id"",""en"")"),"['Network', 'my place', 'ugly', 'looks',' ugly ',' please ',' kopirirmas', 'lived', 'kaltim', 'kab', 'berau', 'kec', ' Talisayan ',' ']")</f>
        <v>['Network', 'my place', 'ugly', 'looks',' ugly ',' please ',' kopirirmas', 'lived', 'kaltim', 'kab', 'berau', 'kec', ' Talisayan ',' ']</v>
      </c>
      <c r="D2407" s="3">
        <v>1.0</v>
      </c>
    </row>
    <row r="2408" ht="15.75" customHeight="1">
      <c r="A2408" s="1">
        <v>2406.0</v>
      </c>
      <c r="B2408" s="3" t="s">
        <v>2408</v>
      </c>
      <c r="C2408" s="3" t="str">
        <f>IFERROR(__xludf.DUMMYFUNCTION("GOOGLETRANSLATE(B2408,""id"",""en"")"),"['Like', 'Program', 'Telkomsel', 'Yng', 'Hopefully', 'Defend', 'Success', 'Telkomsel']")</f>
        <v>['Like', 'Program', 'Telkomsel', 'Yng', 'Hopefully', 'Defend', 'Success', 'Telkomsel']</v>
      </c>
      <c r="D2408" s="3">
        <v>5.0</v>
      </c>
    </row>
    <row r="2409" ht="15.75" customHeight="1">
      <c r="A2409" s="1">
        <v>2407.0</v>
      </c>
      <c r="B2409" s="3" t="s">
        <v>2409</v>
      </c>
      <c r="C2409" s="3" t="str">
        <f>IFERROR(__xludf.DUMMYFUNCTION("GOOGLETRANSLATE(B2409,""id"",""en"")"),"['appears', 'pop', 'error', 'system', 'maintenance', 'error', '']")</f>
        <v>['appears', 'pop', 'error', 'system', 'maintenance', 'error', '']</v>
      </c>
      <c r="D2409" s="3">
        <v>1.0</v>
      </c>
    </row>
    <row r="2410" ht="15.75" customHeight="1">
      <c r="A2410" s="1">
        <v>2408.0</v>
      </c>
      <c r="B2410" s="3" t="s">
        <v>2410</v>
      </c>
      <c r="C2410" s="3" t="str">
        <f>IFERROR(__xludf.DUMMYFUNCTION("GOOGLETRANSLATE(B2410,""id"",""en"")"),"['anjk', 'anjk', 'anjk', 'maen', 'game', 'call', 'doi', 'difficult', 'open', 'complicated', 'anjk', 'right', ' Mending ',' cave ',' make ',' gini ',' capital ',' jdi ',' udh ',' gini ',' loss', 'cave', 'anjk', 'jdi', 'fill' , 'package', 'GB', 'expensive',"&amp;" 'love', 'cheap', 'network', 'slow', 'pulse', 'truncated', 'anjk', 'benerin', 'signal']")</f>
        <v>['anjk', 'anjk', 'anjk', 'maen', 'game', 'call', 'doi', 'difficult', 'open', 'complicated', 'anjk', 'right', ' Mending ',' cave ',' make ',' gini ',' capital ',' jdi ',' udh ',' gini ',' loss', 'cave', 'anjk', 'jdi', 'fill' , 'package', 'GB', 'expensive', 'love', 'cheap', 'network', 'slow', 'pulse', 'truncated', 'anjk', 'benerin', 'signal']</v>
      </c>
      <c r="D2410" s="3">
        <v>1.0</v>
      </c>
    </row>
    <row r="2411" ht="15.75" customHeight="1">
      <c r="A2411" s="1">
        <v>2409.0</v>
      </c>
      <c r="B2411" s="3" t="s">
        <v>2411</v>
      </c>
      <c r="C2411" s="3" t="str">
        <f>IFERROR(__xludf.DUMMYFUNCTION("GOOGLETRANSLATE(B2411,""id"",""en"")"),"['Employee', 'boss', 'office', 'Telkomsel', 'already', 'rich', 'eat', 'nets', 'no', 'take care']")</f>
        <v>['Employee', 'boss', 'office', 'Telkomsel', 'already', 'rich', 'eat', 'nets', 'no', 'take care']</v>
      </c>
      <c r="D2411" s="3">
        <v>1.0</v>
      </c>
    </row>
    <row r="2412" ht="15.75" customHeight="1">
      <c r="A2412" s="1">
        <v>2410.0</v>
      </c>
      <c r="B2412" s="3" t="s">
        <v>2412</v>
      </c>
      <c r="C2412" s="3" t="str">
        <f>IFERROR(__xludf.DUMMYFUNCTION("GOOGLETRANSLATE(B2412,""id"",""en"")"),"['Provider', 'MUSSEL', 'PACKAGE', 'Expensive', 'Service', 'Internet', 'Stable', 'Promo', 'Nampil', 'Kantel', 'Bener', 'Take', ' package ',' emergency ',' cook ',' told ',' pay ', ""]")</f>
        <v>['Provider', 'MUSSEL', 'PACKAGE', 'Expensive', 'Service', 'Internet', 'Stable', 'Promo', 'Nampil', 'Kantel', 'Bener', 'Take', ' package ',' emergency ',' cook ',' told ',' pay ', "]</v>
      </c>
      <c r="D2412" s="3">
        <v>1.0</v>
      </c>
    </row>
    <row r="2413" ht="15.75" customHeight="1">
      <c r="A2413" s="1">
        <v>2411.0</v>
      </c>
      <c r="B2413" s="3" t="s">
        <v>2413</v>
      </c>
      <c r="C2413" s="3" t="str">
        <f>IFERROR(__xludf.DUMMYFUNCTION("GOOGLETRANSLATE(B2413,""id"",""en"")"),"['Telkomsel', 'provides',' payment ',' Playstore ',' Wetv ',' Iqiyi ',' Etc. ',' signal ',' here ',' ugly ',' believe ',' Dnn ',' Telkomsel ',' DRI ',' THN ',' CARD ',' UDH ',' THN ',' Change ',' Number ',' Family ',' Use ',' Telkomsel ',' Skrng ',' Telko"&amp;"msel ' , 'disappointing', 'signal', 'hear', 'price', 'package', 'klu', 'supported', 'dngn', 'signal', '']")</f>
        <v>['Telkomsel', 'provides',' payment ',' Playstore ',' Wetv ',' Iqiyi ',' Etc. ',' signal ',' here ',' ugly ',' believe ',' Dnn ',' Telkomsel ',' DRI ',' THN ',' CARD ',' UDH ',' THN ',' Change ',' Number ',' Family ',' Use ',' Telkomsel ',' Skrng ',' Telkomsel ' , 'disappointing', 'signal', 'hear', 'price', 'package', 'klu', 'supported', 'dngn', 'signal', '']</v>
      </c>
      <c r="D2413" s="3">
        <v>1.0</v>
      </c>
    </row>
    <row r="2414" ht="15.75" customHeight="1">
      <c r="A2414" s="1">
        <v>2412.0</v>
      </c>
      <c r="B2414" s="3" t="s">
        <v>2414</v>
      </c>
      <c r="C2414" s="3" t="str">
        <f>IFERROR(__xludf.DUMMYFUNCTION("GOOGLETRANSLATE(B2414,""id"",""en"")"),"['Disappointed', 'Telkomsel', 'already', 'count', 'use', 'card', 'Telkomsel', 'kek', 'gini', 'already', 'use', 'card', ' Telkomsel ',' broken ']")</f>
        <v>['Disappointed', 'Telkomsel', 'already', 'count', 'use', 'card', 'Telkomsel', 'kek', 'gini', 'already', 'use', 'card', ' Telkomsel ',' broken ']</v>
      </c>
      <c r="D2414" s="3">
        <v>1.0</v>
      </c>
    </row>
    <row r="2415" ht="15.75" customHeight="1">
      <c r="A2415" s="1">
        <v>2413.0</v>
      </c>
      <c r="B2415" s="3" t="s">
        <v>2415</v>
      </c>
      <c r="C2415" s="3" t="str">
        <f>IFERROR(__xludf.DUMMYFUNCTION("GOOGLETRANSLATE(B2415,""id"",""en"")"),"['expensive', 'doang', 'get', 'signal', 'ugly', 'really', 'network', 'full', 'mending', 'ind', 'sat']")</f>
        <v>['expensive', 'doang', 'get', 'signal', 'ugly', 'really', 'network', 'full', 'mending', 'ind', 'sat']</v>
      </c>
      <c r="D2415" s="3">
        <v>2.0</v>
      </c>
    </row>
    <row r="2416" ht="15.75" customHeight="1">
      <c r="A2416" s="1">
        <v>2414.0</v>
      </c>
      <c r="B2416" s="3" t="s">
        <v>2416</v>
      </c>
      <c r="C2416" s="3" t="str">
        <f>IFERROR(__xludf.DUMMYFUNCTION("GOOGLETRANSLATE(B2416,""id"",""en"")"),"['Kapok', 'buy', 'Telkomsel', 'Unlimited', 'Max', 'given', 'FUP', 'Kayak', 'Unlimited', 'Turbo', 'Sampek', 'Hand', ' Disconnect ',' slow ',' except ',' SMG ',' FUP ',' omitted ',' Loss', 'Nyenegin', 'buyer', 'stingy', 'Mending', 'buy', 'unlimited' , 'Turb"&amp;"o', 'buy', 'product', 'feel', 'feel', 'said', 'Thank you', 'buy', 'unlimited', 'turbo', 'smg', ' read ',' Products', 'Don', 'Buy', 'This',' Product ',' ']")</f>
        <v>['Kapok', 'buy', 'Telkomsel', 'Unlimited', 'Max', 'given', 'FUP', 'Kayak', 'Unlimited', 'Turbo', 'Sampek', 'Hand', ' Disconnect ',' slow ',' except ',' SMG ',' FUP ',' omitted ',' Loss', 'Nyenegin', 'buyer', 'stingy', 'Mending', 'buy', 'unlimited' , 'Turbo', 'buy', 'product', 'feel', 'feel', 'said', 'Thank you', 'buy', 'unlimited', 'turbo', 'smg', ' read ',' Products', 'Don', 'Buy', 'This',' Product ',' ']</v>
      </c>
      <c r="D2416" s="3">
        <v>1.0</v>
      </c>
    </row>
    <row r="2417" ht="15.75" customHeight="1">
      <c r="A2417" s="1">
        <v>2415.0</v>
      </c>
      <c r="B2417" s="3" t="s">
        <v>2417</v>
      </c>
      <c r="C2417" s="3" t="str">
        <f>IFERROR(__xludf.DUMMYFUNCTION("GOOGLETRANSLATE(B2417,""id"",""en"")"),"['Condition', 'Weather', 'Rain', 'Influential', 'Signal', 'Strong', 'Please', 'Noted', 'Quality', 'Price', 'Guarantee', 'Quality ']")</f>
        <v>['Condition', 'Weather', 'Rain', 'Influential', 'Signal', 'Strong', 'Please', 'Noted', 'Quality', 'Price', 'Guarantee', 'Quality ']</v>
      </c>
      <c r="D2417" s="3">
        <v>4.0</v>
      </c>
    </row>
    <row r="2418" ht="15.75" customHeight="1">
      <c r="A2418" s="1">
        <v>2416.0</v>
      </c>
      <c r="B2418" s="3" t="s">
        <v>2418</v>
      </c>
      <c r="C2418" s="3" t="str">
        <f>IFERROR(__xludf.DUMMYFUNCTION("GOOGLETRANSLATE(B2418,""id"",""en"")"),"['package', 'data', 'expensive', 'divided', 'package', 'needed']")</f>
        <v>['package', 'data', 'expensive', 'divided', 'package', 'needed']</v>
      </c>
      <c r="D2418" s="3">
        <v>3.0</v>
      </c>
    </row>
    <row r="2419" ht="15.75" customHeight="1">
      <c r="A2419" s="1">
        <v>2417.0</v>
      </c>
      <c r="B2419" s="3" t="s">
        <v>2419</v>
      </c>
      <c r="C2419" s="3" t="str">
        <f>IFERROR(__xludf.DUMMYFUNCTION("GOOGLETRANSLATE(B2419,""id"",""en"")"),"['Telkomsel', 'entry', 'clock', 'night', 'Lemottt', 'right', 'night', 'smooth', 'Males', 'Dehh', ""]")</f>
        <v>['Telkomsel', 'entry', 'clock', 'night', 'Lemottt', 'right', 'night', 'smooth', 'Males', 'Dehh', "]</v>
      </c>
      <c r="D2419" s="3">
        <v>1.0</v>
      </c>
    </row>
    <row r="2420" ht="15.75" customHeight="1">
      <c r="A2420" s="1">
        <v>2418.0</v>
      </c>
      <c r="B2420" s="3" t="s">
        <v>2420</v>
      </c>
      <c r="C2420" s="3" t="str">
        <f>IFERROR(__xludf.DUMMYFUNCTION("GOOGLETRANSLATE(B2420,""id"",""en"")"),"['WOI', 'TELKOM', 'COK', 'Cook', 'Tower', 'Draw', 'Lightning', 'Direct', 'Bapold', 'Really', 'Signal', 'Kagak', ' Tower ',' home ',' cave ',' network ',' maen ',' mobeltod ',' ngeleg ',' ngeleg ',' please ',' price ',' expensive ', ""]")</f>
        <v>['WOI', 'TELKOM', 'COK', 'Cook', 'Tower', 'Draw', 'Lightning', 'Direct', 'Bapold', 'Really', 'Signal', 'Kagak', ' Tower ',' home ',' cave ',' network ',' maen ',' mobeltod ',' ngeleg ',' ngeleg ',' please ',' price ',' expensive ', "]</v>
      </c>
      <c r="D2420" s="3">
        <v>1.0</v>
      </c>
    </row>
    <row r="2421" ht="15.75" customHeight="1">
      <c r="A2421" s="1">
        <v>2419.0</v>
      </c>
      <c r="B2421" s="3" t="s">
        <v>2421</v>
      </c>
      <c r="C2421" s="3" t="str">
        <f>IFERROR(__xludf.DUMMYFUNCTION("GOOGLETRANSLATE(B2421,""id"",""en"")"),"['Oioi', 'ugly', 'boong', 'good', 'Telkomsel', 'network', 'ngelag', 'please', 'what']")</f>
        <v>['Oioi', 'ugly', 'boong', 'good', 'Telkomsel', 'network', 'ngelag', 'please', 'what']</v>
      </c>
      <c r="D2421" s="3">
        <v>5.0</v>
      </c>
    </row>
    <row r="2422" ht="15.75" customHeight="1">
      <c r="A2422" s="1">
        <v>2420.0</v>
      </c>
      <c r="B2422" s="3" t="s">
        <v>2422</v>
      </c>
      <c r="C2422" s="3" t="str">
        <f>IFERROR(__xludf.DUMMYFUNCTION("GOOGLETRANSLATE(B2422,""id"",""en"")"),"['Please', 'Telkomsel', 'credit', 'missing', 'masang', 'package', 'anything', 'time', 'pulse', 'lost']")</f>
        <v>['Please', 'Telkomsel', 'credit', 'missing', 'masang', 'package', 'anything', 'time', 'pulse', 'lost']</v>
      </c>
      <c r="D2422" s="3">
        <v>2.0</v>
      </c>
    </row>
    <row r="2423" ht="15.75" customHeight="1">
      <c r="A2423" s="1">
        <v>2421.0</v>
      </c>
      <c r="B2423" s="3" t="s">
        <v>2423</v>
      </c>
      <c r="C2423" s="3" t="str">
        <f>IFERROR(__xludf.DUMMYFUNCTION("GOOGLETRANSLATE(B2423,""id"",""en"")"),"['discount', 'voucher', 'haya', 'game', 'mytelkomsel', 'cheats', 'customer', '']")</f>
        <v>['discount', 'voucher', 'haya', 'game', 'mytelkomsel', 'cheats', 'customer', '']</v>
      </c>
      <c r="D2423" s="3">
        <v>1.0</v>
      </c>
    </row>
    <row r="2424" ht="15.75" customHeight="1">
      <c r="A2424" s="1">
        <v>2422.0</v>
      </c>
      <c r="B2424" s="3" t="s">
        <v>2424</v>
      </c>
      <c r="C2424" s="3" t="str">
        <f>IFERROR(__xludf.DUMMYFUNCTION("GOOGLETRANSLATE(B2424,""id"",""en"")"),"['ugly', 'network', 'Telkomsel', 'here', 'ugly', 'network', 'lose', 'provider']")</f>
        <v>['ugly', 'network', 'Telkomsel', 'here', 'ugly', 'network', 'lose', 'provider']</v>
      </c>
      <c r="D2424" s="3">
        <v>1.0</v>
      </c>
    </row>
    <row r="2425" ht="15.75" customHeight="1">
      <c r="A2425" s="1">
        <v>2423.0</v>
      </c>
      <c r="B2425" s="3" t="s">
        <v>2425</v>
      </c>
      <c r="C2425" s="3" t="str">
        <f>IFERROR(__xludf.DUMMYFUNCTION("GOOGLETRANSLATE(B2425,""id"",""en"")"),"['Honest', 'Make', 'Telkomsel', 'Rare', 'Because', 'Price', 'Not bad', 'Expensive', 'Network', 'Sometimes',' Drop ',' Sometimes', ' Good ',' application ',' help ',' really ',' buy ',' quota ']")</f>
        <v>['Honest', 'Make', 'Telkomsel', 'Rare', 'Because', 'Price', 'Not bad', 'Expensive', 'Network', 'Sometimes',' Drop ',' Sometimes', ' Good ',' application ',' help ',' really ',' buy ',' quota ']</v>
      </c>
      <c r="D2425" s="3">
        <v>4.0</v>
      </c>
    </row>
    <row r="2426" ht="15.75" customHeight="1">
      <c r="A2426" s="1">
        <v>2424.0</v>
      </c>
      <c r="B2426" s="3" t="s">
        <v>2426</v>
      </c>
      <c r="C2426" s="3" t="str">
        <f>IFERROR(__xludf.DUMMYFUNCTION("GOOGLETRANSLATE(B2426,""id"",""en"")"),"['price', 'package', 'internet', 'expensive', 'network', 'slow', 'pantead', 'price', 'expensive', 'slow', 'already', 'contact', ' reply ',' work ',' suggestion ',' me ',' quality ',' network ',' ugly ',' kayak ',' snail ',' mending ',' down ',' deh ',' pr"&amp;"ice ' , 'The package', 'balance', 'price', 'quality', '']")</f>
        <v>['price', 'package', 'internet', 'expensive', 'network', 'slow', 'pantead', 'price', 'expensive', 'slow', 'already', 'contact', ' reply ',' work ',' suggestion ',' me ',' quality ',' network ',' ugly ',' kayak ',' snail ',' mending ',' down ',' deh ',' price ' , 'The package', 'balance', 'price', 'quality', '']</v>
      </c>
      <c r="D2426" s="3">
        <v>1.0</v>
      </c>
    </row>
    <row r="2427" ht="15.75" customHeight="1">
      <c r="A2427" s="1">
        <v>2425.0</v>
      </c>
      <c r="B2427" s="3" t="s">
        <v>2427</v>
      </c>
      <c r="C2427" s="3" t="str">
        <f>IFERROR(__xludf.DUMMYFUNCTION("GOOGLETRANSLATE(B2427,""id"",""en"")"),"['user', 'card', 'Hallo', 'active', 'Telkomsel', 'email', 'Telkomsel', 'complaints',' signal ',' edge ',' number ',' card ',' Hello ',' reply ',' email ',' responding ',' complaints', 'solution', 'city', 'point', 'coordinates',' etc. ',' reply ',' mention"&amp;" ',' accept ' , 'reality', 'signal', 'edge', 'in the area', 'stay', 'change', '']")</f>
        <v>['user', 'card', 'Hallo', 'active', 'Telkomsel', 'email', 'Telkomsel', 'complaints',' signal ',' edge ',' number ',' card ',' Hello ',' reply ',' email ',' responding ',' complaints', 'solution', 'city', 'point', 'coordinates',' etc. ',' reply ',' mention ',' accept ' , 'reality', 'signal', 'edge', 'in the area', 'stay', 'change', '']</v>
      </c>
      <c r="D2427" s="3">
        <v>3.0</v>
      </c>
    </row>
    <row r="2428" ht="15.75" customHeight="1">
      <c r="A2428" s="1">
        <v>2426.0</v>
      </c>
      <c r="B2428" s="3" t="s">
        <v>2428</v>
      </c>
      <c r="C2428" s="3" t="str">
        <f>IFERROR(__xludf.DUMMYFUNCTION("GOOGLETRANSLATE(B2428,""id"",""en"")"),"['Program', 'Promo', 'Severe', 'Credit', 'Reduced', 'Quota', 'Nda', 'Nambah', 'Sorry', 'Love', 'Star', 'Status',' Wait ',' process']")</f>
        <v>['Program', 'Promo', 'Severe', 'Credit', 'Reduced', 'Quota', 'Nda', 'Nambah', 'Sorry', 'Love', 'Star', 'Status',' Wait ',' process']</v>
      </c>
      <c r="D2428" s="3">
        <v>1.0</v>
      </c>
    </row>
    <row r="2429" ht="15.75" customHeight="1">
      <c r="A2429" s="1">
        <v>2427.0</v>
      </c>
      <c r="B2429" s="3" t="s">
        <v>2429</v>
      </c>
      <c r="C2429" s="3" t="str">
        <f>IFERROR(__xludf.DUMMYFUNCTION("GOOGLETRANSLATE(B2429,""id"",""en"")"),"['APK', 'Not bad', 'Lottery', 'Jga', 'TPI', 'Sya', 'confused', 'tntang', 'his draw', 'bnar', 'ngak', 'lottery', ' TSB ',' MHN ',' info ',' ']")</f>
        <v>['APK', 'Not bad', 'Lottery', 'Jga', 'TPI', 'Sya', 'confused', 'tntang', 'his draw', 'bnar', 'ngak', 'lottery', ' TSB ',' MHN ',' info ',' ']</v>
      </c>
      <c r="D2429" s="3">
        <v>5.0</v>
      </c>
    </row>
    <row r="2430" ht="15.75" customHeight="1">
      <c r="A2430" s="1">
        <v>2428.0</v>
      </c>
      <c r="B2430" s="3" t="s">
        <v>2430</v>
      </c>
      <c r="C2430" s="3" t="str">
        <f>IFERROR(__xludf.DUMMYFUNCTION("GOOGLETRANSLATE(B2430,""id"",""en"")"),"['Network', 'Telkomsel', 'ugly', 'really', 'already', 'buy', 'kouta', 'expensive', 'expensive', 'njinglh']")</f>
        <v>['Network', 'Telkomsel', 'ugly', 'really', 'already', 'buy', 'kouta', 'expensive', 'expensive', 'njinglh']</v>
      </c>
      <c r="D2430" s="3">
        <v>1.0</v>
      </c>
    </row>
    <row r="2431" ht="15.75" customHeight="1">
      <c r="A2431" s="1">
        <v>2429.0</v>
      </c>
      <c r="B2431" s="3" t="s">
        <v>2431</v>
      </c>
      <c r="C2431" s="3" t="str">
        <f>IFERROR(__xludf.DUMMYFUNCTION("GOOGLETRANSLATE(B2431,""id"",""en"")"),"['satisfying', '']")</f>
        <v>['satisfying', '']</v>
      </c>
      <c r="D2431" s="3">
        <v>4.0</v>
      </c>
    </row>
    <row r="2432" ht="15.75" customHeight="1">
      <c r="A2432" s="1">
        <v>2430.0</v>
      </c>
      <c r="B2432" s="3" t="s">
        <v>2432</v>
      </c>
      <c r="C2432" s="3" t="str">
        <f>IFERROR(__xludf.DUMMYFUNCTION("GOOGLETRANSLATE(B2432,""id"",""en"")"),"['', 'yrs',' use ',' Telkomsel ',' times', 'gift', 'surprisingly', 'napa', 'thank God', 'hem', 'Thank', 'Telkomsel', 'thanks ',' people ',' village ',' technology ',' hope ',' staff ',' company ',' spirit ',' run ',' task ',' thank you ',' greetings', 'Ri"&amp;"o', 'Child', 'village']")</f>
        <v>['', 'yrs',' use ',' Telkomsel ',' times', 'gift', 'surprisingly', 'napa', 'thank God', 'hem', 'Thank', 'Telkomsel', 'thanks ',' people ',' village ',' technology ',' hope ',' staff ',' company ',' spirit ',' run ',' task ',' thank you ',' greetings', 'Rio', 'Child', 'village']</v>
      </c>
      <c r="D2432" s="3">
        <v>5.0</v>
      </c>
    </row>
    <row r="2433" ht="15.75" customHeight="1">
      <c r="A2433" s="1">
        <v>2431.0</v>
      </c>
      <c r="B2433" s="3" t="s">
        <v>2433</v>
      </c>
      <c r="C2433" s="3" t="str">
        <f>IFERROR(__xludf.DUMMYFUNCTION("GOOGLETRANSLATE(B2433,""id"",""en"")"),"['Application', 'Useful', 'Chat', 'Veronika', 'Need', 'Evidence', 'Date', 'Over', 'Sayah', 'Buy', 'Credit', 'Credit', ' Enter ',' Need ',' SECREN ',' Shot ',' Turns', 'Fund', 'Shopeepay', 'Computer', 'Service', 'Customer', 'RESPEP', 'IMEL', 'Send' , 'Ngil"&amp;"an', 'cave', 'thief', 'cave', 'cheats',' service ',' Ogah ',' relaxed ',' priority ',' customer ',' increased ',' blurry', '']")</f>
        <v>['Application', 'Useful', 'Chat', 'Veronika', 'Need', 'Evidence', 'Date', 'Over', 'Sayah', 'Buy', 'Credit', 'Credit', ' Enter ',' Need ',' SECREN ',' Shot ',' Turns', 'Fund', 'Shopeepay', 'Computer', 'Service', 'Customer', 'RESPEP', 'IMEL', 'Send' , 'Ngilan', 'cave', 'thief', 'cave', 'cheats',' service ',' Ogah ',' relaxed ',' priority ',' customer ',' increased ',' blurry', '']</v>
      </c>
      <c r="D2433" s="3">
        <v>1.0</v>
      </c>
    </row>
    <row r="2434" ht="15.75" customHeight="1">
      <c r="A2434" s="1">
        <v>2432.0</v>
      </c>
      <c r="B2434" s="3" t="s">
        <v>2434</v>
      </c>
      <c r="C2434" s="3" t="str">
        <f>IFERROR(__xludf.DUMMYFUNCTION("GOOGLETRANSLATE(B2434,""id"",""en"")"),"['already', 'buy', 'quota', 'quota', 'gabisa', 'kepake', 'how', ""]")</f>
        <v>['already', 'buy', 'quota', 'quota', 'gabisa', 'kepake', 'how', "]</v>
      </c>
      <c r="D2434" s="3">
        <v>1.0</v>
      </c>
    </row>
    <row r="2435" ht="15.75" customHeight="1">
      <c r="A2435" s="1">
        <v>2433.0</v>
      </c>
      <c r="B2435" s="3" t="s">
        <v>2435</v>
      </c>
      <c r="C2435" s="3" t="str">
        <f>IFERROR(__xludf.DUMMYFUNCTION("GOOGLETRANSLATE(B2435,""id"",""en"")"),"['signal', 'please', 'fix', 'deda', 'Deda', 'Dukuh', 'ugly', ""]")</f>
        <v>['signal', 'please', 'fix', 'deda', 'Deda', 'Dukuh', 'ugly', "]</v>
      </c>
      <c r="D2435" s="3">
        <v>1.0</v>
      </c>
    </row>
    <row r="2436" ht="15.75" customHeight="1">
      <c r="A2436" s="1">
        <v>2434.0</v>
      </c>
      <c r="B2436" s="3" t="s">
        <v>2436</v>
      </c>
      <c r="C2436" s="3" t="str">
        <f>IFERROR(__xludf.DUMMYFUNCTION("GOOGLETRANSLATE(B2436,""id"",""en"")"),"['Hey', 'Telkomsel', 'bodied', 'ghost', 'you', 'sell', 'lie', 'you', 'quota', 'multimedia', 'you', 'offer', ' Deliberately ',' You ',' Network ',' Leet ',' Moga ',' Investigation ',' Everything ',' Famility ',' Eat ',' Results', 'Fraud', ""]")</f>
        <v>['Hey', 'Telkomsel', 'bodied', 'ghost', 'you', 'sell', 'lie', 'you', 'quota', 'multimedia', 'you', 'offer', ' Deliberately ',' You ',' Network ',' Leet ',' Moga ',' Investigation ',' Everything ',' Famility ',' Eat ',' Results', 'Fraud', "]</v>
      </c>
      <c r="D2436" s="3">
        <v>1.0</v>
      </c>
    </row>
    <row r="2437" ht="15.75" customHeight="1">
      <c r="A2437" s="1">
        <v>2435.0</v>
      </c>
      <c r="B2437" s="3" t="s">
        <v>2437</v>
      </c>
      <c r="C2437" s="3" t="str">
        <f>IFERROR(__xludf.DUMMYFUNCTION("GOOGLETRANSLATE(B2437,""id"",""en"")"),"['Card', 'Telkomsel', 'already', 'many years', 'steady', 'principal', 'network', 'anywhere']")</f>
        <v>['Card', 'Telkomsel', 'already', 'many years', 'steady', 'principal', 'network', 'anywhere']</v>
      </c>
      <c r="D2437" s="3">
        <v>5.0</v>
      </c>
    </row>
    <row r="2438" ht="15.75" customHeight="1">
      <c r="A2438" s="1">
        <v>2436.0</v>
      </c>
      <c r="B2438" s="3" t="s">
        <v>2438</v>
      </c>
      <c r="C2438" s="3" t="str">
        <f>IFERROR(__xludf.DUMMYFUNCTION("GOOGLETRANSLATE(B2438,""id"",""en"")"),"['free', 'pulse', 'downlod', 'application', 'top', 'buy', 'quota', 'interenet', 'functions', 'lol', ""]")</f>
        <v>['free', 'pulse', 'downlod', 'application', 'top', 'buy', 'quota', 'interenet', 'functions', 'lol', "]</v>
      </c>
      <c r="D2438" s="3">
        <v>1.0</v>
      </c>
    </row>
    <row r="2439" ht="15.75" customHeight="1">
      <c r="A2439" s="1">
        <v>2437.0</v>
      </c>
      <c r="B2439" s="3" t="s">
        <v>2439</v>
      </c>
      <c r="C2439" s="3" t="str">
        <f>IFERROR(__xludf.DUMMYFUNCTION("GOOGLETRANSLATE(B2439,""id"",""en"")"),"['Sorry', 'Sis', 'Application', 'Please', 'Repaired', 'Open', 'Application', 'Difficult', ""]")</f>
        <v>['Sorry', 'Sis', 'Application', 'Please', 'Repaired', 'Open', 'Application', 'Difficult', "]</v>
      </c>
      <c r="D2439" s="3">
        <v>2.0</v>
      </c>
    </row>
    <row r="2440" ht="15.75" customHeight="1">
      <c r="A2440" s="1">
        <v>2438.0</v>
      </c>
      <c r="B2440" s="3" t="s">
        <v>2440</v>
      </c>
      <c r="C2440" s="3" t="str">
        <f>IFERROR(__xludf.DUMMYFUNCTION("GOOGLETRANSLATE(B2440,""id"",""en"")"),"['Corruption', 'pairs',' ehh ',' active ',' kpanaaa ',' really ',' missing ',' pulse ',' see ',' comment ',' missing ',' pulse ',' already ',' no ',' trm ',' ksh ',' repaired ',' weve ',' real ',' mafia ',' corruption ',' donk ',' repaired ', ""]")</f>
        <v>['Corruption', 'pairs',' ehh ',' active ',' kpanaaa ',' really ',' missing ',' pulse ',' see ',' comment ',' missing ',' pulse ',' already ',' no ',' trm ',' ksh ',' repaired ',' weve ',' real ',' mafia ',' corruption ',' donk ',' repaired ', "]</v>
      </c>
      <c r="D2440" s="3">
        <v>1.0</v>
      </c>
    </row>
    <row r="2441" ht="15.75" customHeight="1">
      <c r="A2441" s="1">
        <v>2439.0</v>
      </c>
      <c r="B2441" s="3" t="s">
        <v>2441</v>
      </c>
      <c r="C2441" s="3" t="str">
        <f>IFERROR(__xludf.DUMMYFUNCTION("GOOGLETRANSLATE(B2441,""id"",""en"")"),"['card', 'worst', 'signal', 'card', 'really', 'ugly', 'quota', 'stay', 'in the city', 'signal', 'pelp', 'bad', ' Mending ',' card ',' card ']")</f>
        <v>['card', 'worst', 'signal', 'card', 'really', 'ugly', 'quota', 'stay', 'in the city', 'signal', 'pelp', 'bad', ' Mending ',' card ',' card ']</v>
      </c>
      <c r="D2441" s="3">
        <v>1.0</v>
      </c>
    </row>
    <row r="2442" ht="15.75" customHeight="1">
      <c r="A2442" s="1">
        <v>2440.0</v>
      </c>
      <c r="B2442" s="3" t="s">
        <v>2442</v>
      </c>
      <c r="C2442" s="3" t="str">
        <f>IFERROR(__xludf.DUMMYFUNCTION("GOOGLETRANSLATE(B2442,""id"",""en"")"),"['already', 'package', 'kouta', 'expensive', 'expensive', 'network', 'ugly', 'no', 'kayak', 'network', 'internet', 'manteng', ' Mehoyyy ',' slow ']")</f>
        <v>['already', 'package', 'kouta', 'expensive', 'expensive', 'network', 'ugly', 'no', 'kayak', 'network', 'internet', 'manteng', ' Mehoyyy ',' slow ']</v>
      </c>
      <c r="D2442" s="3">
        <v>1.0</v>
      </c>
    </row>
    <row r="2443" ht="15.75" customHeight="1">
      <c r="A2443" s="1">
        <v>2441.0</v>
      </c>
      <c r="B2443" s="3" t="s">
        <v>2443</v>
      </c>
      <c r="C2443" s="3" t="str">
        <f>IFERROR(__xludf.DUMMYFUNCTION("GOOGLETRANSLATE(B2443,""id"",""en"")"),"['Help', 'Information', 'Need', 'APK', 'Tsel', 'Thank you', 'Telkomsl']")</f>
        <v>['Help', 'Information', 'Need', 'APK', 'Tsel', 'Thank you', 'Telkomsl']</v>
      </c>
      <c r="D2443" s="3">
        <v>5.0</v>
      </c>
    </row>
    <row r="2444" ht="15.75" customHeight="1">
      <c r="A2444" s="1">
        <v>2442.0</v>
      </c>
      <c r="B2444" s="3" t="s">
        <v>2444</v>
      </c>
      <c r="C2444" s="3" t="str">
        <f>IFERROR(__xludf.DUMMYFUNCTION("GOOGLETRANSLATE(B2444,""id"",""en"")"),"['leftover', 'quota', 'GB', 'use', 'internet', 'fees', 'pulses', 'thousand', 'leftover', 'pulseku', 'thousand', 'fraud']")</f>
        <v>['leftover', 'quota', 'GB', 'use', 'internet', 'fees', 'pulses', 'thousand', 'leftover', 'pulseku', 'thousand', 'fraud']</v>
      </c>
      <c r="D2444" s="3">
        <v>1.0</v>
      </c>
    </row>
    <row r="2445" ht="15.75" customHeight="1">
      <c r="A2445" s="1">
        <v>2443.0</v>
      </c>
      <c r="B2445" s="3" t="s">
        <v>2445</v>
      </c>
      <c r="C2445" s="3" t="str">
        <f>IFERROR(__xludf.DUMMYFUNCTION("GOOGLETRANSLATE(B2445,""id"",""en"")"),"['artisan', 'lie', 'pulse', 'for', 'sms', 'call', 'right', 'CEQ', 'nelpin', 'sms', 'take', '']")</f>
        <v>['artisan', 'lie', 'pulse', 'for', 'sms', 'call', 'right', 'CEQ', 'nelpin', 'sms', 'take', '']</v>
      </c>
      <c r="D2445" s="3">
        <v>1.0</v>
      </c>
    </row>
    <row r="2446" ht="15.75" customHeight="1">
      <c r="A2446" s="1">
        <v>2444.0</v>
      </c>
      <c r="B2446" s="3" t="s">
        <v>2446</v>
      </c>
      <c r="C2446" s="3" t="str">
        <f>IFERROR(__xludf.DUMMYFUNCTION("GOOGLETRANSLATE(B2446,""id"",""en"")"),"['The network', 'Severe', 'NGK', 'Main', 'Game', 'Online', 'Disconnect', '']")</f>
        <v>['The network', 'Severe', 'NGK', 'Main', 'Game', 'Online', 'Disconnect', '']</v>
      </c>
      <c r="D2446" s="3">
        <v>1.0</v>
      </c>
    </row>
    <row r="2447" ht="15.75" customHeight="1">
      <c r="A2447" s="1">
        <v>2445.0</v>
      </c>
      <c r="B2447" s="3" t="s">
        <v>2447</v>
      </c>
      <c r="C2447" s="3" t="str">
        <f>IFERROR(__xludf.DUMMYFUNCTION("GOOGLETRANSLATE(B2447,""id"",""en"")"),"['report', 'Signal', 'Place', 'Sudden', 'Lost', 'Embossed', 'Ntah', 'Sukur', 'Discard', 'Credit', 'Report', 'Control', ' periodically ',' feasibility ',' signal ',' customers', '']")</f>
        <v>['report', 'Signal', 'Place', 'Sudden', 'Lost', 'Embossed', 'Ntah', 'Sukur', 'Discard', 'Credit', 'Report', 'Control', ' periodically ',' feasibility ',' signal ',' customers', '']</v>
      </c>
      <c r="D2447" s="3">
        <v>1.0</v>
      </c>
    </row>
    <row r="2448" ht="15.75" customHeight="1">
      <c r="A2448" s="1">
        <v>2446.0</v>
      </c>
      <c r="B2448" s="3" t="s">
        <v>2448</v>
      </c>
      <c r="C2448" s="3" t="str">
        <f>IFERROR(__xludf.DUMMYFUNCTION("GOOGLETRANSLATE(B2448,""id"",""en"")"),"['Network', 'Tsel', 'JLEK', 'Please', 'Seriously', 'Performance', 'Lma', 'Bad', ""]")</f>
        <v>['Network', 'Tsel', 'JLEK', 'Please', 'Seriously', 'Performance', 'Lma', 'Bad', "]</v>
      </c>
      <c r="D2448" s="3">
        <v>1.0</v>
      </c>
    </row>
    <row r="2449" ht="15.75" customHeight="1">
      <c r="A2449" s="1">
        <v>2447.0</v>
      </c>
      <c r="B2449" s="3" t="s">
        <v>2449</v>
      </c>
      <c r="C2449" s="3" t="str">
        <f>IFERROR(__xludf.DUMMYFUNCTION("GOOGLETRANSLATE(B2449,""id"",""en"")"),"['crazy', 'ginj', 'Telkomsel', 'hey', 'pulse', 'emergency', 'cut', 'pulse', 'person', 'chaotic', 'kerinj', 'napa', ' WOI ',' Emotion ',' Telkomsel ',' Try ',' Love ',' Explanation ']")</f>
        <v>['crazy', 'ginj', 'Telkomsel', 'hey', 'pulse', 'emergency', 'cut', 'pulse', 'person', 'chaotic', 'kerinj', 'napa', ' WOI ',' Emotion ',' Telkomsel ',' Try ',' Love ',' Explanation ']</v>
      </c>
      <c r="D2449" s="3">
        <v>1.0</v>
      </c>
    </row>
    <row r="2450" ht="15.75" customHeight="1">
      <c r="A2450" s="1">
        <v>2448.0</v>
      </c>
      <c r="B2450" s="3" t="s">
        <v>2450</v>
      </c>
      <c r="C2450" s="3" t="str">
        <f>IFERROR(__xludf.DUMMYFUNCTION("GOOGLETRANSLATE(B2450,""id"",""en"")"),"['Claim', 'Check', 'difficult', 'exceed', 'limit', 'exchange', 'point', 'exchange', 'rewardny', 'bilg', 'exceed', 'limit', ' Bilg ',' error ']")</f>
        <v>['Claim', 'Check', 'difficult', 'exceed', 'limit', 'exchange', 'point', 'exchange', 'rewardny', 'bilg', 'exceed', 'limit', ' Bilg ',' error ']</v>
      </c>
      <c r="D2450" s="3">
        <v>3.0</v>
      </c>
    </row>
    <row r="2451" ht="15.75" customHeight="1">
      <c r="A2451" s="1">
        <v>2449.0</v>
      </c>
      <c r="B2451" s="3" t="s">
        <v>2451</v>
      </c>
      <c r="C2451" s="3" t="str">
        <f>IFERROR(__xludf.DUMMYFUNCTION("GOOGLETRANSLATE(B2451,""id"",""en"")"),"['please', 'Telkomsel', 'price', 'package', 'internet', 'cheap', 'that's',' quota ',' plusin ',' user ',' lazy ',' replace ',' card ',' prime ',' user ',' quota ',' bonusnya ',' name ',' fair ',' like ',' so ',' no ',' replace ',' card ',' bored ' , 'Opra"&amp;"tor', 'next door', 'cheap', 'quota', 'internet', 'signal', 'Telkomsel', '']")</f>
        <v>['please', 'Telkomsel', 'price', 'package', 'internet', 'cheap', 'that's',' quota ',' plusin ',' user ',' lazy ',' replace ',' card ',' prime ',' user ',' quota ',' bonusnya ',' name ',' fair ',' like ',' so ',' no ',' replace ',' card ',' bored ' , 'Oprator', 'next door', 'cheap', 'quota', 'internet', 'signal', 'Telkomsel', '']</v>
      </c>
      <c r="D2451" s="3">
        <v>3.0</v>
      </c>
    </row>
    <row r="2452" ht="15.75" customHeight="1">
      <c r="A2452" s="1">
        <v>2450.0</v>
      </c>
      <c r="B2452" s="3" t="s">
        <v>2452</v>
      </c>
      <c r="C2452" s="3" t="str">
        <f>IFERROR(__xludf.DUMMYFUNCTION("GOOGLETRANSLATE(B2452,""id"",""en"")"),"['Telkomsel', 'smooth', 'ngebug', 'easy', 'buy', 'package', 'internet', 'quota', 'compared', 'buy', 'package', 'conventional', ' Promotions', '']")</f>
        <v>['Telkomsel', 'smooth', 'ngebug', 'easy', 'buy', 'package', 'internet', 'quota', 'compared', 'buy', 'package', 'conventional', ' Promotions', '']</v>
      </c>
      <c r="D2452" s="3">
        <v>5.0</v>
      </c>
    </row>
    <row r="2453" ht="15.75" customHeight="1">
      <c r="A2453" s="1">
        <v>2451.0</v>
      </c>
      <c r="B2453" s="3" t="s">
        <v>2453</v>
      </c>
      <c r="C2453" s="3" t="str">
        <f>IFERROR(__xludf.DUMMYFUNCTION("GOOGLETRANSLATE(B2453,""id"",""en"")"),"['price', 'package', 'anything', 'expensive', 'package', 'internet', 'phone', 'sms',' cost ',' transfer ',' pulse ',' change ',' Price ',' retreat ',' Telkomsel ']")</f>
        <v>['price', 'package', 'anything', 'expensive', 'package', 'internet', 'phone', 'sms',' cost ',' transfer ',' pulse ',' change ',' Price ',' retreat ',' Telkomsel ']</v>
      </c>
      <c r="D2453" s="3">
        <v>1.0</v>
      </c>
    </row>
    <row r="2454" ht="15.75" customHeight="1">
      <c r="A2454" s="1">
        <v>2452.0</v>
      </c>
      <c r="B2454" s="3" t="s">
        <v>2454</v>
      </c>
      <c r="C2454" s="3" t="str">
        <f>IFERROR(__xludf.DUMMYFUNCTION("GOOGLETRANSLATE(B2454,""id"",""en"")"),"['Hi', 'news',' card ',' Telkomsel ',' pants', 'no', 'disappointed', 'Download', 'Atu', 'card', 'Telkomsel', 'Burwan', ' Buy ',' Card ',' Telkomsel ',' Download ',' Application ',' No ',' Disappointed ',' Love ',' Telkomsel ', ""]")</f>
        <v>['Hi', 'news',' card ',' Telkomsel ',' pants', 'no', 'disappointed', 'Download', 'Atu', 'card', 'Telkomsel', 'Burwan', ' Buy ',' Card ',' Telkomsel ',' Download ',' Application ',' No ',' Disappointed ',' Love ',' Telkomsel ', "]</v>
      </c>
      <c r="D2454" s="3">
        <v>5.0</v>
      </c>
    </row>
    <row r="2455" ht="15.75" customHeight="1">
      <c r="A2455" s="1">
        <v>2453.0</v>
      </c>
      <c r="B2455" s="3" t="s">
        <v>2455</v>
      </c>
      <c r="C2455" s="3" t="str">
        <f>IFERROR(__xludf.DUMMYFUNCTION("GOOGLETRANSLATE(B2455,""id"",""en"")"),"['My home', 'surrounded', 'home', 'signal', 'good', 'Anyway', 'like', 'really', 'Thankkasi', 'Telkomsel', 'Dehehu', ' ']")</f>
        <v>['My home', 'surrounded', 'home', 'signal', 'good', 'Anyway', 'like', 'really', 'Thankkasi', 'Telkomsel', 'Dehehu', ' ']</v>
      </c>
      <c r="D2455" s="3">
        <v>5.0</v>
      </c>
    </row>
    <row r="2456" ht="15.75" customHeight="1">
      <c r="A2456" s="1">
        <v>2454.0</v>
      </c>
      <c r="B2456" s="3" t="s">
        <v>2456</v>
      </c>
      <c r="C2456" s="3" t="str">
        <f>IFERROR(__xludf.DUMMYFUNCTION("GOOGLETRANSLATE(B2456,""id"",""en"")"),"['The question', 'packagein', 'data', 'comma', 'rupiah', 'ganepin', 'prefer', 'times',' population ',' Indonesia ',' Buemn ',' Tearsa ',' Load ',' payer ',' tax ', ""]")</f>
        <v>['The question', 'packagein', 'data', 'comma', 'rupiah', 'ganepin', 'prefer', 'times',' population ',' Indonesia ',' Buemn ',' Tearsa ',' Load ',' payer ',' tax ', "]</v>
      </c>
      <c r="D2456" s="3">
        <v>1.0</v>
      </c>
    </row>
    <row r="2457" ht="15.75" customHeight="1">
      <c r="A2457" s="1">
        <v>2455.0</v>
      </c>
      <c r="B2457" s="3" t="s">
        <v>2457</v>
      </c>
      <c r="C2457" s="3" t="str">
        <f>IFERROR(__xludf.DUMMYFUNCTION("GOOGLETRANSLATE(B2457,""id"",""en"")"),"['Horrified', 'buy', 'quota', 'Telkomsel', 'according to', 'usage', 'quota', 'HBS', 'SMS', 'System', 'Blocker', 'Jaringn', ' Data ',' pulse ',' kepakai ',' run out ',' example ',' provider ',' krtu ',' three ',' quota ',' hbs', 'lngsung', 'system', 'block"&amp;"' , 'Data', 'Internet', 'Jngn', 'MNTNG', 'Win', 'Brand', 'Sixl', 'Good', 'Hurry', 'Folk', 'Indonesia', 'Basic', ' TelllkampRertttt ',' ']")</f>
        <v>['Horrified', 'buy', 'quota', 'Telkomsel', 'according to', 'usage', 'quota', 'HBS', 'SMS', 'System', 'Blocker', 'Jaringn', ' Data ',' pulse ',' kepakai ',' run out ',' example ',' provider ',' krtu ',' three ',' quota ',' hbs', 'lngsung', 'system', 'block' , 'Data', 'Internet', 'Jngn', 'MNTNG', 'Win', 'Brand', 'Sixl', 'Good', 'Hurry', 'Folk', 'Indonesia', 'Basic', ' TelllkampRertttt ',' ']</v>
      </c>
      <c r="D2457" s="3">
        <v>1.0</v>
      </c>
    </row>
    <row r="2458" ht="15.75" customHeight="1">
      <c r="A2458" s="1">
        <v>2456.0</v>
      </c>
      <c r="B2458" s="3" t="s">
        <v>2458</v>
      </c>
      <c r="C2458" s="3" t="str">
        <f>IFERROR(__xludf.DUMMYFUNCTION("GOOGLETRANSLATE(B2458,""id"",""en"")"),"['Switch', 'Telkomsel', 'Points', 'Error', 'Server', 'Beran', 'The Reasons']")</f>
        <v>['Switch', 'Telkomsel', 'Points', 'Error', 'Server', 'Beran', 'The Reasons']</v>
      </c>
      <c r="D2458" s="3">
        <v>5.0</v>
      </c>
    </row>
    <row r="2459" ht="15.75" customHeight="1">
      <c r="A2459" s="1">
        <v>2457.0</v>
      </c>
      <c r="B2459" s="3" t="s">
        <v>2459</v>
      </c>
      <c r="C2459" s="3" t="str">
        <f>IFERROR(__xludf.DUMMYFUNCTION("GOOGLETRANSLATE(B2459,""id"",""en"")"),"['already', 'package', 'expensive', 'expensive', 'interfacce', 'as good', 'application', 'mym', 'response', 'System', 'application', 'next door' ']")</f>
        <v>['already', 'package', 'expensive', 'expensive', 'interfacce', 'as good', 'application', 'mym', 'response', 'System', 'application', 'next door' ']</v>
      </c>
      <c r="D2459" s="3">
        <v>1.0</v>
      </c>
    </row>
    <row r="2460" ht="15.75" customHeight="1">
      <c r="A2460" s="1">
        <v>2458.0</v>
      </c>
      <c r="B2460" s="3" t="s">
        <v>2460</v>
      </c>
      <c r="C2460" s="3" t="str">
        <f>IFERROR(__xludf.DUMMYFUNCTION("GOOGLETRANSLATE(B2460,""id"",""en"")"),"['connection', 'poor', 'appears', 'notification', 'disruption', 'system', 'tensing', 'disorder', 'system', '']")</f>
        <v>['connection', 'poor', 'appears', 'notification', 'disruption', 'system', 'tensing', 'disorder', 'system', '']</v>
      </c>
      <c r="D2460" s="3">
        <v>1.0</v>
      </c>
    </row>
    <row r="2461" ht="15.75" customHeight="1">
      <c r="A2461" s="1">
        <v>2459.0</v>
      </c>
      <c r="B2461" s="3" t="s">
        <v>2461</v>
      </c>
      <c r="C2461" s="3" t="str">
        <f>IFERROR(__xludf.DUMMYFUNCTION("GOOGLETRANSLATE(B2461,""id"",""en"")"),"['fox', 'package', 'like', 'heart', 'price', 'expensive', 'network', 'rotten', 'friend', 'friend', 'already', 'replace', ' Provider ',' OTW ',' Change ']")</f>
        <v>['fox', 'package', 'like', 'heart', 'price', 'expensive', 'network', 'rotten', 'friend', 'friend', 'already', 'replace', ' Provider ',' OTW ',' Change ']</v>
      </c>
      <c r="D2461" s="3">
        <v>3.0</v>
      </c>
    </row>
    <row r="2462" ht="15.75" customHeight="1">
      <c r="A2462" s="1">
        <v>2460.0</v>
      </c>
      <c r="B2462" s="3" t="s">
        <v>2462</v>
      </c>
      <c r="C2462" s="3" t="str">
        <f>IFERROR(__xludf.DUMMYFUNCTION("GOOGLETRANSLATE(B2462,""id"",""en"")"),"['pay', 'bills', 'card', 'application', 'Linkaja', 'buy', 'package', 'subscribe', 'Please', 'explanation', ""]")</f>
        <v>['pay', 'bills', 'card', 'application', 'Linkaja', 'buy', 'package', 'subscribe', 'Please', 'explanation', "]</v>
      </c>
      <c r="D2462" s="3">
        <v>4.0</v>
      </c>
    </row>
    <row r="2463" ht="15.75" customHeight="1">
      <c r="A2463" s="1">
        <v>2461.0</v>
      </c>
      <c r="B2463" s="3" t="s">
        <v>2463</v>
      </c>
      <c r="C2463" s="3" t="str">
        <f>IFERROR(__xludf.DUMMYFUNCTION("GOOGLETRANSLATE(B2463,""id"",""en"")"),"['Please', 'Provider', 'Famous',' Quality ',' Application ',' Enhanced ',' Login ',' Fast ',' Game ',' Login ',' Application ',' Game ',' size ',' potatoes', 'admit', 'good', 'application', 'network', 'garbage']")</f>
        <v>['Please', 'Provider', 'Famous',' Quality ',' Application ',' Enhanced ',' Login ',' Fast ',' Game ',' Login ',' Application ',' Game ',' size ',' potatoes', 'admit', 'good', 'application', 'network', 'garbage']</v>
      </c>
      <c r="D2463" s="3">
        <v>1.0</v>
      </c>
    </row>
    <row r="2464" ht="15.75" customHeight="1">
      <c r="A2464" s="1">
        <v>2462.0</v>
      </c>
      <c r="B2464" s="3" t="s">
        <v>2464</v>
      </c>
      <c r="C2464" s="3" t="str">
        <f>IFERROR(__xludf.DUMMYFUNCTION("GOOGLETRANSLATE(B2464,""id"",""en"")"),"['expensive', 'most', 'complicated', 'sediain', 'package', 'data', 'quota', 'GB', 'price', 'already', 'GB', 'internet', ' Streaming ',' Customer ',' Watch ',' soap opera ',' film ',' HandPhone ',' ']")</f>
        <v>['expensive', 'most', 'complicated', 'sediain', 'package', 'data', 'quota', 'GB', 'price', 'already', 'GB', 'internet', ' Streaming ',' Customer ',' Watch ',' soap opera ',' film ',' HandPhone ',' ']</v>
      </c>
      <c r="D2464" s="3">
        <v>4.0</v>
      </c>
    </row>
    <row r="2465" ht="15.75" customHeight="1">
      <c r="A2465" s="1">
        <v>2463.0</v>
      </c>
      <c r="B2465" s="3" t="s">
        <v>2465</v>
      </c>
      <c r="C2465" s="3" t="str">
        <f>IFERROR(__xludf.DUMMYFUNCTION("GOOGLETRANSLATE(B2465,""id"",""en"")"),"['Yesterday', 'buy', 'package', 'method', 'payment', 'anything', 'disorder', 'system', 'muluu', 'replace', 'provider']")</f>
        <v>['Yesterday', 'buy', 'package', 'method', 'payment', 'anything', 'disorder', 'system', 'muluu', 'replace', 'provider']</v>
      </c>
      <c r="D2465" s="3">
        <v>1.0</v>
      </c>
    </row>
    <row r="2466" ht="15.75" customHeight="1">
      <c r="A2466" s="1">
        <v>2464.0</v>
      </c>
      <c r="B2466" s="3" t="s">
        <v>2466</v>
      </c>
      <c r="C2466" s="3" t="str">
        <f>IFERROR(__xludf.DUMMYFUNCTION("GOOGLETRANSLATE(B2466,""id"",""en"")"),"['Download', 'so "",' times ',' times ',' enter ',' Telkomsel ',' Slalu ',' blank ',' look ',' anything ',' forced ',' Delete ',' Login ',' reset ',' repeat ',' ']")</f>
        <v>['Download', 'so ",' times ',' times ',' enter ',' Telkomsel ',' Slalu ',' blank ',' look ',' anything ',' forced ',' Delete ',' Login ',' reset ',' repeat ',' ']</v>
      </c>
      <c r="D2466" s="3">
        <v>1.0</v>
      </c>
    </row>
    <row r="2467" ht="15.75" customHeight="1">
      <c r="A2467" s="1">
        <v>2465.0</v>
      </c>
      <c r="B2467" s="3" t="s">
        <v>2467</v>
      </c>
      <c r="C2467" s="3" t="str">
        <f>IFERROR(__xludf.DUMMYFUNCTION("GOOGLETRANSLATE(B2467,""id"",""en"")"),"['signal', 'telkom', 'difficult', 'rich', 'all-round', 'smooth', 'cave', 'worked', 'task', 'signal', 'telkom', 'kya', ' Gini ',' Already ',' Males', 'Ngejin', 'Task', 'Please', 'Telkomsel', 'Read', 'Review', 'Please', 'Fix', 'Signal', 'Region' , 'people',"&amp;" 'use', 'Telkom', 'since' Soon ',' slow ',' Nge ',' lag ',' move ',' operator ',' expensive ',' signal ',' good ',' rich ',' telkom ',' already ',' expensive ',' signal ',' slow ',' nge ',' lag ',' operator ',' Telkomsel ',' fix ',' signal ' , 'as soon as"&amp;" possible', '']")</f>
        <v>['signal', 'telkom', 'difficult', 'rich', 'all-round', 'smooth', 'cave', 'worked', 'task', 'signal', 'telkom', 'kya', ' Gini ',' Already ',' Males', 'Ngejin', 'Task', 'Please', 'Telkomsel', 'Read', 'Review', 'Please', 'Fix', 'Signal', 'Region' , 'people', 'use', 'Telkom', 'since' Soon ',' slow ',' Nge ',' lag ',' move ',' operator ',' expensive ',' signal ',' good ',' rich ',' telkom ',' already ',' expensive ',' signal ',' slow ',' nge ',' lag ',' operator ',' Telkomsel ',' fix ',' signal ' , 'as soon as possible', '']</v>
      </c>
      <c r="D2467" s="3">
        <v>2.0</v>
      </c>
    </row>
    <row r="2468" ht="15.75" customHeight="1">
      <c r="A2468" s="1">
        <v>2466.0</v>
      </c>
      <c r="B2468" s="3" t="s">
        <v>2468</v>
      </c>
      <c r="C2468" s="3" t="str">
        <f>IFERROR(__xludf.DUMMYFUNCTION("GOOGLETRANSLATE(B2468,""id"",""en"")"),"['Kayek', 'Satan', 'Signal', 'Severe', 'Telkomsel', 'users',' Telkomsel ',' Out ',' Signal ',' Telkomsel ',' Severe ',' Out ',' Fill ',' Package ']")</f>
        <v>['Kayek', 'Satan', 'Signal', 'Severe', 'Telkomsel', 'users',' Telkomsel ',' Out ',' Signal ',' Telkomsel ',' Severe ',' Out ',' Fill ',' Package ']</v>
      </c>
      <c r="D2468" s="3">
        <v>1.0</v>
      </c>
    </row>
    <row r="2469" ht="15.75" customHeight="1">
      <c r="A2469" s="1">
        <v>2467.0</v>
      </c>
      <c r="B2469" s="3" t="s">
        <v>2469</v>
      </c>
      <c r="C2469" s="3" t="str">
        <f>IFERROR(__xludf.DUMMYFUNCTION("GOOGLETRANSLATE(B2469,""id"",""en"")"),"['', 'week', 'network', 'Telkomselku', 'good', 'thought', 'my cellphone', 'hangs',' ngepain ',' blocked ',' comfortable ',' Telkomsel ',' difficult ',' Bangettt ',' Main ',' Game ',' AFK ',' Bener ',' Disappointed ',' Sampe ',' Review ',' Gini ',' Min ','"&amp;" Network ',' Telkomselku ']")</f>
        <v>['', 'week', 'network', 'Telkomselku', 'good', 'thought', 'my cellphone', 'hangs',' ngepain ',' blocked ',' comfortable ',' Telkomsel ',' difficult ',' Bangettt ',' Main ',' Game ',' AFK ',' Bener ',' Disappointed ',' Sampe ',' Review ',' Gini ',' Min ',' Network ',' Telkomselku ']</v>
      </c>
      <c r="D2469" s="3">
        <v>1.0</v>
      </c>
    </row>
    <row r="2470" ht="15.75" customHeight="1">
      <c r="A2470" s="1">
        <v>2468.0</v>
      </c>
      <c r="B2470" s="3" t="s">
        <v>2470</v>
      </c>
      <c r="C2470" s="3" t="str">
        <f>IFERROR(__xludf.DUMMYFUNCTION("GOOGLETRANSLATE(B2470,""id"",""en"")"),"['gave', 'pulse', 'monetary', 'free', 'use', 'call', 'sms',' doang ',' mending ',' deh ',' love ',' quota ',' internet ',' while ',' his time ',' online ',' kayak ',' Gini ',' useful ',' little ',' pulse ',' ckck ',' telkomsel ',' already ',' the price ' "&amp;", 'expensive', 'people', 'Telkomsel', 'fvking', 'hate', 'You', '']")</f>
        <v>['gave', 'pulse', 'monetary', 'free', 'use', 'call', 'sms',' doang ',' mending ',' deh ',' love ',' quota ',' internet ',' while ',' his time ',' online ',' kayak ',' Gini ',' useful ',' little ',' pulse ',' ckck ',' telkomsel ',' already ',' the price ' , 'expensive', 'people', 'Telkomsel', 'fvking', 'hate', 'You', '']</v>
      </c>
      <c r="D2470" s="3">
        <v>2.0</v>
      </c>
    </row>
    <row r="2471" ht="15.75" customHeight="1">
      <c r="A2471" s="1">
        <v>2469.0</v>
      </c>
      <c r="B2471" s="3" t="s">
        <v>2471</v>
      </c>
      <c r="C2471" s="3" t="str">
        <f>IFERROR(__xludf.DUMMYFUNCTION("GOOGLETRANSLATE(B2471,""id"",""en"")"),"['The name', 'as beautiful as', 'name', 'city', 'pingiran', 'city', 'lllleeeemmmmmoolotttttt', 'pppppppaaarrraaahhhh', '']")</f>
        <v>['The name', 'as beautiful as', 'name', 'city', 'pingiran', 'city', 'lllleeeemmmmmoolotttttt', 'pppppppaaarrraaahhhh', '']</v>
      </c>
      <c r="D2471" s="3">
        <v>1.0</v>
      </c>
    </row>
    <row r="2472" ht="15.75" customHeight="1">
      <c r="A2472" s="1">
        <v>2470.0</v>
      </c>
      <c r="B2472" s="3" t="s">
        <v>2472</v>
      </c>
      <c r="C2472" s="3" t="str">
        <f>IFERROR(__xludf.DUMMYFUNCTION("GOOGLETRANSLATE(B2472,""id"",""en"")"),"['signal', 'Telkomsel', 'missing', 'that's', 'buy', 'quota', 'expensive', 'expensive', 'signal', 'good', 'real', 'disappointed']")</f>
        <v>['signal', 'Telkomsel', 'missing', 'that's', 'buy', 'quota', 'expensive', 'expensive', 'signal', 'good', 'real', 'disappointed']</v>
      </c>
      <c r="D2472" s="3">
        <v>1.0</v>
      </c>
    </row>
    <row r="2473" ht="15.75" customHeight="1">
      <c r="A2473" s="1">
        <v>2471.0</v>
      </c>
      <c r="B2473" s="3" t="s">
        <v>2473</v>
      </c>
      <c r="C2473" s="3" t="str">
        <f>IFERROR(__xludf.DUMMYFUNCTION("GOOGLETRANSLATE(B2473,""id"",""en"")"),"['Check', 'Credit', 'Cutting', 'How', 'Out', 'Credit', 'Call', 'Call', 'Center', 'Resolved', 'Pekahhh', ""]")</f>
        <v>['Check', 'Credit', 'Cutting', 'How', 'Out', 'Credit', 'Call', 'Call', 'Center', 'Resolved', 'Pekahhh', "]</v>
      </c>
      <c r="D2473" s="3">
        <v>1.0</v>
      </c>
    </row>
    <row r="2474" ht="15.75" customHeight="1">
      <c r="A2474" s="1">
        <v>2472.0</v>
      </c>
      <c r="B2474" s="3" t="s">
        <v>2474</v>
      </c>
      <c r="C2474" s="3" t="str">
        <f>IFERROR(__xludf.DUMMYFUNCTION("GOOGLETRANSLATE(B2474,""id"",""en"")"),"['Buy', 'Package', 'YouTube', 'Paketan', 'Reduced', 'Credit', 'Yng', 'Suck', 'Ampe', 'Abis',' Udh ',' GTU ',' Paketan ',' YouTube ',' yes', 'buy', 'pulse', 'oprator', '']")</f>
        <v>['Buy', 'Package', 'YouTube', 'Paketan', 'Reduced', 'Credit', 'Yng', 'Suck', 'Ampe', 'Abis',' Udh ',' GTU ',' Paketan ',' YouTube ',' yes', 'buy', 'pulse', 'oprator', '']</v>
      </c>
      <c r="D2474" s="3">
        <v>1.0</v>
      </c>
    </row>
    <row r="2475" ht="15.75" customHeight="1">
      <c r="A2475" s="1">
        <v>2473.0</v>
      </c>
      <c r="B2475" s="3" t="s">
        <v>2475</v>
      </c>
      <c r="C2475" s="3" t="str">
        <f>IFERROR(__xludf.DUMMYFUNCTION("GOOGLETRANSLATE(B2475,""id"",""en"")"),"['Uncomfortable', 'boss',' Hello ',' already ',' network ',' extra ',' slow ',' fall ',' tempo ',' jga ',' pay ',' sms', ' JGA ',' Understand ',' Ngerni ',' Min ',' Disturbs', 'Nelf', 'Meeting', 'Recommendation', 'Very', 'Hello', 'Guys', ""]")</f>
        <v>['Uncomfortable', 'boss',' Hello ',' already ',' network ',' extra ',' slow ',' fall ',' tempo ',' jga ',' pay ',' sms', ' JGA ',' Understand ',' Ngerni ',' Min ',' Disturbs', 'Nelf', 'Meeting', 'Recommendation', 'Very', 'Hello', 'Guys', "]</v>
      </c>
      <c r="D2475" s="3">
        <v>1.0</v>
      </c>
    </row>
    <row r="2476" ht="15.75" customHeight="1">
      <c r="A2476" s="1">
        <v>2474.0</v>
      </c>
      <c r="B2476" s="3" t="s">
        <v>2476</v>
      </c>
      <c r="C2476" s="3" t="str">
        <f>IFERROR(__xludf.DUMMYFUNCTION("GOOGLETRANSLATE(B2476,""id"",""en"")"),"['min', 'network', 'Telkomsel', 'lemmah', 'buy', 'package', 'network', 'weak', 'severe', 'slow', 'snail', 'complain', ' Encourage ',' Maybe ',' Costumer ',' Service ',' Min ', ""]")</f>
        <v>['min', 'network', 'Telkomsel', 'lemmah', 'buy', 'package', 'network', 'weak', 'severe', 'slow', 'snail', 'complain', ' Encourage ',' Maybe ',' Costumer ',' Service ',' Min ', "]</v>
      </c>
      <c r="D2476" s="3">
        <v>1.0</v>
      </c>
    </row>
    <row r="2477" ht="15.75" customHeight="1">
      <c r="A2477" s="1">
        <v>2475.0</v>
      </c>
      <c r="B2477" s="3" t="s">
        <v>2477</v>
      </c>
      <c r="C2477" s="3" t="str">
        <f>IFERROR(__xludf.DUMMYFUNCTION("GOOGLETRANSLATE(B2477,""id"",""en"")"),"['Program', 'Layi', 'Undi', 'Hepy', 'Really', 'Win', ""]")</f>
        <v>['Program', 'Layi', 'Undi', 'Hepy', 'Really', 'Win', "]</v>
      </c>
      <c r="D2477" s="3">
        <v>5.0</v>
      </c>
    </row>
    <row r="2478" ht="15.75" customHeight="1">
      <c r="A2478" s="1">
        <v>2476.0</v>
      </c>
      <c r="B2478" s="3" t="s">
        <v>2478</v>
      </c>
      <c r="C2478" s="3" t="str">
        <f>IFERROR(__xludf.DUMMYFUNCTION("GOOGLETRANSLATE(B2478,""id"",""en"")"),"['Sorry', 'Telkomsel', 'ugly', 'ugly', 'frustrated', 'Gara', 'signal', 'class',' Telkomsel ',' signal ',' strain ',' times', ' cards', 'Telkomsel', 'replace', 'Telkomsel', 'Telkomsel', 'Severe', 'already', 'tired', 'Telkomsel', ""]")</f>
        <v>['Sorry', 'Telkomsel', 'ugly', 'ugly', 'frustrated', 'Gara', 'signal', 'class',' Telkomsel ',' signal ',' strain ',' times', ' cards', 'Telkomsel', 'replace', 'Telkomsel', 'Telkomsel', 'Severe', 'already', 'tired', 'Telkomsel', "]</v>
      </c>
      <c r="D2478" s="3">
        <v>1.0</v>
      </c>
    </row>
    <row r="2479" ht="15.75" customHeight="1">
      <c r="A2479" s="1">
        <v>2477.0</v>
      </c>
      <c r="B2479" s="3" t="s">
        <v>2479</v>
      </c>
      <c r="C2479" s="3" t="str">
        <f>IFERROR(__xludf.DUMMYFUNCTION("GOOGLETRANSLATE(B2479,""id"",""en"")"),"['Quality', 'Network', 'Telkomsel', 'Bad', 'Region', 'Complaints',' reporting ',' Karna ',' Quality ',' Telkom ',' Bad ',' Stabilan ',' The region ',' Karna ',' Switch ',' Im ',' Indosat ',' Speed ​​',' Entertainment ',' Stability ',' Use ',' Game ',' Sos"&amp;"med ',' Disappointing ',' Telkomsel ' , 'Disappointed', 'service', 'Telkom', 'users', 'Telkomsel', '']")</f>
        <v>['Quality', 'Network', 'Telkomsel', 'Bad', 'Region', 'Complaints',' reporting ',' Karna ',' Quality ',' Telkom ',' Bad ',' Stabilan ',' The region ',' Karna ',' Switch ',' Im ',' Indosat ',' Speed ​​',' Entertainment ',' Stability ',' Use ',' Game ',' Sosmed ',' Disappointing ',' Telkomsel ' , 'Disappointed', 'service', 'Telkom', 'users', 'Telkomsel', '']</v>
      </c>
      <c r="D2479" s="3">
        <v>1.0</v>
      </c>
    </row>
    <row r="2480" ht="15.75" customHeight="1">
      <c r="A2480" s="1">
        <v>2478.0</v>
      </c>
      <c r="B2480" s="3" t="s">
        <v>2480</v>
      </c>
      <c r="C2480" s="3" t="str">
        <f>IFERROR(__xludf.DUMMYFUNCTION("GOOGLETRANSLATE(B2480,""id"",""en"")"),"['already', 'quota', 'unlimited', 'UDH', 'signal', 'lag', 'bnget', 'please', 'min', 'true', 'telkom', 'msa', ' Lost ',' Indosat ']")</f>
        <v>['already', 'quota', 'unlimited', 'UDH', 'signal', 'lag', 'bnget', 'please', 'min', 'true', 'telkom', 'msa', ' Lost ',' Indosat ']</v>
      </c>
      <c r="D2480" s="3">
        <v>1.0</v>
      </c>
    </row>
    <row r="2481" ht="15.75" customHeight="1">
      <c r="A2481" s="1">
        <v>2479.0</v>
      </c>
      <c r="B2481" s="3" t="s">
        <v>2481</v>
      </c>
      <c r="C2481" s="3" t="str">
        <f>IFERROR(__xludf.DUMMYFUNCTION("GOOGLETRANSLATE(B2481,""id"",""en"")"),"['Package', 'buy', 'like', 'ilang', 'difficult', 'buy', 'package', 'remaining', 'stay', 'expensive', 'according to', 'hope']")</f>
        <v>['Package', 'buy', 'like', 'ilang', 'difficult', 'buy', 'package', 'remaining', 'stay', 'expensive', 'according to', 'hope']</v>
      </c>
      <c r="D2481" s="3">
        <v>1.0</v>
      </c>
    </row>
    <row r="2482" ht="15.75" customHeight="1">
      <c r="A2482" s="1">
        <v>2480.0</v>
      </c>
      <c r="B2482" s="3" t="s">
        <v>2482</v>
      </c>
      <c r="C2482" s="3" t="str">
        <f>IFERROR(__xludf.DUMMYFUNCTION("GOOGLETRANSLATE(B2482,""id"",""en"")"),"['application', 'good', 'Telkomsel', 'times', 'news', 'Telkomsel', 'quota', 'pulse', 'help', 'pandemic']")</f>
        <v>['application', 'good', 'Telkomsel', 'times', 'news', 'Telkomsel', 'quota', 'pulse', 'help', 'pandemic']</v>
      </c>
      <c r="D2482" s="3">
        <v>5.0</v>
      </c>
    </row>
    <row r="2483" ht="15.75" customHeight="1">
      <c r="A2483" s="1">
        <v>2481.0</v>
      </c>
      <c r="B2483" s="3" t="s">
        <v>2483</v>
      </c>
      <c r="C2483" s="3" t="str">
        <f>IFERROR(__xludf.DUMMYFUNCTION("GOOGLETRANSLATE(B2483,""id"",""en"")"),"['buy', 'package', 'discounted', 'network', 'discount', 'difficult', 'enter', 'game', 'its network', 'pulp']")</f>
        <v>['buy', 'package', 'discounted', 'network', 'discount', 'difficult', 'enter', 'game', 'its network', 'pulp']</v>
      </c>
      <c r="D2483" s="3">
        <v>1.0</v>
      </c>
    </row>
    <row r="2484" ht="15.75" customHeight="1">
      <c r="A2484" s="1">
        <v>2482.0</v>
      </c>
      <c r="B2484" s="3" t="s">
        <v>2484</v>
      </c>
      <c r="C2484" s="3" t="str">
        <f>IFERROR(__xludf.DUMMYFUNCTION("GOOGLETRANSLATE(B2484,""id"",""en"")"),"['Package', 'Sakti', 'What', 'Get', 'Quota', 'Package', 'Sakti', '']")</f>
        <v>['Package', 'Sakti', 'What', 'Get', 'Quota', 'Package', 'Sakti', '']</v>
      </c>
      <c r="D2484" s="3">
        <v>2.0</v>
      </c>
    </row>
    <row r="2485" ht="15.75" customHeight="1">
      <c r="A2485" s="1">
        <v>2483.0</v>
      </c>
      <c r="B2485" s="3" t="s">
        <v>2485</v>
      </c>
      <c r="C2485" s="3" t="str">
        <f>IFERROR(__xludf.DUMMYFUNCTION("GOOGLETRANSLATE(B2485,""id"",""en"")"),"['Download', 'love', 'klw', 'bother', 'subtract', 'direct', 'star', '']")</f>
        <v>['Download', 'love', 'klw', 'bother', 'subtract', 'direct', 'star', '']</v>
      </c>
      <c r="D2485" s="3">
        <v>5.0</v>
      </c>
    </row>
    <row r="2486" ht="15.75" customHeight="1">
      <c r="A2486" s="1">
        <v>2484.0</v>
      </c>
      <c r="B2486" s="3" t="s">
        <v>2486</v>
      </c>
      <c r="C2486" s="3" t="str">
        <f>IFERROR(__xludf.DUMMYFUNCTION("GOOGLETRANSLATE(B2486,""id"",""en"")"),"['Update', 'Difficult', 'Enter', 'Application', 'Stuck', 'icon', 'Doang', 'Loading', 'TeruuuuSSS', 'Digunain', 'Application']")</f>
        <v>['Update', 'Difficult', 'Enter', 'Application', 'Stuck', 'icon', 'Doang', 'Loading', 'TeruuuuSSS', 'Digunain', 'Application']</v>
      </c>
      <c r="D2486" s="3">
        <v>2.0</v>
      </c>
    </row>
    <row r="2487" ht="15.75" customHeight="1">
      <c r="A2487" s="1">
        <v>2485.0</v>
      </c>
      <c r="B2487" s="3" t="s">
        <v>2487</v>
      </c>
      <c r="C2487" s="3" t="str">
        <f>IFERROR(__xludf.DUMMYFUNCTION("GOOGLETRANSLATE(B2487,""id"",""en"")"),"['Knpa', 'slow', 'TELKOM', 'Open', 'APK', 'A Year', 'Please', 'Improve', 'Keeel', 'Wait', 'Open', 'APK', ' Telkom ',' ajh ',' coffee ',' dlu ']")</f>
        <v>['Knpa', 'slow', 'TELKOM', 'Open', 'APK', 'A Year', 'Please', 'Improve', 'Keeel', 'Wait', 'Open', 'APK', ' Telkom ',' ajh ',' coffee ',' dlu ']</v>
      </c>
      <c r="D2487" s="3">
        <v>1.0</v>
      </c>
    </row>
    <row r="2488" ht="15.75" customHeight="1">
      <c r="A2488" s="1">
        <v>2486.0</v>
      </c>
      <c r="B2488" s="3" t="s">
        <v>2488</v>
      </c>
      <c r="C2488" s="3" t="str">
        <f>IFERROR(__xludf.DUMMYFUNCTION("GOOGLETRANSLATE(B2488,""id"",""en"")"),"['Hopefully', 'Telkomsel', 'TTP', 'Jaya', 'Network', 'Jaya', 'Anywhere', 'Special', 'Village', 'Aminn']")</f>
        <v>['Hopefully', 'Telkomsel', 'TTP', 'Jaya', 'Network', 'Jaya', 'Anywhere', 'Special', 'Village', 'Aminn']</v>
      </c>
      <c r="D2488" s="3">
        <v>5.0</v>
      </c>
    </row>
    <row r="2489" ht="15.75" customHeight="1">
      <c r="A2489" s="1">
        <v>2487.0</v>
      </c>
      <c r="B2489" s="3" t="s">
        <v>2489</v>
      </c>
      <c r="C2489" s="3" t="str">
        <f>IFERROR(__xludf.DUMMYFUNCTION("GOOGLETRANSLATE(B2489,""id"",""en"")"),"['Woy', 'Paketan', 'Abis', 'Notification', 'Gara', 'Gara', 'Pulsaku', 'Out', 'Moon']")</f>
        <v>['Woy', 'Paketan', 'Abis', 'Notification', 'Gara', 'Gara', 'Pulsaku', 'Out', 'Moon']</v>
      </c>
      <c r="D2489" s="3">
        <v>3.0</v>
      </c>
    </row>
    <row r="2490" ht="15.75" customHeight="1">
      <c r="A2490" s="1">
        <v>2488.0</v>
      </c>
      <c r="B2490" s="3" t="s">
        <v>2490</v>
      </c>
      <c r="C2490" s="3" t="str">
        <f>IFERROR(__xludf.DUMMYFUNCTION("GOOGLETRANSLATE(B2490,""id"",""en"")"),"['min', 'knp', 'pulse', 'kog', 'sumps',' quota ',' gb ',' lbh ',' pulse ',' rb ',' run out ',' smw ',' Responses', 'Change', 'Operators',' Tmbah ',' Ksini ',' Ngawur ',' Taiii ']")</f>
        <v>['min', 'knp', 'pulse', 'kog', 'sumps',' quota ',' gb ',' lbh ',' pulse ',' rb ',' run out ',' smw ',' Responses', 'Change', 'Operators',' Tmbah ',' Ksini ',' Ngawur ',' Taiii ']</v>
      </c>
      <c r="D2490" s="3">
        <v>2.0</v>
      </c>
    </row>
    <row r="2491" ht="15.75" customHeight="1">
      <c r="A2491" s="1">
        <v>2489.0</v>
      </c>
      <c r="B2491" s="3" t="s">
        <v>2491</v>
      </c>
      <c r="C2491" s="3" t="str">
        <f>IFERROR(__xludf.DUMMYFUNCTION("GOOGLETRANSLATE(B2491,""id"",""en"")"),"['Date', 'September', 'buy', 'Package', 'Internet', 'RB', 'GB', 'Date', 'September', 'SMS', 'Operator', 'Wear', ' pulses', 'Rp', 'access',' internet ',' non ',' package ',' active ',' quota ',' internet ',' Telkomsel ',' take ',' pulse ',' delicious' , 'M"&amp;"aling', 'name', 'suggestion', 'user', 'switch', 'operator', '']")</f>
        <v>['Date', 'September', 'buy', 'Package', 'Internet', 'RB', 'GB', 'Date', 'September', 'SMS', 'Operator', 'Wear', ' pulses', 'Rp', 'access',' internet ',' non ',' package ',' active ',' quota ',' internet ',' Telkomsel ',' take ',' pulse ',' delicious' , 'Maling', 'name', 'suggestion', 'user', 'switch', 'operator', '']</v>
      </c>
      <c r="D2491" s="3">
        <v>1.0</v>
      </c>
    </row>
    <row r="2492" ht="15.75" customHeight="1">
      <c r="A2492" s="1">
        <v>2490.0</v>
      </c>
      <c r="B2492" s="3" t="s">
        <v>2492</v>
      </c>
      <c r="C2492" s="3" t="str">
        <f>IFERROR(__xludf.DUMMYFUNCTION("GOOGLETRANSLATE(B2492,""id"",""en"")"),"['Delicious',' Application ',' Points', 'Chek', 'Good', 'Application', 'Credit', 'Must', 'Reduced', 'Out', 'Quota', 'Free', ' Chek ',' daily ',' update ']")</f>
        <v>['Delicious',' Application ',' Points', 'Chek', 'Good', 'Application', 'Credit', 'Must', 'Reduced', 'Out', 'Quota', 'Free', ' Chek ',' daily ',' update ']</v>
      </c>
      <c r="D2492" s="3">
        <v>4.0</v>
      </c>
    </row>
    <row r="2493" ht="15.75" customHeight="1">
      <c r="A2493" s="1">
        <v>2491.0</v>
      </c>
      <c r="B2493" s="3" t="s">
        <v>2493</v>
      </c>
      <c r="C2493" s="3" t="str">
        <f>IFERROR(__xludf.DUMMYFUNCTION("GOOGLETRANSLATE(B2493,""id"",""en"")"),"['quota', 'run out', 'package', 'internet', 'used', 'run out', 'quota', 'futures',' quota ',' futures', 'daily', 'spent', ' Please, 'fix', 'system', 'taking', 'usage', 'quota', 'spend', 'quota', 'daily', 'used', 'quota', 'yangka', 'thank you' ]")</f>
        <v>['quota', 'run out', 'package', 'internet', 'used', 'run out', 'quota', 'futures',' quota ',' futures', 'daily', 'spent', ' Please, 'fix', 'system', 'taking', 'usage', 'quota', 'spend', 'quota', 'daily', 'used', 'quota', 'yangka', 'thank you' ]</v>
      </c>
      <c r="D2493" s="3">
        <v>1.0</v>
      </c>
    </row>
    <row r="2494" ht="15.75" customHeight="1">
      <c r="A2494" s="1">
        <v>2492.0</v>
      </c>
      <c r="B2494" s="3" t="s">
        <v>2494</v>
      </c>
      <c r="C2494" s="3" t="str">
        <f>IFERROR(__xludf.DUMMYFUNCTION("GOOGLETRANSLATE(B2494,""id"",""en"")"),"['apk', 'fraud', 'top', 'pulse', 'mna', 'blum', 'entry', 'balance', 'pulse', 'sya', 'pdahal', 'transaction', ' Successful ',' Lwat ',' Virtual ',' Account ',' Made ',' Money ',' Ditit ',' Cut ',' Proof ',' Discovery ',' Nee ',' Report ',' Authorized ' , '"&amp;"']")</f>
        <v>['apk', 'fraud', 'top', 'pulse', 'mna', 'blum', 'entry', 'balance', 'pulse', 'sya', 'pdahal', 'transaction', ' Successful ',' Lwat ',' Virtual ',' Account ',' Made ',' Money ',' Ditit ',' Cut ',' Proof ',' Discovery ',' Nee ',' Report ',' Authorized ' , '']</v>
      </c>
      <c r="D2494" s="3">
        <v>1.0</v>
      </c>
    </row>
    <row r="2495" ht="15.75" customHeight="1">
      <c r="A2495" s="1">
        <v>2493.0</v>
      </c>
      <c r="B2495" s="3" t="s">
        <v>2495</v>
      </c>
      <c r="C2495" s="3" t="str">
        <f>IFERROR(__xludf.DUMMYFUNCTION("GOOGLETRANSLATE(B2495,""id"",""en"")"),"['Students', 'Internet', 'cheap', 'support', 'school', 'Telkomsel', 'internet', 'expensive', 'expensive', 'tribulation', 'learn', ""]")</f>
        <v>['Students', 'Internet', 'cheap', 'support', 'school', 'Telkomsel', 'internet', 'expensive', 'expensive', 'tribulation', 'learn', "]</v>
      </c>
      <c r="D2495" s="3">
        <v>3.0</v>
      </c>
    </row>
    <row r="2496" ht="15.75" customHeight="1">
      <c r="A2496" s="1">
        <v>2494.0</v>
      </c>
      <c r="B2496" s="3" t="s">
        <v>2496</v>
      </c>
      <c r="C2496" s="3" t="str">
        <f>IFERROR(__xludf.DUMMYFUNCTION("GOOGLETRANSLATE(B2496,""id"",""en"")"),"['ugly', 'really', 'pulse', 'sucked', 'chat', 'boyfriend', 'pulse', 'run out', 'teach', 'cave', 'until', 'omelin', ' Family ',' I ',' ']")</f>
        <v>['ugly', 'really', 'pulse', 'sucked', 'chat', 'boyfriend', 'pulse', 'run out', 'teach', 'cave', 'until', 'omelin', ' Family ',' I ',' ']</v>
      </c>
      <c r="D2496" s="3">
        <v>1.0</v>
      </c>
    </row>
    <row r="2497" ht="15.75" customHeight="1">
      <c r="A2497" s="1">
        <v>2495.0</v>
      </c>
      <c r="B2497" s="3" t="s">
        <v>2497</v>
      </c>
      <c r="C2497" s="3" t="str">
        <f>IFERROR(__xludf.DUMMYFUNCTION("GOOGLETRANSLATE(B2497,""id"",""en"")"),"['price', 'package', 'internet', 'expensive', 'operator']")</f>
        <v>['price', 'package', 'internet', 'expensive', 'operator']</v>
      </c>
      <c r="D2497" s="3">
        <v>4.0</v>
      </c>
    </row>
    <row r="2498" ht="15.75" customHeight="1">
      <c r="A2498" s="1">
        <v>2496.0</v>
      </c>
      <c r="B2498" s="3" t="s">
        <v>2498</v>
      </c>
      <c r="C2498" s="3" t="str">
        <f>IFERROR(__xludf.DUMMYFUNCTION("GOOGLETRANSLATE(B2498,""id"",""en"")"),"['Upload', 'Video', 'Yutub', 'Signal', 'Disruption', 'Gamau', 'appears',' all day ',' electricity ',' dead ',' right ',' already ',' Flame ',' ehhh ',' Tetep ',' Gamau ',' appears', 'signal', '']")</f>
        <v>['Upload', 'Video', 'Yutub', 'Signal', 'Disruption', 'Gamau', 'appears',' all day ',' electricity ',' dead ',' right ',' already ',' Flame ',' ehhh ',' Tetep ',' Gamau ',' appears', 'signal', '']</v>
      </c>
      <c r="D2498" s="3">
        <v>1.0</v>
      </c>
    </row>
    <row r="2499" ht="15.75" customHeight="1">
      <c r="A2499" s="1">
        <v>2497.0</v>
      </c>
      <c r="B2499" s="3" t="s">
        <v>2499</v>
      </c>
      <c r="C2499" s="3" t="str">
        <f>IFERROR(__xludf.DUMMYFUNCTION("GOOGLETRANSLATE(B2499,""id"",""en"")"),"['Allhamdulilah', 'Helps',' Disadvantages', 'Use', 'A Day', 'Promo', 'Discount', 'Best', 'Amazed', 'Accept', 'Love', 'MyTelkomsel', ' ']")</f>
        <v>['Allhamdulilah', 'Helps',' Disadvantages', 'Use', 'A Day', 'Promo', 'Discount', 'Best', 'Amazed', 'Accept', 'Love', 'MyTelkomsel', ' ']</v>
      </c>
      <c r="D2499" s="3">
        <v>5.0</v>
      </c>
    </row>
    <row r="2500" ht="15.75" customHeight="1">
      <c r="A2500" s="1">
        <v>2498.0</v>
      </c>
      <c r="B2500" s="3" t="s">
        <v>2500</v>
      </c>
      <c r="C2500" s="3" t="str">
        <f>IFERROR(__xludf.DUMMYFUNCTION("GOOGLETRANSLATE(B2500,""id"",""en"")"),"['Collapin', 'star', 'users',' Telkomsel ',' Pakek ',' already ',' Telkomsel ',' Pakek ',' Tpih ',' Disappointed ',' Telkomsel ',' Karna ',' Telkomsel ',' Points', 'Exchange', 'Balance', 'Link', 'Program', 'Exchange', 'Points',' Skrang ',' Nggk ',' High S"&amp;"chool ',' Sia ',' Sia ' , 'Collecting', 'Points',' Tpih ',' Nggk ',' Hope ',' Telkomsel ',' Rich ',' Dlu ',' LGI ',' People ',' Village ',' Rindu ',' Telkomsel ',' dlu ',' program ',' skrng ',' orng ',' city ']")</f>
        <v>['Collapin', 'star', 'users',' Telkomsel ',' Pakek ',' already ',' Telkomsel ',' Pakek ',' Tpih ',' Disappointed ',' Telkomsel ',' Karna ',' Telkomsel ',' Points', 'Exchange', 'Balance', 'Link', 'Program', 'Exchange', 'Points',' Skrang ',' Nggk ',' High School ',' Sia ',' Sia ' , 'Collecting', 'Points',' Tpih ',' Nggk ',' Hope ',' Telkomsel ',' Rich ',' Dlu ',' LGI ',' People ',' Village ',' Rindu ',' Telkomsel ',' dlu ',' program ',' skrng ',' orng ',' city ']</v>
      </c>
      <c r="D2500" s="3">
        <v>1.0</v>
      </c>
    </row>
    <row r="2501" ht="15.75" customHeight="1">
      <c r="A2501" s="1">
        <v>2499.0</v>
      </c>
      <c r="B2501" s="3" t="s">
        <v>2501</v>
      </c>
      <c r="C2501" s="3" t="str">
        <f>IFERROR(__xludf.DUMMYFUNCTION("GOOGLETRANSLATE(B2501,""id"",""en"")"),"['signal', 'remote', 'village', 'strong', 'multiply', 'tower', 'package', 'perman', '']")</f>
        <v>['signal', 'remote', 'village', 'strong', 'multiply', 'tower', 'package', 'perman', '']</v>
      </c>
      <c r="D2501" s="3">
        <v>4.0</v>
      </c>
    </row>
    <row r="2502" ht="15.75" customHeight="1">
      <c r="A2502" s="1">
        <v>2500.0</v>
      </c>
      <c r="B2502" s="3" t="s">
        <v>2502</v>
      </c>
      <c r="C2502" s="3" t="str">
        <f>IFERROR(__xludf.DUMMYFUNCTION("GOOGLETRANSLATE(B2502,""id"",""en"")"),"['Telkomsel', 'top', 'Markotop', 'hope', 'success', 'advanced', 'help', 'community', 'need', 'Thanks']")</f>
        <v>['Telkomsel', 'top', 'Markotop', 'hope', 'success', 'advanced', 'help', 'community', 'need', 'Thanks']</v>
      </c>
      <c r="D2502" s="3">
        <v>5.0</v>
      </c>
    </row>
    <row r="2503" ht="15.75" customHeight="1">
      <c r="A2503" s="1">
        <v>2501.0</v>
      </c>
      <c r="B2503" s="3" t="s">
        <v>2503</v>
      </c>
      <c r="C2503" s="3" t="str">
        <f>IFERROR(__xludf.DUMMYFUNCTION("GOOGLETRANSLATE(B2503,""id"",""en"")"),"['usually', 'pulses', 'used', 'buy', 'package', 'internet', 'package', 'used', 'pulseku', 'leftover', ""]")</f>
        <v>['usually', 'pulses', 'used', 'buy', 'package', 'internet', 'package', 'used', 'pulseku', 'leftover', "]</v>
      </c>
      <c r="D2503" s="3">
        <v>1.0</v>
      </c>
    </row>
    <row r="2504" ht="15.75" customHeight="1">
      <c r="A2504" s="1">
        <v>2502.0</v>
      </c>
      <c r="B2504" s="3" t="s">
        <v>2504</v>
      </c>
      <c r="C2504" s="3" t="str">
        <f>IFERROR(__xludf.DUMMYFUNCTION("GOOGLETRANSLATE(B2504,""id"",""en"")"),"['Thanks',' Service ',' Upset ',' Purchase ',' Success', 'TPI', 'Proof', 'Enter', 'APP', 'MyTelkom', 'Gopay', 'Thanks',' balance ',' purchase ',' reset ',' succeed ',' thanks', 'response']")</f>
        <v>['Thanks',' Service ',' Upset ',' Purchase ',' Success', 'TPI', 'Proof', 'Enter', 'APP', 'MyTelkom', 'Gopay', 'Thanks',' balance ',' purchase ',' reset ',' succeed ',' thanks', 'response']</v>
      </c>
      <c r="D2504" s="3">
        <v>5.0</v>
      </c>
    </row>
    <row r="2505" ht="15.75" customHeight="1">
      <c r="A2505" s="1">
        <v>2503.0</v>
      </c>
      <c r="B2505" s="3" t="s">
        <v>2505</v>
      </c>
      <c r="C2505" s="3" t="str">
        <f>IFERROR(__xludf.DUMMYFUNCTION("GOOGLETRANSLATE(B2505,""id"",""en"")"),"['The application', 'poor', 'information', 'difficult', 'contact', 'operator', 'pulse', 'talk', 'operator', 'free', 'service', 'customer', ' use ',' pulse ',' free ',' hundreds', 'sms',' klu ',' what ',' operator ',' network ',' lbh ',' service ', ""]")</f>
        <v>['The application', 'poor', 'information', 'difficult', 'contact', 'operator', 'pulse', 'talk', 'operator', 'free', 'service', 'customer', ' use ',' pulse ',' free ',' hundreds', 'sms',' klu ',' what ',' operator ',' network ',' lbh ',' service ', "]</v>
      </c>
      <c r="D2505" s="3">
        <v>1.0</v>
      </c>
    </row>
    <row r="2506" ht="15.75" customHeight="1">
      <c r="A2506" s="1">
        <v>2504.0</v>
      </c>
      <c r="B2506" s="3" t="s">
        <v>2506</v>
      </c>
      <c r="C2506" s="3" t="str">
        <f>IFERROR(__xludf.DUMMYFUNCTION("GOOGLETRANSLATE(B2506,""id"",""en"")"),"['', 'pulse', 'missing', 'Where', 'run', 'Kouta', 'Live', 'GB', 'Keep', 'Keep', 'buy', 'no', 'it runs out ',' my computer ',' active ',' reduced ',' kouta ',' direct ',' kouta ',' pakek ',' expends', 'kouta', 'lived', 'kouta', 'signal', 'Drop', 'Tower', '"&amp;"Quality', 'Lose', 'Operator', 'Next', 'Please', 'Fix']")</f>
        <v>['', 'pulse', 'missing', 'Where', 'run', 'Kouta', 'Live', 'GB', 'Keep', 'Keep', 'buy', 'no', 'it runs out ',' my computer ',' active ',' reduced ',' kouta ',' direct ',' kouta ',' pakek ',' expends', 'kouta', 'lived', 'kouta', 'signal', 'Drop', 'Tower', 'Quality', 'Lose', 'Operator', 'Next', 'Please', 'Fix']</v>
      </c>
      <c r="D2506" s="3">
        <v>1.0</v>
      </c>
    </row>
    <row r="2507" ht="15.75" customHeight="1">
      <c r="A2507" s="1">
        <v>2505.0</v>
      </c>
      <c r="B2507" s="3" t="s">
        <v>2507</v>
      </c>
      <c r="C2507" s="3" t="str">
        <f>IFERROR(__xludf.DUMMYFUNCTION("GOOGLETRANSLATE(B2507,""id"",""en"")"),"['play', 'game', 'online', 'signal', 'lag', 'kluar', 'signal', 'quota', 'bnyak', 'home', 'side', 'bts',' Telkom ',' Sometimes', 'Customer', 'Disappointed', '']")</f>
        <v>['play', 'game', 'online', 'signal', 'lag', 'kluar', 'signal', 'quota', 'bnyak', 'home', 'side', 'bts',' Telkom ',' Sometimes', 'Customer', 'Disappointed', '']</v>
      </c>
      <c r="D2507" s="3">
        <v>1.0</v>
      </c>
    </row>
    <row r="2508" ht="15.75" customHeight="1">
      <c r="A2508" s="1">
        <v>2506.0</v>
      </c>
      <c r="B2508" s="3" t="s">
        <v>2508</v>
      </c>
      <c r="C2508" s="3" t="str">
        <f>IFERROR(__xludf.DUMMYFUNCTION("GOOGLETRANSLATE(B2508,""id"",""en"")"),"['MyTelkomsel', 'steady', 'Hopefully', 'network', 'internet', 'success', 'cheap', 'quota']")</f>
        <v>['MyTelkomsel', 'steady', 'Hopefully', 'network', 'internet', 'success', 'cheap', 'quota']</v>
      </c>
      <c r="D2508" s="3">
        <v>5.0</v>
      </c>
    </row>
    <row r="2509" ht="15.75" customHeight="1">
      <c r="A2509" s="1">
        <v>2507.0</v>
      </c>
      <c r="B2509" s="3" t="s">
        <v>2509</v>
      </c>
      <c r="C2509" s="3" t="str">
        <f>IFERROR(__xludf.DUMMYFUNCTION("GOOGLETRANSLATE(B2509,""id"",""en"")"),"['love', 'star', 'suggestion', 'application', 'Telkomsel', 'feature', 'key', 'pulse', 'leftover', 'pulse', 'cut out', ' Package ',' Data ',' Out ',' Thank ',' Love ',' ']")</f>
        <v>['love', 'star', 'suggestion', 'application', 'Telkomsel', 'feature', 'key', 'pulse', 'leftover', 'pulse', 'cut out', ' Package ',' Data ',' Out ',' Thank ',' Love ',' ']</v>
      </c>
      <c r="D2509" s="3">
        <v>5.0</v>
      </c>
    </row>
    <row r="2510" ht="15.75" customHeight="1">
      <c r="A2510" s="1">
        <v>2508.0</v>
      </c>
      <c r="B2510" s="3" t="s">
        <v>2510</v>
      </c>
      <c r="C2510" s="3" t="str">
        <f>IFERROR(__xludf.DUMMYFUNCTION("GOOGLETRANSLATE(B2510,""id"",""en"")"),"['network', 'Telkomsel', 'emotions',' play ',' games', 'online', 'disappointed', 'play', 'game', 'smooth', 'times',' lag ',' lag ',' staple ',' that's', 'complaints',' search ',' card ',' deh ']")</f>
        <v>['network', 'Telkomsel', 'emotions',' play ',' games', 'online', 'disappointed', 'play', 'game', 'smooth', 'times',' lag ',' lag ',' staple ',' that's', 'complaints',' search ',' card ',' deh ']</v>
      </c>
      <c r="D2510" s="3">
        <v>3.0</v>
      </c>
    </row>
    <row r="2511" ht="15.75" customHeight="1">
      <c r="A2511" s="1">
        <v>2509.0</v>
      </c>
      <c r="B2511" s="3" t="s">
        <v>2511</v>
      </c>
      <c r="C2511" s="3" t="str">
        <f>IFERROR(__xludf.DUMMYFUNCTION("GOOGLETRANSLATE(B2511,""id"",""en"")"),"['application', 'Telkomsel', 'makes it easy', 'check', 'balance', 'package', 'quota', 'thanks', '']")</f>
        <v>['application', 'Telkomsel', 'makes it easy', 'check', 'balance', 'package', 'quota', 'thanks', '']</v>
      </c>
      <c r="D2511" s="3">
        <v>5.0</v>
      </c>
    </row>
    <row r="2512" ht="15.75" customHeight="1">
      <c r="A2512" s="1">
        <v>2510.0</v>
      </c>
      <c r="B2512" s="3" t="s">
        <v>2512</v>
      </c>
      <c r="C2512" s="3" t="str">
        <f>IFERROR(__xludf.DUMMYFUNCTION("GOOGLETRANSLATE(B2512,""id"",""en"")"),"['already', 'price', 'quota', 'expensive', 'signal', 'jej', 'bgd', 'comparable', 'price', 'quality', ""]")</f>
        <v>['already', 'price', 'quota', 'expensive', 'signal', 'jej', 'bgd', 'comparable', 'price', 'quality', "]</v>
      </c>
      <c r="D2512" s="3">
        <v>1.0</v>
      </c>
    </row>
    <row r="2513" ht="15.75" customHeight="1">
      <c r="A2513" s="1">
        <v>2511.0</v>
      </c>
      <c r="B2513" s="3" t="s">
        <v>2513</v>
      </c>
      <c r="C2513" s="3" t="str">
        <f>IFERROR(__xludf.DUMMYFUNCTION("GOOGLETRANSLATE(B2513,""id"",""en"")"),"['Pngguna', 'loyal', 'Telkom', 'disappointed', 'NOT', 'price', 'paketan', 'ditemen', 'prioritize', 'love', 'promo', 'discount', ' Gede ',' Price ',' Paketan ',' Naturally ',' Unlimited ',' Battle ',' Stupid ',' Meaning ',' Unlimited ']")</f>
        <v>['Pngguna', 'loyal', 'Telkom', 'disappointed', 'NOT', 'price', 'paketan', 'ditemen', 'prioritize', 'love', 'promo', 'discount', ' Gede ',' Price ',' Paketan ',' Naturally ',' Unlimited ',' Battle ',' Stupid ',' Meaning ',' Unlimited ']</v>
      </c>
      <c r="D2513" s="3">
        <v>1.0</v>
      </c>
    </row>
    <row r="2514" ht="15.75" customHeight="1">
      <c r="A2514" s="1">
        <v>2512.0</v>
      </c>
      <c r="B2514" s="3" t="s">
        <v>2514</v>
      </c>
      <c r="C2514" s="3" t="str">
        <f>IFERROR(__xludf.DUMMYFUNCTION("GOOGLETRANSLATE(B2514,""id"",""en"")"),"['Stop', 'Dri', 'card', 'Hello', 'Kartutnas', '']")</f>
        <v>['Stop', 'Dri', 'card', 'Hello', 'Kartutnas', '']</v>
      </c>
      <c r="D2514" s="3">
        <v>2.0</v>
      </c>
    </row>
    <row r="2515" ht="15.75" customHeight="1">
      <c r="A2515" s="1">
        <v>2513.0</v>
      </c>
      <c r="B2515" s="3" t="s">
        <v>2515</v>
      </c>
      <c r="C2515" s="3" t="str">
        <f>IFERROR(__xludf.DUMMYFUNCTION("GOOGLETRANSLATE(B2515,""id"",""en"")"),"['user', 'loyal', 'Telkomsel', 'pulse', 'sucked', 'right', 'check', 'history', 'transaction', 'pulse', 'truncated', 'because', ' use ',' internet ',' kouta ',' package ',' active ',' please ',' fast ',' fix ',' love ',' star ',' full ',' fast ',' heard ' "&amp;", 'thank you']")</f>
        <v>['user', 'loyal', 'Telkomsel', 'pulse', 'sucked', 'right', 'check', 'history', 'transaction', 'pulse', 'truncated', 'because', ' use ',' internet ',' kouta ',' package ',' active ',' please ',' fast ',' fix ',' love ',' star ',' full ',' fast ',' heard ' , 'thank you']</v>
      </c>
      <c r="D2515" s="3">
        <v>5.0</v>
      </c>
    </row>
    <row r="2516" ht="15.75" customHeight="1">
      <c r="A2516" s="1">
        <v>2514.0</v>
      </c>
      <c r="B2516" s="3" t="s">
        <v>2516</v>
      </c>
      <c r="C2516" s="3" t="str">
        <f>IFERROR(__xludf.DUMMYFUNCTION("GOOGLETRANSLATE(B2516,""id"",""en"")"),"['Download', 'Application', 'Telkomsel', 'Direct', 'Credit', 'Responding', 'Complaints',' Customer ',' Container ',' Read ',' Review ',' Customer ',' pulses', 'silent', 'aka', 'response', 'anything', 'sorry', 'teach', 'cheats',' cheats', 'deed', 'violate'"&amp;", 'law', 'law' , 'Allah', 'law', 'criminal']")</f>
        <v>['Download', 'Application', 'Telkomsel', 'Direct', 'Credit', 'Responding', 'Complaints',' Customer ',' Container ',' Read ',' Review ',' Customer ',' pulses', 'silent', 'aka', 'response', 'anything', 'sorry', 'teach', 'cheats',' cheats', 'deed', 'violate', 'law', 'law' , 'Allah', 'law', 'criminal']</v>
      </c>
      <c r="D2516" s="3">
        <v>2.0</v>
      </c>
    </row>
    <row r="2517" ht="15.75" customHeight="1">
      <c r="A2517" s="1">
        <v>2515.0</v>
      </c>
      <c r="B2517" s="3" t="s">
        <v>2517</v>
      </c>
      <c r="C2517" s="3" t="str">
        <f>IFERROR(__xludf.DUMMYFUNCTION("GOOGLETRANSLATE(B2517,""id"",""en"")"),"['Network', 'Telkomsel', 'Good', 'Play', 'Game', 'NGLEG', 'Package', 'Internet', 'Expensive', 'Mending', 'Network', 'Good', ' replace ',' operator ',' next door ',' package ',' cheap ',' network ',' good ',' ']")</f>
        <v>['Network', 'Telkomsel', 'Good', 'Play', 'Game', 'NGLEG', 'Package', 'Internet', 'Expensive', 'Mending', 'Network', 'Good', ' replace ',' operator ',' next door ',' package ',' cheap ',' network ',' good ',' ']</v>
      </c>
      <c r="D2517" s="3">
        <v>1.0</v>
      </c>
    </row>
    <row r="2518" ht="15.75" customHeight="1">
      <c r="A2518" s="1">
        <v>2516.0</v>
      </c>
      <c r="B2518" s="3" t="s">
        <v>2518</v>
      </c>
      <c r="C2518" s="3" t="str">
        <f>IFERROR(__xludf.DUMMYFUNCTION("GOOGLETRANSLATE(B2518,""id"",""en"")"),"['Suhendri', 'Clarks',' youth ',' handsome ',' strong ',' brave ',' fast ',' have ',' rights', 'fast', 'practical', 'vacancy', ' work ',' Language ',' literature ',' English ',' China ',' India ',' Korean ',' Language ',' Indonesia ',' literature ']")</f>
        <v>['Suhendri', 'Clarks',' youth ',' handsome ',' strong ',' brave ',' fast ',' have ',' rights', 'fast', 'practical', 'vacancy', ' work ',' Language ',' literature ',' English ',' China ',' India ',' Korean ',' Language ',' Indonesia ',' literature ']</v>
      </c>
      <c r="D2518" s="3">
        <v>5.0</v>
      </c>
    </row>
    <row r="2519" ht="15.75" customHeight="1">
      <c r="A2519" s="1">
        <v>2517.0</v>
      </c>
      <c r="B2519" s="3" t="s">
        <v>2519</v>
      </c>
      <c r="C2519" s="3" t="str">
        <f>IFERROR(__xludf.DUMMYFUNCTION("GOOGLETRANSLATE(B2519,""id"",""en"")"),"['Telkomsel', 'signal', 'like', 'missing', 'lag', 'signal', 'missing', 'right', 'right', 'no', 'waiting', 'minutes',' a day ',' times', 'kyk', 'gini', 'disturbing', 'play', 'game', '']")</f>
        <v>['Telkomsel', 'signal', 'like', 'missing', 'lag', 'signal', 'missing', 'right', 'right', 'no', 'waiting', 'minutes',' a day ',' times', 'kyk', 'gini', 'disturbing', 'play', 'game', '']</v>
      </c>
      <c r="D2519" s="3">
        <v>1.0</v>
      </c>
    </row>
    <row r="2520" ht="15.75" customHeight="1">
      <c r="A2520" s="1">
        <v>2518.0</v>
      </c>
      <c r="B2520" s="3" t="s">
        <v>2520</v>
      </c>
      <c r="C2520" s="3" t="str">
        <f>IFERROR(__xludf.DUMMYFUNCTION("GOOGLETRANSLATE(B2520,""id"",""en"")"),"['Signal', 'Telkomsel', 'Severe', 'really', 'Maen', 'Wild', 'Rift', 'Leg', 'Severe', 'ping', 'Sampe', 'Red', ' TEMEN ',' Telkomsel ',' Maen ',' Emel ',' Game ',' Sampe ',' Ngefreeze ',' already ',' Telkomsel ',' gini ']")</f>
        <v>['Signal', 'Telkomsel', 'Severe', 'really', 'Maen', 'Wild', 'Rift', 'Leg', 'Severe', 'ping', 'Sampe', 'Red', ' TEMEN ',' Telkomsel ',' Maen ',' Emel ',' Game ',' Sampe ',' Ngefreeze ',' already ',' Telkomsel ',' gini ']</v>
      </c>
      <c r="D2520" s="3">
        <v>2.0</v>
      </c>
    </row>
    <row r="2521" ht="15.75" customHeight="1">
      <c r="A2521" s="1">
        <v>2519.0</v>
      </c>
      <c r="B2521" s="3" t="s">
        <v>2521</v>
      </c>
      <c r="C2521" s="3" t="str">
        <f>IFERROR(__xludf.DUMMYFUNCTION("GOOGLETRANSLATE(B2521,""id"",""en"")"),"['net', 'weak', 'Padah', 'location', 'city', 'reality', '']")</f>
        <v>['net', 'weak', 'Padah', 'location', 'city', 'reality', '']</v>
      </c>
      <c r="D2521" s="3">
        <v>1.0</v>
      </c>
    </row>
    <row r="2522" ht="15.75" customHeight="1">
      <c r="A2522" s="1">
        <v>2520.0</v>
      </c>
      <c r="B2522" s="3" t="s">
        <v>2522</v>
      </c>
      <c r="C2522" s="3" t="str">
        <f>IFERROR(__xludf.DUMMYFUNCTION("GOOGLETRANSLATE(B2522,""id"",""en"")"),"['Since', 'moved', 'card', 'loop', 'card', 'Haloo', 'really', 'disappointing', 'Where', 'browsing', 'Youtube', 'sosmed', ' Game ',' Severe ',' Network ',' Where ',' Promise ',' Telkomsel ',' Speed ​​',' Network ',' Prioritized ',' Changed ',' Card ',' Hal"&amp;"oo ', ""]")</f>
        <v>['Since', 'moved', 'card', 'loop', 'card', 'Haloo', 'really', 'disappointing', 'Where', 'browsing', 'Youtube', 'sosmed', ' Game ',' Severe ',' Network ',' Where ',' Promise ',' Telkomsel ',' Speed ​​',' Network ',' Prioritized ',' Changed ',' Card ',' Haloo ', "]</v>
      </c>
      <c r="D2522" s="3">
        <v>1.0</v>
      </c>
    </row>
    <row r="2523" ht="15.75" customHeight="1">
      <c r="A2523" s="1">
        <v>2521.0</v>
      </c>
      <c r="B2523" s="3" t="s">
        <v>2523</v>
      </c>
      <c r="C2523" s="3" t="str">
        <f>IFERROR(__xludf.DUMMYFUNCTION("GOOGLETRANSLATE(B2523,""id"",""en"")"),"['Suck', 'pulse', 'consumers',' kouta ',' free ',' campus', 'pulse', 'leftover', 'kouta', 'right', 'turn on', 'data', ' nyedot ',' pulse ',' sumps', 'until', 'pulses',' severe ']")</f>
        <v>['Suck', 'pulse', 'consumers',' kouta ',' free ',' campus', 'pulse', 'leftover', 'kouta', 'right', 'turn on', 'data', ' nyedot ',' pulse ',' sumps', 'until', 'pulses',' severe ']</v>
      </c>
      <c r="D2523" s="3">
        <v>1.0</v>
      </c>
    </row>
    <row r="2524" ht="15.75" customHeight="1">
      <c r="A2524" s="1">
        <v>2522.0</v>
      </c>
      <c r="B2524" s="3" t="s">
        <v>2524</v>
      </c>
      <c r="C2524" s="3" t="str">
        <f>IFERROR(__xludf.DUMMYFUNCTION("GOOGLETRANSLATE(B2524,""id"",""en"")"),"['Sorry', 'Kasi', 'star', 'network', 'MyTelkomsel', 'stable', 'according to', 'price', 'expensive', 'internet', 'MyTelkomsel', 'please', ' justified ',' because ',' interrupted ',' according to ',' really ',' price ',' pulse ',' always', 'truncated', 'ins"&amp;"tallments',' buy ',' pulses', 'vain' , 'uses', 'hope', 'update', 'developing', 'spirit', 'MyTelkomsel', 'Kash', 'star', 'deh', ""]")</f>
        <v>['Sorry', 'Kasi', 'star', 'network', 'MyTelkomsel', 'stable', 'according to', 'price', 'expensive', 'internet', 'MyTelkomsel', 'please', ' justified ',' because ',' interrupted ',' according to ',' really ',' price ',' pulse ',' always', 'truncated', 'installments',' buy ',' pulses', 'vain' , 'uses', 'hope', 'update', 'developing', 'spirit', 'MyTelkomsel', 'Kash', 'star', 'deh', "]</v>
      </c>
      <c r="D2524" s="3">
        <v>1.0</v>
      </c>
    </row>
    <row r="2525" ht="15.75" customHeight="1">
      <c r="A2525" s="1">
        <v>2523.0</v>
      </c>
      <c r="B2525" s="3" t="s">
        <v>2525</v>
      </c>
      <c r="C2525" s="3" t="str">
        <f>IFERROR(__xludf.DUMMYFUNCTION("GOOGLETRANSLATE(B2525,""id"",""en"")"),"['Sometimes',' Maen ',' Game ',' Signal ',' Direct ',' Jump ',' YouTube ',' Instagram ',' Current ',' Current ',' Pas', 'Open', ' App ',' MyTelkomsel ',' sucked ',' really ',' Data ',' Sampe ',' MB ',' hope ',' Helps', '']")</f>
        <v>['Sometimes',' Maen ',' Game ',' Signal ',' Direct ',' Jump ',' YouTube ',' Instagram ',' Current ',' Current ',' Pas', 'Open', ' App ',' MyTelkomsel ',' sucked ',' really ',' Data ',' Sampe ',' MB ',' hope ',' Helps', '']</v>
      </c>
      <c r="D2525" s="3">
        <v>2.0</v>
      </c>
    </row>
    <row r="2526" ht="15.75" customHeight="1">
      <c r="A2526" s="1">
        <v>2524.0</v>
      </c>
      <c r="B2526" s="3" t="s">
        <v>2526</v>
      </c>
      <c r="C2526" s="3" t="str">
        <f>IFERROR(__xludf.DUMMYFUNCTION("GOOGLETRANSLATE(B2526,""id"",""en"")"),"['pules',' lost ',' quota ',' GB ',' get ',' Notif ',' usage ',' inet ',' rates', 'non', 'package', 'please', ' Return ',' pulseku ',' missing ',' quota ',' GB ',' use ',' times', 'experienced', 'already', 'times',' skrg ',' fed up ', ""]")</f>
        <v>['pules',' lost ',' quota ',' GB ',' get ',' Notif ',' usage ',' inet ',' rates', 'non', 'package', 'please', ' Return ',' pulseku ',' missing ',' quota ',' GB ',' use ',' times', 'experienced', 'already', 'times',' skrg ',' fed up ', "]</v>
      </c>
      <c r="D2526" s="3">
        <v>1.0</v>
      </c>
    </row>
    <row r="2527" ht="15.75" customHeight="1">
      <c r="A2527" s="1">
        <v>2525.0</v>
      </c>
      <c r="B2527" s="3" t="s">
        <v>2527</v>
      </c>
      <c r="C2527" s="3" t="str">
        <f>IFERROR(__xludf.DUMMYFUNCTION("GOOGLETRANSLATE(B2527,""id"",""en"")"),"['buy', 'package', 'combo', 'price', 'decrease', 'service', 'should', 'waste', 'change', 'provider', 'service', ' Customers', 'downhill', 'felt', 'wasteful', ""]")</f>
        <v>['buy', 'package', 'combo', 'price', 'decrease', 'service', 'should', 'waste', 'change', 'provider', 'service', ' Customers', 'downhill', 'felt', 'wasteful', "]</v>
      </c>
      <c r="D2527" s="3">
        <v>1.0</v>
      </c>
    </row>
    <row r="2528" ht="15.75" customHeight="1">
      <c r="A2528" s="1">
        <v>2526.0</v>
      </c>
      <c r="B2528" s="3" t="s">
        <v>2528</v>
      </c>
      <c r="C2528" s="3" t="str">
        <f>IFERROR(__xludf.DUMMYFUNCTION("GOOGLETRANSLATE(B2528,""id"",""en"")"),"['card', 'pulse', 'filled', 'used', 'drained', 'the thief', 'pulse', '']")</f>
        <v>['card', 'pulse', 'filled', 'used', 'drained', 'the thief', 'pulse', '']</v>
      </c>
      <c r="D2528" s="3">
        <v>1.0</v>
      </c>
    </row>
    <row r="2529" ht="15.75" customHeight="1">
      <c r="A2529" s="1">
        <v>2527.0</v>
      </c>
      <c r="B2529" s="3" t="s">
        <v>2529</v>
      </c>
      <c r="C2529" s="3" t="str">
        <f>IFERROR(__xludf.DUMMYFUNCTION("GOOGLETRANSLATE(B2529,""id"",""en"")"),"['night', 'destroyed', 'Telkomsel', 'profit', 'gmna', 'package', 'expensive', 'network', 'cheap']")</f>
        <v>['night', 'destroyed', 'Telkomsel', 'profit', 'gmna', 'package', 'expensive', 'network', 'cheap']</v>
      </c>
      <c r="D2529" s="3">
        <v>1.0</v>
      </c>
    </row>
    <row r="2530" ht="15.75" customHeight="1">
      <c r="A2530" s="1">
        <v>2528.0</v>
      </c>
      <c r="B2530" s="3" t="s">
        <v>2530</v>
      </c>
      <c r="C2530" s="3" t="str">
        <f>IFERROR(__xludf.DUMMYFUNCTION("GOOGLETRANSLATE(B2530,""id"",""en"")"),"['That's like', 'Telkomsel', 'network', 'missing', 'slow', 'package', 'fast', 'run out', 'destroyed', 'provider', 'BUMN', 'Gini']")</f>
        <v>['That's like', 'Telkomsel', 'network', 'missing', 'slow', 'package', 'fast', 'run out', 'destroyed', 'provider', 'BUMN', 'Gini']</v>
      </c>
      <c r="D2530" s="3">
        <v>1.0</v>
      </c>
    </row>
    <row r="2531" ht="15.75" customHeight="1">
      <c r="A2531" s="1">
        <v>2529.0</v>
      </c>
      <c r="B2531" s="3" t="s">
        <v>2531</v>
      </c>
      <c r="C2531" s="3" t="str">
        <f>IFERROR(__xludf.DUMMYFUNCTION("GOOGLETRANSLATE(B2531,""id"",""en"")"),"['Love', 'Bintang', 'Network', 'Telkomsel', 'Leet', 'Special', 'Region', 'Riau', 'Original', 'Leet', 'Severe', ""]")</f>
        <v>['Love', 'Bintang', 'Network', 'Telkomsel', 'Leet', 'Special', 'Region', 'Riau', 'Original', 'Leet', 'Severe', "]</v>
      </c>
      <c r="D2531" s="3">
        <v>1.0</v>
      </c>
    </row>
    <row r="2532" ht="15.75" customHeight="1">
      <c r="A2532" s="1">
        <v>2530.0</v>
      </c>
      <c r="B2532" s="3" t="s">
        <v>2532</v>
      </c>
      <c r="C2532" s="3" t="str">
        <f>IFERROR(__xludf.DUMMYFUNCTION("GOOGLETRANSLATE(B2532,""id"",""en"")"),"['sympathy', 'severe', 'signal', 'slow', 'lose', 'axis',' package ',' bnyak ',' signal ',' slow ',' severe ',' pulses', ' Suck ',' Abis', 'signal', 'slow', 'take', 'pulse', 'paraaaaaaaaaaaahhhh', 'complaint', 'yes',' nti ',' action ',' continued ',' until"&amp;" ' , 'Sekarng', 'Blo', ""]")</f>
        <v>['sympathy', 'severe', 'signal', 'slow', 'lose', 'axis',' package ',' bnyak ',' signal ',' slow ',' severe ',' pulses', ' Suck ',' Abis', 'signal', 'slow', 'take', 'pulse', 'paraaaaaaaaaaaahhhh', 'complaint', 'yes',' nti ',' action ',' continued ',' until ' , 'Sekarng', 'Blo', "]</v>
      </c>
      <c r="D2532" s="3">
        <v>1.0</v>
      </c>
    </row>
    <row r="2533" ht="15.75" customHeight="1">
      <c r="A2533" s="1">
        <v>2531.0</v>
      </c>
      <c r="B2533" s="3" t="s">
        <v>2533</v>
      </c>
      <c r="C2533" s="3" t="str">
        <f>IFERROR(__xludf.DUMMYFUNCTION("GOOGLETRANSLATE(B2533,""id"",""en"")"),"['Price', 'Package', 'Collainlah', 'As', 'Quality', 'Network', 'Low', 'September', 'Bener', 'Network', ""]")</f>
        <v>['Price', 'Package', 'Collainlah', 'As', 'Quality', 'Network', 'Low', 'September', 'Bener', 'Network', "]</v>
      </c>
      <c r="D2533" s="3">
        <v>1.0</v>
      </c>
    </row>
    <row r="2534" ht="15.75" customHeight="1">
      <c r="A2534" s="1">
        <v>2532.0</v>
      </c>
      <c r="B2534" s="3" t="s">
        <v>2534</v>
      </c>
      <c r="C2534" s="3" t="str">
        <f>IFERROR(__xludf.DUMMYFUNCTION("GOOGLETRANSLATE(B2534,""id"",""en"")"),"['times', 'pulse', 'missing', '']")</f>
        <v>['times', 'pulse', 'missing', '']</v>
      </c>
      <c r="D2534" s="3">
        <v>1.0</v>
      </c>
    </row>
    <row r="2535" ht="15.75" customHeight="1">
      <c r="A2535" s="1">
        <v>2533.0</v>
      </c>
      <c r="B2535" s="3" t="s">
        <v>2535</v>
      </c>
      <c r="C2535" s="3" t="str">
        <f>IFERROR(__xludf.DUMMYFUNCTION("GOOGLETRANSLATE(B2535,""id"",""en"")"),"['Please', 'buy', 'package', 'unlimited', 'youtub', 'open', 'youtub', 'play', 'network', 'full', '']")</f>
        <v>['Please', 'buy', 'package', 'unlimited', 'youtub', 'open', 'youtub', 'play', 'network', 'full', '']</v>
      </c>
      <c r="D2535" s="3">
        <v>5.0</v>
      </c>
    </row>
    <row r="2536" ht="15.75" customHeight="1">
      <c r="A2536" s="1">
        <v>2534.0</v>
      </c>
      <c r="B2536" s="3" t="s">
        <v>2536</v>
      </c>
      <c r="C2536" s="3" t="str">
        <f>IFERROR(__xludf.DUMMYFUNCTION("GOOGLETRANSLATE(B2536,""id"",""en"")"),"['offer', 'promo', 'special', 'customers', 'Telkomsel', 'gift', 'lottery', 'lottery', 'prize', 'Telkomsel', '']")</f>
        <v>['offer', 'promo', 'special', 'customers', 'Telkomsel', 'gift', 'lottery', 'lottery', 'prize', 'Telkomsel', '']</v>
      </c>
      <c r="D2536" s="3">
        <v>4.0</v>
      </c>
    </row>
    <row r="2537" ht="15.75" customHeight="1">
      <c r="A2537" s="1">
        <v>2535.0</v>
      </c>
      <c r="B2537" s="3" t="s">
        <v>2537</v>
      </c>
      <c r="C2537" s="3" t="str">
        <f>IFERROR(__xludf.DUMMYFUNCTION("GOOGLETRANSLATE(B2537,""id"",""en"")"),"['as good', 'anything', 'signal', 'Telkomsel', 'ugly', 'bkln', 'ensk', 'maen', 'games',' yes', 'sya', 'pkek', ' Tekl ',' bngstt ',' Telkomsel ']")</f>
        <v>['as good', 'anything', 'signal', 'Telkomsel', 'ugly', 'bkln', 'ensk', 'maen', 'games',' yes', 'sya', 'pkek', ' Tekl ',' bngstt ',' Telkomsel ']</v>
      </c>
      <c r="D2537" s="3">
        <v>1.0</v>
      </c>
    </row>
    <row r="2538" ht="15.75" customHeight="1">
      <c r="A2538" s="1">
        <v>2536.0</v>
      </c>
      <c r="B2538" s="3" t="s">
        <v>2538</v>
      </c>
      <c r="C2538" s="3" t="str">
        <f>IFERROR(__xludf.DUMMYFUNCTION("GOOGLETRANSLATE(B2538,""id"",""en"")"),"['users',' Telkomsel ',' sympathy ',' disappointed ',' package ',' data ',' sympathy ',' GB ',' price ',' rb ',' leftover ',' data ',' GB ',' quality ',' bad ',' annoying ',' work ',' location ',' region ',' Kalimantan ',' North ',' buy ',' package ',' co"&amp;"mbo ',' sympathy ' , 'buy', 'GB', 'Sia', 'leftover', 'GB', 'Useful']")</f>
        <v>['users',' Telkomsel ',' sympathy ',' disappointed ',' package ',' data ',' sympathy ',' GB ',' price ',' rb ',' leftover ',' data ',' GB ',' quality ',' bad ',' annoying ',' work ',' location ',' region ',' Kalimantan ',' North ',' buy ',' package ',' combo ',' sympathy ' , 'buy', 'GB', 'Sia', 'leftover', 'GB', 'Useful']</v>
      </c>
      <c r="D2538" s="3">
        <v>1.0</v>
      </c>
    </row>
    <row r="2539" ht="15.75" customHeight="1">
      <c r="A2539" s="1">
        <v>2537.0</v>
      </c>
      <c r="B2539" s="3" t="s">
        <v>2539</v>
      </c>
      <c r="C2539" s="3" t="str">
        <f>IFERROR(__xludf.DUMMYFUNCTION("GOOGLETRANSLATE(B2539,""id"",""en"")"),"['Signal', 'Telkomsel', 'Dialkautsar', 'Kec', 'one', 'Kab', 'Land', 'Seasoning', 'Kalimantan', 'South', 'Leet', 'report', ' Telkomsel ',' LEG ',' Home ',' Buy ',' Package ',' Data ',' expensive ',' expensive ',' maximum ',' open ',' data ',' difficult ', "&amp;"""]")</f>
        <v>['Signal', 'Telkomsel', 'Dialkautsar', 'Kec', 'one', 'Kab', 'Land', 'Seasoning', 'Kalimantan', 'South', 'Leet', 'report', ' Telkomsel ',' LEG ',' Home ',' Buy ',' Package ',' Data ',' expensive ',' expensive ',' maximum ',' open ',' data ',' difficult ', "]</v>
      </c>
      <c r="D2539" s="3">
        <v>2.0</v>
      </c>
    </row>
    <row r="2540" ht="15.75" customHeight="1">
      <c r="A2540" s="1">
        <v>2538.0</v>
      </c>
      <c r="B2540" s="3" t="s">
        <v>2540</v>
      </c>
      <c r="C2540" s="3" t="str">
        <f>IFERROR(__xludf.DUMMYFUNCTION("GOOGLETRANSLATE(B2540,""id"",""en"")"),"['serious', 'ask', 'signal', 'Telkomsel', 'jelekkkk', 'really', 'area', 'Semarang', '']")</f>
        <v>['serious', 'ask', 'signal', 'Telkomsel', 'jelekkkk', 'really', 'area', 'Semarang', '']</v>
      </c>
      <c r="D2540" s="3">
        <v>2.0</v>
      </c>
    </row>
    <row r="2541" ht="15.75" customHeight="1">
      <c r="A2541" s="1">
        <v>2539.0</v>
      </c>
      <c r="B2541" s="3" t="s">
        <v>2541</v>
      </c>
      <c r="C2541" s="3" t="str">
        <f>IFERROR(__xludf.DUMMYFUNCTION("GOOGLETRANSLATE(B2541,""id"",""en"")"),"['price', 'expensive', 'quality', 'according to', 'price', 'package', 'according to', 'description', 'basics',' regret ',' number ',' already ',' Change ',' card ',' ']")</f>
        <v>['price', 'expensive', 'quality', 'according to', 'price', 'package', 'according to', 'description', 'basics',' regret ',' number ',' already ',' Change ',' card ',' ']</v>
      </c>
      <c r="D2541" s="3">
        <v>1.0</v>
      </c>
    </row>
    <row r="2542" ht="15.75" customHeight="1">
      <c r="A2542" s="1">
        <v>2540.0</v>
      </c>
      <c r="B2542" s="3" t="s">
        <v>2542</v>
      </c>
      <c r="C2542" s="3" t="str">
        <f>IFERROR(__xludf.DUMMYFUNCTION("GOOGLETRANSLATE(B2542,""id"",""en"")"),"['application', 'help', 'customer', 'easy', 'get', 'information', 'promo', 'Telkomsel', 'practical', 'fast', ""]")</f>
        <v>['application', 'help', 'customer', 'easy', 'get', 'information', 'promo', 'Telkomsel', 'practical', 'fast', "]</v>
      </c>
      <c r="D2542" s="3">
        <v>5.0</v>
      </c>
    </row>
    <row r="2543" ht="15.75" customHeight="1">
      <c r="A2543" s="1">
        <v>2541.0</v>
      </c>
      <c r="B2543" s="3" t="s">
        <v>2543</v>
      </c>
      <c r="C2543" s="3" t="str">
        <f>IFERROR(__xludf.DUMMYFUNCTION("GOOGLETRANSLATE(B2543,""id"",""en"")"),"['disappointed', 'signal', 'like', 'down', 'package', 'buy', 'expensive', 'service', 'user', 'stable', ""]")</f>
        <v>['disappointed', 'signal', 'like', 'down', 'package', 'buy', 'expensive', 'service', 'user', 'stable', "]</v>
      </c>
      <c r="D2543" s="3">
        <v>1.0</v>
      </c>
    </row>
    <row r="2544" ht="15.75" customHeight="1">
      <c r="A2544" s="1">
        <v>2542.0</v>
      </c>
      <c r="B2544" s="3" t="s">
        <v>2544</v>
      </c>
      <c r="C2544" s="3" t="str">
        <f>IFERROR(__xludf.DUMMYFUNCTION("GOOGLETRANSLATE(B2544,""id"",""en"")"),"['pulse', 'leftover', 'rb', 'buy', 'package', 'lap', 'price', 'thousand', 'write', 'pulse']")</f>
        <v>['pulse', 'leftover', 'rb', 'buy', 'package', 'lap', 'price', 'thousand', 'write', 'pulse']</v>
      </c>
      <c r="D2544" s="3">
        <v>2.0</v>
      </c>
    </row>
    <row r="2545" ht="15.75" customHeight="1">
      <c r="A2545" s="1">
        <v>2543.0</v>
      </c>
      <c r="B2545" s="3" t="s">
        <v>2545</v>
      </c>
      <c r="C2545" s="3" t="str">
        <f>IFERROR(__xludf.DUMMYFUNCTION("GOOGLETRANSLATE(B2545,""id"",""en"")"),"['Telkomsel', 'Helping', 'Season', 'Pandemic', 'Learning', 'Online', 'Easy']")</f>
        <v>['Telkomsel', 'Helping', 'Season', 'Pandemic', 'Learning', 'Online', 'Easy']</v>
      </c>
      <c r="D2545" s="3">
        <v>5.0</v>
      </c>
    </row>
    <row r="2546" ht="15.75" customHeight="1">
      <c r="A2546" s="1">
        <v>2544.0</v>
      </c>
      <c r="B2546" s="3" t="s">
        <v>2546</v>
      </c>
      <c r="C2546" s="3" t="str">
        <f>IFERROR(__xludf.DUMMYFUNCTION("GOOGLETRANSLATE(B2546,""id"",""en"")"),"['JDI', 'Crita', 'Gini', 'Planggar', 'Stia', 'then', 'Package', 'Internet', 'then', 'price', 'JMPollh']")</f>
        <v>['JDI', 'Crita', 'Gini', 'Planggar', 'Stia', 'then', 'Package', 'Internet', 'then', 'price', 'JMPollh']</v>
      </c>
      <c r="D2546" s="3">
        <v>4.0</v>
      </c>
    </row>
    <row r="2547" ht="15.75" customHeight="1">
      <c r="A2547" s="1">
        <v>2545.0</v>
      </c>
      <c r="B2547" s="3" t="s">
        <v>2547</v>
      </c>
      <c r="C2547" s="3" t="str">
        <f>IFERROR(__xludf.DUMMYFUNCTION("GOOGLETRANSLATE(B2547,""id"",""en"")"),"['Try', 'Network', 'Telkomsel', 'Severe', 'Disappointed', 'Package', 'Expensive', 'Expensive', 'TPI', 'Network', 'Kek', 'Gini', ' Disappointed ',' Disappointed ',' Disappointed ']")</f>
        <v>['Try', 'Network', 'Telkomsel', 'Severe', 'Disappointed', 'Package', 'Expensive', 'Expensive', 'TPI', 'Network', 'Kek', 'Gini', ' Disappointed ',' Disappointed ',' Disappointed ']</v>
      </c>
      <c r="D2547" s="3">
        <v>1.0</v>
      </c>
    </row>
    <row r="2548" ht="15.75" customHeight="1">
      <c r="A2548" s="1">
        <v>2546.0</v>
      </c>
      <c r="B2548" s="3" t="s">
        <v>2548</v>
      </c>
      <c r="C2548" s="3" t="str">
        <f>IFERROR(__xludf.DUMMYFUNCTION("GOOGLETRANSLATE(B2548,""id"",""en"")"),"['Telkomsel', 'slow', 'signal', 'road', 'price', 'package', 'expensive', 'slow', '']")</f>
        <v>['Telkomsel', 'slow', 'signal', 'road', 'price', 'package', 'expensive', 'slow', '']</v>
      </c>
      <c r="D2548" s="3">
        <v>1.0</v>
      </c>
    </row>
    <row r="2549" ht="15.75" customHeight="1">
      <c r="A2549" s="1">
        <v>2547.0</v>
      </c>
      <c r="B2549" s="3" t="s">
        <v>2549</v>
      </c>
      <c r="C2549" s="3" t="str">
        <f>IFERROR(__xludf.DUMMYFUNCTION("GOOGLETRANSLATE(B2549,""id"",""en"")"),"['Opening', 'Application', 'Telkomsel', 'Click', 'Need', 'Struggle', 'Enter', 'NOTED', 'Repaired', 'Open', 'Application', ""]")</f>
        <v>['Opening', 'Application', 'Telkomsel', 'Click', 'Need', 'Struggle', 'Enter', 'NOTED', 'Repaired', 'Open', 'Application', "]</v>
      </c>
      <c r="D2549" s="3">
        <v>5.0</v>
      </c>
    </row>
    <row r="2550" ht="15.75" customHeight="1">
      <c r="A2550" s="1">
        <v>2548.0</v>
      </c>
      <c r="B2550" s="3" t="s">
        <v>2550</v>
      </c>
      <c r="C2550" s="3" t="str">
        <f>IFERROR(__xludf.DUMMYFUNCTION("GOOGLETRANSLATE(B2550,""id"",""en"")"),"['Dewel', 'Pakek', 'Telkomsel', 'Signal', 'Welek', 'friend', 'signal', 'FULLLL', 'Game', 'Weleeekkkkkk', 'Polll', 'Kasi', ' Stars', 'announcements',' like ',' play ',' games', 'onlen', 'pakek', 'card', 'guaranteed', 'leg', 'poll', 'telokomsel', 'slow' , '"&amp;"Abis', 'wajip', 'replace', 'card', 'safe', 'lose', 'play', 'game', ""]")</f>
        <v>['Dewel', 'Pakek', 'Telkomsel', 'Signal', 'Welek', 'friend', 'signal', 'FULLLL', 'Game', 'Weleeekkkkkk', 'Polll', 'Kasi', ' Stars', 'announcements',' like ',' play ',' games', 'onlen', 'pakek', 'card', 'guaranteed', 'leg', 'poll', 'telokomsel', 'slow' , 'Abis', 'wajip', 'replace', 'card', 'safe', 'lose', 'play', 'game', "]</v>
      </c>
      <c r="D2550" s="3">
        <v>1.0</v>
      </c>
    </row>
    <row r="2551" ht="15.75" customHeight="1">
      <c r="A2551" s="1">
        <v>2549.0</v>
      </c>
      <c r="B2551" s="3" t="s">
        <v>2551</v>
      </c>
      <c r="C2551" s="3" t="str">
        <f>IFERROR(__xludf.DUMMYFUNCTION("GOOGLETRANSLATE(B2551,""id"",""en"")"),"['Network', 'Kyk', 'Anjggg', 'Mending', 'Switch', 'Internet', 'Over', 'Buy', 'Telkomsel', 'Price', 'According to', 'Quality']")</f>
        <v>['Network', 'Kyk', 'Anjggg', 'Mending', 'Switch', 'Internet', 'Over', 'Buy', 'Telkomsel', 'Price', 'According to', 'Quality']</v>
      </c>
      <c r="D2551" s="3">
        <v>3.0</v>
      </c>
    </row>
    <row r="2552" ht="15.75" customHeight="1">
      <c r="A2552" s="1">
        <v>2550.0</v>
      </c>
      <c r="B2552" s="3" t="s">
        <v>2552</v>
      </c>
      <c r="C2552" s="3" t="str">
        <f>IFERROR(__xludf.DUMMYFUNCTION("GOOGLETRANSLATE(B2552,""id"",""en"")"),"['application', 'easy', 'fast', 'just', 'my computer', 'expensive', 'rich', 'Indosat', 'my computer', 'cheap', 'cheap', '']")</f>
        <v>['application', 'easy', 'fast', 'just', 'my computer', 'expensive', 'rich', 'Indosat', 'my computer', 'cheap', 'cheap', '']</v>
      </c>
      <c r="D2552" s="3">
        <v>5.0</v>
      </c>
    </row>
    <row r="2553" ht="15.75" customHeight="1">
      <c r="A2553" s="1">
        <v>2551.0</v>
      </c>
      <c r="B2553" s="3" t="s">
        <v>2553</v>
      </c>
      <c r="C2553" s="3" t="str">
        <f>IFERROR(__xludf.DUMMYFUNCTION("GOOGLETRANSLATE(B2553,""id"",""en"")"),"['Telkomsel', 'internet', 'best', 'Males',' bnget ',' cave ',' play ',' game ',' ping ',' red ',' match ',' internet ',' best ',' kek ',' gini ',' ping ',' right ',' play ',' game ',' ']")</f>
        <v>['Telkomsel', 'internet', 'best', 'Males',' bnget ',' cave ',' play ',' game ',' ping ',' red ',' match ',' internet ',' best ',' kek ',' gini ',' ping ',' right ',' play ',' game ',' ']</v>
      </c>
      <c r="D2553" s="3">
        <v>5.0</v>
      </c>
    </row>
    <row r="2554" ht="15.75" customHeight="1">
      <c r="A2554" s="1">
        <v>2552.0</v>
      </c>
      <c r="B2554" s="3" t="s">
        <v>2554</v>
      </c>
      <c r="C2554" s="3" t="str">
        <f>IFERROR(__xludf.DUMMYFUNCTION("GOOGLETRANSLATE(B2554,""id"",""en"")"),"['Network', 'Telkomsel', 'Disruption', 'Rain', 'Access',' Shopee ',' Streaming ',' Lemot ',' Decreases', 'Please', 'Increase', 'Min', ' Customers', 'Disappointed', '']")</f>
        <v>['Network', 'Telkomsel', 'Disruption', 'Rain', 'Access',' Shopee ',' Streaming ',' Lemot ',' Decreases', 'Please', 'Increase', 'Min', ' Customers', 'Disappointed', '']</v>
      </c>
      <c r="D2554" s="3">
        <v>3.0</v>
      </c>
    </row>
    <row r="2555" ht="15.75" customHeight="1">
      <c r="A2555" s="1">
        <v>2553.0</v>
      </c>
      <c r="B2555" s="3" t="s">
        <v>2555</v>
      </c>
      <c r="C2555" s="3" t="str">
        <f>IFERROR(__xludf.DUMMYFUNCTION("GOOGLETRANSLATE(B2555,""id"",""en"")"),"['Paketan', 'Social', 'Media', 'Game', 'Open', 'Game', 'Online', 'Quality', 'Skali']")</f>
        <v>['Paketan', 'Social', 'Media', 'Game', 'Open', 'Game', 'Online', 'Quality', 'Skali']</v>
      </c>
      <c r="D2555" s="3">
        <v>1.0</v>
      </c>
    </row>
    <row r="2556" ht="15.75" customHeight="1">
      <c r="A2556" s="1">
        <v>2554.0</v>
      </c>
      <c r="B2556" s="3" t="s">
        <v>2556</v>
      </c>
      <c r="C2556" s="3" t="str">
        <f>IFERROR(__xludf.DUMMYFUNCTION("GOOGLETRANSLATE(B2556,""id"",""en"")"),"['Telkomsel', 'Hancurr', 'already', 'ngak', 'pulse', 'run out', 'eat', 'fill', 'open', 'pulse', 'right', 'enter', ' Direct ',' out ',' pulses', 'already', 'kli', 'he happened', 'high school', 'his network', 'ngelag', 'play', 'game', 'emg', 'Telkomsel' , '"&amp;"Hashrrrrr', 'ehhh', 'developer', 'honest', 'take', 'credit', 'org', 'think', 'credit', 'bought', 'Daon', 'Sake', ' really ',' cave ']")</f>
        <v>['Telkomsel', 'Hancurr', 'already', 'ngak', 'pulse', 'run out', 'eat', 'fill', 'open', 'pulse', 'right', 'enter', ' Direct ',' out ',' pulses', 'already', 'kli', 'he happened', 'high school', 'his network', 'ngelag', 'play', 'game', 'emg', 'Telkomsel' , 'Hashrrrrr', 'ehhh', 'developer', 'honest', 'take', 'credit', 'org', 'think', 'credit', 'bought', 'Daon', 'Sake', ' really ',' cave ']</v>
      </c>
      <c r="D2556" s="3">
        <v>1.0</v>
      </c>
    </row>
    <row r="2557" ht="15.75" customHeight="1">
      <c r="A2557" s="1">
        <v>2555.0</v>
      </c>
      <c r="B2557" s="3" t="s">
        <v>2557</v>
      </c>
      <c r="C2557" s="3" t="str">
        <f>IFERROR(__xludf.DUMMYFUNCTION("GOOGLETRANSLATE(B2557,""id"",""en"")"),"['', 'Application', 'MyTelkomsel', 'shortcomings', 'lock', 'pulse', 'APK', 'AXISNET', 'Key', 'pulse', 'Telkomsel']")</f>
        <v>['', 'Application', 'MyTelkomsel', 'shortcomings', 'lock', 'pulse', 'APK', 'AXISNET', 'Key', 'pulse', 'Telkomsel']</v>
      </c>
      <c r="D2557" s="3">
        <v>2.0</v>
      </c>
    </row>
    <row r="2558" ht="15.75" customHeight="1">
      <c r="A2558" s="1">
        <v>2556.0</v>
      </c>
      <c r="B2558" s="3" t="s">
        <v>2558</v>
      </c>
      <c r="C2558" s="3" t="str">
        <f>IFERROR(__xludf.DUMMYFUNCTION("GOOGLETRANSLATE(B2558,""id"",""en"")"),"['Telkomsel', 'like', 'devil', 'buy', 'quota', 'me', 'signal', 'good', 'gatany', 'ugly', 'provider', 'regret', ' Last ',' Telkomsel ',' Customer ',' ']")</f>
        <v>['Telkomsel', 'like', 'devil', 'buy', 'quota', 'me', 'signal', 'good', 'gatany', 'ugly', 'provider', 'regret', ' Last ',' Telkomsel ',' Customer ',' ']</v>
      </c>
      <c r="D2558" s="3">
        <v>1.0</v>
      </c>
    </row>
    <row r="2559" ht="15.75" customHeight="1">
      <c r="A2559" s="1">
        <v>2557.0</v>
      </c>
      <c r="B2559" s="3" t="s">
        <v>2559</v>
      </c>
      <c r="C2559" s="3" t="str">
        <f>IFERROR(__xludf.DUMMYFUNCTION("GOOGLETRANSLATE(B2559,""id"",""en"")"),"['Telkomsel', 'Package', 'Data', 'Enterprit', 'Out', 'Certified', 'Narik', 'Package', 'Data', 'Gini', 'Discard', 'Discard', ' pulses', 'pairs',' pket ']")</f>
        <v>['Telkomsel', 'Package', 'Data', 'Enterprit', 'Out', 'Certified', 'Narik', 'Package', 'Data', 'Gini', 'Discard', 'Discard', ' pulses', 'pairs',' pket ']</v>
      </c>
      <c r="D2559" s="3">
        <v>2.0</v>
      </c>
    </row>
    <row r="2560" ht="15.75" customHeight="1">
      <c r="A2560" s="1">
        <v>2558.0</v>
      </c>
      <c r="B2560" s="3" t="s">
        <v>2560</v>
      </c>
      <c r="C2560" s="3" t="str">
        <f>IFERROR(__xludf.DUMMYFUNCTION("GOOGLETRANSLATE(B2560,""id"",""en"")"),"['pulse', 'run out', 'quota', 'system', 'nge', 'pulse', 'pulse', 'pulses',' quota ',' run out ',' like ',' application ',' OPrator ',' next door ']")</f>
        <v>['pulse', 'run out', 'quota', 'system', 'nge', 'pulse', 'pulse', 'pulses',' quota ',' run out ',' like ',' application ',' OPrator ',' next door ']</v>
      </c>
      <c r="D2560" s="3">
        <v>1.0</v>
      </c>
    </row>
    <row r="2561" ht="15.75" customHeight="1">
      <c r="A2561" s="1">
        <v>2559.0</v>
      </c>
      <c r="B2561" s="3" t="s">
        <v>2561</v>
      </c>
      <c r="C2561" s="3" t="str">
        <f>IFERROR(__xludf.DUMMYFUNCTION("GOOGLETRANSLATE(B2561,""id"",""en"")"),"['', 'TLKMSL', 'PRNH', 'Debt', 'PKT', 'TLPN', 'KNP', 'On', 'Times',' SLLU ',' ISI ',' Package ',' TLPN ',' monthly ',' prnh ',' debt ',' active ',' bokek ',' gni ']")</f>
        <v>['', 'TLKMSL', 'PRNH', 'Debt', 'PKT', 'TLPN', 'KNP', 'On', 'Times',' SLLU ',' ISI ',' Package ',' TLPN ',' monthly ',' prnh ',' debt ',' active ',' bokek ',' gni ']</v>
      </c>
      <c r="D2561" s="3">
        <v>1.0</v>
      </c>
    </row>
    <row r="2562" ht="15.75" customHeight="1">
      <c r="A2562" s="1">
        <v>2560.0</v>
      </c>
      <c r="B2562" s="3" t="s">
        <v>2562</v>
      </c>
      <c r="C2562" s="3" t="str">
        <f>IFERROR(__xludf.DUMMYFUNCTION("GOOGLETRANSLATE(B2562,""id"",""en"")"),"['network', 'Telkomsel', 'ugly', 'quota', 'internet', 'slow', 'price', 'quota', 'expensive', '']")</f>
        <v>['network', 'Telkomsel', 'ugly', 'quota', 'internet', 'slow', 'price', 'quota', 'expensive', '']</v>
      </c>
      <c r="D2562" s="3">
        <v>1.0</v>
      </c>
    </row>
    <row r="2563" ht="15.75" customHeight="1">
      <c r="A2563" s="1">
        <v>2561.0</v>
      </c>
      <c r="B2563" s="3" t="s">
        <v>2563</v>
      </c>
      <c r="C2563" s="3" t="str">
        <f>IFERROR(__xludf.DUMMYFUNCTION("GOOGLETRANSLATE(B2563,""id"",""en"")"),"['Please', 'signal', 'Telkomsel', 'Bandung', 'UDH', 'Sunday', 'ugly', 'please', 'fix', ""]")</f>
        <v>['Please', 'signal', 'Telkomsel', 'Bandung', 'UDH', 'Sunday', 'ugly', 'please', 'fix', "]</v>
      </c>
      <c r="D2563" s="3">
        <v>2.0</v>
      </c>
    </row>
    <row r="2564" ht="15.75" customHeight="1">
      <c r="A2564" s="1">
        <v>2562.0</v>
      </c>
      <c r="B2564" s="3" t="s">
        <v>2564</v>
      </c>
      <c r="C2564" s="3" t="str">
        <f>IFERROR(__xludf.DUMMYFUNCTION("GOOGLETRANSLATE(B2564,""id"",""en"")"),"['Good', 'Improved', 'Good', 'Maintain', '']")</f>
        <v>['Good', 'Improved', 'Good', 'Maintain', '']</v>
      </c>
      <c r="D2564" s="3">
        <v>5.0</v>
      </c>
    </row>
    <row r="2565" ht="15.75" customHeight="1">
      <c r="A2565" s="1">
        <v>2563.0</v>
      </c>
      <c r="B2565" s="3" t="s">
        <v>2565</v>
      </c>
      <c r="C2565" s="3" t="str">
        <f>IFERROR(__xludf.DUMMYFUNCTION("GOOGLETRANSLATE(B2565,""id"",""en"")"),"['paaraaah', 'sing', 'doang', 'usually', 'application', 'monitor', 'to do', 'payment', 'purchase', 'package', 'data', 'difficult', ' Application ',' Tereaaat ',' Sampe ',' Application ',' SLL ',' Close ',' Hot ',' Batre ', ""]")</f>
        <v>['paaraaah', 'sing', 'doang', 'usually', 'application', 'monitor', 'to do', 'payment', 'purchase', 'package', 'data', 'difficult', ' Application ',' Tereaaat ',' Sampe ',' Application ',' SLL ',' Close ',' Hot ',' Batre ', "]</v>
      </c>
      <c r="D2565" s="3">
        <v>1.0</v>
      </c>
    </row>
    <row r="2566" ht="15.75" customHeight="1">
      <c r="A2566" s="1">
        <v>2564.0</v>
      </c>
      <c r="B2566" s="3" t="s">
        <v>2566</v>
      </c>
      <c r="C2566" s="3" t="str">
        <f>IFERROR(__xludf.DUMMYFUNCTION("GOOGLETRANSLATE(B2566,""id"",""en"")"),"['thank', 'love', 'Telkomsel', 'your service', 'valuable', 'for me', 'established', 'communication', 'indication', 'increase', 'signal', 'network', ' ']")</f>
        <v>['thank', 'love', 'Telkomsel', 'your service', 'valuable', 'for me', 'established', 'communication', 'indication', 'increase', 'signal', 'network', ' ']</v>
      </c>
      <c r="D2566" s="3">
        <v>5.0</v>
      </c>
    </row>
    <row r="2567" ht="15.75" customHeight="1">
      <c r="A2567" s="1">
        <v>2565.0</v>
      </c>
      <c r="B2567" s="3" t="s">
        <v>2567</v>
      </c>
      <c r="C2567" s="3" t="str">
        <f>IFERROR(__xludf.DUMMYFUNCTION("GOOGLETRANSLATE(B2567,""id"",""en"")"),"['signal', 'lottery', 'really', 'hope', 'have the opportunity', 'win', 'car', 'Amin', 'YRA', 'Thank you', 'Telkomsel']")</f>
        <v>['signal', 'lottery', 'really', 'hope', 'have the opportunity', 'win', 'car', 'Amin', 'YRA', 'Thank you', 'Telkomsel']</v>
      </c>
      <c r="D2567" s="3">
        <v>5.0</v>
      </c>
    </row>
    <row r="2568" ht="15.75" customHeight="1">
      <c r="A2568" s="1">
        <v>2566.0</v>
      </c>
      <c r="B2568" s="3" t="s">
        <v>2568</v>
      </c>
      <c r="C2568" s="3" t="str">
        <f>IFERROR(__xludf.DUMMYFUNCTION("GOOGLETRANSLATE(B2568,""id"",""en"")"),"['Steady', 'Telkomsel', 'Allah', 'Easy', 'hopefully', 'gift', 'gift', 'Adek', 'child', 'orphan']")</f>
        <v>['Steady', 'Telkomsel', 'Allah', 'Easy', 'hopefully', 'gift', 'gift', 'Adek', 'child', 'orphan']</v>
      </c>
      <c r="D2568" s="3">
        <v>1.0</v>
      </c>
    </row>
    <row r="2569" ht="15.75" customHeight="1">
      <c r="A2569" s="1">
        <v>2567.0</v>
      </c>
      <c r="B2569" s="3" t="s">
        <v>2569</v>
      </c>
      <c r="C2569" s="3" t="str">
        <f>IFERROR(__xludf.DUMMYFUNCTION("GOOGLETRANSLATE(B2569,""id"",""en"")"),"['use', 'number', 'Telkomsel', 'moved', 'operator', 'it costs', 'expensive', 'network', 'skrg', 'disturbed', '']")</f>
        <v>['use', 'number', 'Telkomsel', 'moved', 'operator', 'it costs', 'expensive', 'network', 'skrg', 'disturbed', '']</v>
      </c>
      <c r="D2569" s="3">
        <v>1.0</v>
      </c>
    </row>
    <row r="2570" ht="15.75" customHeight="1">
      <c r="A2570" s="1">
        <v>2568.0</v>
      </c>
      <c r="B2570" s="3" t="s">
        <v>2570</v>
      </c>
      <c r="C2570" s="3" t="str">
        <f>IFERROR(__xludf.DUMMYFUNCTION("GOOGLETRANSLATE(B2570,""id"",""en"")"),"['Mending', 'Lho', 'Ancurin', 'company', 'Lho', 'Nipu', 'people', 'buy', 'package', 'expensive', 'really', 'Janringan', ' Nge ',' lag ',' no ',' signal ',' base ',' cheater ',' job ']")</f>
        <v>['Mending', 'Lho', 'Ancurin', 'company', 'Lho', 'Nipu', 'people', 'buy', 'package', 'expensive', 'really', 'Janringan', ' Nge ',' lag ',' no ',' signal ',' base ',' cheater ',' job ']</v>
      </c>
      <c r="D2570" s="3">
        <v>1.0</v>
      </c>
    </row>
    <row r="2571" ht="15.75" customHeight="1">
      <c r="A2571" s="1">
        <v>2569.0</v>
      </c>
      <c r="B2571" s="3" t="s">
        <v>2571</v>
      </c>
      <c r="C2571" s="3" t="str">
        <f>IFERROR(__xludf.DUMMYFUNCTION("GOOGLETRANSLATE(B2571,""id"",""en"")"),"['Cool', 'Update', 'Network', 'Quality', 'Price', 'Package', 'Internet', 'Expensive', 'Hopefully', 'Success',' Telkomsel ',' Indonesia ',' ']")</f>
        <v>['Cool', 'Update', 'Network', 'Quality', 'Price', 'Package', 'Internet', 'Expensive', 'Hopefully', 'Success',' Telkomsel ',' Indonesia ',' ']</v>
      </c>
      <c r="D2571" s="3">
        <v>5.0</v>
      </c>
    </row>
    <row r="2572" ht="15.75" customHeight="1">
      <c r="A2572" s="1">
        <v>2570.0</v>
      </c>
      <c r="B2572" s="3" t="s">
        <v>2572</v>
      </c>
      <c r="C2572" s="3" t="str">
        <f>IFERROR(__xludf.DUMMYFUNCTION("GOOGLETRANSLATE(B2572,""id"",""en"")"),"['Nukar', 'Points', 'Donations', 'Must', 'Requirements', 'Points', 'Ber', 'Amal', 'Difficult', ""]")</f>
        <v>['Nukar', 'Points', 'Donations', 'Must', 'Requirements', 'Points', 'Ber', 'Amal', 'Difficult', "]</v>
      </c>
      <c r="D2572" s="3">
        <v>1.0</v>
      </c>
    </row>
    <row r="2573" ht="15.75" customHeight="1">
      <c r="A2573" s="1">
        <v>2571.0</v>
      </c>
      <c r="B2573" s="3" t="s">
        <v>2573</v>
      </c>
      <c r="C2573" s="3" t="str">
        <f>IFERROR(__xludf.DUMMYFUNCTION("GOOGLETRANSLATE(B2573,""id"",""en"")"),"['Hello', 'Signal', 'Telkomsel', 'Where', 'Pakek', 'Play', 'Game', 'Slow', 'Sinyal', 'Has',' PPKM ',' Nise ',' times', 'Please', 'Bend', 'Before', 'Move', 'Provider', 'Next to', '']")</f>
        <v>['Hello', 'Signal', 'Telkomsel', 'Where', 'Pakek', 'Play', 'Game', 'Slow', 'Sinyal', 'Has',' PPKM ',' Nise ',' times', 'Please', 'Bend', 'Before', 'Move', 'Provider', 'Next to', '']</v>
      </c>
      <c r="D2573" s="3">
        <v>1.0</v>
      </c>
    </row>
    <row r="2574" ht="15.75" customHeight="1">
      <c r="A2574" s="1">
        <v>2572.0</v>
      </c>
      <c r="B2574" s="3" t="s">
        <v>2574</v>
      </c>
      <c r="C2574" s="3" t="str">
        <f>IFERROR(__xludf.DUMMYFUNCTION("GOOGLETRANSLATE(B2574,""id"",""en"")"),"['Please', 'Sorry', 'Telkomsel', 'Yesterday', 'Buy', 'Package', 'Promo', 'Telkomsel', 'Price', 'Package', 'Visit', 'Credit', ' Cut ',' Please ',' Credit ',' ']")</f>
        <v>['Please', 'Sorry', 'Telkomsel', 'Yesterday', 'Buy', 'Package', 'Promo', 'Telkomsel', 'Price', 'Package', 'Visit', 'Credit', ' Cut ',' Please ',' Credit ',' ']</v>
      </c>
      <c r="D2574" s="3">
        <v>1.0</v>
      </c>
    </row>
    <row r="2575" ht="15.75" customHeight="1">
      <c r="A2575" s="1">
        <v>2573.0</v>
      </c>
      <c r="B2575" s="3" t="s">
        <v>2575</v>
      </c>
      <c r="C2575" s="3" t="str">
        <f>IFERROR(__xludf.DUMMYFUNCTION("GOOGLETRANSLATE(B2575,""id"",""en"")"),"['What', 'Telkomsel', 'Daily', 'Check', 'Nambah', 'Check', 'Disappointed', 'APK', ""]")</f>
        <v>['What', 'Telkomsel', 'Daily', 'Check', 'Nambah', 'Check', 'Disappointed', 'APK', "]</v>
      </c>
      <c r="D2575" s="3">
        <v>1.0</v>
      </c>
    </row>
    <row r="2576" ht="15.75" customHeight="1">
      <c r="A2576" s="1">
        <v>2574.0</v>
      </c>
      <c r="B2576" s="3" t="s">
        <v>2576</v>
      </c>
      <c r="C2576" s="3" t="str">
        <f>IFERROR(__xludf.DUMMYFUNCTION("GOOGLETRANSLATE(B2576,""id"",""en"")"),"['Application', 'renewal', 'appears', 'renewal']")</f>
        <v>['Application', 'renewal', 'appears', 'renewal']</v>
      </c>
      <c r="D2576" s="3">
        <v>1.0</v>
      </c>
    </row>
    <row r="2577" ht="15.75" customHeight="1">
      <c r="A2577" s="1">
        <v>2575.0</v>
      </c>
      <c r="B2577" s="3" t="s">
        <v>2577</v>
      </c>
      <c r="C2577" s="3" t="str">
        <f>IFERROR(__xludf.DUMMYFUNCTION("GOOGLETRANSLATE(B2577,""id"",""en"")"),"['waduuh', 'pulse', 'cave', 'cave', 'wifi', 'operator', 'telkomsel', '']")</f>
        <v>['waduuh', 'pulse', 'cave', 'cave', 'wifi', 'operator', 'telkomsel', '']</v>
      </c>
      <c r="D2577" s="3">
        <v>5.0</v>
      </c>
    </row>
    <row r="2578" ht="15.75" customHeight="1">
      <c r="A2578" s="1">
        <v>2576.0</v>
      </c>
      <c r="B2578" s="3" t="s">
        <v>2578</v>
      </c>
      <c r="C2578" s="3" t="str">
        <f>IFERROR(__xludf.DUMMYFUNCTION("GOOGLETRANSLATE(B2578,""id"",""en"")"),"['Please', 'fix', 'buy', 'package', 'Error', 'Sampe', 'Maketin', 'Manual']")</f>
        <v>['Please', 'fix', 'buy', 'package', 'Error', 'Sampe', 'Maketin', 'Manual']</v>
      </c>
      <c r="D2578" s="3">
        <v>2.0</v>
      </c>
    </row>
    <row r="2579" ht="15.75" customHeight="1">
      <c r="A2579" s="1">
        <v>2577.0</v>
      </c>
      <c r="B2579" s="3" t="s">
        <v>2579</v>
      </c>
      <c r="C2579" s="3" t="str">
        <f>IFERROR(__xludf.DUMMYFUNCTION("GOOGLETRANSLATE(B2579,""id"",""en"")"),"['Nukar', 'Points',' quota ',' a day ',' She ',' quota ',' regular ',' wants', 'quota', 'regular', 'the enactment', 'that's',' Intention ',' Give ',' Give ', ""]")</f>
        <v>['Nukar', 'Points',' quota ',' a day ',' She ',' quota ',' regular ',' wants', 'quota', 'regular', 'the enactment', 'that's',' Intention ',' Give ',' Give ', "]</v>
      </c>
      <c r="D2579" s="3">
        <v>1.0</v>
      </c>
    </row>
    <row r="2580" ht="15.75" customHeight="1">
      <c r="A2580" s="1">
        <v>2578.0</v>
      </c>
      <c r="B2580" s="3" t="s">
        <v>2580</v>
      </c>
      <c r="C2580" s="3" t="str">
        <f>IFERROR(__xludf.DUMMYFUNCTION("GOOGLETRANSLATE(B2580,""id"",""en"")"),"['Come', 'ugly', 'network', 'game', 'online', 'sosmed', 'streaming', 'msh', 'okay', 'please', 'repair', 'quality', ' network', '']")</f>
        <v>['Come', 'ugly', 'network', 'game', 'online', 'sosmed', 'streaming', 'msh', 'okay', 'please', 'repair', 'quality', ' network', '']</v>
      </c>
      <c r="D2580" s="3">
        <v>1.0</v>
      </c>
    </row>
    <row r="2581" ht="15.75" customHeight="1">
      <c r="A2581" s="1">
        <v>2579.0</v>
      </c>
      <c r="B2581" s="3" t="s">
        <v>2581</v>
      </c>
      <c r="C2581" s="3" t="str">
        <f>IFERROR(__xludf.DUMMYFUNCTION("GOOGLETRANSLATE(B2581,""id"",""en"")"),"['Telkomsel', 'Difficult', 'Packed', 'Thinking', 'Min', 'Constraints',' Kah ',' Dowload ',' Dowload ',' Application ',' Connected ',' Telkomsel ',' Like ',' Maketkan ',' Package ',' Thinking ',' Invited ',' Compromise ',' Pas', 'Emergency', 'Upload', 'You"&amp;"Tube', 'Hard', 'Greetings',' Repair ' , '']")</f>
        <v>['Telkomsel', 'Difficult', 'Packed', 'Thinking', 'Min', 'Constraints',' Kah ',' Dowload ',' Dowload ',' Application ',' Connected ',' Telkomsel ',' Like ',' Maketkan ',' Package ',' Thinking ',' Invited ',' Compromise ',' Pas', 'Emergency', 'Upload', 'YouTube', 'Hard', 'Greetings',' Repair ' , '']</v>
      </c>
      <c r="D2581" s="3">
        <v>1.0</v>
      </c>
    </row>
    <row r="2582" ht="15.75" customHeight="1">
      <c r="A2582" s="1">
        <v>2580.0</v>
      </c>
      <c r="B2582" s="3" t="s">
        <v>2582</v>
      </c>
      <c r="C2582" s="3" t="str">
        <f>IFERROR(__xludf.DUMMYFUNCTION("GOOGLETRANSLATE(B2582,""id"",""en"")"),"['Please', 'Telkomsel', 'Package', 'Told', 'Defeated', 'rather than', 'Package', 'Main']")</f>
        <v>['Please', 'Telkomsel', 'Package', 'Told', 'Defeated', 'rather than', 'Package', 'Main']</v>
      </c>
      <c r="D2582" s="3">
        <v>5.0</v>
      </c>
    </row>
    <row r="2583" ht="15.75" customHeight="1">
      <c r="A2583" s="1">
        <v>2581.0</v>
      </c>
      <c r="B2583" s="3" t="s">
        <v>2583</v>
      </c>
      <c r="C2583" s="3" t="str">
        <f>IFERROR(__xludf.DUMMYFUNCTION("GOOGLETRANSLATE(B2583,""id"",""en"")"),"['Please', 'Develop', 'Features',' Key ',' Pulse ',' Package ',' Data ',' User ',' Out ',' Credit ',' User ',' CTH ',' Package ',' Out ',' Credit ',' Toped ',' Data ']")</f>
        <v>['Please', 'Develop', 'Features',' Key ',' Pulse ',' Package ',' Data ',' User ',' Out ',' Credit ',' User ',' CTH ',' Package ',' Out ',' Credit ',' Toped ',' Data ']</v>
      </c>
      <c r="D2583" s="3">
        <v>2.0</v>
      </c>
    </row>
    <row r="2584" ht="15.75" customHeight="1">
      <c r="A2584" s="1">
        <v>2582.0</v>
      </c>
      <c r="B2584" s="3" t="s">
        <v>2584</v>
      </c>
      <c r="C2584" s="3" t="str">
        <f>IFERROR(__xludf.DUMMYFUNCTION("GOOGLETRANSLATE(B2584,""id"",""en"")"),"['Sorry', 'ahir', 'signal', 'Telkomsel', 'slow down', 'pdhal', 'package', 'data', 'contents',' hope ',' game ',' ilang ',' signal ',' open ',' kdang ',' lag ',' dlu ',' palinh ',' joss', 'signal', 'reduced', 'knpa', 'beg', 'info' , '']")</f>
        <v>['Sorry', 'ahir', 'signal', 'Telkomsel', 'slow down', 'pdhal', 'package', 'data', 'contents',' hope ',' game ',' ilang ',' signal ',' open ',' kdang ',' lag ',' dlu ',' palinh ',' joss', 'signal', 'reduced', 'knpa', 'beg', 'info' , '']</v>
      </c>
      <c r="D2584" s="3">
        <v>2.0</v>
      </c>
    </row>
    <row r="2585" ht="15.75" customHeight="1">
      <c r="A2585" s="1">
        <v>2583.0</v>
      </c>
      <c r="B2585" s="3" t="s">
        <v>2585</v>
      </c>
      <c r="C2585" s="3" t="str">
        <f>IFERROR(__xludf.DUMMYFUNCTION("GOOGLETRANSLATE(B2585,""id"",""en"")"),"['Provide', 'Choice', 'Points', 'exchanged', 'Min', 'gift', 'just', 'business', 'default', 'forgiveness']")</f>
        <v>['Provide', 'Choice', 'Points', 'exchanged', 'Min', 'gift', 'just', 'business', 'default', 'forgiveness']</v>
      </c>
      <c r="D2585" s="3">
        <v>2.0</v>
      </c>
    </row>
    <row r="2586" ht="15.75" customHeight="1">
      <c r="A2586" s="1">
        <v>2584.0</v>
      </c>
      <c r="B2586" s="3" t="s">
        <v>2586</v>
      </c>
      <c r="C2586" s="3" t="str">
        <f>IFERROR(__xludf.DUMMYFUNCTION("GOOGLETRANSLATE(B2586,""id"",""en"")"),"['Signal', 'Telkomsel', 'Jeleeekk', 'Severe', 'Quality', 'Suits',' Price ',' Service ',' Price ',' Package ',' Internet ',' Expensive ',' Very ',' Quality ',' Signal ',' hushuuuukkk ',' location ',' home ',' city ',' ']")</f>
        <v>['Signal', 'Telkomsel', 'Jeleeekk', 'Severe', 'Quality', 'Suits',' Price ',' Service ',' Price ',' Package ',' Internet ',' Expensive ',' Very ',' Quality ',' Signal ',' hushuuuukkk ',' location ',' home ',' city ',' ']</v>
      </c>
      <c r="D2586" s="3">
        <v>1.0</v>
      </c>
    </row>
    <row r="2587" ht="15.75" customHeight="1">
      <c r="A2587" s="1">
        <v>2585.0</v>
      </c>
      <c r="B2587" s="3" t="s">
        <v>2587</v>
      </c>
      <c r="C2587" s="3" t="str">
        <f>IFERROR(__xludf.DUMMYFUNCTION("GOOGLETRANSLATE(B2587,""id"",""en"")"),"['WOI', 'Network', 'Please', 'Benerin', 'Lose', 'Tricks',' Mulu ',' Cave ',' Play ',' Please ',' Udh ',' package ',' rich ',' gini ',' network ',' nga ']")</f>
        <v>['WOI', 'Network', 'Please', 'Benerin', 'Lose', 'Tricks',' Mulu ',' Cave ',' Play ',' Please ',' Udh ',' package ',' rich ',' gini ',' network ',' nga ']</v>
      </c>
      <c r="D2587" s="3">
        <v>5.0</v>
      </c>
    </row>
    <row r="2588" ht="15.75" customHeight="1">
      <c r="A2588" s="1">
        <v>2586.0</v>
      </c>
      <c r="B2588" s="3" t="s">
        <v>2588</v>
      </c>
      <c r="C2588" s="3" t="str">
        <f>IFERROR(__xludf.DUMMYFUNCTION("GOOGLETRANSLATE(B2588,""id"",""en"")"),"['Siyal', 'here', 'strange', 'Telkomsel', 'no', 'strange', 'package', 'expensive', 'quality', 'please', 'fix']")</f>
        <v>['Siyal', 'here', 'strange', 'Telkomsel', 'no', 'strange', 'package', 'expensive', 'quality', 'please', 'fix']</v>
      </c>
      <c r="D2588" s="3">
        <v>1.0</v>
      </c>
    </row>
    <row r="2589" ht="15.75" customHeight="1">
      <c r="A2589" s="1">
        <v>2587.0</v>
      </c>
      <c r="B2589" s="3" t="s">
        <v>2589</v>
      </c>
      <c r="C2589" s="3" t="str">
        <f>IFERROR(__xludf.DUMMYFUNCTION("GOOGLETRANSLATE(B2589,""id"",""en"")"),"['Credit', 'Reduced', 'Out', '']")</f>
        <v>['Credit', 'Reduced', 'Out', '']</v>
      </c>
      <c r="D2589" s="3">
        <v>4.0</v>
      </c>
    </row>
    <row r="2590" ht="15.75" customHeight="1">
      <c r="A2590" s="1">
        <v>2588.0</v>
      </c>
      <c r="B2590" s="3" t="s">
        <v>2590</v>
      </c>
      <c r="C2590" s="3" t="str">
        <f>IFERROR(__xludf.DUMMYFUNCTION("GOOGLETRANSLATE(B2590,""id"",""en"")"),"['Credit', 'sucked', 'automatically', 'apply', 'package', 'say it', 'automatically', 'activate', 'exchange', 'point', 'exchanged', 'refund', ' try ',' quota ',' active ',' message ',' busy ',' server ',' tried ',' limit ',' transaction ']")</f>
        <v>['Credit', 'sucked', 'automatically', 'apply', 'package', 'say it', 'automatically', 'activate', 'exchange', 'point', 'exchanged', 'refund', ' try ',' quota ',' active ',' message ',' busy ',' server ',' tried ',' limit ',' transaction ']</v>
      </c>
      <c r="D2590" s="3">
        <v>1.0</v>
      </c>
    </row>
    <row r="2591" ht="15.75" customHeight="1">
      <c r="A2591" s="1">
        <v>2589.0</v>
      </c>
      <c r="B2591" s="3" t="s">
        <v>2591</v>
      </c>
      <c r="C2591" s="3" t="str">
        <f>IFERROR(__xludf.DUMMYFUNCTION("GOOGLETRANSLATE(B2591,""id"",""en"")"),"['KNPA', 'content', 'voucher', 'nominal', 'GB', 'HRI', 'Jwabanta', 'Sorry', 'system', 'busy', 'usually', 'Bisaya', ' MLM ',' itung ',' anb ',' hri ',' until ',' pkul ',' as', 'consumer', 'loss',' knapa ',' it is', 'right', 'package' , 'active', 'TPI', 'no"&amp;"minal', 'lngsung', 'active', 'what', '']")</f>
        <v>['KNPA', 'content', 'voucher', 'nominal', 'GB', 'HRI', 'Jwabanta', 'Sorry', 'system', 'busy', 'usually', 'Bisaya', ' MLM ',' itung ',' anb ',' hri ',' until ',' pkul ',' as', 'consumer', 'loss',' knapa ',' it is', 'right', 'package' , 'active', 'TPI', 'nominal', 'lngsung', 'active', 'what', '']</v>
      </c>
      <c r="D2591" s="3">
        <v>4.0</v>
      </c>
    </row>
    <row r="2592" ht="15.75" customHeight="1">
      <c r="A2592" s="1">
        <v>2590.0</v>
      </c>
      <c r="B2592" s="3" t="s">
        <v>2592</v>
      </c>
      <c r="C2592" s="3" t="str">
        <f>IFERROR(__xludf.DUMMYFUNCTION("GOOGLETRANSLATE(B2592,""id"",""en"")"),"['finished', 'difficult', 'Login', 'Try', 'Developer', 'Addin', 'Feature', 'Off', 'Package', 'Data', 'Ngatur', 'Package', ' Data ',' Dipake ',' Certain ',' Charged ',' CMN ',' Package ',' Package ',' Intention ',' Want ',' Speak ',' Package ',' Karna ',' "&amp;"expiration ' , 'Kekeake', 'package', 'buy', 'missing', 'because', 'expiration', 'loss',' please ',' developer ',' the rest ',' good ',' bonus', ' steady']")</f>
        <v>['finished', 'difficult', 'Login', 'Try', 'Developer', 'Addin', 'Feature', 'Off', 'Package', 'Data', 'Ngatur', 'Package', ' Data ',' Dipake ',' Certain ',' Charged ',' CMN ',' Package ',' Package ',' Intention ',' Want ',' Speak ',' Package ',' Karna ',' expiration ' , 'Kekeake', 'package', 'buy', 'missing', 'because', 'expiration', 'loss',' please ',' developer ',' the rest ',' good ',' bonus', ' steady']</v>
      </c>
      <c r="D2592" s="3">
        <v>2.0</v>
      </c>
    </row>
    <row r="2593" ht="15.75" customHeight="1">
      <c r="A2593" s="1">
        <v>2591.0</v>
      </c>
      <c r="B2593" s="3" t="s">
        <v>2593</v>
      </c>
      <c r="C2593" s="3" t="str">
        <f>IFERROR(__xludf.DUMMYFUNCTION("GOOGLETRANSLATE(B2593,""id"",""en"")"),"['Leech', 'land', 'pulse', 'run out', 'please', 'berenarin', 'weve', 'intentional', 'steal', 'pulse', 'customer', 'eat', ' Money ',' Haram ',' hooked ', ""]")</f>
        <v>['Leech', 'land', 'pulse', 'run out', 'please', 'berenarin', 'weve', 'intentional', 'steal', 'pulse', 'customer', 'eat', ' Money ',' Haram ',' hooked ', "]</v>
      </c>
      <c r="D2593" s="3">
        <v>1.0</v>
      </c>
    </row>
    <row r="2594" ht="15.75" customHeight="1">
      <c r="A2594" s="1">
        <v>2592.0</v>
      </c>
      <c r="B2594" s="3" t="s">
        <v>2594</v>
      </c>
      <c r="C2594" s="3" t="str">
        <f>IFERROR(__xludf.DUMMYFUNCTION("GOOGLETRANSLATE(B2594,""id"",""en"")"),"['Paketan', 'buy', 'already', 'Available', 'Paketan', 'Changed', 'Strange']")</f>
        <v>['Paketan', 'buy', 'already', 'Available', 'Paketan', 'Changed', 'Strange']</v>
      </c>
      <c r="D2594" s="3">
        <v>1.0</v>
      </c>
    </row>
    <row r="2595" ht="15.75" customHeight="1">
      <c r="A2595" s="1">
        <v>2593.0</v>
      </c>
      <c r="B2595" s="3" t="s">
        <v>2595</v>
      </c>
      <c r="C2595" s="3" t="str">
        <f>IFERROR(__xludf.DUMMYFUNCTION("GOOGLETRANSLATE(B2595,""id"",""en"")"),"['card', 'taik', 'card', 'Dajjal', 'price', 'expensive', 'network', 'kayak', 'pig', 'Telkomsel', 'delete', 'card', ' Telkomsel ',' Child ',' Dajjal ',' Taik ',' Taik ',' Taik ']")</f>
        <v>['card', 'taik', 'card', 'Dajjal', 'price', 'expensive', 'network', 'kayak', 'pig', 'Telkomsel', 'delete', 'card', ' Telkomsel ',' Child ',' Dajjal ',' Taik ',' Taik ',' Taik ']</v>
      </c>
      <c r="D2595" s="3">
        <v>1.0</v>
      </c>
    </row>
    <row r="2596" ht="15.75" customHeight="1">
      <c r="A2596" s="1">
        <v>2594.0</v>
      </c>
      <c r="B2596" s="3" t="s">
        <v>2596</v>
      </c>
      <c r="C2596" s="3" t="str">
        <f>IFERROR(__xludf.DUMMYFUNCTION("GOOGLETRANSLATE(B2596,""id"",""en"")"),"['The network', 'bad', 'price', 'expensive', 'quality', 'disappointing', '']")</f>
        <v>['The network', 'bad', 'price', 'expensive', 'quality', 'disappointing', '']</v>
      </c>
      <c r="D2596" s="3">
        <v>1.0</v>
      </c>
    </row>
    <row r="2597" ht="15.75" customHeight="1">
      <c r="A2597" s="1">
        <v>2595.0</v>
      </c>
      <c r="B2597" s="3" t="s">
        <v>2597</v>
      </c>
      <c r="C2597" s="3" t="str">
        <f>IFERROR(__xludf.DUMMYFUNCTION("GOOGLETRANSLATE(B2597,""id"",""en"")"),"['Program', 'Points',' Check ',' Hopefully ',' Defend ',' Helpful ',' Claims', 'Get', 'Quota', 'Learning', 'Online', 'Running Out', ' Points', 'Jaya', 'blessings',' Telkomsel ',' awaited ',' yaa ',' ']")</f>
        <v>['Program', 'Points',' Check ',' Hopefully ',' Defend ',' Helpful ',' Claims', 'Get', 'Quota', 'Learning', 'Online', 'Running Out', ' Points', 'Jaya', 'blessings',' Telkomsel ',' awaited ',' yaa ',' ']</v>
      </c>
      <c r="D2597" s="3">
        <v>5.0</v>
      </c>
    </row>
    <row r="2598" ht="15.75" customHeight="1">
      <c r="A2598" s="1">
        <v>2596.0</v>
      </c>
      <c r="B2598" s="3" t="s">
        <v>2598</v>
      </c>
      <c r="C2598" s="3" t="str">
        <f>IFERROR(__xludf.DUMMYFUNCTION("GOOGLETRANSLATE(B2598,""id"",""en"")"),"['Good', 'really', 'application', 'complication', 'complicated', 'Telkomsel', 'all-round', 'instant', 'josss', '']")</f>
        <v>['Good', 'really', 'application', 'complication', 'complicated', 'Telkomsel', 'all-round', 'instant', 'josss', '']</v>
      </c>
      <c r="D2598" s="3">
        <v>5.0</v>
      </c>
    </row>
    <row r="2599" ht="15.75" customHeight="1">
      <c r="A2599" s="1">
        <v>2597.0</v>
      </c>
      <c r="B2599" s="3" t="s">
        <v>2599</v>
      </c>
      <c r="C2599" s="3" t="str">
        <f>IFERROR(__xludf.DUMMYFUNCTION("GOOGLETRANSLATE(B2599,""id"",""en"")"),"['Network', 'please', 'launched', 'Anjiing', 'package', 'expensive', 'network', 'ugly', 'ngerak', 'kah', 'little', 'money', ' run out ',' buy ',' package ',' gave ',' money ',' network ',' please ',' launched ',' play ',' credit ',' score ',' lost ',' Gar"&amp;"a ' , 'Gara', 'Network', 'ugly', 'Kalik', '']")</f>
        <v>['Network', 'please', 'launched', 'Anjiing', 'package', 'expensive', 'network', 'ugly', 'ngerak', 'kah', 'little', 'money', ' run out ',' buy ',' package ',' gave ',' money ',' network ',' please ',' launched ',' play ',' credit ',' score ',' lost ',' Gara ' , 'Gara', 'Network', 'ugly', 'Kalik', '']</v>
      </c>
      <c r="D2599" s="3">
        <v>1.0</v>
      </c>
    </row>
    <row r="2600" ht="15.75" customHeight="1">
      <c r="A2600" s="1">
        <v>2598.0</v>
      </c>
      <c r="B2600" s="3" t="s">
        <v>2600</v>
      </c>
      <c r="C2600" s="3" t="str">
        <f>IFERROR(__xludf.DUMMYFUNCTION("GOOGLETRANSLATE(B2600,""id"",""en"")"),"['times',' bought ',' pulse ',' application ',' point ',' reason ',' payment ',' fail ',' balance ',' reduced ',' pulse ',' enter ',' Cards', 'sympathy', '']")</f>
        <v>['times',' bought ',' pulse ',' application ',' point ',' reason ',' payment ',' fail ',' balance ',' reduced ',' pulse ',' enter ',' Cards', 'sympathy', '']</v>
      </c>
      <c r="D2600" s="3">
        <v>3.0</v>
      </c>
    </row>
    <row r="2601" ht="15.75" customHeight="1">
      <c r="A2601" s="1">
        <v>2599.0</v>
      </c>
      <c r="B2601" s="3" t="s">
        <v>2601</v>
      </c>
      <c r="C2601" s="3" t="str">
        <f>IFERROR(__xludf.DUMMYFUNCTION("GOOGLETRANSLATE(B2601,""id"",""en"")"),"['Good', 'application', 'hope', 'win', 'win', 'love', 'star', 'hope', 'dating', 'best', 'best', 'Alhamdulillah', ' opportunity ',' good ',' defense ',' yes', 'win', 'win', 'win', ""]")</f>
        <v>['Good', 'application', 'hope', 'win', 'win', 'love', 'star', 'hope', 'dating', 'best', 'best', 'Alhamdulillah', ' opportunity ',' good ',' defense ',' yes', 'win', 'win', 'win', "]</v>
      </c>
      <c r="D2601" s="3">
        <v>5.0</v>
      </c>
    </row>
    <row r="2602" ht="15.75" customHeight="1">
      <c r="A2602" s="1">
        <v>2600.0</v>
      </c>
      <c r="B2602" s="3" t="s">
        <v>2602</v>
      </c>
      <c r="C2602" s="3" t="str">
        <f>IFERROR(__xludf.DUMMYFUNCTION("GOOGLETRANSLATE(B2602,""id"",""en"")"),"['Disruption', 'Mulu', 'Ngelag', 'slow', 'expensive', 'watch', 'film', 'anime', 'duration', 'minute', 'hours',' duration ',' Gara ',' signal ',' slow ',' already ',' buy ',' package ',' expensive ',' signal ',' slow ',' really ',' disappointed ',' cave ']")</f>
        <v>['Disruption', 'Mulu', 'Ngelag', 'slow', 'expensive', 'watch', 'film', 'anime', 'duration', 'minute', 'hours',' duration ',' Gara ',' signal ',' slow ',' already ',' buy ',' package ',' expensive ',' signal ',' slow ',' really ',' disappointed ',' cave ']</v>
      </c>
      <c r="D2602" s="3">
        <v>1.0</v>
      </c>
    </row>
    <row r="2603" ht="15.75" customHeight="1">
      <c r="A2603" s="1">
        <v>2601.0</v>
      </c>
      <c r="B2603" s="3" t="s">
        <v>2603</v>
      </c>
      <c r="C2603" s="3" t="str">
        <f>IFERROR(__xludf.DUMMYFUNCTION("GOOGLETRANSLATE(B2603,""id"",""en"")"),"['hate', 'disappointed', 'product', 'pulse', 'run out', 'signal', 'lag', 'run', 'application', 'data']")</f>
        <v>['hate', 'disappointed', 'product', 'pulse', 'run out', 'signal', 'lag', 'run', 'application', 'data']</v>
      </c>
      <c r="D2603" s="3">
        <v>1.0</v>
      </c>
    </row>
    <row r="2604" ht="15.75" customHeight="1">
      <c r="A2604" s="1">
        <v>2602.0</v>
      </c>
      <c r="B2604" s="3" t="s">
        <v>2604</v>
      </c>
      <c r="C2604" s="3" t="str">
        <f>IFERROR(__xludf.DUMMYFUNCTION("GOOGLETRANSLATE(B2604,""id"",""en"")"),"['application', 'Help', 'beside', 'makes it easy', 'bonus',' quota ',' etc. ',' Telkomsel ',' in the future ',' Please ',' application ',' developed ',' Adding ',' Features', 'Set', 'Priority', 'Use', 'Quota', 'Quota', 'Main', 'Change', 'Use', 'Quota', 'T"&amp;"sb', 'Meet' , 'Besides', 'TSB', 'Satisfying', 'Thank you', ""]")</f>
        <v>['application', 'Help', 'beside', 'makes it easy', 'bonus',' quota ',' etc. ',' Telkomsel ',' in the future ',' Please ',' application ',' developed ',' Adding ',' Features', 'Set', 'Priority', 'Use', 'Quota', 'Quota', 'Main', 'Change', 'Use', 'Quota', 'Tsb', 'Meet' , 'Besides', 'TSB', 'Satisfying', 'Thank you', "]</v>
      </c>
      <c r="D2604" s="3">
        <v>4.0</v>
      </c>
    </row>
    <row r="2605" ht="15.75" customHeight="1">
      <c r="A2605" s="1">
        <v>2603.0</v>
      </c>
      <c r="B2605" s="3" t="s">
        <v>2605</v>
      </c>
      <c r="C2605" s="3" t="str">
        <f>IFERROR(__xludf.DUMMYFUNCTION("GOOGLETRANSLATE(B2605,""id"",""en"")"),"['users',' Telkomsel ',' signal ',' Telkomsel ',' smooth ',' obstacles', 'signal', 'Telkomsel', 'slow', 'service', 'according to', 'price', ' Package ',' internet ',' soaring ',' price ',' ']")</f>
        <v>['users',' Telkomsel ',' signal ',' Telkomsel ',' smooth ',' obstacles', 'signal', 'Telkomsel', 'slow', 'service', 'according to', 'price', ' Package ',' internet ',' soaring ',' price ',' ']</v>
      </c>
      <c r="D2605" s="3">
        <v>1.0</v>
      </c>
    </row>
    <row r="2606" ht="15.75" customHeight="1">
      <c r="A2606" s="1">
        <v>2604.0</v>
      </c>
      <c r="B2606" s="3" t="s">
        <v>2606</v>
      </c>
      <c r="C2606" s="3" t="str">
        <f>IFERROR(__xludf.DUMMYFUNCTION("GOOGLETRANSLATE(B2606,""id"",""en"")"),"['Provider', 'full', 'disappointment', 'signal', 'stable', 'anything', 'streaming', 'film', 'zoom', 'meeting', 'game', 'online', ' Complaints', 'CUSTOMER', 'DIYBRIS']")</f>
        <v>['Provider', 'full', 'disappointment', 'signal', 'stable', 'anything', 'streaming', 'film', 'zoom', 'meeting', 'game', 'online', ' Complaints', 'CUSTOMER', 'DIYBRIS']</v>
      </c>
      <c r="D2606" s="3">
        <v>1.0</v>
      </c>
    </row>
    <row r="2607" ht="15.75" customHeight="1">
      <c r="A2607" s="1">
        <v>2605.0</v>
      </c>
      <c r="B2607" s="3" t="s">
        <v>2607</v>
      </c>
      <c r="C2607" s="3" t="str">
        <f>IFERROR(__xludf.DUMMYFUNCTION("GOOGLETRANSLATE(B2607,""id"",""en"")"),"['Telkom', 'cell', 'already', 'tired', 'buy', 'package', 'expensive', 'expensive', 'kayak', 'taik', 'signal', ""]")</f>
        <v>['Telkom', 'cell', 'already', 'tired', 'buy', 'package', 'expensive', 'expensive', 'kayak', 'taik', 'signal', "]</v>
      </c>
      <c r="D2607" s="3">
        <v>1.0</v>
      </c>
    </row>
    <row r="2608" ht="15.75" customHeight="1">
      <c r="A2608" s="1">
        <v>2606.0</v>
      </c>
      <c r="B2608" s="3" t="s">
        <v>2608</v>
      </c>
      <c r="C2608" s="3" t="str">
        <f>IFERROR(__xludf.DUMMYFUNCTION("GOOGLETRANSLATE(B2608,""id"",""en"")"),"['promo', 'exchange', 'Points',' can ',' right ',' exchanged ',' quota ',' use ',' quota ',' local ',' sumps', 'Telkomsel', ' Ngani ',' Ngadi ',' Nipu ',' Customer ']")</f>
        <v>['promo', 'exchange', 'Points',' can ',' right ',' exchanged ',' quota ',' use ',' quota ',' local ',' sumps', 'Telkomsel', ' Ngani ',' Ngadi ',' Nipu ',' Customer ']</v>
      </c>
      <c r="D2608" s="3">
        <v>1.0</v>
      </c>
    </row>
    <row r="2609" ht="15.75" customHeight="1">
      <c r="A2609" s="1">
        <v>2607.0</v>
      </c>
      <c r="B2609" s="3" t="s">
        <v>2609</v>
      </c>
      <c r="C2609" s="3" t="str">
        <f>IFERROR(__xludf.DUMMYFUNCTION("GOOGLETRANSLATE(B2609,""id"",""en"")"),"['Good', 'application', 'makes it easier', 'buy', 'package', 'data', 'pulse', 'then', 'prize']")</f>
        <v>['Good', 'application', 'makes it easier', 'buy', 'package', 'data', 'pulse', 'then', 'prize']</v>
      </c>
      <c r="D2609" s="3">
        <v>5.0</v>
      </c>
    </row>
    <row r="2610" ht="15.75" customHeight="1">
      <c r="A2610" s="1">
        <v>2608.0</v>
      </c>
      <c r="B2610" s="3" t="s">
        <v>2610</v>
      </c>
      <c r="C2610" s="3" t="str">
        <f>IFERROR(__xludf.DUMMYFUNCTION("GOOGLETRANSLATE(B2610,""id"",""en"")"),"['Good', 'Kepo', 'yaaaa', 'success',' Telkomsel ',' Hopefully ',' network ',' strength ',' signal ',' Telkomsel ',' smooth ',' lag ',' ']")</f>
        <v>['Good', 'Kepo', 'yaaaa', 'success',' Telkomsel ',' Hopefully ',' network ',' strength ',' signal ',' Telkomsel ',' smooth ',' lag ',' ']</v>
      </c>
      <c r="D2610" s="3">
        <v>5.0</v>
      </c>
    </row>
    <row r="2611" ht="15.75" customHeight="1">
      <c r="A2611" s="1">
        <v>2609.0</v>
      </c>
      <c r="B2611" s="3" t="s">
        <v>2611</v>
      </c>
      <c r="C2611" s="3" t="str">
        <f>IFERROR(__xludf.DUMMYFUNCTION("GOOGLETRANSLATE(B2611,""id"",""en"")"),"['entry', 'sense', 'buy', 'quota', 'learn', 'quota', 'main', 'run out', 'first', 'sida', 'fooled', 'thousand', ' minute']")</f>
        <v>['entry', 'sense', 'buy', 'quota', 'learn', 'quota', 'main', 'run out', 'first', 'sida', 'fooled', 'thousand', ' minute']</v>
      </c>
      <c r="D2611" s="3">
        <v>1.0</v>
      </c>
    </row>
    <row r="2612" ht="15.75" customHeight="1">
      <c r="A2612" s="1">
        <v>2610.0</v>
      </c>
      <c r="B2612" s="3" t="s">
        <v>2612</v>
      </c>
      <c r="C2612" s="3" t="str">
        <f>IFERROR(__xludf.DUMMYFUNCTION("GOOGLETRANSLATE(B2612,""id"",""en"")"),"['Good', 'really', 'application', '']")</f>
        <v>['Good', 'really', 'application', '']</v>
      </c>
      <c r="D2612" s="3">
        <v>5.0</v>
      </c>
    </row>
    <row r="2613" ht="15.75" customHeight="1">
      <c r="A2613" s="1">
        <v>2611.0</v>
      </c>
      <c r="B2613" s="3" t="s">
        <v>2613</v>
      </c>
      <c r="C2613" s="3" t="str">
        <f>IFERROR(__xludf.DUMMYFUNCTION("GOOGLETRANSLATE(B2613,""id"",""en"")"),"['Telkomsel', 'GBLK', 'Nukar', 'Package', 'Points', 'already', 'Exchange', 'Tenyata', 'Get', 'Package']")</f>
        <v>['Telkomsel', 'GBLK', 'Nukar', 'Package', 'Points', 'already', 'Exchange', 'Tenyata', 'Get', 'Package']</v>
      </c>
      <c r="D2613" s="3">
        <v>1.0</v>
      </c>
    </row>
    <row r="2614" ht="15.75" customHeight="1">
      <c r="A2614" s="1">
        <v>2612.0</v>
      </c>
      <c r="B2614" s="3" t="s">
        <v>2614</v>
      </c>
      <c r="C2614" s="3" t="str">
        <f>IFERROR(__xludf.DUMMYFUNCTION("GOOGLETRANSLATE(B2614,""id"",""en"")"),"['Application', 'Update', 'Mulu', 'Bored', 'Tauk', 'Update', 'Huh']")</f>
        <v>['Application', 'Update', 'Mulu', 'Bored', 'Tauk', 'Update', 'Huh']</v>
      </c>
      <c r="D2614" s="3">
        <v>2.0</v>
      </c>
    </row>
    <row r="2615" ht="15.75" customHeight="1">
      <c r="A2615" s="1">
        <v>2613.0</v>
      </c>
      <c r="B2615" s="3" t="s">
        <v>2615</v>
      </c>
      <c r="C2615" s="3" t="str">
        <f>IFERROR(__xludf.DUMMYFUNCTION("GOOGLETRANSLATE(B2615,""id"",""en"")"),"['already', 'subscription', 'cheap', 'package', 'data', 'expensive', 'sequence', 'already', 'so', 'Telkomsel', 'his hands',' difficult ',' signal ',' lag ',' oath ',' disappointed ',' Telkomsel ',' kayak ',' ']")</f>
        <v>['already', 'subscription', 'cheap', 'package', 'data', 'expensive', 'sequence', 'already', 'so', 'Telkomsel', 'his hands',' difficult ',' signal ',' lag ',' oath ',' disappointed ',' Telkomsel ',' kayak ',' ']</v>
      </c>
      <c r="D2615" s="3">
        <v>2.0</v>
      </c>
    </row>
    <row r="2616" ht="15.75" customHeight="1">
      <c r="A2616" s="1">
        <v>2614.0</v>
      </c>
      <c r="B2616" s="3" t="s">
        <v>2616</v>
      </c>
      <c r="C2616" s="3" t="str">
        <f>IFERROR(__xludf.DUMMYFUNCTION("GOOGLETRANSLATE(B2616,""id"",""en"")"),"['Telkomsel', 'hrs', 'brave', 'changed', 'skrng', 'aga', 'better', 'choice', 'package', 'save', '']")</f>
        <v>['Telkomsel', 'hrs', 'brave', 'changed', 'skrng', 'aga', 'better', 'choice', 'package', 'save', '']</v>
      </c>
      <c r="D2616" s="3">
        <v>4.0</v>
      </c>
    </row>
    <row r="2617" ht="15.75" customHeight="1">
      <c r="A2617" s="1">
        <v>2615.0</v>
      </c>
      <c r="B2617" s="3" t="s">
        <v>2617</v>
      </c>
      <c r="C2617" s="3" t="str">
        <f>IFERROR(__xludf.DUMMYFUNCTION("GOOGLETRANSLATE(B2617,""id"",""en"")"),"['please', 'signal', 'fix', 'mentang', 'clock', 'rest', 'rich', 'gini', 'signal', 'direct', 'error', 'cloudy', ' Users', 'internet', 'active', 'clock', 'disappointed', 'then', 'signal', 'rich', 'gini', 'please', 'fix']")</f>
        <v>['please', 'signal', 'fix', 'mentang', 'clock', 'rest', 'rich', 'gini', 'signal', 'direct', 'error', 'cloudy', ' Users', 'internet', 'active', 'clock', 'disappointed', 'then', 'signal', 'rich', 'gini', 'please', 'fix']</v>
      </c>
      <c r="D2617" s="3">
        <v>1.0</v>
      </c>
    </row>
    <row r="2618" ht="15.75" customHeight="1">
      <c r="A2618" s="1">
        <v>2616.0</v>
      </c>
      <c r="B2618" s="3" t="s">
        <v>2618</v>
      </c>
      <c r="C2618" s="3" t="str">
        <f>IFERROR(__xludf.DUMMYFUNCTION("GOOGLETRANSLATE(B2618,""id"",""en"")"),"['Move', 'card', 'im', 'shocked', 'price', 'package', 'im', 'jai', 'really', 'cheap', 'compared to', 'Telkomsel', ' Istila ',' Mid ',' Night ',' Night ',' Night ',' Morning ',' Afternoon ',' Afternoon ',' Local ',' Interlobal ',' Watch ',' Learn ',' What'"&amp;"s' , 'Most', 'type', 'card', 'already', 'cheap', 'quota', 'fiddened', 'used', 'what' do ',' division ',' hopefully ',' Telkomsel ',' fix ',' aspects', 'price', 'use', 'package', 'consumer', 'move', 'operator', 'network', ""]")</f>
        <v>['Move', 'card', 'im', 'shocked', 'price', 'package', 'im', 'jai', 'really', 'cheap', 'compared to', 'Telkomsel', ' Istila ',' Mid ',' Night ',' Night ',' Night ',' Morning ',' Afternoon ',' Afternoon ',' Local ',' Interlobal ',' Watch ',' Learn ',' What's' , 'Most', 'type', 'card', 'already', 'cheap', 'quota', 'fiddened', 'used', 'what' do ',' division ',' hopefully ',' Telkomsel ',' fix ',' aspects', 'price', 'use', 'package', 'consumer', 'move', 'operator', 'network', "]</v>
      </c>
      <c r="D2618" s="3">
        <v>1.0</v>
      </c>
    </row>
    <row r="2619" ht="15.75" customHeight="1">
      <c r="A2619" s="1">
        <v>2617.0</v>
      </c>
      <c r="B2619" s="3" t="s">
        <v>2619</v>
      </c>
      <c r="C2619" s="3" t="str">
        <f>IFERROR(__xludf.DUMMYFUNCTION("GOOGLETRANSLATE(B2619,""id"",""en"")"),"['Please', 'Add', 'Features', 'Top', 'Game', 'Purchase', 'Web', 'Pieces', 'Not bad']")</f>
        <v>['Please', 'Add', 'Features', 'Top', 'Game', 'Purchase', 'Web', 'Pieces', 'Not bad']</v>
      </c>
      <c r="D2619" s="3">
        <v>2.0</v>
      </c>
    </row>
    <row r="2620" ht="15.75" customHeight="1">
      <c r="A2620" s="1">
        <v>2618.0</v>
      </c>
      <c r="B2620" s="3" t="s">
        <v>2620</v>
      </c>
      <c r="C2620" s="3" t="str">
        <f>IFERROR(__xludf.DUMMYFUNCTION("GOOGLETRANSLATE(B2620,""id"",""en"")"),"['Switch', 'Telkomsel', 'use', 'Medsos',' Game ',' browsing ',' fun ',' easy ',' accessible ',' the difference ',' card ',' hope ',' Hopefully ',' in the future ',' stability ',' network ',' user ',' satisfied ',' happy ',' in connection ', ""]")</f>
        <v>['Switch', 'Telkomsel', 'use', 'Medsos',' Game ',' browsing ',' fun ',' easy ',' accessible ',' the difference ',' card ',' hope ',' Hopefully ',' in the future ',' stability ',' network ',' user ',' satisfied ',' happy ',' in connection ', "]</v>
      </c>
      <c r="D2620" s="3">
        <v>1.0</v>
      </c>
    </row>
    <row r="2621" ht="15.75" customHeight="1">
      <c r="A2621" s="1">
        <v>2619.0</v>
      </c>
      <c r="B2621" s="3" t="s">
        <v>2621</v>
      </c>
      <c r="C2621" s="3" t="str">
        <f>IFERROR(__xludf.DUMMYFUNCTION("GOOGLETRANSLATE(B2621,""id"",""en"")"),"['Star', 'Gift', 'Exchange', 'Points', 'Star']")</f>
        <v>['Star', 'Gift', 'Exchange', 'Points', 'Star']</v>
      </c>
      <c r="D2621" s="3">
        <v>3.0</v>
      </c>
    </row>
    <row r="2622" ht="15.75" customHeight="1">
      <c r="A2622" s="1">
        <v>2620.0</v>
      </c>
      <c r="B2622" s="3" t="s">
        <v>2622</v>
      </c>
      <c r="C2622" s="3" t="str">
        <f>IFERROR(__xludf.DUMMYFUNCTION("GOOGLETRANSLATE(B2622,""id"",""en"")"),"['Paketan', 'expensive', 'signal', 'kek', 'pulp', 'please', 'Asked', 'price', 'feeling', 'MLS', 'data', 'Mending', ' Change ',' trs']")</f>
        <v>['Paketan', 'expensive', 'signal', 'kek', 'pulp', 'please', 'Asked', 'price', 'feeling', 'MLS', 'data', 'Mending', ' Change ',' trs']</v>
      </c>
      <c r="D2622" s="3">
        <v>1.0</v>
      </c>
    </row>
    <row r="2623" ht="15.75" customHeight="1">
      <c r="A2623" s="1">
        <v>2621.0</v>
      </c>
      <c r="B2623" s="3" t="s">
        <v>2623</v>
      </c>
      <c r="C2623" s="3" t="str">
        <f>IFERROR(__xludf.DUMMYFUNCTION("GOOGLETRANSLATE(B2623,""id"",""en"")"),"['active', 'package', 'emergency', 'Tampa', 'permission', 'customer', 'customer', 'detrimental', 'know']")</f>
        <v>['active', 'package', 'emergency', 'Tampa', 'permission', 'customer', 'customer', 'detrimental', 'know']</v>
      </c>
      <c r="D2623" s="3">
        <v>1.0</v>
      </c>
    </row>
    <row r="2624" ht="15.75" customHeight="1">
      <c r="A2624" s="1">
        <v>2622.0</v>
      </c>
      <c r="B2624" s="3" t="s">
        <v>2624</v>
      </c>
      <c r="C2624" s="3" t="str">
        <f>IFERROR(__xludf.DUMMYFUNCTION("GOOGLETRANSLATE(B2624,""id"",""en"")"),"['network', 'easy', 'accessed', 'operational', 'data', 'periodic', 'maximum']")</f>
        <v>['network', 'easy', 'accessed', 'operational', 'data', 'periodic', 'maximum']</v>
      </c>
      <c r="D2624" s="3">
        <v>5.0</v>
      </c>
    </row>
    <row r="2625" ht="15.75" customHeight="1">
      <c r="A2625" s="1">
        <v>2623.0</v>
      </c>
      <c r="B2625" s="3" t="s">
        <v>2625</v>
      </c>
      <c r="C2625" s="3" t="str">
        <f>IFERROR(__xludf.DUMMYFUNCTION("GOOGLETRANSLATE(B2625,""id"",""en"")"),"['quota', 'unlimited', 'quota', 'main', 'abis',' dipake ',' game ',' youtube ',' loading ',' emang ',' really ',' lebel ',' BUMN ',' Quality ',' Bad ',' ']")</f>
        <v>['quota', 'unlimited', 'quota', 'main', 'abis',' dipake ',' game ',' youtube ',' loading ',' emang ',' really ',' lebel ',' BUMN ',' Quality ',' Bad ',' ']</v>
      </c>
      <c r="D2625" s="3">
        <v>1.0</v>
      </c>
    </row>
    <row r="2626" ht="15.75" customHeight="1">
      <c r="A2626" s="1">
        <v>2624.0</v>
      </c>
      <c r="B2626" s="3" t="s">
        <v>2626</v>
      </c>
      <c r="C2626" s="3" t="str">
        <f>IFERROR(__xludf.DUMMYFUNCTION("GOOGLETRANSLATE(B2626,""id"",""en"")"),"['Defend', 'Service', 'Thank', 'MyTelkomsel']")</f>
        <v>['Defend', 'Service', 'Thank', 'MyTelkomsel']</v>
      </c>
      <c r="D2626" s="3">
        <v>5.0</v>
      </c>
    </row>
    <row r="2627" ht="15.75" customHeight="1">
      <c r="A2627" s="1">
        <v>2625.0</v>
      </c>
      <c r="B2627" s="3" t="s">
        <v>2627</v>
      </c>
      <c r="C2627" s="3" t="str">
        <f>IFERROR(__xludf.DUMMYFUNCTION("GOOGLETRANSLATE(B2627,""id"",""en"")"),"['Stay', 'Region', 'Karawaci', 'Tangerang', 'Urban', 'Knp', 'Sinyal', 'Kyk', 'Forest', 'Leet', 'Shy', 'Telkom', ' pay it ',' expensive ',' bet ']")</f>
        <v>['Stay', 'Region', 'Karawaci', 'Tangerang', 'Urban', 'Knp', 'Sinyal', 'Kyk', 'Forest', 'Leet', 'Shy', 'Telkom', ' pay it ',' expensive ',' bet ']</v>
      </c>
      <c r="D2627" s="3">
        <v>1.0</v>
      </c>
    </row>
    <row r="2628" ht="15.75" customHeight="1">
      <c r="A2628" s="1">
        <v>2626.0</v>
      </c>
      <c r="B2628" s="3" t="s">
        <v>2628</v>
      </c>
      <c r="C2628" s="3" t="str">
        <f>IFERROR(__xludf.DUMMYFUNCTION("GOOGLETRANSLATE(B2628,""id"",""en"")"),"['Please', 'Read', 'users',' Telkomsel ',' signal ',' Nge ',' Lek ',' Mulu ',' Region ',' PIK ',' Jakarta ',' North ',' difficult ',' signal ',' provaider ',' expensive ',' price ',' package ',' pulse ',' please ',' fix it ',' signal ']")</f>
        <v>['Please', 'Read', 'users',' Telkomsel ',' signal ',' Nge ',' Lek ',' Mulu ',' Region ',' PIK ',' Jakarta ',' North ',' difficult ',' signal ',' provaider ',' expensive ',' price ',' package ',' pulse ',' please ',' fix it ',' signal ']</v>
      </c>
      <c r="D2628" s="3">
        <v>1.0</v>
      </c>
    </row>
    <row r="2629" ht="15.75" customHeight="1">
      <c r="A2629" s="1">
        <v>2627.0</v>
      </c>
      <c r="B2629" s="3" t="s">
        <v>2629</v>
      </c>
      <c r="C2629" s="3" t="str">
        <f>IFERROR(__xludf.DUMMYFUNCTION("GOOGLETRANSLATE(B2629,""id"",""en"")"),"['It hurts',' Telkomsel ',' mah ',' internet ',' cheap ',' slow ',' pay ',' until ',' bln ',' coakes', 'package', 'Telkomsel', ' flash ',' point ',' reward ',' meek ',' moral ',' shopping ',' topup ',' got ',' cost ',' rb ',' topup ',' tepok ',' forehead "&amp;"' , 'Telkomsel', 'era', 'ancient', 'good', 'disignal', 'doang', 'right', 'gada', 'change', ""]")</f>
        <v>['It hurts',' Telkomsel ',' mah ',' internet ',' cheap ',' slow ',' pay ',' until ',' bln ',' coakes', 'package', 'Telkomsel', ' flash ',' point ',' reward ',' meek ',' moral ',' shopping ',' topup ',' got ',' cost ',' rb ',' topup ',' tepok ',' forehead ' , 'Telkomsel', 'era', 'ancient', 'good', 'disignal', 'doang', 'right', 'gada', 'change', "]</v>
      </c>
      <c r="D2629" s="3">
        <v>1.0</v>
      </c>
    </row>
    <row r="2630" ht="15.75" customHeight="1">
      <c r="A2630" s="1">
        <v>2628.0</v>
      </c>
      <c r="B2630" s="3" t="s">
        <v>2630</v>
      </c>
      <c r="C2630" s="3" t="str">
        <f>IFERROR(__xludf.DUMMYFUNCTION("GOOGLETRANSLATE(B2630,""id"",""en"")"),"['Sis',' Tower ',' Telkomsel ',' affects', 'network', 'enter', 'Dri', 'Tower', 'tmpat', 'kmi', 'blom', 'wake up', ' signal ',' good ',' tower ',' wake up ',' good ',' network ',' ugly ',' boss', ""]")</f>
        <v>['Sis',' Tower ',' Telkomsel ',' affects', 'network', 'enter', 'Dri', 'Tower', 'tmpat', 'kmi', 'blom', 'wake up', ' signal ',' good ',' tower ',' wake up ',' good ',' network ',' ugly ',' boss', "]</v>
      </c>
      <c r="D2630" s="3">
        <v>4.0</v>
      </c>
    </row>
    <row r="2631" ht="15.75" customHeight="1">
      <c r="A2631" s="1">
        <v>2629.0</v>
      </c>
      <c r="B2631" s="3" t="s">
        <v>2631</v>
      </c>
      <c r="C2631" s="3" t="str">
        <f>IFERROR(__xludf.DUMMYFUNCTION("GOOGLETRANSLATE(B2631,""id"",""en"")"),"['Pembing', 'pulses', 'Abis', 'Gara']")</f>
        <v>['Pembing', 'pulses', 'Abis', 'Gara']</v>
      </c>
      <c r="D2631" s="3">
        <v>4.0</v>
      </c>
    </row>
    <row r="2632" ht="15.75" customHeight="1">
      <c r="A2632" s="1">
        <v>2630.0</v>
      </c>
      <c r="B2632" s="3" t="s">
        <v>2632</v>
      </c>
      <c r="C2632" s="3" t="str">
        <f>IFERROR(__xludf.DUMMYFUNCTION("GOOGLETRANSLATE(B2632,""id"",""en"")"),"['', 'Package', 'Internet', 'Doang', 'Combo', 'just', 'GWGA', 'Need', 'Package', 'Combo', 'Need', 'Package', 'Internet ',' Doang ',' internet ',' monthly ',' doang ']")</f>
        <v>['', 'Package', 'Internet', 'Doang', 'Combo', 'just', 'GWGA', 'Need', 'Package', 'Combo', 'Need', 'Package', 'Internet ',' Doang ',' internet ',' monthly ',' doang ']</v>
      </c>
      <c r="D2632" s="3">
        <v>1.0</v>
      </c>
    </row>
    <row r="2633" ht="15.75" customHeight="1">
      <c r="A2633" s="1">
        <v>2631.0</v>
      </c>
      <c r="B2633" s="3" t="s">
        <v>2633</v>
      </c>
      <c r="C2633" s="3" t="str">
        <f>IFERROR(__xludf.DUMMYFUNCTION("GOOGLETRANSLATE(B2633,""id"",""en"")"),"['Fix', 'quality', 'network', 'price', 'quota', 'internet', 'affordable', 'user', '']")</f>
        <v>['Fix', 'quality', 'network', 'price', 'quota', 'internet', 'affordable', 'user', '']</v>
      </c>
      <c r="D2633" s="3">
        <v>4.0</v>
      </c>
    </row>
    <row r="2634" ht="15.75" customHeight="1">
      <c r="A2634" s="1">
        <v>2632.0</v>
      </c>
      <c r="B2634" s="3" t="s">
        <v>2634</v>
      </c>
      <c r="C2634" s="3" t="str">
        <f>IFERROR(__xludf.DUMMYFUNCTION("GOOGLETRANSLATE(B2634,""id"",""en"")"),"['dlu', 'TTP', 'Telkomsel', 'Sometimes', 'Region', 'Sousal', 'Strong', '']")</f>
        <v>['dlu', 'TTP', 'Telkomsel', 'Sometimes', 'Region', 'Sousal', 'Strong', '']</v>
      </c>
      <c r="D2634" s="3">
        <v>5.0</v>
      </c>
    </row>
    <row r="2635" ht="15.75" customHeight="1">
      <c r="A2635" s="1">
        <v>2633.0</v>
      </c>
      <c r="B2635" s="3" t="s">
        <v>2635</v>
      </c>
      <c r="C2635" s="3" t="str">
        <f>IFERROR(__xludf.DUMMYFUNCTION("GOOGLETRANSLATE(B2635,""id"",""en"")"),"['', 'Where', 'signal', 'please', 'repaired', ""]")</f>
        <v>['', 'Where', 'signal', 'please', 'repaired', "]</v>
      </c>
      <c r="D2635" s="3">
        <v>5.0</v>
      </c>
    </row>
    <row r="2636" ht="15.75" customHeight="1">
      <c r="A2636" s="1">
        <v>2634.0</v>
      </c>
      <c r="B2636" s="3" t="s">
        <v>2636</v>
      </c>
      <c r="C2636" s="3" t="str">
        <f>IFERROR(__xludf.DUMMYFUNCTION("GOOGLETRANSLATE(B2636,""id"",""en"")"),"['Telkomsel', 'program', 'gift', 'just', 'bhongan', 'good', 'already', 'ngadin', 'network', 'stable']")</f>
        <v>['Telkomsel', 'program', 'gift', 'just', 'bhongan', 'good', 'already', 'ngadin', 'network', 'stable']</v>
      </c>
      <c r="D2636" s="3">
        <v>1.0</v>
      </c>
    </row>
    <row r="2637" ht="15.75" customHeight="1">
      <c r="A2637" s="1">
        <v>2635.0</v>
      </c>
      <c r="B2637" s="3" t="s">
        <v>2637</v>
      </c>
      <c r="C2637" s="3" t="str">
        <f>IFERROR(__xludf.DUMMYFUNCTION("GOOGLETRANSLATE(B2637,""id"",""en"")"),"['The applications',' jammed ',' jammed ',' already ',' sophisticated ',' apply ',' enter ',' MyTelkomsel ',' Hang ',' please ',' increase ',' update ',' The application ',' jammed ',' entered ',' App ',' ']")</f>
        <v>['The applications',' jammed ',' jammed ',' already ',' sophisticated ',' apply ',' enter ',' MyTelkomsel ',' Hang ',' please ',' increase ',' update ',' The application ',' jammed ',' entered ',' App ',' ']</v>
      </c>
      <c r="D2637" s="3">
        <v>1.0</v>
      </c>
    </row>
    <row r="2638" ht="15.75" customHeight="1">
      <c r="A2638" s="1">
        <v>2636.0</v>
      </c>
      <c r="B2638" s="3" t="s">
        <v>2638</v>
      </c>
      <c r="C2638" s="3" t="str">
        <f>IFERROR(__xludf.DUMMYFUNCTION("GOOGLETRANSLATE(B2638,""id"",""en"")"),"['Not bad', 'Good', 'Increases', 'Promo', 'Package', 'Internet', 'Free', 'Molatv', 'Netflix', 'HBO']")</f>
        <v>['Not bad', 'Good', 'Increases', 'Promo', 'Package', 'Internet', 'Free', 'Molatv', 'Netflix', 'HBO']</v>
      </c>
      <c r="D2638" s="3">
        <v>4.0</v>
      </c>
    </row>
    <row r="2639" ht="15.75" customHeight="1">
      <c r="A2639" s="1">
        <v>2637.0</v>
      </c>
      <c r="B2639" s="3" t="s">
        <v>2639</v>
      </c>
      <c r="C2639" s="3" t="str">
        <f>IFERROR(__xludf.DUMMYFUNCTION("GOOGLETRANSLATE(B2639,""id"",""en"")"),"['Login', 'Application', 'Link', 'Shipped', 'Opened', 'Page', 'Found', 'Try', 'Method', 'Login', 'Network', 'Telkomsel']")</f>
        <v>['Login', 'Application', 'Link', 'Shipped', 'Opened', 'Page', 'Found', 'Try', 'Method', 'Login', 'Network', 'Telkomsel']</v>
      </c>
      <c r="D2639" s="3">
        <v>1.0</v>
      </c>
    </row>
    <row r="2640" ht="15.75" customHeight="1">
      <c r="A2640" s="1">
        <v>2638.0</v>
      </c>
      <c r="B2640" s="3" t="s">
        <v>2640</v>
      </c>
      <c r="C2640" s="3" t="str">
        <f>IFERROR(__xludf.DUMMYFUNCTION("GOOGLETRANSLATE(B2640,""id"",""en"")"),"['loss', 'Install', 'APK', 'promo', 'promo', 'debt', 'pulse', 'uninstall']")</f>
        <v>['loss', 'Install', 'APK', 'promo', 'promo', 'debt', 'pulse', 'uninstall']</v>
      </c>
      <c r="D2640" s="3">
        <v>1.0</v>
      </c>
    </row>
    <row r="2641" ht="15.75" customHeight="1">
      <c r="A2641" s="1">
        <v>2639.0</v>
      </c>
      <c r="B2641" s="3" t="s">
        <v>2641</v>
      </c>
      <c r="C2641" s="3" t="str">
        <f>IFERROR(__xludf.DUMMYFUNCTION("GOOGLETRANSLATE(B2641,""id"",""en"")"),"['Severe', 'pulse', 'run out', 'reduced', 'putting', 'difficult', 'buy', 'enter', 'notification', ""]")</f>
        <v>['Severe', 'pulse', 'run out', 'reduced', 'putting', 'difficult', 'buy', 'enter', 'notification', "]</v>
      </c>
      <c r="D2641" s="3">
        <v>1.0</v>
      </c>
    </row>
    <row r="2642" ht="15.75" customHeight="1">
      <c r="A2642" s="1">
        <v>2640.0</v>
      </c>
      <c r="B2642" s="3" t="s">
        <v>2642</v>
      </c>
      <c r="C2642" s="3" t="str">
        <f>IFERROR(__xludf.DUMMYFUNCTION("GOOGLETRANSLATE(B2642,""id"",""en"")"),"['Try', 'use', 'Telkomsel', 'husband', 'use', 'kt', 'easy', 'cheap', 'easy', 'hopefully', 'friendly', 'Telkomsel', ' best']")</f>
        <v>['Try', 'use', 'Telkomsel', 'husband', 'use', 'kt', 'easy', 'cheap', 'easy', 'hopefully', 'friendly', 'Telkomsel', ' best']</v>
      </c>
      <c r="D2642" s="3">
        <v>4.0</v>
      </c>
    </row>
    <row r="2643" ht="15.75" customHeight="1">
      <c r="A2643" s="1">
        <v>2641.0</v>
      </c>
      <c r="B2643" s="3" t="s">
        <v>2643</v>
      </c>
      <c r="C2643" s="3" t="str">
        <f>IFERROR(__xludf.DUMMYFUNCTION("GOOGLETRANSLATE(B2643,""id"",""en"")"),"['Nice', 'makes it easy', 'transact', 'package', 'data', 'bonus', 'kouta', 'promo', 'promo', 'best']")</f>
        <v>['Nice', 'makes it easy', 'transact', 'package', 'data', 'bonus', 'kouta', 'promo', 'promo', 'best']</v>
      </c>
      <c r="D2643" s="3">
        <v>5.0</v>
      </c>
    </row>
    <row r="2644" ht="15.75" customHeight="1">
      <c r="A2644" s="1">
        <v>2642.0</v>
      </c>
      <c r="B2644" s="3" t="s">
        <v>2644</v>
      </c>
      <c r="C2644" s="3" t="str">
        <f>IFERROR(__xludf.DUMMYFUNCTION("GOOGLETRANSLATE(B2644,""id"",""en"")"),"['Likeaaaaa', 'Light', 'then', 'bonus', 'PUTX', 'Likeaaaaaaaaa', '']")</f>
        <v>['Likeaaaaa', 'Light', 'then', 'bonus', 'PUTX', 'Likeaaaaaaaaa', '']</v>
      </c>
      <c r="D2644" s="3">
        <v>5.0</v>
      </c>
    </row>
    <row r="2645" ht="15.75" customHeight="1">
      <c r="A2645" s="1">
        <v>2643.0</v>
      </c>
      <c r="B2645" s="3" t="s">
        <v>2645</v>
      </c>
      <c r="C2645" s="3" t="str">
        <f>IFERROR(__xludf.DUMMYFUNCTION("GOOGLETRANSLATE(B2645,""id"",""en"")"),"['quota', 'unlimitid', 'ampe', 'a month', 'quota', 'abis', 'a month', 'zbl']")</f>
        <v>['quota', 'unlimitid', 'ampe', 'a month', 'quota', 'abis', 'a month', 'zbl']</v>
      </c>
      <c r="D2645" s="3">
        <v>1.0</v>
      </c>
    </row>
    <row r="2646" ht="15.75" customHeight="1">
      <c r="A2646" s="1">
        <v>2644.0</v>
      </c>
      <c r="B2646" s="3" t="s">
        <v>2646</v>
      </c>
      <c r="C2646" s="3" t="str">
        <f>IFERROR(__xludf.DUMMYFUNCTION("GOOGLETRANSLATE(B2646,""id"",""en"")"),"['Enjoy', 'News',' Laughter ',' Ria ',' Sharing ',' happiness', 'Sadness',' Experience ',' Life ',' Entertainment ',' Seven ',' interpret ',' Pait ',' bitter ',' sweet ',' in ',' life ',' poured out ',' restrictions', 'norma', 'religion']")</f>
        <v>['Enjoy', 'News',' Laughter ',' Ria ',' Sharing ',' happiness', 'Sadness',' Experience ',' Life ',' Entertainment ',' Seven ',' interpret ',' Pait ',' bitter ',' sweet ',' in ',' life ',' poured out ',' restrictions', 'norma', 'religion']</v>
      </c>
      <c r="D2646" s="3">
        <v>5.0</v>
      </c>
    </row>
    <row r="2647" ht="15.75" customHeight="1">
      <c r="A2647" s="1">
        <v>2645.0</v>
      </c>
      <c r="B2647" s="3" t="s">
        <v>2647</v>
      </c>
      <c r="C2647" s="3" t="str">
        <f>IFERROR(__xludf.DUMMYFUNCTION("GOOGLETRANSLATE(B2647,""id"",""en"")"),"['Regency', 'Bojonegoro', 'Hamlet', 'Njasem', 'Javanese', 'East', 'Signal', 'Telkomsel', 'Bad', 'Provider', 'Card', 'Maklumi', ' price ',' buy ',' package ',' internet ',' pulse ',' telephone ',' cheap ',' active ',' telkomsel ',' cost ',' expensive ',' i"&amp;"mproved ',' provider ' , 'card', 'thank', 'love', 'work', 'work', 'hard', 'Telkomsel', 'try', 'best', 'hope', 'future', 'improved', ' ']")</f>
        <v>['Regency', 'Bojonegoro', 'Hamlet', 'Njasem', 'Javanese', 'East', 'Signal', 'Telkomsel', 'Bad', 'Provider', 'Card', 'Maklumi', ' price ',' buy ',' package ',' internet ',' pulse ',' telephone ',' cheap ',' active ',' telkomsel ',' cost ',' expensive ',' improved ',' provider ' , 'card', 'thank', 'love', 'work', 'work', 'hard', 'Telkomsel', 'try', 'best', 'hope', 'future', 'improved', ' ']</v>
      </c>
      <c r="D2647" s="3">
        <v>3.0</v>
      </c>
    </row>
    <row r="2648" ht="15.75" customHeight="1">
      <c r="A2648" s="1">
        <v>2646.0</v>
      </c>
      <c r="B2648" s="3" t="s">
        <v>2648</v>
      </c>
      <c r="C2648" s="3" t="str">
        <f>IFERROR(__xludf.DUMMYFUNCTION("GOOGLETRANSLATE(B2648,""id"",""en"")"),"['Sorry', 'Sis',' surprised ',' Telkomsel ',' buy ',' quota ',' expensive ',' his hands', 'forgiveness',' according to ',' price ',' sorry ',' Sis', 'users',' Telkomsel ',' surprised ',' Thank you ', ""]")</f>
        <v>['Sorry', 'Sis',' surprised ',' Telkomsel ',' buy ',' quota ',' expensive ',' his hands', 'forgiveness',' according to ',' price ',' sorry ',' Sis', 'users',' Telkomsel ',' surprised ',' Thank you ', "]</v>
      </c>
      <c r="D2648" s="3">
        <v>2.0</v>
      </c>
    </row>
    <row r="2649" ht="15.75" customHeight="1">
      <c r="A2649" s="1">
        <v>2647.0</v>
      </c>
      <c r="B2649" s="3" t="s">
        <v>2649</v>
      </c>
      <c r="C2649" s="3" t="str">
        <f>IFERROR(__xludf.DUMMYFUNCTION("GOOGLETRANSLATE(B2649,""id"",""en"")"),"['min', 'please', 'changed', 'narrand', 'vocher', 'boundary', 'exchange', 'point', 'maximum', 'times',' likes', 'kepet', ' Direct ',' Dink ',' Reedem ',' Please ',' Changed ',' Terms', 'Addin', 'Bintang', 'Already', 'Changed']")</f>
        <v>['min', 'please', 'changed', 'narrand', 'vocher', 'boundary', 'exchange', 'point', 'maximum', 'times',' likes', 'kepet', ' Direct ',' Dink ',' Reedem ',' Please ',' Changed ',' Terms', 'Addin', 'Bintang', 'Already', 'Changed']</v>
      </c>
      <c r="D2649" s="3">
        <v>1.0</v>
      </c>
    </row>
    <row r="2650" ht="15.75" customHeight="1">
      <c r="A2650" s="1">
        <v>2648.0</v>
      </c>
      <c r="B2650" s="3" t="s">
        <v>2650</v>
      </c>
      <c r="C2650" s="3" t="str">
        <f>IFERROR(__xludf.DUMMYFUNCTION("GOOGLETRANSLATE(B2650,""id"",""en"")"),"['Redem', 'gift', 'Daily', 'Chekin', 'FAILURE', 'Credit', 'Points',' Availability ',' Gift ',' Tired ',' Chekin ',' Disappointed ',' Deceived ']")</f>
        <v>['Redem', 'gift', 'Daily', 'Chekin', 'FAILURE', 'Credit', 'Points',' Availability ',' Gift ',' Tired ',' Chekin ',' Disappointed ',' Deceived ']</v>
      </c>
      <c r="D2650" s="3">
        <v>1.0</v>
      </c>
    </row>
    <row r="2651" ht="15.75" customHeight="1">
      <c r="A2651" s="1">
        <v>2649.0</v>
      </c>
      <c r="B2651" s="3" t="s">
        <v>2651</v>
      </c>
      <c r="C2651" s="3" t="str">
        <f>IFERROR(__xludf.DUMMYFUNCTION("GOOGLETRANSLATE(B2651,""id"",""en"")"),"['Application', 'Telkomsel', 'Download', 'Oppo', '']")</f>
        <v>['Application', 'Telkomsel', 'Download', 'Oppo', '']</v>
      </c>
      <c r="D2651" s="3">
        <v>5.0</v>
      </c>
    </row>
    <row r="2652" ht="15.75" customHeight="1">
      <c r="A2652" s="1">
        <v>2650.0</v>
      </c>
      <c r="B2652" s="3" t="s">
        <v>2652</v>
      </c>
      <c r="C2652" s="3" t="str">
        <f>IFERROR(__xludf.DUMMYFUNCTION("GOOGLETRANSLATE(B2652,""id"",""en"")"),"['contents',' pulse ',' contents', 'pulse', 'package', 'GB', 'active', 'open', 'application', 'Telkomsel', 'Sumpot', 'Abis',' Credit ',' main ',' Data ',' Powered ',' Nich ',' Telkomsel ',' ']")</f>
        <v>['contents',' pulse ',' contents', 'pulse', 'package', 'GB', 'active', 'open', 'application', 'Telkomsel', 'Sumpot', 'Abis',' Credit ',' main ',' Data ',' Powered ',' Nich ',' Telkomsel ',' ']</v>
      </c>
      <c r="D2652" s="3">
        <v>1.0</v>
      </c>
    </row>
    <row r="2653" ht="15.75" customHeight="1">
      <c r="A2653" s="1">
        <v>2651.0</v>
      </c>
      <c r="B2653" s="3" t="s">
        <v>2653</v>
      </c>
      <c r="C2653" s="3" t="str">
        <f>IFERROR(__xludf.DUMMYFUNCTION("GOOGLETRANSLATE(B2653,""id"",""en"")"),"['Credit', 'Contents', 'Note', 'History', 'Use', 'Credit', 'Application', '']")</f>
        <v>['Credit', 'Contents', 'Note', 'History', 'Use', 'Credit', 'Application', '']</v>
      </c>
      <c r="D2653" s="3">
        <v>1.0</v>
      </c>
    </row>
    <row r="2654" ht="15.75" customHeight="1">
      <c r="A2654" s="1">
        <v>2652.0</v>
      </c>
      <c r="B2654" s="3" t="s">
        <v>2654</v>
      </c>
      <c r="C2654" s="3" t="str">
        <f>IFERROR(__xludf.DUMMYFUNCTION("GOOGLETRANSLATE(B2654,""id"",""en"")"),"['coorderarily', 'Points', 'Limit', 'Useful', 'Points', 'Guy', ""]")</f>
        <v>['coorderarily', 'Points', 'Limit', 'Useful', 'Points', 'Guy', "]</v>
      </c>
      <c r="D2654" s="3">
        <v>1.0</v>
      </c>
    </row>
    <row r="2655" ht="15.75" customHeight="1">
      <c r="A2655" s="1">
        <v>2653.0</v>
      </c>
      <c r="B2655" s="3" t="s">
        <v>2655</v>
      </c>
      <c r="C2655" s="3" t="str">
        <f>IFERROR(__xludf.DUMMYFUNCTION("GOOGLETRANSLATE(B2655,""id"",""en"")"),"['application', 'super', 'slow', 'isine', 'ad', 'ora', 'burden', 'space', 'storage', '']")</f>
        <v>['application', 'super', 'slow', 'isine', 'ad', 'ora', 'burden', 'space', 'storage', '']</v>
      </c>
      <c r="D2655" s="3">
        <v>5.0</v>
      </c>
    </row>
    <row r="2656" ht="15.75" customHeight="1">
      <c r="A2656" s="1">
        <v>2654.0</v>
      </c>
      <c r="B2656" s="3" t="s">
        <v>2656</v>
      </c>
      <c r="C2656" s="3" t="str">
        <f>IFERROR(__xludf.DUMMYFUNCTION("GOOGLETRANSLATE(B2656,""id"",""en"")"),"['Dear', 'Tsel', 'download', 'his writing', 'delayed', 'Download', 'Muter', '']")</f>
        <v>['Dear', 'Tsel', 'download', 'his writing', 'delayed', 'Download', 'Muter', '']</v>
      </c>
      <c r="D2656" s="3">
        <v>3.0</v>
      </c>
    </row>
    <row r="2657" ht="15.75" customHeight="1">
      <c r="A2657" s="1">
        <v>2655.0</v>
      </c>
      <c r="B2657" s="3" t="s">
        <v>2657</v>
      </c>
      <c r="C2657" s="3" t="str">
        <f>IFERROR(__xludf.DUMMYFUNCTION("GOOGLETRANSLATE(B2657,""id"",""en"")"),"['Daily', 'Check', 'Nipu', 'Promo', 'Advertising', 'Indosat', 'Axis',' Delicious', 'Price', 'Cheap', 'thousand', 'already', ' Sunday ',' Change ',' Account ',' Operator ',' Terbitai ',' ']")</f>
        <v>['Daily', 'Check', 'Nipu', 'Promo', 'Advertising', 'Indosat', 'Axis',' Delicious', 'Price', 'Cheap', 'thousand', 'already', ' Sunday ',' Change ',' Account ',' Operator ',' Terbitai ',' ']</v>
      </c>
      <c r="D2657" s="3">
        <v>1.0</v>
      </c>
    </row>
    <row r="2658" ht="15.75" customHeight="1">
      <c r="A2658" s="1">
        <v>2656.0</v>
      </c>
      <c r="B2658" s="3" t="s">
        <v>2658</v>
      </c>
      <c r="C2658" s="3" t="str">
        <f>IFERROR(__xludf.DUMMYFUNCTION("GOOGLETRANSLATE(B2658,""id"",""en"")"),"['application', 'Cukp', 'memalankn', 'Missing', 'gulp', 'comfort', 'dsayangkn', 'user', 'loyal', 'telkomsel', 'get', 'package', ' Special ',' PDA ',' Application ',' Use ',' Telkomsel ',' Plih ',' Signal ',' Dluar ',' Region ',' MSH ',' TRSEDIA ',' Card '"&amp;",' Telkomsel ' , 'Singling', 'Crita', 'PRITA', 'MNJADI', 'User', 'MnDapatkn', 'Info', 'Package', 'Special', 'Infokn', 'Through', 'Mdapatkn', ' Ciciln ',' PKET ',' Perdana ', ""]")</f>
        <v>['application', 'Cukp', 'memalankn', 'Missing', 'gulp', 'comfort', 'dsayangkn', 'user', 'loyal', 'telkomsel', 'get', 'package', ' Special ',' PDA ',' Application ',' Use ',' Telkomsel ',' Plih ',' Signal ',' Dluar ',' Region ',' MSH ',' TRSEDIA ',' Card ',' Telkomsel ' , 'Singling', 'Crita', 'PRITA', 'MNJADI', 'User', 'MnDapatkn', 'Info', 'Package', 'Special', 'Infokn', 'Through', 'Mdapatkn', ' Ciciln ',' PKET ',' Perdana ', "]</v>
      </c>
      <c r="D2658" s="3">
        <v>4.0</v>
      </c>
    </row>
    <row r="2659" ht="15.75" customHeight="1">
      <c r="A2659" s="1">
        <v>2657.0</v>
      </c>
      <c r="B2659" s="3" t="s">
        <v>2659</v>
      </c>
      <c r="C2659" s="3" t="str">
        <f>IFERROR(__xludf.DUMMYFUNCTION("GOOGLETRANSLATE(B2659,""id"",""en"")"),"['signal', 'missing', 'play', 'game', 'main', 'area', 'signal', 'Telkomsel', 'fast']")</f>
        <v>['signal', 'missing', 'play', 'game', 'main', 'area', 'signal', 'Telkomsel', 'fast']</v>
      </c>
      <c r="D2659" s="3">
        <v>1.0</v>
      </c>
    </row>
    <row r="2660" ht="15.75" customHeight="1">
      <c r="A2660" s="1">
        <v>2658.0</v>
      </c>
      <c r="B2660" s="3" t="s">
        <v>2660</v>
      </c>
      <c r="C2660" s="3" t="str">
        <f>IFERROR(__xludf.DUMMYFUNCTION("GOOGLETRANSLATE(B2660,""id"",""en"")"),"['according to', 'needs', 'expensive', 'rates', 'skrg', 'package', 'save', 'cheap', 'thanks', 'card', 'hello']")</f>
        <v>['according to', 'needs', 'expensive', 'rates', 'skrg', 'package', 'save', 'cheap', 'thanks', 'card', 'hello']</v>
      </c>
      <c r="D2660" s="3">
        <v>5.0</v>
      </c>
    </row>
    <row r="2661" ht="15.75" customHeight="1">
      <c r="A2661" s="1">
        <v>2659.0</v>
      </c>
      <c r="B2661" s="3" t="s">
        <v>2661</v>
      </c>
      <c r="C2661" s="3" t="str">
        <f>IFERROR(__xludf.DUMMYFUNCTION("GOOGLETRANSLATE(B2661,""id"",""en"")"),"['Yamaha', 'Leading', 'Telkomsel', 'backward', 'Leet', 'Severe', ""]")</f>
        <v>['Yamaha', 'Leading', 'Telkomsel', 'backward', 'Leet', 'Severe', "]</v>
      </c>
      <c r="D2661" s="3">
        <v>1.0</v>
      </c>
    </row>
    <row r="2662" ht="15.75" customHeight="1">
      <c r="A2662" s="1">
        <v>2660.0</v>
      </c>
      <c r="B2662" s="3" t="s">
        <v>2662</v>
      </c>
      <c r="C2662" s="3" t="str">
        <f>IFERROR(__xludf.DUMMYFUNCTION("GOOGLETRANSLATE(B2662,""id"",""en"")"),"['Please', 'Make', 'Feature', 'Key', 'Credit', 'Package', 'Data', 'Credit', 'Lost', 'Thank you']")</f>
        <v>['Please', 'Make', 'Feature', 'Key', 'Credit', 'Package', 'Data', 'Credit', 'Lost', 'Thank you']</v>
      </c>
      <c r="D2662" s="3">
        <v>1.0</v>
      </c>
    </row>
    <row r="2663" ht="15.75" customHeight="1">
      <c r="A2663" s="1">
        <v>2661.0</v>
      </c>
      <c r="B2663" s="3" t="s">
        <v>2663</v>
      </c>
      <c r="C2663" s="3" t="str">
        <f>IFERROR(__xludf.DUMMYFUNCTION("GOOGLETRANSLATE(B2663,""id"",""en"")"),"['Decent', 'service', 'Android', 'already', 'sophisticated', 'save', 'needs',' home ',' ladder ',' extinct ',' believe ',' rope ',' Wire ',' Teeth ',' Fashion ',' Asia ',' Pacific ',' Samudra ',' India ',' Netherlands']")</f>
        <v>['Decent', 'service', 'Android', 'already', 'sophisticated', 'save', 'needs',' home ',' ladder ',' extinct ',' believe ',' rope ',' Wire ',' Teeth ',' Fashion ',' Asia ',' Pacific ',' Samudra ',' India ',' Netherlands']</v>
      </c>
      <c r="D2663" s="3">
        <v>3.0</v>
      </c>
    </row>
    <row r="2664" ht="15.75" customHeight="1">
      <c r="A2664" s="1">
        <v>2662.0</v>
      </c>
      <c r="B2664" s="3" t="s">
        <v>2664</v>
      </c>
      <c r="C2664" s="3" t="str">
        <f>IFERROR(__xludf.DUMMYFUNCTION("GOOGLETRANSLATE(B2664,""id"",""en"")"),"['App', 'good', 'really', 'vitur', 'easy', 'understand', 'easy', 'user', 'staple', 'bes']")</f>
        <v>['App', 'good', 'really', 'vitur', 'easy', 'understand', 'easy', 'user', 'staple', 'bes']</v>
      </c>
      <c r="D2664" s="3">
        <v>5.0</v>
      </c>
    </row>
    <row r="2665" ht="15.75" customHeight="1">
      <c r="A2665" s="1">
        <v>2663.0</v>
      </c>
      <c r="B2665" s="3" t="s">
        <v>2665</v>
      </c>
      <c r="C2665" s="3" t="str">
        <f>IFERROR(__xludf.DUMMYFUNCTION("GOOGLETRANSLATE(B2665,""id"",""en"")"),"['Severe', 'already', 'succeed', 'transaction', 'buy', 'package', 'internet', 'tetep', 'cut', 'pulse', 'until', 'Ludes',' ']")</f>
        <v>['Severe', 'already', 'succeed', 'transaction', 'buy', 'package', 'internet', 'tetep', 'cut', 'pulse', 'until', 'Ludes',' ']</v>
      </c>
      <c r="D2665" s="3">
        <v>1.0</v>
      </c>
    </row>
    <row r="2666" ht="15.75" customHeight="1">
      <c r="A2666" s="1">
        <v>2664.0</v>
      </c>
      <c r="B2666" s="3" t="s">
        <v>2666</v>
      </c>
      <c r="C2666" s="3" t="str">
        <f>IFERROR(__xludf.DUMMYFUNCTION("GOOGLETRANSLATE(B2666,""id"",""en"")"),"['Exchange', 'Points', 'Redeem', 'Extra', 'Kuoat', 'GB', 'right', 'Nuker', 'reach', 'limit', 'maximum']")</f>
        <v>['Exchange', 'Points', 'Redeem', 'Extra', 'Kuoat', 'GB', 'right', 'Nuker', 'reach', 'limit', 'maximum']</v>
      </c>
      <c r="D2666" s="3">
        <v>1.0</v>
      </c>
    </row>
    <row r="2667" ht="15.75" customHeight="1">
      <c r="A2667" s="1">
        <v>2665.0</v>
      </c>
      <c r="B2667" s="3" t="s">
        <v>2667</v>
      </c>
      <c r="C2667" s="3" t="str">
        <f>IFERROR(__xludf.DUMMYFUNCTION("GOOGLETRANSLATE(B2667,""id"",""en"")"),"['Price', 'package', 'expensive', 'network', 'damaged', 'disappointing', 'card', 'Telkomsel', 'please', 'fix', 'network', 'Lower', ' Hara ',' Package ',' ']")</f>
        <v>['Price', 'package', 'expensive', 'network', 'damaged', 'disappointing', 'card', 'Telkomsel', 'please', 'fix', 'network', 'Lower', ' Hara ',' Package ',' ']</v>
      </c>
      <c r="D2667" s="3">
        <v>1.0</v>
      </c>
    </row>
    <row r="2668" ht="15.75" customHeight="1">
      <c r="A2668" s="1">
        <v>2666.0</v>
      </c>
      <c r="B2668" s="3" t="s">
        <v>2668</v>
      </c>
      <c r="C2668" s="3" t="str">
        <f>IFERROR(__xludf.DUMMYFUNCTION("GOOGLETRANSLATE(B2668,""id"",""en"")"),"['honest', 'user', 'Kasi', 'comment', 'tilted', 'kuringin', 'star', 'Thanks']")</f>
        <v>['honest', 'user', 'Kasi', 'comment', 'tilted', 'kuringin', 'star', 'Thanks']</v>
      </c>
      <c r="D2668" s="3">
        <v>2.0</v>
      </c>
    </row>
    <row r="2669" ht="15.75" customHeight="1">
      <c r="A2669" s="1">
        <v>2667.0</v>
      </c>
      <c r="B2669" s="3" t="s">
        <v>2669</v>
      </c>
      <c r="C2669" s="3" t="str">
        <f>IFERROR(__xludf.DUMMYFUNCTION("GOOGLETRANSLATE(B2669,""id"",""en"")"),"['Thank you', 'Telkomsel', 'Customer', 'Customer', 'Customer', 'loyal', 'Telkomsel', 'account', 'MyTelkomsel', 'Gold', 'Performance', 'offer', ' Services', 'Disappointed', 'Promos',' Points', 'MyTelkomsel', 'Kenpa', 'Promo', 'Size', 'Points',' MyTelkomsel"&amp;" ',' Diamon ',' Game ',' Pocher ' , 'Game', 'dear', 'Points', 'yearn', 'scorched', 'star', 'trimakasih', ""]")</f>
        <v>['Thank you', 'Telkomsel', 'Customer', 'Customer', 'Customer', 'loyal', 'Telkomsel', 'account', 'MyTelkomsel', 'Gold', 'Performance', 'offer', ' Services', 'Disappointed', 'Promos',' Points', 'MyTelkomsel', 'Kenpa', 'Promo', 'Size', 'Points',' MyTelkomsel ',' Diamon ',' Game ',' Pocher ' , 'Game', 'dear', 'Points', 'yearn', 'scorched', 'star', 'trimakasih', "]</v>
      </c>
      <c r="D2669" s="3">
        <v>4.0</v>
      </c>
    </row>
    <row r="2670" ht="15.75" customHeight="1">
      <c r="A2670" s="1">
        <v>2668.0</v>
      </c>
      <c r="B2670" s="3" t="s">
        <v>2670</v>
      </c>
      <c r="C2670" s="3" t="str">
        <f>IFERROR(__xludf.DUMMYFUNCTION("GOOGLETRANSLATE(B2670,""id"",""en"")"),"['Internet', 'okay', 'the difference', 'Telkomsel', 'card', 'prime', 'privileges',' Telkomsel ',' price ',' customers', 'satisfied', 'disappointed', ' extra ',' unlimited ',' inside ',' game ',' pubm ',' special ',' experience ',' ping ',' stable ',' fulf"&amp;"ill ',' needs', 'satisfied', 'happy' ]")</f>
        <v>['Internet', 'okay', 'the difference', 'Telkomsel', 'card', 'prime', 'privileges',' Telkomsel ',' price ',' customers', 'satisfied', 'disappointed', ' extra ',' unlimited ',' inside ',' game ',' pubm ',' special ',' experience ',' ping ',' stable ',' fulfill ',' needs', 'satisfied', 'happy' ]</v>
      </c>
      <c r="D2670" s="3">
        <v>1.0</v>
      </c>
    </row>
    <row r="2671" ht="15.75" customHeight="1">
      <c r="A2671" s="1">
        <v>2669.0</v>
      </c>
      <c r="B2671" s="3" t="s">
        <v>2671</v>
      </c>
      <c r="C2671" s="3" t="str">
        <f>IFERROR(__xludf.DUMMYFUNCTION("GOOGLETRANSLATE(B2671,""id"",""en"")"),"['commentover', 'sorry', 'wear', 'card', 'Telkomsel', 'right', 'pulse', 'package', 'emergency', 'turn', 'pulse', 'need', ' Learn ',' package ',' emergency ']")</f>
        <v>['commentover', 'sorry', 'wear', 'card', 'Telkomsel', 'right', 'pulse', 'package', 'emergency', 'turn', 'pulse', 'need', ' Learn ',' package ',' emergency ']</v>
      </c>
      <c r="D2671" s="3">
        <v>1.0</v>
      </c>
    </row>
    <row r="2672" ht="15.75" customHeight="1">
      <c r="A2672" s="1">
        <v>2670.0</v>
      </c>
      <c r="B2672" s="3" t="s">
        <v>2672</v>
      </c>
      <c r="C2672" s="3" t="str">
        <f>IFERROR(__xludf.DUMMYFUNCTION("GOOGLETRANSLATE(B2672,""id"",""en"")"),"['What', 'just', 'upgraded', 'Cut', 'Credit', 'Deliberately', 'Activate', 'internet', 'Cut', 'What', 'Giving', 'Package', ' The point in ',' pulses', 'main', 'cut', 'that's',' Kaga ',' rich ',' company ',' result ',' cutting ',' like ',' Gini ',' Please '"&amp;" , 'forum', 'eat', 'salary', 'blind', 'search', 'money', 'difficult', 'maen', 'steal', 'telkom', ""]")</f>
        <v>['What', 'just', 'upgraded', 'Cut', 'Credit', 'Deliberately', 'Activate', 'internet', 'Cut', 'What', 'Giving', 'Package', ' The point in ',' pulses', 'main', 'cut', 'that's',' Kaga ',' rich ',' company ',' result ',' cutting ',' like ',' Gini ',' Please ' , 'forum', 'eat', 'salary', 'blind', 'search', 'money', 'difficult', 'maen', 'steal', 'telkom', "]</v>
      </c>
      <c r="D2672" s="3">
        <v>1.0</v>
      </c>
    </row>
    <row r="2673" ht="15.75" customHeight="1">
      <c r="A2673" s="1">
        <v>2671.0</v>
      </c>
      <c r="B2673" s="3" t="s">
        <v>2673</v>
      </c>
      <c r="C2673" s="3" t="str">
        <f>IFERROR(__xludf.DUMMYFUNCTION("GOOGLETRANSLATE(B2673,""id"",""en"")"),"['Gymna', 'Bad', 'The name', 'NOT', 'MKIN', 'Good', 'BURIK', 'Please', 'Fix', 'Disappointed', 'Kek', 'Gini', ' Then ',' Package ',' TPI ',' Season ',' Package ',' Gabisa ',' Dikunain ',' Lemot ', ""]")</f>
        <v>['Gymna', 'Bad', 'The name', 'NOT', 'MKIN', 'Good', 'BURIK', 'Please', 'Fix', 'Disappointed', 'Kek', 'Gini', ' Then ',' Package ',' TPI ',' Season ',' Package ',' Gabisa ',' Dikunain ',' Lemot ', "]</v>
      </c>
      <c r="D2673" s="3">
        <v>1.0</v>
      </c>
    </row>
    <row r="2674" ht="15.75" customHeight="1">
      <c r="A2674" s="1">
        <v>2672.0</v>
      </c>
      <c r="B2674" s="3" t="s">
        <v>2674</v>
      </c>
      <c r="C2674" s="3" t="str">
        <f>IFERROR(__xludf.DUMMYFUNCTION("GOOGLETRANSLATE(B2674,""id"",""en"")"),"['The name', 'bad', 'please', 'fix', 'difficult', 'really', 'signal', 'ilang', 'Nilauuu', 'Muluuuu']")</f>
        <v>['The name', 'bad', 'please', 'fix', 'difficult', 'really', 'signal', 'ilang', 'Nilauuu', 'Muluuuu']</v>
      </c>
      <c r="D2674" s="3">
        <v>1.0</v>
      </c>
    </row>
    <row r="2675" ht="15.75" customHeight="1">
      <c r="A2675" s="1">
        <v>2673.0</v>
      </c>
      <c r="B2675" s="3" t="s">
        <v>2675</v>
      </c>
      <c r="C2675" s="3" t="str">
        <f>IFERROR(__xludf.DUMMYFUNCTION("GOOGLETRANSLATE(B2675,""id"",""en"")"),"['Telkomsel', 'paraah', 'price', 'signal', 'low', 'bbrp', 'times',' buy ',' data ',' internet ',' so weak ',' Siignal ',' PDHAL ',' Telkomsel ',' Pride ',' anywhere ',' wherever ',' Telkomsel ',' Best ',' signal ',' Sampe ',' willing ',' Pay ',' expensive"&amp;" ' , 'satisfying', 'already', 'expensive', 'disappointing', 'mending', 'shop', 'next door', 'deh', 'already', 'cheap', 'satisfying', ""]")</f>
        <v>['Telkomsel', 'paraah', 'price', 'signal', 'low', 'bbrp', 'times',' buy ',' data ',' internet ',' so weak ',' Siignal ',' PDHAL ',' Telkomsel ',' Pride ',' anywhere ',' wherever ',' Telkomsel ',' Best ',' signal ',' Sampe ',' willing ',' Pay ',' expensive ' , 'satisfying', 'already', 'expensive', 'disappointing', 'mending', 'shop', 'next door', 'deh', 'already', 'cheap', 'satisfying', "]</v>
      </c>
      <c r="D2675" s="3">
        <v>1.0</v>
      </c>
    </row>
    <row r="2676" ht="15.75" customHeight="1">
      <c r="A2676" s="1">
        <v>2674.0</v>
      </c>
      <c r="B2676" s="3" t="s">
        <v>2676</v>
      </c>
      <c r="C2676" s="3" t="str">
        <f>IFERROR(__xludf.DUMMYFUNCTION("GOOGLETRANSLATE(B2676,""id"",""en"")"),"['How', 'Telkomsel', 'slow', 'bngt', 'network', 'ngegame', 'sometimes', 'signal', 'ilang', 'please', 'repair', '']")</f>
        <v>['How', 'Telkomsel', 'slow', 'bngt', 'network', 'ngegame', 'sometimes', 'signal', 'ilang', 'please', 'repair', '']</v>
      </c>
      <c r="D2676" s="3">
        <v>5.0</v>
      </c>
    </row>
    <row r="2677" ht="15.75" customHeight="1">
      <c r="A2677" s="1">
        <v>2675.0</v>
      </c>
      <c r="B2677" s="3" t="s">
        <v>2677</v>
      </c>
      <c r="C2677" s="3" t="str">
        <f>IFERROR(__xludf.DUMMYFUNCTION("GOOGLETRANSLATE(B2677,""id"",""en"")"),"['Telkomsel', 'ilang', 'ilang', 'network', 'that's',' customer ',' loyal ',' Telkomsel ',' buy ',' package ',' cheap ',' help ',' Government ',' Package ',' Data ',' Telkomsel ',' Network ',' Down ',' Severe ',' Telkomsel ',' Different ',' Free ',' Buy ',"&amp;"' Oon ',' Telkomsel ' ]")</f>
        <v>['Telkomsel', 'ilang', 'ilang', 'network', 'that's',' customer ',' loyal ',' Telkomsel ',' buy ',' package ',' cheap ',' help ',' Government ',' Package ',' Data ',' Telkomsel ',' Network ',' Down ',' Severe ',' Telkomsel ',' Different ',' Free ',' Buy ',' Oon ',' Telkomsel ' ]</v>
      </c>
      <c r="D2677" s="3">
        <v>1.0</v>
      </c>
    </row>
    <row r="2678" ht="15.75" customHeight="1">
      <c r="A2678" s="1">
        <v>2676.0</v>
      </c>
      <c r="B2678" s="3" t="s">
        <v>2678</v>
      </c>
      <c r="C2678" s="3" t="str">
        <f>IFERROR(__xludf.DUMMYFUNCTION("GOOGLETRANSLATE(B2678,""id"",""en"")"),"['Telkomsel', 'destroyed', 'signal', 'disappointed', 'Gara', 'Gara', 'signal', 'internet', 'lag', 'interrupted', 'business',' sad ',' Telkom ']")</f>
        <v>['Telkomsel', 'destroyed', 'signal', 'disappointed', 'Gara', 'Gara', 'signal', 'internet', 'lag', 'interrupted', 'business',' sad ',' Telkom ']</v>
      </c>
      <c r="D2678" s="3">
        <v>1.0</v>
      </c>
    </row>
    <row r="2679" ht="15.75" customHeight="1">
      <c r="A2679" s="1">
        <v>2677.0</v>
      </c>
      <c r="B2679" s="3" t="s">
        <v>2679</v>
      </c>
      <c r="C2679" s="3" t="str">
        <f>IFERROR(__xludf.DUMMYFUNCTION("GOOGLETRANSLATE(B2679,""id"",""en"")"),"['Telkomsel', 'points',' exchanged ',' package ',' data ',' point ',' sufficient ',' exchanged ',' say it ',' busy ',' intention ',' gave ',' Data ',' free ',' better ',' Adin ',' Exchange ',' Points', 'Annoyed', 'Please', 'Fix', 'Min', 'Eliminate', 'Syst"&amp;"em', ""]")</f>
        <v>['Telkomsel', 'points',' exchanged ',' package ',' data ',' point ',' sufficient ',' exchanged ',' say it ',' busy ',' intention ',' gave ',' Data ',' free ',' better ',' Adin ',' Exchange ',' Points', 'Annoyed', 'Please', 'Fix', 'Min', 'Eliminate', 'System', "]</v>
      </c>
      <c r="D2679" s="3">
        <v>1.0</v>
      </c>
    </row>
    <row r="2680" ht="15.75" customHeight="1">
      <c r="A2680" s="1">
        <v>2678.0</v>
      </c>
      <c r="B2680" s="3" t="s">
        <v>2680</v>
      </c>
      <c r="C2680" s="3" t="str">
        <f>IFERROR(__xludf.DUMMYFUNCTION("GOOGLETRANSLATE(B2680,""id"",""en"")"),"['I think', 'signal', 'good', 'pulp', 'compared to', 'Indosat', 'thank', 'love', 'experience', 'bad', 'Mending', 'Indosat', ' Deh ']")</f>
        <v>['I think', 'signal', 'good', 'pulp', 'compared to', 'Indosat', 'thank', 'love', 'experience', 'bad', 'Mending', 'Indosat', ' Deh ']</v>
      </c>
      <c r="D2680" s="3">
        <v>1.0</v>
      </c>
    </row>
    <row r="2681" ht="15.75" customHeight="1">
      <c r="A2681" s="1">
        <v>2679.0</v>
      </c>
      <c r="B2681" s="3" t="s">
        <v>2681</v>
      </c>
      <c r="C2681" s="3" t="str">
        <f>IFERROR(__xludf.DUMMYFUNCTION("GOOGLETRANSLATE(B2681,""id"",""en"")"),"['Sometimes',' annoyed ',' see ',' signal ',' Telkomsel ',' dead ',' lights', 'signal', 'broke', 'play', 'game', 'Telkomsel', ' Hold ',' repairs', 'Litu', '']")</f>
        <v>['Sometimes',' annoyed ',' see ',' signal ',' Telkomsel ',' dead ',' lights', 'signal', 'broke', 'play', 'game', 'Telkomsel', ' Hold ',' repairs', 'Litu', '']</v>
      </c>
      <c r="D2681" s="3">
        <v>1.0</v>
      </c>
    </row>
    <row r="2682" ht="15.75" customHeight="1">
      <c r="A2682" s="1">
        <v>2680.0</v>
      </c>
      <c r="B2682" s="3" t="s">
        <v>2682</v>
      </c>
      <c r="C2682" s="3" t="str">
        <f>IFERROR(__xludf.DUMMYFUNCTION("GOOGLETRANSLATE(B2682,""id"",""en"")"),"['Application', 'Mantab', 'Network', 'Telkomsel', 'Nasea', 'Price', 'Package', 'Expensive', 'Quality', 'Appropriate', 'Price', ""]")</f>
        <v>['Application', 'Mantab', 'Network', 'Telkomsel', 'Nasea', 'Price', 'Package', 'Expensive', 'Quality', 'Appropriate', 'Price', "]</v>
      </c>
      <c r="D2682" s="3">
        <v>1.0</v>
      </c>
    </row>
    <row r="2683" ht="15.75" customHeight="1">
      <c r="A2683" s="1">
        <v>2681.0</v>
      </c>
      <c r="B2683" s="3" t="s">
        <v>2683</v>
      </c>
      <c r="C2683" s="3" t="str">
        <f>IFERROR(__xludf.DUMMYFUNCTION("GOOGLETRANSLATE(B2683,""id"",""en"")"),"['easy', 'check', 'quota', 'active', 'balance', 'advanced', 'satisfaction', 'customer', 'mantab']")</f>
        <v>['easy', 'check', 'quota', 'active', 'balance', 'advanced', 'satisfaction', 'customer', 'mantab']</v>
      </c>
      <c r="D2683" s="3">
        <v>5.0</v>
      </c>
    </row>
    <row r="2684" ht="15.75" customHeight="1">
      <c r="A2684" s="1">
        <v>2682.0</v>
      </c>
      <c r="B2684" s="3" t="s">
        <v>2684</v>
      </c>
      <c r="C2684" s="3" t="str">
        <f>IFERROR(__xludf.DUMMYFUNCTION("GOOGLETRANSLATE(B2684,""id"",""en"")"),"['Telkom', 'pig', 'signal', 'Where', 'cave', 'Bogor', 'signal', 'cave', 'jakarta', 'signal', 'gmna', 'telkom', ' the price ',' expensive ',' month ',' price ',' thousand ',' thousand ',' udh ',' so ',' APK ',' update ',' chaotic ',' mending ',' neighbor '"&amp;" , 'Next', 'signal', 'smooth', 'price', 'cheap', 'shocked', 'org', 'move', 'neighbor', 'next door', '']")</f>
        <v>['Telkom', 'pig', 'signal', 'Where', 'cave', 'Bogor', 'signal', 'cave', 'jakarta', 'signal', 'gmna', 'telkom', ' the price ',' expensive ',' month ',' price ',' thousand ',' thousand ',' udh ',' so ',' APK ',' update ',' chaotic ',' mending ',' neighbor ' , 'Next', 'signal', 'smooth', 'price', 'cheap', 'shocked', 'org', 'move', 'neighbor', 'next door', '']</v>
      </c>
      <c r="D2684" s="3">
        <v>1.0</v>
      </c>
    </row>
    <row r="2685" ht="15.75" customHeight="1">
      <c r="A2685" s="1">
        <v>2683.0</v>
      </c>
      <c r="B2685" s="3" t="s">
        <v>2685</v>
      </c>
      <c r="C2685" s="3" t="str">
        <f>IFERROR(__xludf.DUMMYFUNCTION("GOOGLETRANSLATE(B2685,""id"",""en"")"),"['Here', 'Good', 'APK', 'Upgrade', 'Bins',' Sinyal ',' Lemotttt ',' Ayahlahhh ',' Gara ',' Signal ',' Stable ',' Task ',' Do ',' ']")</f>
        <v>['Here', 'Good', 'APK', 'Upgrade', 'Bins',' Sinyal ',' Lemotttt ',' Ayahlahhh ',' Gara ',' Signal ',' Stable ',' Task ',' Do ',' ']</v>
      </c>
      <c r="D2685" s="3">
        <v>1.0</v>
      </c>
    </row>
    <row r="2686" ht="15.75" customHeight="1">
      <c r="A2686" s="1">
        <v>2684.0</v>
      </c>
      <c r="B2686" s="3" t="s">
        <v>2686</v>
      </c>
      <c r="C2686" s="3" t="str">
        <f>IFERROR(__xludf.DUMMYFUNCTION("GOOGLETRANSLATE(B2686,""id"",""en"")"),"['Hopefully', 'Grand', 'Price', 'User', 'Network', 'Telkomsel', 'East Kalimantan', 'Waiting', 'Broadcast', 'Direct', 'Gift', 'Vehicle', ' Telkomsel ']")</f>
        <v>['Hopefully', 'Grand', 'Price', 'User', 'Network', 'Telkomsel', 'East Kalimantan', 'Waiting', 'Broadcast', 'Direct', 'Gift', 'Vehicle', ' Telkomsel ']</v>
      </c>
      <c r="D2686" s="3">
        <v>5.0</v>
      </c>
    </row>
    <row r="2687" ht="15.75" customHeight="1">
      <c r="A2687" s="1">
        <v>2685.0</v>
      </c>
      <c r="B2687" s="3" t="s">
        <v>2687</v>
      </c>
      <c r="C2687" s="3" t="str">
        <f>IFERROR(__xludf.DUMMYFUNCTION("GOOGLETRANSLATE(B2687,""id"",""en"")"),"['Telkomsel', 'pulse', 'rb', 'abis', 'gtu', 'pdhl', 'disappointing']")</f>
        <v>['Telkomsel', 'pulse', 'rb', 'abis', 'gtu', 'pdhl', 'disappointing']</v>
      </c>
      <c r="D2687" s="3">
        <v>1.0</v>
      </c>
    </row>
    <row r="2688" ht="15.75" customHeight="1">
      <c r="A2688" s="1">
        <v>2686.0</v>
      </c>
      <c r="B2688" s="3" t="s">
        <v>2688</v>
      </c>
      <c r="C2688" s="3" t="str">
        <f>IFERROR(__xludf.DUMMYFUNCTION("GOOGLETRANSLATE(B2688,""id"",""en"")"),"['card', 'skarang', 'signal', 'lost', 'lose', 'provider', 'next door', 'pulse', 'cave', 'sucked', 'soft', 'woi', ' cave ',' package ',' package ',' data ',' cave ',' reason ',' suck ',' pulse ',' cave ',' sanas', ""]")</f>
        <v>['card', 'skarang', 'signal', 'lost', 'lose', 'provider', 'next door', 'pulse', 'cave', 'sucked', 'soft', 'woi', ' cave ',' package ',' package ',' data ',' cave ',' reason ',' suck ',' pulse ',' cave ',' sanas', "]</v>
      </c>
      <c r="D2688" s="3">
        <v>1.0</v>
      </c>
    </row>
    <row r="2689" ht="15.75" customHeight="1">
      <c r="A2689" s="1">
        <v>2687.0</v>
      </c>
      <c r="B2689" s="3" t="s">
        <v>2689</v>
      </c>
      <c r="C2689" s="3" t="str">
        <f>IFERROR(__xludf.DUMMYFUNCTION("GOOGLETRANSLATE(B2689,""id"",""en"")"),"['Network', 'stable', 'Helping', 'Driver', 'Online', 'Trima', 'Ksh', 'Telkomsel', ""]")</f>
        <v>['Network', 'stable', 'Helping', 'Driver', 'Online', 'Trima', 'Ksh', 'Telkomsel', "]</v>
      </c>
      <c r="D2689" s="3">
        <v>5.0</v>
      </c>
    </row>
    <row r="2690" ht="15.75" customHeight="1">
      <c r="A2690" s="1">
        <v>2688.0</v>
      </c>
      <c r="B2690" s="3" t="s">
        <v>2690</v>
      </c>
      <c r="C2690" s="3" t="str">
        <f>IFERROR(__xludf.DUMMYFUNCTION("GOOGLETRANSLATE(B2690,""id"",""en"")"),"['move', 'card', 'Hello', 'subscribe', 'fraud', 'regret', 'moved', 'card', 'subscribe', 'severe', 'severe', 'disappointed', ' disappointed']")</f>
        <v>['move', 'card', 'Hello', 'subscribe', 'fraud', 'regret', 'moved', 'card', 'subscribe', 'severe', 'severe', 'disappointed', ' disappointed']</v>
      </c>
      <c r="D2690" s="3">
        <v>1.0</v>
      </c>
    </row>
    <row r="2691" ht="15.75" customHeight="1">
      <c r="A2691" s="1">
        <v>2689.0</v>
      </c>
      <c r="B2691" s="3" t="s">
        <v>2691</v>
      </c>
      <c r="C2691" s="3" t="str">
        <f>IFERROR(__xludf.DUMMYFUNCTION("GOOGLETRANSLATE(B2691,""id"",""en"")"),"['oath', 'Telkomsel', 'really', 'pulse', 'sumps',' leftover ',' thousand ',' make ',' credit ',' emergency ',' get ',' sms', ' Access', 'Internet', 'Rates',' Non ',' Package ',' Info ',' Tsel ',' Data ',' Rates', 'Save', 'Buy', 'Package', 'Internet' , 'Ts"&amp;"el', 'Gaada', 'access', 'internet', 'really', 'yesterday', 'friend', 'complaint', 'Dibales', 'already', 'no', 'responsibility']")</f>
        <v>['oath', 'Telkomsel', 'really', 'pulse', 'sumps',' leftover ',' thousand ',' make ',' credit ',' emergency ',' get ',' sms', ' Access', 'Internet', 'Rates',' Non ',' Package ',' Info ',' Tsel ',' Data ',' Rates', 'Save', 'Buy', 'Package', 'Internet' , 'Tsel', 'Gaada', 'access', 'internet', 'really', 'yesterday', 'friend', 'complaint', 'Dibales', 'already', 'no', 'responsibility']</v>
      </c>
      <c r="D2691" s="3">
        <v>1.0</v>
      </c>
    </row>
    <row r="2692" ht="15.75" customHeight="1">
      <c r="A2692" s="1">
        <v>2690.0</v>
      </c>
      <c r="B2692" s="3" t="s">
        <v>2692</v>
      </c>
      <c r="C2692" s="3" t="str">
        <f>IFERROR(__xludf.DUMMYFUNCTION("GOOGLETRANSLATE(B2692,""id"",""en"")"),"['Update', 'Weight', 'Force', 'Close', 'Loading', 'Very', 'Please', 'Repaired', 'Looks', 'Company', 'Professional', 'Class']")</f>
        <v>['Update', 'Weight', 'Force', 'Close', 'Loading', 'Very', 'Please', 'Repaired', 'Looks', 'Company', 'Professional', 'Class']</v>
      </c>
      <c r="D2692" s="3">
        <v>3.0</v>
      </c>
    </row>
    <row r="2693" ht="15.75" customHeight="1">
      <c r="A2693" s="1">
        <v>2691.0</v>
      </c>
      <c r="B2693" s="3" t="s">
        <v>2693</v>
      </c>
      <c r="C2693" s="3" t="str">
        <f>IFERROR(__xludf.DUMMYFUNCTION("GOOGLETRANSLATE(B2693,""id"",""en"")"),"['Weekly', 'Network', 'Stable', 'Slalu', 'Please', 'Repaired', 'Yoo', 'Honey', 'Buy', 'Quota', 'Expensive', 'The Network', ' Lose ',' Network ',' Lossi ',' Donk ',' Make ',' Buy ',' Expensive ',' Then ',' Network ',' Dropped ',' Kyk ',' Gini ',' Disappoin"&amp;"ted ' , 'really', 'Krajan', 'disrupted', 'BSA', 'Krm', 'report']")</f>
        <v>['Weekly', 'Network', 'Stable', 'Slalu', 'Please', 'Repaired', 'Yoo', 'Honey', 'Buy', 'Quota', 'Expensive', 'The Network', ' Lose ',' Network ',' Lossi ',' Donk ',' Make ',' Buy ',' Expensive ',' Then ',' Network ',' Dropped ',' Kyk ',' Gini ',' Disappointed ' , 'really', 'Krajan', 'disrupted', 'BSA', 'Krm', 'report']</v>
      </c>
      <c r="D2693" s="3">
        <v>1.0</v>
      </c>
    </row>
    <row r="2694" ht="15.75" customHeight="1">
      <c r="A2694" s="1">
        <v>2692.0</v>
      </c>
      <c r="B2694" s="3" t="s">
        <v>2694</v>
      </c>
      <c r="C2694" s="3" t="str">
        <f>IFERROR(__xludf.DUMMYFUNCTION("GOOGLETRANSLATE(B2694,""id"",""en"")"),"['It's easy', 'buy', 'package', 'data', 'choice', 'Thank', 'Telkomsel']")</f>
        <v>['It's easy', 'buy', 'package', 'data', 'choice', 'Thank', 'Telkomsel']</v>
      </c>
      <c r="D2694" s="3">
        <v>5.0</v>
      </c>
    </row>
    <row r="2695" ht="15.75" customHeight="1">
      <c r="A2695" s="1">
        <v>2693.0</v>
      </c>
      <c r="B2695" s="3" t="s">
        <v>2695</v>
      </c>
      <c r="C2695" s="3" t="str">
        <f>IFERROR(__xludf.DUMMYFUNCTION("GOOGLETRANSLATE(B2695,""id"",""en"")"),"['Telkomsel', 'network', 'expensive', 'ngelag', 'use', 'Try', 'expensive', 'expensive', 'buy', 'ngelag', 'oath', ""]")</f>
        <v>['Telkomsel', 'network', 'expensive', 'ngelag', 'use', 'Try', 'expensive', 'expensive', 'buy', 'ngelag', 'oath', "]</v>
      </c>
      <c r="D2695" s="3">
        <v>1.0</v>
      </c>
    </row>
    <row r="2696" ht="15.75" customHeight="1">
      <c r="A2696" s="1">
        <v>2694.0</v>
      </c>
      <c r="B2696" s="3" t="s">
        <v>2696</v>
      </c>
      <c r="C2696" s="3" t="str">
        <f>IFERROR(__xludf.DUMMYFUNCTION("GOOGLETRANSLATE(B2696,""id"",""en"")"),"['', 'love', 'star', 'because', 'network', 'Telkomsel', 'problematic', 'package', 'Telalu', 'expensive']")</f>
        <v>['', 'love', 'star', 'because', 'network', 'Telkomsel', 'problematic', 'package', 'Telalu', 'expensive']</v>
      </c>
      <c r="D2696" s="3">
        <v>4.0</v>
      </c>
    </row>
    <row r="2697" ht="15.75" customHeight="1">
      <c r="A2697" s="1">
        <v>2695.0</v>
      </c>
      <c r="B2697" s="3" t="s">
        <v>2697</v>
      </c>
      <c r="C2697" s="3" t="str">
        <f>IFERROR(__xludf.DUMMYFUNCTION("GOOGLETRANSLATE(B2697,""id"",""en"")"),"['connection', 'Hancut', 'Hancuran', 'slow', 'dilapidated', 'migration', 'provider', 'kayak', 'gini']")</f>
        <v>['connection', 'Hancut', 'Hancuran', 'slow', 'dilapidated', 'migration', 'provider', 'kayak', 'gini']</v>
      </c>
      <c r="D2697" s="3">
        <v>1.0</v>
      </c>
    </row>
    <row r="2698" ht="15.75" customHeight="1">
      <c r="A2698" s="1">
        <v>2696.0</v>
      </c>
      <c r="B2698" s="3" t="s">
        <v>2698</v>
      </c>
      <c r="C2698" s="3" t="str">
        <f>IFERROR(__xludf.DUMMYFUNCTION("GOOGLETRANSLATE(B2698,""id"",""en"")"),"['The application', 'BYK', 'Features', 'Tll', 'Sizenya', 'Drain', 'Memory', 'Sya', 'Need', 'Function', 'Application', 'Simple']")</f>
        <v>['The application', 'BYK', 'Features', 'Tll', 'Sizenya', 'Drain', 'Memory', 'Sya', 'Need', 'Function', 'Application', 'Simple']</v>
      </c>
      <c r="D2698" s="3">
        <v>2.0</v>
      </c>
    </row>
    <row r="2699" ht="15.75" customHeight="1">
      <c r="A2699" s="1">
        <v>2697.0</v>
      </c>
      <c r="B2699" s="3" t="s">
        <v>2699</v>
      </c>
      <c r="C2699" s="3" t="str">
        <f>IFERROR(__xludf.DUMMYFUNCTION("GOOGLETRANSLATE(B2699,""id"",""en"")"),"['Ketin', 'ugly', 'signal', 'Telkomsel', 'right', 'night', 'disgust', 'times',' signal ',' Telkomsel ',' serious', 'Udh', ' Telkomsel ',' ugly ',' network ',' please ',' good ',' tasty ',' nge ',' game ',' signal ',' ugly ',' ']")</f>
        <v>['Ketin', 'ugly', 'signal', 'Telkomsel', 'right', 'night', 'disgust', 'times',' signal ',' Telkomsel ',' serious', 'Udh', ' Telkomsel ',' ugly ',' network ',' please ',' good ',' tasty ',' nge ',' game ',' signal ',' ugly ',' ']</v>
      </c>
      <c r="D2699" s="3">
        <v>1.0</v>
      </c>
    </row>
    <row r="2700" ht="15.75" customHeight="1">
      <c r="A2700" s="1">
        <v>2698.0</v>
      </c>
      <c r="B2700" s="3" t="s">
        <v>2700</v>
      </c>
      <c r="C2700" s="3" t="str">
        <f>IFERROR(__xludf.DUMMYFUNCTION("GOOGLETRANSLATE(B2700,""id"",""en"")"),"['Telkomsel', 'please', 'petball', 'signal', 'develop', 'signal', 'please', 'fix', 'signal', 'disappointed', 'time', 'play', ' Game ',' Ama ',' Youtub ',' Road ',' Lemot ',' really ',' ']")</f>
        <v>['Telkomsel', 'please', 'petball', 'signal', 'develop', 'signal', 'please', 'fix', 'signal', 'disappointed', 'time', 'play', ' Game ',' Ama ',' Youtub ',' Road ',' Lemot ',' really ',' ']</v>
      </c>
      <c r="D2700" s="3">
        <v>1.0</v>
      </c>
    </row>
    <row r="2701" ht="15.75" customHeight="1">
      <c r="A2701" s="1">
        <v>2699.0</v>
      </c>
      <c r="B2701" s="3" t="s">
        <v>2701</v>
      </c>
      <c r="C2701" s="3" t="str">
        <f>IFERROR(__xludf.DUMMYFUNCTION("GOOGLETRANSLATE(B2701,""id"",""en"")"),"['slow', 'signal', 'quota', 'main', 'run out', 'use', 'quota', 'multimedia', 'slow', 'GB', 'loss',' difficult ',' Use ',' Disappointed ',' Service ',' Mending ',' Use ',' Operator ',' Next to ',' ']")</f>
        <v>['slow', 'signal', 'quota', 'main', 'run out', 'use', 'quota', 'multimedia', 'slow', 'GB', 'loss',' difficult ',' Use ',' Disappointed ',' Service ',' Mending ',' Use ',' Operator ',' Next to ',' ']</v>
      </c>
      <c r="D2701" s="3">
        <v>1.0</v>
      </c>
    </row>
    <row r="2702" ht="15.75" customHeight="1">
      <c r="A2702" s="1">
        <v>2700.0</v>
      </c>
      <c r="B2702" s="3" t="s">
        <v>2702</v>
      </c>
      <c r="C2702" s="3" t="str">
        <f>IFERROR(__xludf.DUMMYFUNCTION("GOOGLETRANSLATE(B2702,""id"",""en"")"),"['buy', 'package', 'connection', 'threat', 'leftover', 'used', 'Cuan', 'Gede']")</f>
        <v>['buy', 'package', 'connection', 'threat', 'leftover', 'used', 'Cuan', 'Gede']</v>
      </c>
      <c r="D2702" s="3">
        <v>1.0</v>
      </c>
    </row>
    <row r="2703" ht="15.75" customHeight="1">
      <c r="A2703" s="1">
        <v>2701.0</v>
      </c>
      <c r="B2703" s="3" t="s">
        <v>2703</v>
      </c>
      <c r="C2703" s="3" t="str">
        <f>IFERROR(__xludf.DUMMYFUNCTION("GOOGLETRANSLATE(B2703,""id"",""en"")"),"['Package', 'depends',' card ',' card ',' expensive ',' card ',' standard ',' dlu ',' Telkomsel ',' GB ',' package ',' package ',' GB ',' price ',' cave ',' that way ',' normal ',' buy ',' counter ',' direct ',' buy ',' package ',' data ',' card ',' packa"&amp;"ge ' , 'Telkomsel', 'expensive', 'try', 'buy', 'package', 'card', 'card', 'sometimes', 'different']")</f>
        <v>['Package', 'depends',' card ',' card ',' expensive ',' card ',' standard ',' dlu ',' Telkomsel ',' GB ',' package ',' package ',' GB ',' price ',' cave ',' that way ',' normal ',' buy ',' counter ',' direct ',' buy ',' package ',' data ',' card ',' package ' , 'Telkomsel', 'expensive', 'try', 'buy', 'package', 'card', 'card', 'sometimes', 'different']</v>
      </c>
      <c r="D2703" s="3">
        <v>2.0</v>
      </c>
    </row>
    <row r="2704" ht="15.75" customHeight="1">
      <c r="A2704" s="1">
        <v>2702.0</v>
      </c>
      <c r="B2704" s="3" t="s">
        <v>2704</v>
      </c>
      <c r="C2704" s="3" t="str">
        <f>IFERROR(__xludf.DUMMYFUNCTION("GOOGLETRANSLATE(B2704,""id"",""en"")"),"['Telkomsel', 'good', 'please', 'check', 'area', 'Tanjung', 'Morawa', 'Gang', 'Madirsan', 'signal', 'network', 'stable', ' Fill ',' package ',' grace ',' package ',' run out ',' users', 'Telkomsel', 'harmed', ""]")</f>
        <v>['Telkomsel', 'good', 'please', 'check', 'area', 'Tanjung', 'Morawa', 'Gang', 'Madirsan', 'signal', 'network', 'stable', ' Fill ',' package ',' grace ',' package ',' run out ',' users', 'Telkomsel', 'harmed', "]</v>
      </c>
      <c r="D2704" s="3">
        <v>1.0</v>
      </c>
    </row>
    <row r="2705" ht="15.75" customHeight="1">
      <c r="A2705" s="1">
        <v>2703.0</v>
      </c>
      <c r="B2705" s="3" t="s">
        <v>2705</v>
      </c>
      <c r="C2705" s="3" t="str">
        <f>IFERROR(__xludf.DUMMYFUNCTION("GOOGLETRANSLATE(B2705,""id"",""en"")"),"['FuckaSih', 'Telkomsel', 'Buy', 'Package', 'Data', 'Constraints', 'Credit', 'Already', 'Please', 'Repaired', 'Securnua', ""]")</f>
        <v>['FuckaSih', 'Telkomsel', 'Buy', 'Package', 'Data', 'Constraints', 'Credit', 'Already', 'Please', 'Repaired', 'Securnua', "]</v>
      </c>
      <c r="D2705" s="3">
        <v>1.0</v>
      </c>
    </row>
    <row r="2706" ht="15.75" customHeight="1">
      <c r="A2706" s="1">
        <v>2704.0</v>
      </c>
      <c r="B2706" s="3" t="s">
        <v>2706</v>
      </c>
      <c r="C2706" s="3" t="str">
        <f>IFERROR(__xludf.DUMMYFUNCTION("GOOGLETRANSLATE(B2706,""id"",""en"")"),"['like', 'card', 'sympathy', 'era', 'school', 'junior high school', 'pdhal', 'skrang', 'udh', 'tpi', 'sometimes',' Ujan ',' dead ',' lights', 'signal', 'hope', 'in the future', 'then', 'card', 'favorite', 'get', 'reward', ""]")</f>
        <v>['like', 'card', 'sympathy', 'era', 'school', 'junior high school', 'pdhal', 'skrang', 'udh', 'tpi', 'sometimes',' Ujan ',' dead ',' lights', 'signal', 'hope', 'in the future', 'then', 'card', 'favorite', 'get', 'reward', "]</v>
      </c>
      <c r="D2706" s="3">
        <v>4.0</v>
      </c>
    </row>
    <row r="2707" ht="15.75" customHeight="1">
      <c r="A2707" s="1">
        <v>2705.0</v>
      </c>
      <c r="B2707" s="3" t="s">
        <v>2707</v>
      </c>
      <c r="C2707" s="3" t="str">
        <f>IFERROR(__xludf.DUMMYFUNCTION("GOOGLETRANSLATE(B2707,""id"",""en"")"),"['week', 'Telkomsel', 'buy', 'package', 'unlimited', 'youtube', 'day', 'just', 'day', 'get', 'package', 'checks',' Please, 'Fix', '']")</f>
        <v>['week', 'Telkomsel', 'buy', 'package', 'unlimited', 'youtube', 'day', 'just', 'day', 'get', 'package', 'checks',' Please, 'Fix', '']</v>
      </c>
      <c r="D2707" s="3">
        <v>3.0</v>
      </c>
    </row>
    <row r="2708" ht="15.75" customHeight="1">
      <c r="A2708" s="1">
        <v>2706.0</v>
      </c>
      <c r="B2708" s="3" t="s">
        <v>2708</v>
      </c>
      <c r="C2708" s="3" t="str">
        <f>IFERROR(__xludf.DUMMYFUNCTION("GOOGLETRANSLATE(B2708,""id"",""en"")"),"['Sorry', 'Sis',' Transfer ',' Credit ',' Operator ',' Nggk ',' Telkomsel ',' Method ',' Payment ',' Top ',' Game ',' Please ',' Consider ',' Sis', 'Over', 'Thank', 'Love', ""]")</f>
        <v>['Sorry', 'Sis',' Transfer ',' Credit ',' Operator ',' Nggk ',' Telkomsel ',' Method ',' Payment ',' Top ',' Game ',' Please ',' Consider ',' Sis', 'Over', 'Thank', 'Love', "]</v>
      </c>
      <c r="D2708" s="3">
        <v>3.0</v>
      </c>
    </row>
    <row r="2709" ht="15.75" customHeight="1">
      <c r="A2709" s="1">
        <v>2707.0</v>
      </c>
      <c r="B2709" s="3" t="s">
        <v>2709</v>
      </c>
      <c r="C2709" s="3" t="str">
        <f>IFERROR(__xludf.DUMMYFUNCTION("GOOGLETRANSLATE(B2709,""id"",""en"")"),"['Telkomsel', 'network', 'stable', 'lose', 'rivals', '']")</f>
        <v>['Telkomsel', 'network', 'stable', 'lose', 'rivals', '']</v>
      </c>
      <c r="D2709" s="3">
        <v>1.0</v>
      </c>
    </row>
    <row r="2710" ht="15.75" customHeight="1">
      <c r="A2710" s="1">
        <v>2708.0</v>
      </c>
      <c r="B2710" s="3" t="s">
        <v>2710</v>
      </c>
      <c r="C2710" s="3" t="str">
        <f>IFERROR(__xludf.DUMMYFUNCTION("GOOGLETRANSLATE(B2710,""id"",""en"")"),"['Lawak', 'yaa', 'package', 'call', 'digited', 'pulse', 'trs',' buy ',' package ',' call ',' woyyy ',' expensive ',' Doang ']")</f>
        <v>['Lawak', 'yaa', 'package', 'call', 'digited', 'pulse', 'trs',' buy ',' package ',' call ',' woyyy ',' expensive ',' Doang ']</v>
      </c>
      <c r="D2710" s="3">
        <v>1.0</v>
      </c>
    </row>
    <row r="2711" ht="15.75" customHeight="1">
      <c r="A2711" s="1">
        <v>2709.0</v>
      </c>
      <c r="B2711" s="3" t="s">
        <v>2711</v>
      </c>
      <c r="C2711" s="3" t="str">
        <f>IFERROR(__xludf.DUMMYFUNCTION("GOOGLETRANSLATE(B2711,""id"",""en"")"),"['Package', 'Kaga', 'Slalu', 'Update', 'Unlimited', 'YouTube', 'Use', 'STTS', 'Already', 'Unlimited', 'YouTube', 'Credit', ' thousand ',' scorched ',' vain ',' please ',' Telkomsel ',' try ',' professional ', ""]")</f>
        <v>['Package', 'Kaga', 'Slalu', 'Update', 'Unlimited', 'YouTube', 'Use', 'STTS', 'Already', 'Unlimited', 'YouTube', 'Credit', ' thousand ',' scorched ',' vain ',' please ',' Telkomsel ',' try ',' professional ', "]</v>
      </c>
      <c r="D2711" s="3">
        <v>2.0</v>
      </c>
    </row>
    <row r="2712" ht="15.75" customHeight="1">
      <c r="A2712" s="1">
        <v>2710.0</v>
      </c>
      <c r="B2712" s="3" t="s">
        <v>2712</v>
      </c>
      <c r="C2712" s="3" t="str">
        <f>IFERROR(__xludf.DUMMYFUNCTION("GOOGLETRANSLATE(B2712,""id"",""en"")"),"['entry', 'application', 'code', 'verification', 'expiration', 'sndiri', 'repeated', 'reset']")</f>
        <v>['entry', 'application', 'code', 'verification', 'expiration', 'sndiri', 'repeated', 'reset']</v>
      </c>
      <c r="D2712" s="3">
        <v>4.0</v>
      </c>
    </row>
    <row r="2713" ht="15.75" customHeight="1">
      <c r="A2713" s="1">
        <v>2711.0</v>
      </c>
      <c r="B2713" s="3" t="s">
        <v>2713</v>
      </c>
      <c r="C2713" s="3" t="str">
        <f>IFERROR(__xludf.DUMMYFUNCTION("GOOGLETRANSLATE(B2713,""id"",""en"")"),"['complaining', 'Jaringa', 'Lady', 'Paketan', 'GB', 'Buy', 'Mbuka', 'Ditok', 'Sometimes',' Ngk ',' hours', ' Kot ',' Help ',' Experience ',' Wrong ',' Cable ',' Telkomsel ',' Error ',' Please ',' Response ',' Aing ',' Komen ',' Loding ', ""]")</f>
        <v>['complaining', 'Jaringa', 'Lady', 'Paketan', 'GB', 'Buy', 'Mbuka', 'Ditok', 'Sometimes',' Ngk ',' hours', ' Kot ',' Help ',' Experience ',' Wrong ',' Cable ',' Telkomsel ',' Error ',' Please ',' Response ',' Aing ',' Komen ',' Loding ', "]</v>
      </c>
      <c r="D2713" s="3">
        <v>1.0</v>
      </c>
    </row>
    <row r="2714" ht="15.75" customHeight="1">
      <c r="A2714" s="1">
        <v>2712.0</v>
      </c>
      <c r="B2714" s="3" t="s">
        <v>2714</v>
      </c>
      <c r="C2714" s="3" t="str">
        <f>IFERROR(__xludf.DUMMYFUNCTION("GOOGLETRANSLATE(B2714,""id"",""en"")"),"['', 'star', 'dlu', 'application', 'help', 'check', 'quota', 'complicated', 'complaint', 'quota', 'expensive', 'network', 'ugly ',' please ',' fix ',' dlu ',' network ']")</f>
        <v>['', 'star', 'dlu', 'application', 'help', 'check', 'quota', 'complicated', 'complaint', 'quota', 'expensive', 'network', 'ugly ',' please ',' fix ',' dlu ',' network ']</v>
      </c>
      <c r="D2714" s="3">
        <v>2.0</v>
      </c>
    </row>
    <row r="2715" ht="15.75" customHeight="1">
      <c r="A2715" s="1">
        <v>2713.0</v>
      </c>
      <c r="B2715" s="3" t="s">
        <v>2715</v>
      </c>
      <c r="C2715" s="3" t="str">
        <f>IFERROR(__xludf.DUMMYFUNCTION("GOOGLETRANSLATE(B2715,""id"",""en"")"),"['Shared', 'Telkomsel', 'quota', 'Multimedia', 'Bed', 'Giga', 'I use', 'quota', 'Regular', 'get', 'suction', 'Telkomsel', ' vampires', 'sold', 'package', 'end', 'package', 'quota', 'regular', 'pilgrim', '']")</f>
        <v>['Shared', 'Telkomsel', 'quota', 'Multimedia', 'Bed', 'Giga', 'I use', 'quota', 'Regular', 'get', 'suction', 'Telkomsel', ' vampires', 'sold', 'package', 'end', 'package', 'quota', 'regular', 'pilgrim', '']</v>
      </c>
      <c r="D2715" s="3">
        <v>1.0</v>
      </c>
    </row>
    <row r="2716" ht="15.75" customHeight="1">
      <c r="A2716" s="1">
        <v>2714.0</v>
      </c>
      <c r="B2716" s="3" t="s">
        <v>2716</v>
      </c>
      <c r="C2716" s="3" t="str">
        <f>IFERROR(__xludf.DUMMYFUNCTION("GOOGLETRANSLATE(B2716,""id"",""en"")"),"['network', 'Telkomsel', 'slow', 'signal', 'quota', 'please', 'Telkomsel', 'fix', 'problem', '']")</f>
        <v>['network', 'Telkomsel', 'slow', 'signal', 'quota', 'please', 'Telkomsel', 'fix', 'problem', '']</v>
      </c>
      <c r="D2716" s="3">
        <v>1.0</v>
      </c>
    </row>
    <row r="2717" ht="15.75" customHeight="1">
      <c r="A2717" s="1">
        <v>2715.0</v>
      </c>
      <c r="B2717" s="3" t="s">
        <v>2717</v>
      </c>
      <c r="C2717" s="3" t="str">
        <f>IFERROR(__xludf.DUMMYFUNCTION("GOOGLETRANSLATE(B2717,""id"",""en"")"),"['Network', 'slow', 'use', 'card', 'mending', 'use', 'jakarta', 'rotten', 'signal', 'network', 'forced', 'bran', ' ']")</f>
        <v>['Network', 'slow', 'use', 'card', 'mending', 'use', 'jakarta', 'rotten', 'signal', 'network', 'forced', 'bran', ' ']</v>
      </c>
      <c r="D2717" s="3">
        <v>1.0</v>
      </c>
    </row>
    <row r="2718" ht="15.75" customHeight="1">
      <c r="A2718" s="1">
        <v>2716.0</v>
      </c>
      <c r="B2718" s="3" t="s">
        <v>2718</v>
      </c>
      <c r="C2718" s="3" t="str">
        <f>IFERROR(__xludf.DUMMYFUNCTION("GOOGLETRANSLATE(B2718,""id"",""en"")"),"['application', 'maslah', 'hnya', 'disappointed', 'signal', 'Telkomsel', 'zoom', 'meeting', 'forgiveness',' forgiveness', 'paraah', 'sngat', ' critical', '']")</f>
        <v>['application', 'maslah', 'hnya', 'disappointed', 'signal', 'Telkomsel', 'zoom', 'meeting', 'forgiveness',' forgiveness', 'paraah', 'sngat', ' critical', '']</v>
      </c>
      <c r="D2718" s="3">
        <v>1.0</v>
      </c>
    </row>
    <row r="2719" ht="15.75" customHeight="1">
      <c r="A2719" s="1">
        <v>2717.0</v>
      </c>
      <c r="B2719" s="3" t="s">
        <v>2719</v>
      </c>
      <c r="C2719" s="3" t="str">
        <f>IFERROR(__xludf.DUMMYFUNCTION("GOOGLETRANSLATE(B2719,""id"",""en"")"),"['', 'love', 'star', 'dlu', 'because' Telkomsel ',' fair ',' card ',' package ',' expensive ',' TPI ',' card ',' cheap ']")</f>
        <v>['', 'love', 'star', 'dlu', 'because' Telkomsel ',' fair ',' card ',' package ',' expensive ',' TPI ',' card ',' cheap ']</v>
      </c>
      <c r="D2719" s="3">
        <v>1.0</v>
      </c>
    </row>
    <row r="2720" ht="15.75" customHeight="1">
      <c r="A2720" s="1">
        <v>2718.0</v>
      </c>
      <c r="B2720" s="3" t="s">
        <v>2720</v>
      </c>
      <c r="C2720" s="3" t="str">
        <f>IFERROR(__xludf.DUMMYFUNCTION("GOOGLETRANSLATE(B2720,""id"",""en"")"),"['complicated', 'look', 'GBSA', 'opened', 'meek', 'internet', 'please', 'Bring', 'The', 'Bac', 'Like', 'Used', ' Ease ',' Elderly ',' Faham ',' Dripada ',' Install ',' Application ']")</f>
        <v>['complicated', 'look', 'GBSA', 'opened', 'meek', 'internet', 'please', 'Bring', 'The', 'Bac', 'Like', 'Used', ' Ease ',' Elderly ',' Faham ',' Dripada ',' Install ',' Application ']</v>
      </c>
      <c r="D2720" s="3">
        <v>2.0</v>
      </c>
    </row>
    <row r="2721" ht="15.75" customHeight="1">
      <c r="A2721" s="1">
        <v>2719.0</v>
      </c>
      <c r="B2721" s="3" t="s">
        <v>2721</v>
      </c>
      <c r="C2721" s="3" t="str">
        <f>IFERROR(__xludf.DUMMYFUNCTION("GOOGLETRANSLATE(B2721,""id"",""en"")"),"['Star', 'fake', 'disappointed', 'price', 'package', 'expensive', 'mamksa', 'buy', 'Telkomsel', 'damn', ""]")</f>
        <v>['Star', 'fake', 'disappointed', 'price', 'package', 'expensive', 'mamksa', 'buy', 'Telkomsel', 'damn', "]</v>
      </c>
      <c r="D2721" s="3">
        <v>5.0</v>
      </c>
    </row>
    <row r="2722" ht="15.75" customHeight="1">
      <c r="A2722" s="1">
        <v>2720.0</v>
      </c>
      <c r="B2722" s="3" t="s">
        <v>2722</v>
      </c>
      <c r="C2722" s="3" t="str">
        <f>IFERROR(__xludf.DUMMYFUNCTION("GOOGLETRANSLATE(B2722,""id"",""en"")"),"['quality', 'taste', 'quantity', 'promotion', 'user', 'Telkomsel', 'package', 'economical', 'wallet', 'thin', 'koar', 'signal', ' Good ',' Mana ',' Tetep ',' Monday ',' Thursday ',' Good ']")</f>
        <v>['quality', 'taste', 'quantity', 'promotion', 'user', 'Telkomsel', 'package', 'economical', 'wallet', 'thin', 'koar', 'signal', ' Good ',' Mana ',' Tetep ',' Monday ',' Thursday ',' Good ']</v>
      </c>
      <c r="D2722" s="3">
        <v>1.0</v>
      </c>
    </row>
    <row r="2723" ht="15.75" customHeight="1">
      <c r="A2723" s="1">
        <v>2721.0</v>
      </c>
      <c r="B2723" s="3" t="s">
        <v>2723</v>
      </c>
      <c r="C2723" s="3" t="str">
        <f>IFERROR(__xludf.DUMMYFUNCTION("GOOGLETRANSLATE(B2723,""id"",""en"")"),"['', 'skrng', 'Telkomsel', 'good', 'upload', 'download', 'appeal', 'maen', 'game', 'ngegame', 'lag', 'bngt', 'pdhl ',' card ',' next door ',' smooth ',' yaah ',' decent ',' worth ',' upload ',' download ',' cpt ']")</f>
        <v>['', 'skrng', 'Telkomsel', 'good', 'upload', 'download', 'appeal', 'maen', 'game', 'ngegame', 'lag', 'bngt', 'pdhl ',' card ',' next door ',' smooth ',' yaah ',' decent ',' worth ',' upload ',' download ',' cpt ']</v>
      </c>
      <c r="D2723" s="3">
        <v>3.0</v>
      </c>
    </row>
    <row r="2724" ht="15.75" customHeight="1">
      <c r="A2724" s="1">
        <v>2722.0</v>
      </c>
      <c r="B2724" s="3" t="s">
        <v>2724</v>
      </c>
      <c r="C2724" s="3" t="str">
        <f>IFERROR(__xludf.DUMMYFUNCTION("GOOGLETRANSLATE(B2724,""id"",""en"")"),"['signal', 'strong', 'package', 'eat', 'pulse', 'lost', 'mysterious',' Please ',' area ',' wringin ',' anom ',' area ',' Gresik ',' reinforced ',' signal ',' network ',' ']")</f>
        <v>['signal', 'strong', 'package', 'eat', 'pulse', 'lost', 'mysterious',' Please ',' area ',' wringin ',' anom ',' area ',' Gresik ',' reinforced ',' signal ',' network ',' ']</v>
      </c>
      <c r="D2724" s="3">
        <v>4.0</v>
      </c>
    </row>
    <row r="2725" ht="15.75" customHeight="1">
      <c r="A2725" s="1">
        <v>2723.0</v>
      </c>
      <c r="B2725" s="3" t="s">
        <v>2725</v>
      </c>
      <c r="C2725" s="3" t="str">
        <f>IFERROR(__xludf.DUMMYFUNCTION("GOOGLETRANSLATE(B2725,""id"",""en"")"),"['signal', 'Telkomsel', 'slow', 'lost', 'buy', 'package', 'internet', 'skrng', 'reduced', 'buy', 'date', 'date', ' bln ',' skrng ',' date ',' pdhl ',' package ',' data ',' scorched ']")</f>
        <v>['signal', 'Telkomsel', 'slow', 'lost', 'buy', 'package', 'internet', 'skrng', 'reduced', 'buy', 'date', 'date', ' bln ',' skrng ',' date ',' pdhl ',' package ',' data ',' scorched ']</v>
      </c>
      <c r="D2725" s="3">
        <v>2.0</v>
      </c>
    </row>
    <row r="2726" ht="15.75" customHeight="1">
      <c r="A2726" s="1">
        <v>2724.0</v>
      </c>
      <c r="B2726" s="3" t="s">
        <v>2726</v>
      </c>
      <c r="C2726" s="3" t="str">
        <f>IFERROR(__xludf.DUMMYFUNCTION("GOOGLETRANSLATE(B2726,""id"",""en"")"),"['package', 'internet', 'area', 'Sumatra', 'expensive', 'quality', 'signal', 'bad', 'mending', 'buy', 'provider', 'cheap', ' quality', '']")</f>
        <v>['package', 'internet', 'area', 'Sumatra', 'expensive', 'quality', 'signal', 'bad', 'mending', 'buy', 'provider', 'cheap', ' quality', '']</v>
      </c>
      <c r="D2726" s="3">
        <v>1.0</v>
      </c>
    </row>
    <row r="2727" ht="15.75" customHeight="1">
      <c r="A2727" s="1">
        <v>2725.0</v>
      </c>
      <c r="B2727" s="3" t="s">
        <v>2727</v>
      </c>
      <c r="C2727" s="3" t="str">
        <f>IFERROR(__xludf.DUMMYFUNCTION("GOOGLETRANSLATE(B2727,""id"",""en"")"),"['Please', 'quota', 'love', 'cheap', 'pro', 'folk', 'Commissioner', 'personnel', 'Slank', 'voice', 'pro', 'people', ' Profaidi ',' Bole ',' Telkomsel ',' Bole ']")</f>
        <v>['Please', 'quota', 'love', 'cheap', 'pro', 'folk', 'Commissioner', 'personnel', 'Slank', 'voice', 'pro', 'people', ' Profaidi ',' Bole ',' Telkomsel ',' Bole ']</v>
      </c>
      <c r="D2727" s="3">
        <v>3.0</v>
      </c>
    </row>
    <row r="2728" ht="15.75" customHeight="1">
      <c r="A2728" s="1">
        <v>2726.0</v>
      </c>
      <c r="B2728" s="3" t="s">
        <v>2728</v>
      </c>
      <c r="C2728" s="3" t="str">
        <f>IFERROR(__xludf.DUMMYFUNCTION("GOOGLETRANSLATE(B2728,""id"",""en"")"),"['Severe', 'already', 'kayak', 'discount', 'mah', 'expensive', 'adjust', 'pandemic', 'gini', 'bnyk', 'money']")</f>
        <v>['Severe', 'already', 'kayak', 'discount', 'mah', 'expensive', 'adjust', 'pandemic', 'gini', 'bnyk', 'money']</v>
      </c>
      <c r="D2728" s="3">
        <v>1.0</v>
      </c>
    </row>
    <row r="2729" ht="15.75" customHeight="1">
      <c r="A2729" s="1">
        <v>2727.0</v>
      </c>
      <c r="B2729" s="3" t="s">
        <v>2729</v>
      </c>
      <c r="C2729" s="3" t="str">
        <f>IFERROR(__xludf.DUMMYFUNCTION("GOOGLETRANSLATE(B2729,""id"",""en"")"),"['Sept', 'Clock', 'Exchange', 'Point', 'SMS', 'Point', 'Different', 'Reward', 'SMS', 'BLM', 'Get', 'Hub', ' BGM ',' TRM ',' Kasih ', ""]")</f>
        <v>['Sept', 'Clock', 'Exchange', 'Point', 'SMS', 'Point', 'Different', 'Reward', 'SMS', 'BLM', 'Get', 'Hub', ' BGM ',' TRM ',' Kasih ', "]</v>
      </c>
      <c r="D2729" s="3">
        <v>3.0</v>
      </c>
    </row>
    <row r="2730" ht="15.75" customHeight="1">
      <c r="A2730" s="1">
        <v>2728.0</v>
      </c>
      <c r="B2730" s="3" t="s">
        <v>2730</v>
      </c>
      <c r="C2730" s="3" t="str">
        <f>IFERROR(__xludf.DUMMYFUNCTION("GOOGLETRANSLATE(B2730,""id"",""en"")"),"['application', 'steady', 'access', 'data', 'quota', 'package', 'card', 'Telkomsel', 'hopefully', 'Telkomsel', 'Jaya']")</f>
        <v>['application', 'steady', 'access', 'data', 'quota', 'package', 'card', 'Telkomsel', 'hopefully', 'Telkomsel', 'Jaya']</v>
      </c>
      <c r="D2730" s="3">
        <v>5.0</v>
      </c>
    </row>
    <row r="2731" ht="15.75" customHeight="1">
      <c r="A2731" s="1">
        <v>2729.0</v>
      </c>
      <c r="B2731" s="3" t="s">
        <v>2731</v>
      </c>
      <c r="C2731" s="3" t="str">
        <f>IFERROR(__xludf.DUMMYFUNCTION("GOOGLETRANSLATE(B2731,""id"",""en"")"),"['Telkomsel', 'Must', 'Open', 'APK', 'Link', 'Content', 'Credit', 'Ribet', 'Musti', 'APK', 'APK', ""]")</f>
        <v>['Telkomsel', 'Must', 'Open', 'APK', 'Link', 'Content', 'Credit', 'Ribet', 'Musti', 'APK', 'APK', "]</v>
      </c>
      <c r="D2731" s="3">
        <v>2.0</v>
      </c>
    </row>
    <row r="2732" ht="15.75" customHeight="1">
      <c r="A2732" s="1">
        <v>2730.0</v>
      </c>
      <c r="B2732" s="3" t="s">
        <v>2732</v>
      </c>
      <c r="C2732" s="3" t="str">
        <f>IFERROR(__xludf.DUMMYFUNCTION("GOOGLETRANSLATE(B2732,""id"",""en"")"),"['Main', 'Game', 'mobile', 'lag', 'jammed', 'jammed', 'network', 'stable', 'yesterday', 'buy', 'package', 'corporate', ' package ',' internet ',' locally ',' used ',' buy ',' package ',' city ']")</f>
        <v>['Main', 'Game', 'mobile', 'lag', 'jammed', 'jammed', 'network', 'stable', 'yesterday', 'buy', 'package', 'corporate', ' package ',' internet ',' locally ',' used ',' buy ',' package ',' city ']</v>
      </c>
      <c r="D2732" s="3">
        <v>2.0</v>
      </c>
    </row>
    <row r="2733" ht="15.75" customHeight="1">
      <c r="A2733" s="1">
        <v>2731.0</v>
      </c>
      <c r="B2733" s="3" t="s">
        <v>2733</v>
      </c>
      <c r="C2733" s="3" t="str">
        <f>IFERROR(__xludf.DUMMYFUNCTION("GOOGLETRANSLATE(B2733,""id"",""en"")"),"['Quality', 'Internet', 'Media', 'Bad', 'Network', 'Buffering', 'Disconnect', 'Disconnect', 'Comfortable', 'Wear', 'Quota', 'Telkomsel']")</f>
        <v>['Quality', 'Internet', 'Media', 'Bad', 'Network', 'Buffering', 'Disconnect', 'Disconnect', 'Comfortable', 'Wear', 'Quota', 'Telkomsel']</v>
      </c>
      <c r="D2733" s="3">
        <v>1.0</v>
      </c>
    </row>
    <row r="2734" ht="15.75" customHeight="1">
      <c r="A2734" s="1">
        <v>2732.0</v>
      </c>
      <c r="B2734" s="3" t="s">
        <v>2734</v>
      </c>
      <c r="C2734" s="3" t="str">
        <f>IFERROR(__xludf.DUMMYFUNCTION("GOOGLETRANSLATE(B2734,""id"",""en"")"),"['Application', 'Language', 'English', 'Dlibah', 'in', 'Language', 'Indonesia', ""]")</f>
        <v>['Application', 'Language', 'English', 'Dlibah', 'in', 'Language', 'Indonesia', "]</v>
      </c>
      <c r="D2734" s="3">
        <v>4.0</v>
      </c>
    </row>
    <row r="2735" ht="15.75" customHeight="1">
      <c r="A2735" s="1">
        <v>2733.0</v>
      </c>
      <c r="B2735" s="3" t="s">
        <v>2735</v>
      </c>
      <c r="C2735" s="3" t="str">
        <f>IFERROR(__xludf.DUMMYFUNCTION("GOOGLETRANSLATE(B2735,""id"",""en"")"),"['network', 'Telkomsel', 'have', 'signal', 'bad', 'response', 'complaints', 'signal', 'Telkomsel', 'improved', ""]")</f>
        <v>['network', 'Telkomsel', 'have', 'signal', 'bad', 'response', 'complaints', 'signal', 'Telkomsel', 'improved', "]</v>
      </c>
      <c r="D2735" s="3">
        <v>1.0</v>
      </c>
    </row>
    <row r="2736" ht="15.75" customHeight="1">
      <c r="A2736" s="1">
        <v>2734.0</v>
      </c>
      <c r="B2736" s="3" t="s">
        <v>2736</v>
      </c>
      <c r="C2736" s="3" t="str">
        <f>IFERROR(__xludf.DUMMYFUNCTION("GOOGLETRANSLATE(B2736,""id"",""en"")"),"['Parahh', 'Nipu', 'Telkomsel', 'Credit', 'Cut', 'Already', 'Call', 'Call', 'Center', 'Times',' Help ',' As' according to ' TOPIK ',' complaints', 'JGA', 'Judes',' Bat ',' Nomah ',' polite ',' Package ',' Internet ',' SERES ',' already ',' buy ',' Package"&amp;" ' , 'pelp', 'truss', 'base', 'trash', 'taikkkk', 'udalahh', 'move', 'tower', 'waste', 'card', 'taikkkk', ""]")</f>
        <v>['Parahh', 'Nipu', 'Telkomsel', 'Credit', 'Cut', 'Already', 'Call', 'Call', 'Center', 'Times',' Help ',' As' according to ' TOPIK ',' complaints', 'JGA', 'Judes',' Bat ',' Nomah ',' polite ',' Package ',' Internet ',' SERES ',' already ',' buy ',' Package ' , 'pelp', 'truss', 'base', 'trash', 'taikkkk', 'udalahh', 'move', 'tower', 'waste', 'card', 'taikkkk', "]</v>
      </c>
      <c r="D2736" s="3">
        <v>1.0</v>
      </c>
    </row>
    <row r="2737" ht="15.75" customHeight="1">
      <c r="A2737" s="1">
        <v>2735.0</v>
      </c>
      <c r="B2737" s="3" t="s">
        <v>2737</v>
      </c>
      <c r="C2737" s="3" t="str">
        <f>IFERROR(__xludf.DUMMYFUNCTION("GOOGLETRANSLATE(B2737,""id"",""en"")"),"['Mbps', 'Mbps', 'use', 'quota', 'lag', 'gini', 'signal', 'full', 'smpe', 'mbps']")</f>
        <v>['Mbps', 'Mbps', 'use', 'quota', 'lag', 'gini', 'signal', 'full', 'smpe', 'mbps']</v>
      </c>
      <c r="D2737" s="3">
        <v>1.0</v>
      </c>
    </row>
    <row r="2738" ht="15.75" customHeight="1">
      <c r="A2738" s="1">
        <v>2736.0</v>
      </c>
      <c r="B2738" s="3" t="s">
        <v>2738</v>
      </c>
      <c r="C2738" s="3" t="str">
        <f>IFERROR(__xludf.DUMMYFUNCTION("GOOGLETRANSLATE(B2738,""id"",""en"")"),"['dilapidated', 'yes', 'morning', 'afternoon', 'signal', 'dilapidated', 'internet', 'slow', 'price', 'expensive', 'comparable', 'service']")</f>
        <v>['dilapidated', 'yes', 'morning', 'afternoon', 'signal', 'dilapidated', 'internet', 'slow', 'price', 'expensive', 'comparable', 'service']</v>
      </c>
      <c r="D2738" s="3">
        <v>1.0</v>
      </c>
    </row>
    <row r="2739" ht="15.75" customHeight="1">
      <c r="A2739" s="1">
        <v>2737.0</v>
      </c>
      <c r="B2739" s="3" t="s">
        <v>2739</v>
      </c>
      <c r="C2739" s="3" t="str">
        <f>IFERROR(__xludf.DUMMYFUNCTION("GOOGLETRANSLATE(B2739,""id"",""en"")"),"['Please', 'admin', 'conditioned', 'network', 'disappointed', 'kouta', 'internet', 'already', 'expensive', 'the network', 'slow', 'really' Please, 'conditioned', '']")</f>
        <v>['Please', 'admin', 'conditioned', 'network', 'disappointed', 'kouta', 'internet', 'already', 'expensive', 'the network', 'slow', 'really' Please, 'conditioned', '']</v>
      </c>
      <c r="D2739" s="3">
        <v>1.0</v>
      </c>
    </row>
    <row r="2740" ht="15.75" customHeight="1">
      <c r="A2740" s="1">
        <v>2738.0</v>
      </c>
      <c r="B2740" s="3" t="s">
        <v>2740</v>
      </c>
      <c r="C2740" s="3" t="str">
        <f>IFERROR(__xludf.DUMMYFUNCTION("GOOGLETRANSLATE(B2740,""id"",""en"")"),"['fall', 'JDI', 'wasteful', 'wifi', 'Jga', 'bills',' banking ',' card ',' hello ',' regret ',' really ',' number ',' Udh ',' LGI ',' Males', 'Change', 'Convenience', 'LGI', 'Card', 'Prepaid', ""]")</f>
        <v>['fall', 'JDI', 'wasteful', 'wifi', 'Jga', 'bills',' banking ',' card ',' hello ',' regret ',' really ',' number ',' Udh ',' LGI ',' Males', 'Change', 'Convenience', 'LGI', 'Card', 'Prepaid', "]</v>
      </c>
      <c r="D2740" s="3">
        <v>1.0</v>
      </c>
    </row>
    <row r="2741" ht="15.75" customHeight="1">
      <c r="A2741" s="1">
        <v>2739.0</v>
      </c>
      <c r="B2741" s="3" t="s">
        <v>2741</v>
      </c>
      <c r="C2741" s="3" t="str">
        <f>IFERROR(__xludf.DUMMYFUNCTION("GOOGLETRANSLATE(B2741,""id"",""en"")"),"['Sorry', 'comment', 'enter', 'error', 'please', 'repair', ""]")</f>
        <v>['Sorry', 'comment', 'enter', 'error', 'please', 'repair', "]</v>
      </c>
      <c r="D2741" s="3">
        <v>1.0</v>
      </c>
    </row>
    <row r="2742" ht="15.75" customHeight="1">
      <c r="A2742" s="1">
        <v>2740.0</v>
      </c>
      <c r="B2742" s="3" t="s">
        <v>2742</v>
      </c>
      <c r="C2742" s="3" t="str">
        <f>IFERROR(__xludf.DUMMYFUNCTION("GOOGLETRANSLATE(B2742,""id"",""en"")"),"['Crazy', 'Price', 'Package', 'Telkomsel', 'Please', 'Sorry', 'If', 'The Network', 'Current', 'Really', 'Kyak', 'Money', ' ngalir ',' mah ',' already ',' expensive ',' network ',' Laload ',' severe ',' pliss', 'klau', 'gave', 'price', 'package', 'brain' ,"&amp;" 'org', 'rich', 'mah', 'community', 'makadian', 'best', 'community', 'bro', 'apasih', 'price', 'package', 'expensive' network ',' slow ',' kek ',' that's', 'card', 'next door', 'already', 'cheap', 'smooth', 'card', 'kek', 'gini', '']")</f>
        <v>['Crazy', 'Price', 'Package', 'Telkomsel', 'Please', 'Sorry', 'If', 'The Network', 'Current', 'Really', 'Kyak', 'Money', ' ngalir ',' mah ',' already ',' expensive ',' network ',' Laload ',' severe ',' pliss', 'klau', 'gave', 'price', 'package', 'brain' , 'org', 'rich', 'mah', 'community', 'makadian', 'best', 'community', 'bro', 'apasih', 'price', 'package', 'expensive' network ',' slow ',' kek ',' that's', 'card', 'next door', 'already', 'cheap', 'smooth', 'card', 'kek', 'gini', '']</v>
      </c>
      <c r="D2742" s="3">
        <v>1.0</v>
      </c>
    </row>
    <row r="2743" ht="15.75" customHeight="1">
      <c r="A2743" s="1">
        <v>2741.0</v>
      </c>
      <c r="B2743" s="3" t="s">
        <v>2743</v>
      </c>
      <c r="C2743" s="3" t="str">
        <f>IFERROR(__xludf.DUMMYFUNCTION("GOOGLETRANSLATE(B2743,""id"",""en"")"),"['signal', 'Telkomsel', 'slow', 'really', 'buy', 'quota', 'slow', 'what', 'min', 'obstacle', 'please', 'thanks']")</f>
        <v>['signal', 'Telkomsel', 'slow', 'really', 'buy', 'quota', 'slow', 'what', 'min', 'obstacle', 'please', 'thanks']</v>
      </c>
      <c r="D2743" s="3">
        <v>5.0</v>
      </c>
    </row>
    <row r="2744" ht="15.75" customHeight="1">
      <c r="A2744" s="1">
        <v>2742.0</v>
      </c>
      <c r="B2744" s="3" t="s">
        <v>2744</v>
      </c>
      <c r="C2744" s="3" t="str">
        <f>IFERROR(__xludf.DUMMYFUNCTION("GOOGLETRANSLATE(B2744,""id"",""en"")"),"['woi', 'Telkomsel', 'pengapa', 'slow', 'really', 'open', 'application', 'slow', 'really', 'emotion', 'fix', 'application', ' Heavy ',' BamGet ',' Network ',' Ping ',' Down ',' Danger ',' Customer ',' Betah ']")</f>
        <v>['woi', 'Telkomsel', 'pengapa', 'slow', 'really', 'open', 'application', 'slow', 'really', 'emotion', 'fix', 'application', ' Heavy ',' BamGet ',' Network ',' Ping ',' Down ',' Danger ',' Customer ',' Betah ']</v>
      </c>
      <c r="D2744" s="3">
        <v>1.0</v>
      </c>
    </row>
    <row r="2745" ht="15.75" customHeight="1">
      <c r="A2745" s="1">
        <v>2743.0</v>
      </c>
      <c r="B2745" s="3" t="s">
        <v>2745</v>
      </c>
      <c r="C2745" s="3" t="str">
        <f>IFERROR(__xludf.DUMMYFUNCTION("GOOGLETRANSLATE(B2745,""id"",""en"")"),"['Forced', 'Change', 'Post', 'Pay', 'already', 'replaced', 'Post', 'Pay', 'Service', 'Deactive', 'Paketan', 'Chat', ' Ama ',' Mimin ',' Application ',' Direct ']")</f>
        <v>['Forced', 'Change', 'Post', 'Pay', 'already', 'replaced', 'Post', 'Pay', 'Service', 'Deactive', 'Paketan', 'Chat', ' Ama ',' Mimin ',' Application ',' Direct ']</v>
      </c>
      <c r="D2745" s="3">
        <v>1.0</v>
      </c>
    </row>
    <row r="2746" ht="15.75" customHeight="1">
      <c r="A2746" s="1">
        <v>2744.0</v>
      </c>
      <c r="B2746" s="3" t="s">
        <v>2746</v>
      </c>
      <c r="C2746" s="3" t="str">
        <f>IFERROR(__xludf.DUMMYFUNCTION("GOOGLETRANSLATE(B2746,""id"",""en"")"),"['apk', 'slow', 'proof', 'Telkomsel', 'filled', 'employee', 'HR', 'low', 'person', 'stupid', 'stupid', 'Keb', ' ']")</f>
        <v>['apk', 'slow', 'proof', 'Telkomsel', 'filled', 'employee', 'HR', 'low', 'person', 'stupid', 'stupid', 'Keb', ' ']</v>
      </c>
      <c r="D2746" s="3">
        <v>5.0</v>
      </c>
    </row>
    <row r="2747" ht="15.75" customHeight="1">
      <c r="A2747" s="1">
        <v>2745.0</v>
      </c>
      <c r="B2747" s="3" t="s">
        <v>2747</v>
      </c>
      <c r="C2747" s="3" t="str">
        <f>IFERROR(__xludf.DUMMYFUNCTION("GOOGLETRANSLATE(B2747,""id"",""en"")"),"['buy', 'vouch', 'data', 'writing', 'regional', 'why', 'buy', 'side', 'home', 'card', 'VCER', 'region', ' Java ',' Cilacap ',' bngst ']")</f>
        <v>['buy', 'vouch', 'data', 'writing', 'regional', 'why', 'buy', 'side', 'home', 'card', 'VCER', 'region', ' Java ',' Cilacap ',' bngst ']</v>
      </c>
      <c r="D2747" s="3">
        <v>1.0</v>
      </c>
    </row>
    <row r="2748" ht="15.75" customHeight="1">
      <c r="A2748" s="1">
        <v>2746.0</v>
      </c>
      <c r="B2748" s="3" t="s">
        <v>2748</v>
      </c>
      <c r="C2748" s="3" t="str">
        <f>IFERROR(__xludf.DUMMYFUNCTION("GOOGLETRANSLATE(B2748,""id"",""en"")"),"['Change', 'quality', 'network', 'signal', 'bad', 'quality', 'Telkomsel', 'given', 'input', 'please', 'send', 'complainanan', ' Email ',' Facebook ',' Twitter ',' etc. ',' Turn ',' Complained ',' Application ',' TSB ',' Response ',' Telkomsel ',' Anti ','"&amp;" Complaint ',' Kebal ' , 'complain', 'service', 'service', 'strange', '']")</f>
        <v>['Change', 'quality', 'network', 'signal', 'bad', 'quality', 'Telkomsel', 'given', 'input', 'please', 'send', 'complainanan', ' Email ',' Facebook ',' Twitter ',' etc. ',' Turn ',' Complained ',' Application ',' TSB ',' Response ',' Telkomsel ',' Anti ',' Complaint ',' Kebal ' , 'complain', 'service', 'service', 'strange', '']</v>
      </c>
      <c r="D2748" s="3">
        <v>1.0</v>
      </c>
    </row>
    <row r="2749" ht="15.75" customHeight="1">
      <c r="A2749" s="1">
        <v>2747.0</v>
      </c>
      <c r="B2749" s="3" t="s">
        <v>2749</v>
      </c>
      <c r="C2749" s="3" t="str">
        <f>IFERROR(__xludf.DUMMYFUNCTION("GOOGLETRANSLATE(B2749,""id"",""en"")"),"['The meaning', 'Have', 'already', 'updated', 'opened', 'Tetep', 'told', 'update', 'keep', 'what', '']")</f>
        <v>['The meaning', 'Have', 'already', 'updated', 'opened', 'Tetep', 'told', 'update', 'keep', 'what', '']</v>
      </c>
      <c r="D2749" s="3">
        <v>1.0</v>
      </c>
    </row>
    <row r="2750" ht="15.75" customHeight="1">
      <c r="A2750" s="1">
        <v>2748.0</v>
      </c>
      <c r="B2750" s="3" t="s">
        <v>2750</v>
      </c>
      <c r="C2750" s="3" t="str">
        <f>IFERROR(__xludf.DUMMYFUNCTION("GOOGLETRANSLATE(B2750,""id"",""en"")"),"['Please', 'Masalh', 'Network', 'Fix', 'Kt', 'Telkomsel', 'Network', 'Good', 'Scrool', 'Tiktok', 'Maen', 'Game', ' Please ',' Note ',' Network ',' Untung ',' Card ',' Try ',' a month ',' Cave ',' Discard ',' Burn ',' JNG ',' Price ',' Ride ' , 'quality', "&amp;"'network', 'fix', 'bngt', 'please', 'read']")</f>
        <v>['Please', 'Masalh', 'Network', 'Fix', 'Kt', 'Telkomsel', 'Network', 'Good', 'Scrool', 'Tiktok', 'Maen', 'Game', ' Please ',' Note ',' Network ',' Untung ',' Card ',' Try ',' a month ',' Cave ',' Discard ',' Burn ',' JNG ',' Price ',' Ride ' , 'quality', 'network', 'fix', 'bngt', 'please', 'read']</v>
      </c>
      <c r="D2750" s="3">
        <v>1.0</v>
      </c>
    </row>
    <row r="2751" ht="15.75" customHeight="1">
      <c r="A2751" s="1">
        <v>2749.0</v>
      </c>
      <c r="B2751" s="3" t="s">
        <v>2751</v>
      </c>
      <c r="C2751" s="3" t="str">
        <f>IFERROR(__xludf.DUMMYFUNCTION("GOOGLETRANSLATE(B2751,""id"",""en"")"),"['signal', 'good', 'since', 'project', 'train', 'fast', 'signal', 'good', 'position', 'cavling', 'ciburial', 'kec', ' Ngmprah ',' Bandung ',' West ',' Learning ',' Online ',' Loading ',' Sousal ']")</f>
        <v>['signal', 'good', 'since', 'project', 'train', 'fast', 'signal', 'good', 'position', 'cavling', 'ciburial', 'kec', ' Ngmprah ',' Bandung ',' West ',' Learning ',' Online ',' Loading ',' Sousal ']</v>
      </c>
      <c r="D2751" s="3">
        <v>4.0</v>
      </c>
    </row>
    <row r="2752" ht="15.75" customHeight="1">
      <c r="A2752" s="1">
        <v>2750.0</v>
      </c>
      <c r="B2752" s="3" t="s">
        <v>2752</v>
      </c>
      <c r="C2752" s="3" t="str">
        <f>IFERROR(__xludf.DUMMYFUNCTION("GOOGLETRANSLATE(B2752,""id"",""en"")"),"['woy', 'signal', 'please', 'repaired', 'already', 'that's',' package ',' expensive ',' signal ',' kayak ',' devil ',' woyyy ',' balesss', 'woyy', 'telkomsel', 'sinyalllllllllllllllllllllllllllllllllllllllllllllllllllllllllll', 'setannnnnnnnnnnnnnnnnnnnnn"&amp;"nnnnnnnnnnnnnnn']")</f>
        <v>['woy', 'signal', 'please', 'repaired', 'already', 'that's',' package ',' expensive ',' signal ',' kayak ',' devil ',' woyyy ',' balesss', 'woyy', 'telkomsel', 'sinyalllllllllllllllllllllllllllllllllllllllllllllllllllllllllll', 'setannnnnnnnnnnnnnnnnnnnnnnnnnnnnnnnnnnnn']</v>
      </c>
      <c r="D2752" s="3">
        <v>1.0</v>
      </c>
    </row>
    <row r="2753" ht="15.75" customHeight="1">
      <c r="A2753" s="1">
        <v>2751.0</v>
      </c>
      <c r="B2753" s="3" t="s">
        <v>2753</v>
      </c>
      <c r="C2753" s="3" t="str">
        <f>IFERROR(__xludf.DUMMYFUNCTION("GOOGLETRANSLATE(B2753,""id"",""en"")"),"['The application', 'Until', 'Lamaaaa', 'opened', 'signal', 'good', '']")</f>
        <v>['The application', 'Until', 'Lamaaaa', 'opened', 'signal', 'good', '']</v>
      </c>
      <c r="D2753" s="3">
        <v>2.0</v>
      </c>
    </row>
    <row r="2754" ht="15.75" customHeight="1">
      <c r="A2754" s="1">
        <v>2752.0</v>
      </c>
      <c r="B2754" s="3" t="s">
        <v>2754</v>
      </c>
      <c r="C2754" s="3" t="str">
        <f>IFERROR(__xludf.DUMMYFUNCTION("GOOGLETRANSLATE(B2754,""id"",""en"")"),"['Overall', 'Application', 'MyTelkomsel', 'Sometimes', 'Exchange', 'Point', 'Notification', 'Error', ""]")</f>
        <v>['Overall', 'Application', 'MyTelkomsel', 'Sometimes', 'Exchange', 'Point', 'Notification', 'Error', "]</v>
      </c>
      <c r="D2754" s="3">
        <v>5.0</v>
      </c>
    </row>
    <row r="2755" ht="15.75" customHeight="1">
      <c r="A2755" s="1">
        <v>2753.0</v>
      </c>
      <c r="B2755" s="3" t="s">
        <v>2755</v>
      </c>
      <c r="C2755" s="3" t="str">
        <f>IFERROR(__xludf.DUMMYFUNCTION("GOOGLETRANSLATE(B2755,""id"",""en"")"),"['Help', 'Increase', 'Convenience', 'Bonus', 'User']")</f>
        <v>['Help', 'Increase', 'Convenience', 'Bonus', 'User']</v>
      </c>
      <c r="D2755" s="3">
        <v>4.0</v>
      </c>
    </row>
    <row r="2756" ht="15.75" customHeight="1">
      <c r="A2756" s="1">
        <v>2754.0</v>
      </c>
      <c r="B2756" s="3" t="s">
        <v>2756</v>
      </c>
      <c r="C2756" s="3" t="str">
        <f>IFERROR(__xludf.DUMMYFUNCTION("GOOGLETRANSLATE(B2756,""id"",""en"")"),"['The meaning', 'what', 'week', 'yesterday', 'credit', 'lost', 'can', 'sms',' access', 'non', 'internet', 'morning', ' Credit ',' missing ',' SMS ',' Paketan ',' Active ',' GB ',' Full ',' Disappointed ',' Telkomsel ',' Since ',' Covid ', ""]")</f>
        <v>['The meaning', 'what', 'week', 'yesterday', 'credit', 'lost', 'can', 'sms',' access', 'non', 'internet', 'morning', ' Credit ',' missing ',' SMS ',' Paketan ',' Active ',' GB ',' Full ',' Disappointed ',' Telkomsel ',' Since ',' Covid ', "]</v>
      </c>
      <c r="D2756" s="3">
        <v>1.0</v>
      </c>
    </row>
    <row r="2757" ht="15.75" customHeight="1">
      <c r="A2757" s="1">
        <v>2755.0</v>
      </c>
      <c r="B2757" s="3" t="s">
        <v>2757</v>
      </c>
      <c r="C2757" s="3" t="str">
        <f>IFERROR(__xludf.DUMMYFUNCTION("GOOGLETRANSLATE(B2757,""id"",""en"")"),"['Telkomsel', 'Equipped', 'Application', 'Lock', 'Credit', 'Credit', 'Safe', 'Used', 'Reduced', 'Lost', ""]")</f>
        <v>['Telkomsel', 'Equipped', 'Application', 'Lock', 'Credit', 'Credit', 'Safe', 'Used', 'Reduced', 'Lost', "]</v>
      </c>
      <c r="D2757" s="3">
        <v>2.0</v>
      </c>
    </row>
    <row r="2758" ht="15.75" customHeight="1">
      <c r="A2758" s="1">
        <v>2756.0</v>
      </c>
      <c r="B2758" s="3" t="s">
        <v>2758</v>
      </c>
      <c r="C2758" s="3" t="str">
        <f>IFERROR(__xludf.DUMMYFUNCTION("GOOGLETRANSLATE(B2758,""id"",""en"")"),"['Exploring', 'world', 'no' distance ',' room ',' personal ',' activity ',' personal ',' easiest ',' closest ',' trusted ',' ber ',' Growing ',' Telkomsel ',' Dewi ',' Soegeng ',' Sarjadi ', ""]")</f>
        <v>['Exploring', 'world', 'no' distance ',' room ',' personal ',' activity ',' personal ',' easiest ',' closest ',' trusted ',' ber ',' Growing ',' Telkomsel ',' Dewi ',' Soegeng ',' Sarjadi ', "]</v>
      </c>
      <c r="D2758" s="3">
        <v>5.0</v>
      </c>
    </row>
    <row r="2759" ht="15.75" customHeight="1">
      <c r="A2759" s="1">
        <v>2757.0</v>
      </c>
      <c r="B2759" s="3" t="s">
        <v>2759</v>
      </c>
      <c r="C2759" s="3" t="str">
        <f>IFERROR(__xludf.DUMMYFUNCTION("GOOGLETRANSLATE(B2759,""id"",""en"")"),"['Good', 'get', 'prize', 'quota', 'daily', 'check', 'validated', 'for a while', 'really', 'please']")</f>
        <v>['Good', 'get', 'prize', 'quota', 'daily', 'check', 'validated', 'for a while', 'really', 'please']</v>
      </c>
      <c r="D2759" s="3">
        <v>4.0</v>
      </c>
    </row>
    <row r="2760" ht="15.75" customHeight="1">
      <c r="A2760" s="1">
        <v>2758.0</v>
      </c>
      <c r="B2760" s="3" t="s">
        <v>2760</v>
      </c>
      <c r="C2760" s="3" t="str">
        <f>IFERROR(__xludf.DUMMYFUNCTION("GOOGLETRANSLATE(B2760,""id"",""en"")"),"['Since', 'sympathy', 'Telkomsel', 'easy', 'fast', 'open', 'application', 'developing', ""]")</f>
        <v>['Since', 'sympathy', 'Telkomsel', 'easy', 'fast', 'open', 'application', 'developing', "]</v>
      </c>
      <c r="D2760" s="3">
        <v>5.0</v>
      </c>
    </row>
    <row r="2761" ht="15.75" customHeight="1">
      <c r="A2761" s="1">
        <v>2759.0</v>
      </c>
      <c r="B2761" s="3" t="s">
        <v>2761</v>
      </c>
      <c r="C2761" s="3" t="str">
        <f>IFERROR(__xludf.DUMMYFUNCTION("GOOGLETRANSLATE(B2761,""id"",""en"")"),"['Open', 'Application', 'Difficult', 'Delete', 'Trash', 'Cecha', 'Open', 'Register']")</f>
        <v>['Open', 'Application', 'Difficult', 'Delete', 'Trash', 'Cecha', 'Open', 'Register']</v>
      </c>
      <c r="D2761" s="3">
        <v>3.0</v>
      </c>
    </row>
    <row r="2762" ht="15.75" customHeight="1">
      <c r="A2762" s="1">
        <v>2760.0</v>
      </c>
      <c r="B2762" s="3" t="s">
        <v>2762</v>
      </c>
      <c r="C2762" s="3" t="str">
        <f>IFERROR(__xludf.DUMMYFUNCTION("GOOGLETRANSLATE(B2762,""id"",""en"")"),"['', 'Open', 'APK', 'Loading', 'Open', 'APK', 'questionnaire', 'improvement', 'service', 'until', 'skrg', 'ttp', 'bad ',' Loading ',' crazy ',' Sampe ',' AHIR ',' Writing ',' Responding ',' Lampangan ',' Check ',' Buy ',' Application ',' Conscious', 'Revi"&amp;"ew', 'star', 'Telkomsel', 'bankrupt', 'world', 'digital', 'sophisticated', 'Telkomsel', 'Ancoeerr', 'signal', ""]")</f>
        <v>['', 'Open', 'APK', 'Loading', 'Open', 'APK', 'questionnaire', 'improvement', 'service', 'until', 'skrg', 'ttp', 'bad ',' Loading ',' crazy ',' Sampe ',' AHIR ',' Writing ',' Responding ',' Lampangan ',' Check ',' Buy ',' Application ',' Conscious', 'Review', 'star', 'Telkomsel', 'bankrupt', 'world', 'digital', 'sophisticated', 'Telkomsel', 'Ancoeerr', 'signal', "]</v>
      </c>
      <c r="D2762" s="3">
        <v>1.0</v>
      </c>
    </row>
    <row r="2763" ht="15.75" customHeight="1">
      <c r="A2763" s="1">
        <v>2761.0</v>
      </c>
      <c r="B2763" s="3" t="s">
        <v>2763</v>
      </c>
      <c r="C2763" s="3" t="str">
        <f>IFERROR(__xludf.DUMMYFUNCTION("GOOGLETRANSLATE(B2763,""id"",""en"")"),"['intentionally', 'Telkom', 'signal', 'stable', 'play', 'Genshin', 'ugly', 'signal', 'UDH', 'Live', 'Claim', 'Gift', ' The domain ',' failed ',' repeated ',' Garagara ',' Telkomsel ',' the network ',' ugly ',' like ',' dlu ',' disappointed ',' Telkom ', "&amp;"""]")</f>
        <v>['intentionally', 'Telkom', 'signal', 'stable', 'play', 'Genshin', 'ugly', 'signal', 'UDH', 'Live', 'Claim', 'Gift', ' The domain ',' failed ',' repeated ',' Garagara ',' Telkomsel ',' the network ',' ugly ',' like ',' dlu ',' disappointed ',' Telkom ', "]</v>
      </c>
      <c r="D2763" s="3">
        <v>1.0</v>
      </c>
    </row>
    <row r="2764" ht="15.75" customHeight="1">
      <c r="A2764" s="1">
        <v>2762.0</v>
      </c>
      <c r="B2764" s="3" t="s">
        <v>2764</v>
      </c>
      <c r="C2764" s="3" t="str">
        <f>IFERROR(__xludf.DUMMYFUNCTION("GOOGLETRANSLATE(B2764,""id"",""en"")"),"['price', 'package', 'internet', 'crazy', 'network', 'error', 'package', 'internet', 'workers',' audience ',' youtobe ',' woy ',' Love ',' Package ',' Internet ',' Watch ',' Telkomsel ',' Ngaco ',' Bangkek ',' repay ',' System ',' promotion ',' Package ',"&amp;"' watch ',' love ' , 'Package', 'Internet', 'Full', 'Gedein', 'Package', 'Watch "",' Gedek ',' Emotion ',' Telkomsel ',""]")</f>
        <v>['price', 'package', 'internet', 'crazy', 'network', 'error', 'package', 'internet', 'workers',' audience ',' youtobe ',' woy ',' Love ',' Package ',' Internet ',' Watch ',' Telkomsel ',' Ngaco ',' Bangkek ',' repay ',' System ',' promotion ',' Package ',' watch ',' love ' , 'Package', 'Internet', 'Full', 'Gedein', 'Package', 'Watch ",' Gedek ',' Emotion ',' Telkomsel ',"]</v>
      </c>
      <c r="D2764" s="3">
        <v>1.0</v>
      </c>
    </row>
    <row r="2765" ht="15.75" customHeight="1">
      <c r="A2765" s="1">
        <v>2763.0</v>
      </c>
      <c r="B2765" s="3" t="s">
        <v>2765</v>
      </c>
      <c r="C2765" s="3" t="str">
        <f>IFERROR(__xludf.DUMMYFUNCTION("GOOGLETRANSLATE(B2765,""id"",""en"")"),"['Package', 'Unlimited', 'YouTube', 'Used', 'Quota', 'Main', 'Out', 'Waste', 'Package', 'Fill', 'Package', 'Fill', ' pulses', 'politics',' trade ',' play ', ""]")</f>
        <v>['Package', 'Unlimited', 'YouTube', 'Used', 'Quota', 'Main', 'Out', 'Waste', 'Package', 'Fill', 'Package', 'Fill', ' pulses', 'politics',' trade ',' play ', "]</v>
      </c>
      <c r="D2765" s="3">
        <v>3.0</v>
      </c>
    </row>
    <row r="2766" ht="15.75" customHeight="1">
      <c r="A2766" s="1">
        <v>2764.0</v>
      </c>
      <c r="B2766" s="3" t="s">
        <v>2766</v>
      </c>
      <c r="C2766" s="3" t="str">
        <f>IFERROR(__xludf.DUMMYFUNCTION("GOOGLETRANSLATE(B2766,""id"",""en"")"),"['', 'Loading', 'Sometimes', 'Open', 'Development', 'Please', 'Increase', 'Karna', 'User', 'Telkomsel', '']")</f>
        <v>['', 'Loading', 'Sometimes', 'Open', 'Development', 'Please', 'Increase', 'Karna', 'User', 'Telkomsel', '']</v>
      </c>
      <c r="D2766" s="3">
        <v>2.0</v>
      </c>
    </row>
    <row r="2767" ht="15.75" customHeight="1">
      <c r="A2767" s="1">
        <v>2765.0</v>
      </c>
      <c r="B2767" s="3" t="s">
        <v>2767</v>
      </c>
      <c r="C2767" s="3" t="str">
        <f>IFERROR(__xludf.DUMMYFUNCTION("GOOGLETRANSLATE(B2767,""id"",""en"")"),"['users',' Telkomsel ',' Telkomsel ',' Telkomsel ',' Tide ',' Network ',' Muzzle ',' Maros', 'Learning', 'Difficult', 'Network', 'Open', ' Gogle ',' difficult ',' minutes', 'iti', 'Please', 'Maklumi', ""]")</f>
        <v>['users',' Telkomsel ',' Telkomsel ',' Telkomsel ',' Tide ',' Network ',' Muzzle ',' Maros', 'Learning', 'Difficult', 'Network', 'Open', ' Gogle ',' difficult ',' minutes', 'iti', 'Please', 'Maklumi', "]</v>
      </c>
      <c r="D2767" s="3">
        <v>2.0</v>
      </c>
    </row>
    <row r="2768" ht="15.75" customHeight="1">
      <c r="A2768" s="1">
        <v>2766.0</v>
      </c>
      <c r="B2768" s="3" t="s">
        <v>2768</v>
      </c>
      <c r="C2768" s="3" t="str">
        <f>IFERROR(__xludf.DUMMYFUNCTION("GOOGLETRANSLATE(B2768,""id"",""en"")"),"['network', 'in place', 'slow', 'improvement', 'network', 'Telkomsel', 'fix', 'network', 'in place', 'activity', 'smooth', 'tks',' ']")</f>
        <v>['network', 'in place', 'slow', 'improvement', 'network', 'Telkomsel', 'fix', 'network', 'in place', 'activity', 'smooth', 'tks',' ']</v>
      </c>
      <c r="D2768" s="3">
        <v>1.0</v>
      </c>
    </row>
    <row r="2769" ht="15.75" customHeight="1">
      <c r="A2769" s="1">
        <v>2767.0</v>
      </c>
      <c r="B2769" s="3" t="s">
        <v>2769</v>
      </c>
      <c r="C2769" s="3" t="str">
        <f>IFERROR(__xludf.DUMMYFUNCTION("GOOGLETRANSLATE(B2769,""id"",""en"")"),"['likes',' Telkomsel ',' location ',' just ',' signal ',' slow ',' ilang ',' please ',' body ',' sinynya ',' smooth ',' play ',' The internet ',' ']")</f>
        <v>['likes',' Telkomsel ',' location ',' just ',' signal ',' slow ',' ilang ',' please ',' body ',' sinynya ',' smooth ',' play ',' The internet ',' ']</v>
      </c>
      <c r="D2769" s="3">
        <v>4.0</v>
      </c>
    </row>
    <row r="2770" ht="15.75" customHeight="1">
      <c r="A2770" s="1">
        <v>2768.0</v>
      </c>
      <c r="B2770" s="3" t="s">
        <v>2770</v>
      </c>
      <c r="C2770" s="3" t="str">
        <f>IFERROR(__xludf.DUMMYFUNCTION("GOOGLETRANSLATE(B2770,""id"",""en"")"),"['Cak', 'pulse', 'event', 'business', 'week', 'update', 'update', 'disappointed', 'customers', 'Telkomsel']")</f>
        <v>['Cak', 'pulse', 'event', 'business', 'week', 'update', 'update', 'disappointed', 'customers', 'Telkomsel']</v>
      </c>
      <c r="D2770" s="3">
        <v>1.0</v>
      </c>
    </row>
    <row r="2771" ht="15.75" customHeight="1">
      <c r="A2771" s="1">
        <v>2769.0</v>
      </c>
      <c r="B2771" s="3" t="s">
        <v>2771</v>
      </c>
      <c r="C2771" s="3" t="str">
        <f>IFERROR(__xludf.DUMMYFUNCTION("GOOGLETRANSLATE(B2771,""id"",""en"")"),"['The application', 'good', 'easy', 'used', 'darling', 'quality', 'signal', 'bad', 'use', 'number', 'sympathy', ""]")</f>
        <v>['The application', 'good', 'easy', 'used', 'darling', 'quality', 'signal', 'bad', 'use', 'number', 'sympathy', "]</v>
      </c>
      <c r="D2771" s="3">
        <v>2.0</v>
      </c>
    </row>
    <row r="2772" ht="15.75" customHeight="1">
      <c r="A2772" s="1">
        <v>2770.0</v>
      </c>
      <c r="B2772" s="3" t="s">
        <v>2772</v>
      </c>
      <c r="C2772" s="3" t="str">
        <f>IFERROR(__xludf.DUMMYFUNCTION("GOOGLETRANSLATE(B2772,""id"",""en"")"),"['Telkomsel', 'great', 'network', 'strong', 'broad', 'promo', 'Perna', 'stop', '']")</f>
        <v>['Telkomsel', 'great', 'network', 'strong', 'broad', 'promo', 'Perna', 'stop', '']</v>
      </c>
      <c r="D2772" s="3">
        <v>5.0</v>
      </c>
    </row>
    <row r="2773" ht="15.75" customHeight="1">
      <c r="A2773" s="1">
        <v>2771.0</v>
      </c>
      <c r="B2773" s="3" t="s">
        <v>2773</v>
      </c>
      <c r="C2773" s="3" t="str">
        <f>IFERROR(__xludf.DUMMYFUNCTION("GOOGLETRANSLATE(B2773,""id"",""en"")"),"['expensive', 'doang', 'signal', 'ilang', 'number', 'org', 'pay', 'money', 'because', 'want', 'satisfied', 'network', ' Please, 'Notice', 'expensive', 'Doang']")</f>
        <v>['expensive', 'doang', 'signal', 'ilang', 'number', 'org', 'pay', 'money', 'because', 'want', 'satisfied', 'network', ' Please, 'Notice', 'expensive', 'Doang']</v>
      </c>
      <c r="D2773" s="3">
        <v>1.0</v>
      </c>
    </row>
    <row r="2774" ht="15.75" customHeight="1">
      <c r="A2774" s="1">
        <v>2772.0</v>
      </c>
      <c r="B2774" s="3" t="s">
        <v>2774</v>
      </c>
      <c r="C2774" s="3" t="str">
        <f>IFERROR(__xludf.DUMMYFUNCTION("GOOGLETRANSLATE(B2774,""id"",""en"")"),"['tidk', 'payment', 'wear', 'funds', 'mytelkomsel', 'balance', 'balance', 'funds', 'repair']")</f>
        <v>['tidk', 'payment', 'wear', 'funds', 'mytelkomsel', 'balance', 'balance', 'funds', 'repair']</v>
      </c>
      <c r="D2774" s="3">
        <v>1.0</v>
      </c>
    </row>
    <row r="2775" ht="15.75" customHeight="1">
      <c r="A2775" s="1">
        <v>2773.0</v>
      </c>
      <c r="B2775" s="3" t="s">
        <v>2775</v>
      </c>
      <c r="C2775" s="3" t="str">
        <f>IFERROR(__xludf.DUMMYFUNCTION("GOOGLETRANSLATE(B2775,""id"",""en"")"),"['Disappointed', 'APK', 'The reason', 'buy', 'pulse', 'Packagein', 'Telkomsel', 'data', 'on', 'enter', 'APK', 'enter', ' the data ',' turn on ',' right ',' turn on ',' data ',' enter ',' right ',' enter ',' credit ',' truncated ',' honest ',' disappointed"&amp;" ',' apk ' , 'throw', 'Money', 'APK', 'hope', 'APK', 'Lock', 'Buttom', 'Pulse', 'Lock', 'Take', 'Please', ""]")</f>
        <v>['Disappointed', 'APK', 'The reason', 'buy', 'pulse', 'Packagein', 'Telkomsel', 'data', 'on', 'enter', 'APK', 'enter', ' the data ',' turn on ',' right ',' turn on ',' data ',' enter ',' right ',' enter ',' credit ',' truncated ',' honest ',' disappointed ',' apk ' , 'throw', 'Money', 'APK', 'hope', 'APK', 'Lock', 'Buttom', 'Pulse', 'Lock', 'Take', 'Please', "]</v>
      </c>
      <c r="D2775" s="3">
        <v>1.0</v>
      </c>
    </row>
    <row r="2776" ht="15.75" customHeight="1">
      <c r="A2776" s="1">
        <v>2774.0</v>
      </c>
      <c r="B2776" s="3" t="s">
        <v>2776</v>
      </c>
      <c r="C2776" s="3" t="str">
        <f>IFERROR(__xludf.DUMMYFUNCTION("GOOGLETRANSLATE(B2776,""id"",""en"")"),"['', 'Telkomsel', 'help', 'transaction', 'buy', 'package', 'cheap', 'trusted', '']")</f>
        <v>['', 'Telkomsel', 'help', 'transaction', 'buy', 'package', 'cheap', 'trusted', '']</v>
      </c>
      <c r="D2776" s="3">
        <v>5.0</v>
      </c>
    </row>
    <row r="2777" ht="15.75" customHeight="1">
      <c r="A2777" s="1">
        <v>2775.0</v>
      </c>
      <c r="B2777" s="3" t="s">
        <v>2777</v>
      </c>
      <c r="C2777" s="3" t="str">
        <f>IFERROR(__xludf.DUMMYFUNCTION("GOOGLETRANSLATE(B2777,""id"",""en"")"),"['signal', 'Telkomsel', 'difficult', 'open', 'Google', 'difficult', 'school', 'online', 'please', 'pikan', 'Telkomsel', 'how', ' Turn off ',' Telkomsel ',' Disruption ']")</f>
        <v>['signal', 'Telkomsel', 'difficult', 'open', 'Google', 'difficult', 'school', 'online', 'please', 'pikan', 'Telkomsel', 'how', ' Turn off ',' Telkomsel ',' Disruption ']</v>
      </c>
      <c r="D2777" s="3">
        <v>1.0</v>
      </c>
    </row>
    <row r="2778" ht="15.75" customHeight="1">
      <c r="A2778" s="1">
        <v>2776.0</v>
      </c>
      <c r="B2778" s="3" t="s">
        <v>2778</v>
      </c>
      <c r="C2778" s="3" t="str">
        <f>IFERROR(__xludf.DUMMYFUNCTION("GOOGLETRANSLATE(B2778,""id"",""en"")"),"['application', 'good', 'price', 'quota', 'internet', 'expensive', 'quota', 'bonus', 'slow', '']")</f>
        <v>['application', 'good', 'price', 'quota', 'internet', 'expensive', 'quota', 'bonus', 'slow', '']</v>
      </c>
      <c r="D2778" s="3">
        <v>5.0</v>
      </c>
    </row>
    <row r="2779" ht="15.75" customHeight="1">
      <c r="A2779" s="1">
        <v>2777.0</v>
      </c>
      <c r="B2779" s="3" t="s">
        <v>2779</v>
      </c>
      <c r="C2779" s="3" t="str">
        <f>IFERROR(__xludf.DUMMYFUNCTION("GOOGLETRANSLATE(B2779,""id"",""en"")"),"['apk', 'help', 'leftover', 'package', 'brp', 'choice', 'kouta']")</f>
        <v>['apk', 'help', 'leftover', 'package', 'brp', 'choice', 'kouta']</v>
      </c>
      <c r="D2779" s="3">
        <v>5.0</v>
      </c>
    </row>
    <row r="2780" ht="15.75" customHeight="1">
      <c r="A2780" s="1">
        <v>2778.0</v>
      </c>
      <c r="B2780" s="3" t="s">
        <v>2780</v>
      </c>
      <c r="C2780" s="3" t="str">
        <f>IFERROR(__xludf.DUMMYFUNCTION("GOOGLETRANSLATE(B2780,""id"",""en"")"),"['already', 'Packagein', 'RB', 'APK', 'Notif', 'SMS', 'Package', 'On', 'then', 'appears',' package ',' ehh ',' hose ',' active ',' right ',' check ',' pulse ',' pulse ',' disappear ',' hadehhh ',' already ',' signal ',' error ',' system ',' error ' ]")</f>
        <v>['already', 'Packagein', 'RB', 'APK', 'Notif', 'SMS', 'Package', 'On', 'then', 'appears',' package ',' ehh ',' hose ',' active ',' right ',' check ',' pulse ',' pulse ',' disappear ',' hadehhh ',' already ',' signal ',' error ',' system ',' error ' ]</v>
      </c>
      <c r="D2780" s="3">
        <v>1.0</v>
      </c>
    </row>
    <row r="2781" ht="15.75" customHeight="1">
      <c r="A2781" s="1">
        <v>2779.0</v>
      </c>
      <c r="B2781" s="3" t="s">
        <v>2781</v>
      </c>
      <c r="C2781" s="3" t="str">
        <f>IFERROR(__xludf.DUMMYFUNCTION("GOOGLETRANSLATE(B2781,""id"",""en"")"),"['Hello', 'Telkomsel', 'ownership', 'package', 'scheduled', 'LSNG', 'buy', 'package', 'automatic', 'fill', 'pulses', ""]")</f>
        <v>['Hello', 'Telkomsel', 'ownership', 'package', 'scheduled', 'LSNG', 'buy', 'package', 'automatic', 'fill', 'pulses', "]</v>
      </c>
      <c r="D2781" s="3">
        <v>1.0</v>
      </c>
    </row>
    <row r="2782" ht="15.75" customHeight="1">
      <c r="A2782" s="1">
        <v>2780.0</v>
      </c>
      <c r="B2782" s="3" t="s">
        <v>2782</v>
      </c>
      <c r="C2782" s="3" t="str">
        <f>IFERROR(__xludf.DUMMYFUNCTION("GOOGLETRANSLATE(B2782,""id"",""en"")"),"['expensive', 'package', 'data', 'package', 'telephone', 'package', 'telephone', 'biasay', 'disappointed', 'help', 'amid', 'pandemic', ' Related ',' family ', ""]")</f>
        <v>['expensive', 'package', 'data', 'package', 'telephone', 'package', 'telephone', 'biasay', 'disappointed', 'help', 'amid', 'pandemic', ' Related ',' family ', "]</v>
      </c>
      <c r="D2782" s="3">
        <v>2.0</v>
      </c>
    </row>
    <row r="2783" ht="15.75" customHeight="1">
      <c r="A2783" s="1">
        <v>2781.0</v>
      </c>
      <c r="B2783" s="3" t="s">
        <v>2783</v>
      </c>
      <c r="C2783" s="3" t="str">
        <f>IFERROR(__xludf.DUMMYFUNCTION("GOOGLETRANSLATE(B2783,""id"",""en"")"),"['The application', 'good', 'mmbantu', 'application', 'trial', 'update', 'annoying', 'sijai', 'suggestion', 'application', 'updated', 'ttp', ' Used ',' version ',' before ',' ']")</f>
        <v>['The application', 'good', 'mmbantu', 'application', 'trial', 'update', 'annoying', 'sijai', 'suggestion', 'application', 'updated', 'ttp', ' Used ',' version ',' before ',' ']</v>
      </c>
      <c r="D2783" s="3">
        <v>4.0</v>
      </c>
    </row>
    <row r="2784" ht="15.75" customHeight="1">
      <c r="A2784" s="1">
        <v>2782.0</v>
      </c>
      <c r="B2784" s="3" t="s">
        <v>2784</v>
      </c>
      <c r="C2784" s="3" t="str">
        <f>IFERROR(__xludf.DUMMYFUNCTION("GOOGLETRANSLATE(B2784,""id"",""en"")"),"['prize', 'quota', 'daily', 'check', 'description', 'Considered', 'entry', 'voucher', 'discount', 'direct', 'enter', 'help', ' help']")</f>
        <v>['prize', 'quota', 'daily', 'check', 'description', 'Considered', 'entry', 'voucher', 'discount', 'direct', 'enter', 'help', ' help']</v>
      </c>
      <c r="D2784" s="3">
        <v>1.0</v>
      </c>
    </row>
    <row r="2785" ht="15.75" customHeight="1">
      <c r="A2785" s="1">
        <v>2783.0</v>
      </c>
      <c r="B2785" s="3" t="s">
        <v>2785</v>
      </c>
      <c r="C2785" s="3" t="str">
        <f>IFERROR(__xludf.DUMMYFUNCTION("GOOGLETRANSLATE(B2785,""id"",""en"")"),"['Network', 'already', 'Not bad', 'good', 'Bagusan', 'Indosat', 'SIH', 'spirit', 'Min', 'Ngebagusin', 'The network']")</f>
        <v>['Network', 'already', 'Not bad', 'good', 'Bagusan', 'Indosat', 'SIH', 'spirit', 'Min', 'Ngebagusin', 'The network']</v>
      </c>
      <c r="D2785" s="3">
        <v>4.0</v>
      </c>
    </row>
    <row r="2786" ht="15.75" customHeight="1">
      <c r="A2786" s="1">
        <v>2784.0</v>
      </c>
      <c r="B2786" s="3" t="s">
        <v>2786</v>
      </c>
      <c r="C2786" s="3" t="str">
        <f>IFERROR(__xludf.DUMMYFUNCTION("GOOGLETRANSLATE(B2786,""id"",""en"")"),"['Package', 'Telkomsel', 'expensive', 'compared to', 'Brand', 'Next to', '']")</f>
        <v>['Package', 'Telkomsel', 'expensive', 'compared to', 'Brand', 'Next to', '']</v>
      </c>
      <c r="D2786" s="3">
        <v>5.0</v>
      </c>
    </row>
    <row r="2787" ht="15.75" customHeight="1">
      <c r="A2787" s="1">
        <v>2785.0</v>
      </c>
      <c r="B2787" s="3" t="s">
        <v>2787</v>
      </c>
      <c r="C2787" s="3" t="str">
        <f>IFERROR(__xludf.DUMMYFUNCTION("GOOGLETRANSLATE(B2787,""id"",""en"")"),"['Good', 'network', 'Mangkin', 'destroyed', 'oklah', 'price', 'quota', 'expensive', 'please', 'network', 'frequency', 'ilang', ' play ',' game ',' severe ',' really ',' ngak ',' ngotak ',' lag ']")</f>
        <v>['Good', 'network', 'Mangkin', 'destroyed', 'oklah', 'price', 'quota', 'expensive', 'please', 'network', 'frequency', 'ilang', ' play ',' game ',' severe ',' really ',' ngak ',' ngotak ',' lag ']</v>
      </c>
      <c r="D2787" s="3">
        <v>1.0</v>
      </c>
    </row>
    <row r="2788" ht="15.75" customHeight="1">
      <c r="A2788" s="1">
        <v>2786.0</v>
      </c>
      <c r="B2788" s="3" t="s">
        <v>2788</v>
      </c>
      <c r="C2788" s="3" t="str">
        <f>IFERROR(__xludf.DUMMYFUNCTION("GOOGLETRANSLATE(B2788,""id"",""en"")"),"['pulse', 'missing', 'notification', 'cheating', 'contact', 'help', 'clear', 'credit', 'missing', 'reason', 'notification', ""]")</f>
        <v>['pulse', 'missing', 'notification', 'cheating', 'contact', 'help', 'clear', 'credit', 'missing', 'reason', 'notification', "]</v>
      </c>
      <c r="D2788" s="3">
        <v>1.0</v>
      </c>
    </row>
    <row r="2789" ht="15.75" customHeight="1">
      <c r="A2789" s="1">
        <v>2787.0</v>
      </c>
      <c r="B2789" s="3" t="s">
        <v>2789</v>
      </c>
      <c r="C2789" s="3" t="str">
        <f>IFERROR(__xludf.DUMMYFUNCTION("GOOGLETRANSLATE(B2789,""id"",""en"")"),"['Kasi', 'star', 'nnti', 'help', 'Kasi', 'star', '']")</f>
        <v>['Kasi', 'star', 'nnti', 'help', 'Kasi', 'star', '']</v>
      </c>
      <c r="D2789" s="3">
        <v>3.0</v>
      </c>
    </row>
    <row r="2790" ht="15.75" customHeight="1">
      <c r="A2790" s="1">
        <v>2788.0</v>
      </c>
      <c r="B2790" s="3" t="s">
        <v>2790</v>
      </c>
      <c r="C2790" s="3" t="str">
        <f>IFERROR(__xludf.DUMMYFUNCTION("GOOGLETRANSLATE(B2790,""id"",""en"")"),"['Take', 'free', 'buy', 'pulse', 'grace', 'increases']")</f>
        <v>['Take', 'free', 'buy', 'pulse', 'grace', 'increases']</v>
      </c>
      <c r="D2790" s="3">
        <v>1.0</v>
      </c>
    </row>
    <row r="2791" ht="15.75" customHeight="1">
      <c r="A2791" s="1">
        <v>2789.0</v>
      </c>
      <c r="B2791" s="3" t="s">
        <v>2791</v>
      </c>
      <c r="C2791" s="3" t="str">
        <f>IFERROR(__xludf.DUMMYFUNCTION("GOOGLETRANSLATE(B2791,""id"",""en"")"),"['Telkomsel', 'price', 'package', 'nominal', 'package', 'reduced', 'rule', 'price', 'nominal', 'addin', 'reducin']")</f>
        <v>['Telkomsel', 'price', 'package', 'nominal', 'package', 'reduced', 'rule', 'price', 'nominal', 'addin', 'reducin']</v>
      </c>
      <c r="D2791" s="3">
        <v>1.0</v>
      </c>
    </row>
    <row r="2792" ht="15.75" customHeight="1">
      <c r="A2792" s="1">
        <v>2790.0</v>
      </c>
      <c r="B2792" s="3" t="s">
        <v>2792</v>
      </c>
      <c r="C2792" s="3" t="str">
        <f>IFERROR(__xludf.DUMMYFUNCTION("GOOGLETRANSLATE(B2792,""id"",""en"")"),"['lag', 'play', 'mobile', 'legend', 'unlimited', 'please', 'speed', 'naunt', 'play', 'mobile', 'legend', 'that's',' Liat ',' Kebawa ',' ']")</f>
        <v>['lag', 'play', 'mobile', 'legend', 'unlimited', 'please', 'speed', 'naunt', 'play', 'mobile', 'legend', 'that's',' Liat ',' Kebawa ',' ']</v>
      </c>
      <c r="D2792" s="3">
        <v>1.0</v>
      </c>
    </row>
    <row r="2793" ht="15.75" customHeight="1">
      <c r="A2793" s="1">
        <v>2791.0</v>
      </c>
      <c r="B2793" s="3" t="s">
        <v>2793</v>
      </c>
      <c r="C2793" s="3" t="str">
        <f>IFERROR(__xludf.DUMMYFUNCTION("GOOGLETRANSLATE(B2793,""id"",""en"")"),"['quota', 'offer', 'Sometimes',' cheap ',' used ',' quality ',' slow ',' customers', 'Telkomsel', 'cheap', 'abal', 'abal', ' ']")</f>
        <v>['quota', 'offer', 'Sometimes',' cheap ',' used ',' quality ',' slow ',' customers', 'Telkomsel', 'cheap', 'abal', 'abal', ' ']</v>
      </c>
      <c r="D2793" s="3">
        <v>5.0</v>
      </c>
    </row>
    <row r="2794" ht="15.75" customHeight="1">
      <c r="A2794" s="1">
        <v>2792.0</v>
      </c>
      <c r="B2794" s="3" t="s">
        <v>2794</v>
      </c>
      <c r="C2794" s="3" t="str">
        <f>IFERROR(__xludf.DUMMYFUNCTION("GOOGLETRANSLATE(B2794,""id"",""en"")"),"['Method', 'payment', 'NYA', 'Credit', 'Gaada', 'Ribet', 'Network', 'already', 'ugly']")</f>
        <v>['Method', 'payment', 'NYA', 'Credit', 'Gaada', 'Ribet', 'Network', 'already', 'ugly']</v>
      </c>
      <c r="D2794" s="3">
        <v>1.0</v>
      </c>
    </row>
    <row r="2795" ht="15.75" customHeight="1">
      <c r="A2795" s="1">
        <v>2793.0</v>
      </c>
      <c r="B2795" s="3" t="s">
        <v>2795</v>
      </c>
      <c r="C2795" s="3" t="str">
        <f>IFERROR(__xludf.DUMMYFUNCTION("GOOGLETRANSLATE(B2795,""id"",""en"")"),"['method', 'payment', 'lost', 'appears', 'aduhhhhhhhhh']")</f>
        <v>['method', 'payment', 'lost', 'appears', 'aduhhhhhhhhh']</v>
      </c>
      <c r="D2795" s="3">
        <v>1.0</v>
      </c>
    </row>
    <row r="2796" ht="15.75" customHeight="1">
      <c r="A2796" s="1">
        <v>2794.0</v>
      </c>
      <c r="B2796" s="3" t="s">
        <v>2796</v>
      </c>
      <c r="C2796" s="3" t="str">
        <f>IFERROR(__xludf.DUMMYFUNCTION("GOOGLETRANSLATE(B2796,""id"",""en"")"),"['trapping', 'Buyer', 'Kouta', 'Used', 'Karna', 'Reasons',' Kouta ',' Only ',' Out ',' On ',' Already ',' Kouta ',' ']")</f>
        <v>['trapping', 'Buyer', 'Kouta', 'Used', 'Karna', 'Reasons',' Kouta ',' Only ',' Out ',' On ',' Already ',' Kouta ',' ']</v>
      </c>
      <c r="D2796" s="3">
        <v>5.0</v>
      </c>
    </row>
    <row r="2797" ht="15.75" customHeight="1">
      <c r="A2797" s="1">
        <v>2795.0</v>
      </c>
      <c r="B2797" s="3" t="s">
        <v>2797</v>
      </c>
      <c r="C2797" s="3" t="str">
        <f>IFERROR(__xludf.DUMMYFUNCTION("GOOGLETRANSLATE(B2797,""id"",""en"")"),"['Lohhhhhh', 'top', 'balance', 'features',' payment ',' via ',' funds', 'deletedsssss',' just ',' use ',' thatuu ',' yaampun ',' Sufficientness']")</f>
        <v>['Lohhhhhh', 'top', 'balance', 'features',' payment ',' via ',' funds', 'deletedsssss',' just ',' use ',' thatuu ',' yaampun ',' Sufficientness']</v>
      </c>
      <c r="D2797" s="3">
        <v>3.0</v>
      </c>
    </row>
    <row r="2798" ht="15.75" customHeight="1">
      <c r="A2798" s="1">
        <v>2796.0</v>
      </c>
      <c r="B2798" s="3" t="s">
        <v>2798</v>
      </c>
      <c r="C2798" s="3" t="str">
        <f>IFERROR(__xludf.DUMMYFUNCTION("GOOGLETRANSLATE(B2798,""id"",""en"")"),"['hi', 'Telkomsel', 'program', 'active', 'device', 'bar', 'signal', 'web', 'telkomsel', 'criteria', 'above', 'promo', ' Package ',' Price ',' Menu ',' Package ',' Find ',' Application ',' MyTelkomsel ',' Thanks']")</f>
        <v>['hi', 'Telkomsel', 'program', 'active', 'device', 'bar', 'signal', 'web', 'telkomsel', 'criteria', 'above', 'promo', ' Package ',' Price ',' Menu ',' Package ',' Find ',' Application ',' MyTelkomsel ',' Thanks']</v>
      </c>
      <c r="D2798" s="3">
        <v>4.0</v>
      </c>
    </row>
    <row r="2799" ht="15.75" customHeight="1">
      <c r="A2799" s="1">
        <v>2797.0</v>
      </c>
      <c r="B2799" s="3" t="s">
        <v>2799</v>
      </c>
      <c r="C2799" s="3" t="str">
        <f>IFERROR(__xludf.DUMMYFUNCTION("GOOGLETRANSLATE(B2799,""id"",""en"")"),"['Please', 'Sorry', 'please', 'signal', 'fix', 'position', 'Surabaya', 'game', 'lag', 'severe', 'forgiveness',' star ',' improvement ',' Kasi ',' star ',' trimakasi ',' response ']")</f>
        <v>['Please', 'Sorry', 'please', 'signal', 'fix', 'position', 'Surabaya', 'game', 'lag', 'severe', 'forgiveness',' star ',' improvement ',' Kasi ',' star ',' trimakasi ',' response ']</v>
      </c>
      <c r="D2799" s="3">
        <v>1.0</v>
      </c>
    </row>
    <row r="2800" ht="15.75" customHeight="1">
      <c r="A2800" s="1">
        <v>2798.0</v>
      </c>
      <c r="B2800" s="3" t="s">
        <v>2800</v>
      </c>
      <c r="C2800" s="3" t="str">
        <f>IFERROR(__xludf.DUMMYFUNCTION("GOOGLETRANSLATE(B2800,""id"",""en"")"),"['Kalaau', 'package', 'expensive', 'all', 'Pakek', 'Telkomsel', 'package', 'internet', 'Nelfon', 'Kalaah', 'competitiveness',' card ',' ']")</f>
        <v>['Kalaau', 'package', 'expensive', 'all', 'Pakek', 'Telkomsel', 'package', 'internet', 'Nelfon', 'Kalaah', 'competitiveness',' card ',' ']</v>
      </c>
      <c r="D2800" s="3">
        <v>5.0</v>
      </c>
    </row>
    <row r="2801" ht="15.75" customHeight="1">
      <c r="A2801" s="1">
        <v>2799.0</v>
      </c>
      <c r="B2801" s="3" t="s">
        <v>2801</v>
      </c>
      <c r="C2801" s="3" t="str">
        <f>IFERROR(__xludf.DUMMYFUNCTION("GOOGLETRANSLATE(B2801,""id"",""en"")"),"['gave', 'signal', 'Telkomsel', 'Severe', 'really', 'UDH', 'Disappointed', 'Very', 'Telkomsel', 'Price', 'Udh', 'Play', ' expensive ',' TPI ',' network ',' kyag ',' taik ',' intention ',' network ',' pretentious', 'tasty', 'signal']")</f>
        <v>['gave', 'signal', 'Telkomsel', 'Severe', 'really', 'UDH', 'Disappointed', 'Very', 'Telkomsel', 'Price', 'Udh', 'Play', ' expensive ',' TPI ',' network ',' kyag ',' taik ',' intention ',' network ',' pretentious', 'tasty', 'signal']</v>
      </c>
      <c r="D2801" s="3">
        <v>1.0</v>
      </c>
    </row>
    <row r="2802" ht="15.75" customHeight="1">
      <c r="A2802" s="1">
        <v>2800.0</v>
      </c>
      <c r="B2802" s="3" t="s">
        <v>2802</v>
      </c>
      <c r="C2802" s="3" t="str">
        <f>IFERROR(__xludf.DUMMYFUNCTION("GOOGLETRANSLATE(B2802,""id"",""en"")"),"['Good', 'deh', 'network', 'price', 'promo', 'kek', 'cave', 'superior', 'handsome', 'basics']")</f>
        <v>['Good', 'deh', 'network', 'price', 'promo', 'kek', 'cave', 'superior', 'handsome', 'basics']</v>
      </c>
      <c r="D2802" s="3">
        <v>5.0</v>
      </c>
    </row>
    <row r="2803" ht="15.75" customHeight="1">
      <c r="A2803" s="1">
        <v>2801.0</v>
      </c>
      <c r="B2803" s="3" t="s">
        <v>2803</v>
      </c>
      <c r="C2803" s="3" t="str">
        <f>IFERROR(__xludf.DUMMYFUNCTION("GOOGLETRANSLATE(B2803,""id"",""en"")"),"['Event', 'Wheel', 'Points',' Telkomsel ',' Gifts', 'Direct', 'See', 'Players',' Round ',' Transparent ',' Event ',' Lucky ',' Draw ',' Transparent ',' Hopefully ',' Respond ',' Hold ',' Event ',' Wheel ',' Points', 'Telkomsel']")</f>
        <v>['Event', 'Wheel', 'Points',' Telkomsel ',' Gifts', 'Direct', 'See', 'Players',' Round ',' Transparent ',' Event ',' Lucky ',' Draw ',' Transparent ',' Hopefully ',' Respond ',' Hold ',' Event ',' Wheel ',' Points', 'Telkomsel']</v>
      </c>
      <c r="D2803" s="3">
        <v>3.0</v>
      </c>
    </row>
    <row r="2804" ht="15.75" customHeight="1">
      <c r="A2804" s="1">
        <v>2802.0</v>
      </c>
      <c r="B2804" s="3" t="s">
        <v>2804</v>
      </c>
      <c r="C2804" s="3" t="str">
        <f>IFERROR(__xludf.DUMMYFUNCTION("GOOGLETRANSLATE(B2804,""id"",""en"")"),"['card', 'network', 'kagak', 'leg', 'network', 'missing', 'cave', 'moved', 'network', 'continuous',' continuous', ' Gini ',' Mending ',' Change ',' Card ',' ']")</f>
        <v>['card', 'network', 'kagak', 'leg', 'network', 'missing', 'cave', 'moved', 'network', 'continuous',' continuous', ' Gini ',' Mending ',' Change ',' Card ',' ']</v>
      </c>
      <c r="D2804" s="3">
        <v>1.0</v>
      </c>
    </row>
    <row r="2805" ht="15.75" customHeight="1">
      <c r="A2805" s="1">
        <v>2803.0</v>
      </c>
      <c r="B2805" s="3" t="s">
        <v>2805</v>
      </c>
      <c r="C2805" s="3" t="str">
        <f>IFERROR(__xludf.DUMMYFUNCTION("GOOGLETRANSLATE(B2805,""id"",""en"")"),"['Hat', 'Hat', 'use', 'package', 'signal', 'missing', 'change', 'leftover', 'pulse', 'auto', 'sed', 'pul', ' Aaa ']")</f>
        <v>['Hat', 'Hat', 'use', 'package', 'signal', 'missing', 'change', 'leftover', 'pulse', 'auto', 'sed', 'pul', ' Aaa ']</v>
      </c>
      <c r="D2805" s="3">
        <v>1.0</v>
      </c>
    </row>
    <row r="2806" ht="15.75" customHeight="1">
      <c r="A2806" s="1">
        <v>2804.0</v>
      </c>
      <c r="B2806" s="3" t="s">
        <v>2806</v>
      </c>
      <c r="C2806" s="3" t="str">
        <f>IFERROR(__xludf.DUMMYFUNCTION("GOOGLETRANSLATE(B2806,""id"",""en"")"),"['Please', 'sort', 'buy', 'pulse', 'hope', 'gift', 'person', 'buy', 'pulse', 'need', 'gift', ""]")</f>
        <v>['Please', 'sort', 'buy', 'pulse', 'hope', 'gift', 'person', 'buy', 'pulse', 'need', 'gift', "]</v>
      </c>
      <c r="D2806" s="3">
        <v>5.0</v>
      </c>
    </row>
    <row r="2807" ht="15.75" customHeight="1">
      <c r="A2807" s="1">
        <v>2805.0</v>
      </c>
      <c r="B2807" s="3" t="s">
        <v>2807</v>
      </c>
      <c r="C2807" s="3" t="str">
        <f>IFERROR(__xludf.DUMMYFUNCTION("GOOGLETRANSLATE(B2807,""id"",""en"")"),"['cave', 'disappointed', 'heavy', 'Telkomsel', 'play', 'game', 'online', 'signal', 'stable', 'sometimes',' missing ',' appears', ' Watch ',' YouTube ',' Application ',' Detinent ',' Quota ',' Sousal ',' Smooth ',' Jaya ',' Advertising ',' TDAK ',' Loading"&amp;" ',' Tower ',' Tower ' , 'signal', 'stable', 'ad', 'youtube', 'stable', '']")</f>
        <v>['cave', 'disappointed', 'heavy', 'Telkomsel', 'play', 'game', 'online', 'signal', 'stable', 'sometimes',' missing ',' appears', ' Watch ',' YouTube ',' Application ',' Detinent ',' Quota ',' Sousal ',' Smooth ',' Jaya ',' Advertising ',' TDAK ',' Loading ',' Tower ',' Tower ' , 'signal', 'stable', 'ad', 'youtube', 'stable', '']</v>
      </c>
      <c r="D2807" s="3">
        <v>1.0</v>
      </c>
    </row>
    <row r="2808" ht="15.75" customHeight="1">
      <c r="A2808" s="1">
        <v>2806.0</v>
      </c>
      <c r="B2808" s="3" t="s">
        <v>2808</v>
      </c>
      <c r="C2808" s="3" t="str">
        <f>IFERROR(__xludf.DUMMYFUNCTION("GOOGLETRANSLATE(B2808,""id"",""en"")"),"['signal', 'ugly', 'stay', 'Sumatra', 'North', 'urban', 'ugly', 'night', 'rain', 'signal', 'lost', 'dead', ' light']")</f>
        <v>['signal', 'ugly', 'stay', 'Sumatra', 'North', 'urban', 'ugly', 'night', 'rain', 'signal', 'lost', 'dead', ' light']</v>
      </c>
      <c r="D2808" s="3">
        <v>1.0</v>
      </c>
    </row>
    <row r="2809" ht="15.75" customHeight="1">
      <c r="A2809" s="1">
        <v>2807.0</v>
      </c>
      <c r="B2809" s="3" t="s">
        <v>2809</v>
      </c>
      <c r="C2809" s="3" t="str">
        <f>IFERROR(__xludf.DUMMYFUNCTION("GOOGLETRANSLATE(B2809,""id"",""en"")"),"['Telkomsel', 'Lemottttt', 'AIRI', 'LOSS', 'BUY', 'PAKETAN', 'Routine', 'Network', ""]")</f>
        <v>['Telkomsel', 'Lemottttt', 'AIRI', 'LOSS', 'BUY', 'PAKETAN', 'Routine', 'Network', "]</v>
      </c>
      <c r="D2809" s="3">
        <v>1.0</v>
      </c>
    </row>
    <row r="2810" ht="15.75" customHeight="1">
      <c r="A2810" s="1">
        <v>2808.0</v>
      </c>
      <c r="B2810" s="3" t="s">
        <v>2810</v>
      </c>
      <c r="C2810" s="3" t="str">
        <f>IFERROR(__xludf.DUMMYFUNCTION("GOOGLETRANSLATE(B2810,""id"",""en"")"),"['Disappointed', 'Telkomsel', 'service', 'community', 'user', 'active', 'ntah', 'fixed', 'ntah', 'canal', 'complaints',' community ',' Users', 'card', 'Telkomsel', 'Please', 'really', 'read', 'complaint', 'just', '']")</f>
        <v>['Disappointed', 'Telkomsel', 'service', 'community', 'user', 'active', 'ntah', 'fixed', 'ntah', 'canal', 'complaints',' community ',' Users', 'card', 'Telkomsel', 'Please', 'really', 'read', 'complaint', 'just', '']</v>
      </c>
      <c r="D2810" s="3">
        <v>1.0</v>
      </c>
    </row>
    <row r="2811" ht="15.75" customHeight="1">
      <c r="A2811" s="1">
        <v>2809.0</v>
      </c>
      <c r="B2811" s="3" t="s">
        <v>2811</v>
      </c>
      <c r="C2811" s="3" t="str">
        <f>IFERROR(__xludf.DUMMYFUNCTION("GOOGLETRANSLATE(B2811,""id"",""en"")"),"['What', 'Bangett', 'Telkomsel', 'ugly', 'Ancurrr', 'crazy', 'disappointed', 'bangett', 'price', 'expensive', 'network', 'ugly', ' Bagusnn ',' expensive ',' daddy ',' net ',' must ',' okay ',' expensive ',' net ',' ugly ',' disappointed ',' bangettt ',' m"&amp;"e ',' love ' , 'Bintang', 'already', 'improved', 'Telkomsel', 'I', 'love', 'star', ""]")</f>
        <v>['What', 'Bangett', 'Telkomsel', 'ugly', 'Ancurrr', 'crazy', 'disappointed', 'bangett', 'price', 'expensive', 'network', 'ugly', ' Bagusnn ',' expensive ',' daddy ',' net ',' must ',' okay ',' expensive ',' net ',' ugly ',' disappointed ',' bangettt ',' me ',' love ' , 'Bintang', 'already', 'improved', 'Telkomsel', 'I', 'love', 'star', "]</v>
      </c>
      <c r="D2811" s="3">
        <v>1.0</v>
      </c>
    </row>
    <row r="2812" ht="15.75" customHeight="1">
      <c r="A2812" s="1">
        <v>2810.0</v>
      </c>
      <c r="B2812" s="3" t="s">
        <v>2812</v>
      </c>
      <c r="C2812" s="3" t="str">
        <f>IFERROR(__xludf.DUMMYFUNCTION("GOOGLETRANSLATE(B2812,""id"",""en"")"),"['quota', 'games',' disappointing ',' lag ',' severe ',' network ',' stable ',' play ',' mobile ',' legends', 'ping', 'yellow', ' connect ',' reset ',' counted ',' times', 'AFK', 'relogin', 'play', 'pub', 'mobile', 'no']")</f>
        <v>['quota', 'games',' disappointing ',' lag ',' severe ',' network ',' stable ',' play ',' mobile ',' legends', 'ping', 'yellow', ' connect ',' reset ',' counted ',' times', 'AFK', 'relogin', 'play', 'pub', 'mobile', 'no']</v>
      </c>
      <c r="D2812" s="3">
        <v>1.0</v>
      </c>
    </row>
    <row r="2813" ht="15.75" customHeight="1">
      <c r="A2813" s="1">
        <v>2811.0</v>
      </c>
      <c r="B2813" s="3" t="s">
        <v>2813</v>
      </c>
      <c r="C2813" s="3" t="str">
        <f>IFERROR(__xludf.DUMMYFUNCTION("GOOGLETRANSLATE(B2813,""id"",""en"")"),"['oath', 'network', 'network', 'area', 'pekanbaru', 'rotten', 'come on', 'rame', 'boycott', 'telkom', 'expensive', 'ugly', ' The network is', 'recommended', 'Direct', 'Uninstall', 'Change', 'Indosat', ""]")</f>
        <v>['oath', 'network', 'network', 'area', 'pekanbaru', 'rotten', 'come on', 'rame', 'boycott', 'telkom', 'expensive', 'ugly', ' The network is', 'recommended', 'Direct', 'Uninstall', 'Change', 'Indosat', "]</v>
      </c>
      <c r="D2813" s="3">
        <v>1.0</v>
      </c>
    </row>
    <row r="2814" ht="15.75" customHeight="1">
      <c r="A2814" s="1">
        <v>2812.0</v>
      </c>
      <c r="B2814" s="3" t="s">
        <v>2814</v>
      </c>
      <c r="C2814" s="3" t="str">
        <f>IFERROR(__xludf.DUMMYFUNCTION("GOOGLETRANSLATE(B2814,""id"",""en"")"),"['ksh', 'star', 'empty', 'love', 'input', 'signal', 'bad', 'down', 'garbage', 'a year', 'here', 'garbage', ' because ',' number ',' use ',' switch ',' prnh ',' switch ',' provider ',' because 'number', 'msh', 'active', 'right', 'try' , 'try', 'msh', 'garb"&amp;"age', 'gini', 'ksh', 'throne', 'forget', 'payday', 'position', 'comfortable', 'trash', 'hahaha']")</f>
        <v>['ksh', 'star', 'empty', 'love', 'input', 'signal', 'bad', 'down', 'garbage', 'a year', 'here', 'garbage', ' because ',' number ',' use ',' switch ',' prnh ',' switch ',' provider ',' because 'number', 'msh', 'active', 'right', 'try' , 'try', 'msh', 'garbage', 'gini', 'ksh', 'throne', 'forget', 'payday', 'position', 'comfortable', 'trash', 'hahaha']</v>
      </c>
      <c r="D2814" s="3">
        <v>1.0</v>
      </c>
    </row>
    <row r="2815" ht="15.75" customHeight="1">
      <c r="A2815" s="1">
        <v>2813.0</v>
      </c>
      <c r="B2815" s="3" t="s">
        <v>2815</v>
      </c>
      <c r="C2815" s="3" t="str">
        <f>IFERROR(__xludf.DUMMYFUNCTION("GOOGLETRANSLATE(B2815,""id"",""en"")"),"['Disappointed', 'Products', 'Indonesia', 'Disappointing', 'Network', 'Internet', 'Disconnect', '']")</f>
        <v>['Disappointed', 'Products', 'Indonesia', 'Disappointing', 'Network', 'Internet', 'Disconnect', '']</v>
      </c>
      <c r="D2815" s="3">
        <v>1.0</v>
      </c>
    </row>
    <row r="2816" ht="15.75" customHeight="1">
      <c r="A2816" s="1">
        <v>2814.0</v>
      </c>
      <c r="B2816" s="3" t="s">
        <v>2816</v>
      </c>
      <c r="C2816" s="3" t="str">
        <f>IFERROR(__xludf.DUMMYFUNCTION("GOOGLETRANSLATE(B2816,""id"",""en"")"),"['Belik', 'Package', 'expensive', 'Telkom', 'Gini', 'Blik', 'Bukn', 'Mintak', 'Klian', 'Cook', 'Klian', 'Pernh', ' Fix ',' network ',' ']")</f>
        <v>['Belik', 'Package', 'expensive', 'Telkom', 'Gini', 'Blik', 'Bukn', 'Mintak', 'Klian', 'Cook', 'Klian', 'Pernh', ' Fix ',' network ',' ']</v>
      </c>
      <c r="D2816" s="3">
        <v>1.0</v>
      </c>
    </row>
    <row r="2817" ht="15.75" customHeight="1">
      <c r="A2817" s="1">
        <v>2815.0</v>
      </c>
      <c r="B2817" s="3" t="s">
        <v>2817</v>
      </c>
      <c r="C2817" s="3" t="str">
        <f>IFERROR(__xludf.DUMMYFUNCTION("GOOGLETRANSLATE(B2817,""id"",""en"")"),"['Disappointed', 'really', 'severe', 'quota', 'expensive', 'signal', 'slow', 'rich', 'severe', 'quota', 'still', 'Abis',' strange', '']")</f>
        <v>['Disappointed', 'really', 'severe', 'quota', 'expensive', 'signal', 'slow', 'rich', 'severe', 'quota', 'still', 'Abis',' strange', '']</v>
      </c>
      <c r="D2817" s="3">
        <v>1.0</v>
      </c>
    </row>
    <row r="2818" ht="15.75" customHeight="1">
      <c r="A2818" s="1">
        <v>2816.0</v>
      </c>
      <c r="B2818" s="3" t="s">
        <v>2818</v>
      </c>
      <c r="C2818" s="3" t="str">
        <f>IFERROR(__xludf.DUMMYFUNCTION("GOOGLETRANSLATE(B2818,""id"",""en"")"),"['game', 'played', 'package', 'multimedia', 'ngasal', 'buffering', 'week', 'signal', 'Telkomsel', 'lost', 'satisfying', 'slow', ' go bankrupt ',' forced ',' ntar ',' kayak ',' Nokia ',' antengk ',' antengk ',' laah ',' nongol ',' market ', ""]")</f>
        <v>['game', 'played', 'package', 'multimedia', 'ngasal', 'buffering', 'week', 'signal', 'Telkomsel', 'lost', 'satisfying', 'slow', ' go bankrupt ',' forced ',' ntar ',' kayak ',' Nokia ',' antengk ',' antengk ',' laah ',' nongol ',' market ', "]</v>
      </c>
      <c r="D2818" s="3">
        <v>1.0</v>
      </c>
    </row>
    <row r="2819" ht="15.75" customHeight="1">
      <c r="A2819" s="1">
        <v>2817.0</v>
      </c>
      <c r="B2819" s="3" t="s">
        <v>2819</v>
      </c>
      <c r="C2819" s="3" t="str">
        <f>IFERROR(__xludf.DUMMYFUNCTION("GOOGLETRANSLATE(B2819,""id"",""en"")"),"['buy', 'rb', 'no', 'entry', 'regret', 'deh', 'enter', 'run out', 'regret', 'really', ""]")</f>
        <v>['buy', 'rb', 'no', 'entry', 'regret', 'deh', 'enter', 'run out', 'regret', 'really', "]</v>
      </c>
      <c r="D2819" s="3">
        <v>5.0</v>
      </c>
    </row>
    <row r="2820" ht="15.75" customHeight="1">
      <c r="A2820" s="1">
        <v>2818.0</v>
      </c>
      <c r="B2820" s="3" t="s">
        <v>2820</v>
      </c>
      <c r="C2820" s="3" t="str">
        <f>IFERROR(__xludf.DUMMYFUNCTION("GOOGLETRANSLATE(B2820,""id"",""en"")"),"['No', 'like', 'application', 'Boong', '']")</f>
        <v>['No', 'like', 'application', 'Boong', '']</v>
      </c>
      <c r="D2820" s="3">
        <v>5.0</v>
      </c>
    </row>
    <row r="2821" ht="15.75" customHeight="1">
      <c r="A2821" s="1">
        <v>2819.0</v>
      </c>
      <c r="B2821" s="3" t="s">
        <v>2821</v>
      </c>
      <c r="C2821" s="3" t="str">
        <f>IFERROR(__xludf.DUMMYFUNCTION("GOOGLETRANSLATE(B2821,""id"",""en"")"),"['user', 'card', 'Hello', 'moved', 'card', 'hello', 'because' network ',' internet ',' stable ',' disappointing ',' area ',' skrng ',' internet ',' slow ',' open ',' youtub ',' buffering ',' play ',' game ',' always', 'lag', 'severe', 'end', 'try' , 'use'"&amp;", 'brand', 'dlnya', 'famous', 'slow', 'really', 'mlh', 'skrng', 'opposite', 'right', 'cave', 'admit' Speed ​​',' Maintain ',' card ',' Hello ',' Telkomsel ',' repairs', 'network', 'use', 'card', 'hello', 'internet', 'hard', 'package' , 'MHL']")</f>
        <v>['user', 'card', 'Hello', 'moved', 'card', 'hello', 'because' network ',' internet ',' stable ',' disappointing ',' area ',' skrng ',' internet ',' slow ',' open ',' youtub ',' buffering ',' play ',' game ',' always', 'lag', 'severe', 'end', 'try' , 'use', 'brand', 'dlnya', 'famous', 'slow', 'really', 'mlh', 'skrng', 'opposite', 'right', 'cave', 'admit' Speed ​​',' Maintain ',' card ',' Hello ',' Telkomsel ',' repairs', 'network', 'use', 'card', 'hello', 'internet', 'hard', 'package' , 'MHL']</v>
      </c>
      <c r="D2821" s="3">
        <v>1.0</v>
      </c>
    </row>
    <row r="2822" ht="15.75" customHeight="1">
      <c r="A2822" s="1">
        <v>2820.0</v>
      </c>
      <c r="B2822" s="3" t="s">
        <v>2822</v>
      </c>
      <c r="C2822" s="3" t="str">
        <f>IFERROR(__xludf.DUMMYFUNCTION("GOOGLETRANSLATE(B2822,""id"",""en"")"),"['quality', 'network', 'feature', 'discuss',' fromosi ',' package ',' data ',' telephone ',' Bergam ',' affordable ',' matched ',' community ',' ']")</f>
        <v>['quality', 'network', 'feature', 'discuss',' fromosi ',' package ',' data ',' telephone ',' Bergam ',' affordable ',' matched ',' community ',' ']</v>
      </c>
      <c r="D2822" s="3">
        <v>4.0</v>
      </c>
    </row>
    <row r="2823" ht="15.75" customHeight="1">
      <c r="A2823" s="1">
        <v>2821.0</v>
      </c>
      <c r="B2823" s="3" t="s">
        <v>2823</v>
      </c>
      <c r="C2823" s="3" t="str">
        <f>IFERROR(__xludf.DUMMYFUNCTION("GOOGLETRANSLATE(B2823,""id"",""en"")"),"['Severe', 'buy', 'package', 'how', 'error', 'system', 'mulu', 'use', 'network', 'severe', 'really', ""]")</f>
        <v>['Severe', 'buy', 'package', 'how', 'error', 'system', 'mulu', 'use', 'network', 'severe', 'really', "]</v>
      </c>
      <c r="D2823" s="3">
        <v>1.0</v>
      </c>
    </row>
    <row r="2824" ht="15.75" customHeight="1">
      <c r="A2824" s="1">
        <v>2822.0</v>
      </c>
      <c r="B2824" s="3" t="s">
        <v>2824</v>
      </c>
      <c r="C2824" s="3" t="str">
        <f>IFERROR(__xludf.DUMMYFUNCTION("GOOGLETRANSLATE(B2824,""id"",""en"")"),"['area', 'difficult', 'network', 'kouta', 'difficult', 'play', 'game', 'medsos', '']")</f>
        <v>['area', 'difficult', 'network', 'kouta', 'difficult', 'play', 'game', 'medsos', '']</v>
      </c>
      <c r="D2824" s="3">
        <v>1.0</v>
      </c>
    </row>
    <row r="2825" ht="15.75" customHeight="1">
      <c r="A2825" s="1">
        <v>2823.0</v>
      </c>
      <c r="B2825" s="3" t="s">
        <v>2825</v>
      </c>
      <c r="C2825" s="3" t="str">
        <f>IFERROR(__xludf.DUMMYFUNCTION("GOOGLETRANSLATE(B2825,""id"",""en"")"),"['Please', 'Signal', 'Price', 'Package', 'Provide', 'User', 'Promo', 'Disappointed', 'Please', 'Developer', 'Expensive', ""]")</f>
        <v>['Please', 'Signal', 'Price', 'Package', 'Provide', 'User', 'Promo', 'Disappointed', 'Please', 'Developer', 'Expensive', "]</v>
      </c>
      <c r="D2825" s="3">
        <v>1.0</v>
      </c>
    </row>
    <row r="2826" ht="15.75" customHeight="1">
      <c r="A2826" s="1">
        <v>2824.0</v>
      </c>
      <c r="B2826" s="3" t="s">
        <v>2826</v>
      </c>
      <c r="C2826" s="3" t="str">
        <f>IFERROR(__xludf.DUMMYFUNCTION("GOOGLETRANSLATE(B2826,""id"",""en"")"),"['Please', 'fix', 'network', 'udh', 'make', 'Telkomsel', 'yes',' moved ',' card ',' please ',' fix ',' star ',' change']")</f>
        <v>['Please', 'fix', 'network', 'udh', 'make', 'Telkomsel', 'yes',' moved ',' card ',' please ',' fix ',' star ',' change']</v>
      </c>
      <c r="D2826" s="3">
        <v>1.0</v>
      </c>
    </row>
    <row r="2827" ht="15.75" customHeight="1">
      <c r="A2827" s="1">
        <v>2825.0</v>
      </c>
      <c r="B2827" s="3" t="s">
        <v>2827</v>
      </c>
      <c r="C2827" s="3" t="str">
        <f>IFERROR(__xludf.DUMMYFUNCTION("GOOGLETRANSLATE(B2827,""id"",""en"")"),"['Try', 'Telkomsel', 'Points',' Said ',' Balance ',' Fund ',' Voucher ',' Google ',' Play ',' Considered ',' Credit ',' Telkomsel ',' Gakpapa ',' stock ',' run out ',' thank you ']")</f>
        <v>['Try', 'Telkomsel', 'Points',' Said ',' Balance ',' Fund ',' Voucher ',' Google ',' Play ',' Considered ',' Credit ',' Telkomsel ',' Gakpapa ',' stock ',' run out ',' thank you ']</v>
      </c>
      <c r="D2827" s="3">
        <v>4.0</v>
      </c>
    </row>
    <row r="2828" ht="15.75" customHeight="1">
      <c r="A2828" s="1">
        <v>2826.0</v>
      </c>
      <c r="B2828" s="3" t="s">
        <v>2828</v>
      </c>
      <c r="C2828" s="3" t="str">
        <f>IFERROR(__xludf.DUMMYFUNCTION("GOOGLETRANSLATE(B2828,""id"",""en"")"),"['Sometimes',' like ',' down ',' network ',' peyebab ',' Telkomsel ',' petrified ',' regarding ',' work ',' network ',' internet ',' minus', ' down ',' network ',' love ',' user ',' ilang ',' network ',' safety ']")</f>
        <v>['Sometimes',' like ',' down ',' network ',' peyebab ',' Telkomsel ',' petrified ',' regarding ',' work ',' network ',' internet ',' minus', ' down ',' network ',' love ',' user ',' ilang ',' network ',' safety ']</v>
      </c>
      <c r="D2828" s="3">
        <v>5.0</v>
      </c>
    </row>
    <row r="2829" ht="15.75" customHeight="1">
      <c r="A2829" s="1">
        <v>2827.0</v>
      </c>
      <c r="B2829" s="3" t="s">
        <v>2829</v>
      </c>
      <c r="C2829" s="3" t="str">
        <f>IFERROR(__xludf.DUMMYFUNCTION("GOOGLETRANSLATE(B2829,""id"",""en"")"),"['Network', 'rotten', 'price', 'according to', 'idiot', 'quality', 'eak', 'jngn', 'nyepam', 'comment', 'cave', 'ngehek', ' ']")</f>
        <v>['Network', 'rotten', 'price', 'according to', 'idiot', 'quality', 'eak', 'jngn', 'nyepam', 'comment', 'cave', 'ngehek', ' ']</v>
      </c>
      <c r="D2829" s="3">
        <v>1.0</v>
      </c>
    </row>
    <row r="2830" ht="15.75" customHeight="1">
      <c r="A2830" s="1">
        <v>2828.0</v>
      </c>
      <c r="B2830" s="3" t="s">
        <v>2830</v>
      </c>
      <c r="C2830" s="3" t="str">
        <f>IFERROR(__xludf.DUMMYFUNCTION("GOOGLETRANSLATE(B2830,""id"",""en"")"),"['Disappointed', 'Network', 'Bad', 'Quota', 'Out', 'Karna', 'Out', 'Karna', 'Expiration', 'Quota', 'GB', 'Kekeke', ' Stay ',' because ',' Network ',' bad ',' input ',' update ',' APK ',' update ',' network ',' stable ',' understand ', ""]")</f>
        <v>['Disappointed', 'Network', 'Bad', 'Quota', 'Out', 'Karna', 'Out', 'Karna', 'Expiration', 'Quota', 'GB', 'Kekeke', ' Stay ',' because ',' Network ',' bad ',' input ',' update ',' APK ',' update ',' network ',' stable ',' understand ', "]</v>
      </c>
      <c r="D2830" s="3">
        <v>1.0</v>
      </c>
    </row>
    <row r="2831" ht="15.75" customHeight="1">
      <c r="A2831" s="1">
        <v>2829.0</v>
      </c>
      <c r="B2831" s="3" t="s">
        <v>2831</v>
      </c>
      <c r="C2831" s="3" t="str">
        <f>IFERROR(__xludf.DUMMYFUNCTION("GOOGLETRANSLATE(B2831,""id"",""en"")"),"['Please', 'fix', 'network', 'already', 'expensive', 'network', 'stable', 'disappointed']")</f>
        <v>['Please', 'fix', 'network', 'already', 'expensive', 'network', 'stable', 'disappointed']</v>
      </c>
      <c r="D2831" s="3">
        <v>1.0</v>
      </c>
    </row>
    <row r="2832" ht="15.75" customHeight="1">
      <c r="A2832" s="1">
        <v>2830.0</v>
      </c>
      <c r="B2832" s="3" t="s">
        <v>2832</v>
      </c>
      <c r="C2832" s="3" t="str">
        <f>IFERROR(__xludf.DUMMYFUNCTION("GOOGLETRANSLATE(B2832,""id"",""en"")"),"['difficult', 'network', 'good', 'smooth', 'slow', 'nyak', 'unlimited', 'fup', 'non', 'unlimited', 'low', 'signal', ' Severe ',' Disappointed ',' ']")</f>
        <v>['difficult', 'network', 'good', 'smooth', 'slow', 'nyak', 'unlimited', 'fup', 'non', 'unlimited', 'low', 'signal', ' Severe ',' Disappointed ',' ']</v>
      </c>
      <c r="D2832" s="3">
        <v>1.0</v>
      </c>
    </row>
    <row r="2833" ht="15.75" customHeight="1">
      <c r="A2833" s="1">
        <v>2831.0</v>
      </c>
      <c r="B2833" s="3" t="s">
        <v>2833</v>
      </c>
      <c r="C2833" s="3" t="str">
        <f>IFERROR(__xludf.DUMMYFUNCTION("GOOGLETRANSLATE(B2833,""id"",""en"")"),"['Disappointed', 'Telkomsel', 'quota', 'active', 'stay', 'buy', 'package', 'quota', 'use', 'quota', 'package', 'prioritize', ' quota ',' active ',' run out ',' honest ',' disappointed ',' Telkomsel ']")</f>
        <v>['Disappointed', 'Telkomsel', 'quota', 'active', 'stay', 'buy', 'package', 'quota', 'use', 'quota', 'package', 'prioritize', ' quota ',' active ',' run out ',' honest ',' disappointed ',' Telkomsel ']</v>
      </c>
      <c r="D2833" s="3">
        <v>1.0</v>
      </c>
    </row>
    <row r="2834" ht="15.75" customHeight="1">
      <c r="A2834" s="1">
        <v>2832.0</v>
      </c>
      <c r="B2834" s="3" t="s">
        <v>2834</v>
      </c>
      <c r="C2834" s="3" t="str">
        <f>IFERROR(__xludf.DUMMYFUNCTION("GOOGLETRANSLATE(B2834,""id"",""en"")"),"['buy', 'package', 'Kendaan', 'Network', 'Manduged', 'Severe', 'Turn', 'Package', 'Out', 'Current', 'Connect', 'How' Telkomsel ',' buy ',' package ',' expensive ']")</f>
        <v>['buy', 'package', 'Kendaan', 'Network', 'Manduged', 'Severe', 'Turn', 'Package', 'Out', 'Current', 'Connect', 'How' Telkomsel ',' buy ',' package ',' expensive ']</v>
      </c>
      <c r="D2834" s="3">
        <v>1.0</v>
      </c>
    </row>
    <row r="2835" ht="15.75" customHeight="1">
      <c r="A2835" s="1">
        <v>2833.0</v>
      </c>
      <c r="B2835" s="3" t="s">
        <v>2835</v>
      </c>
      <c r="C2835" s="3" t="str">
        <f>IFERROR(__xludf.DUMMYFUNCTION("GOOGLETRANSLATE(B2835,""id"",""en"")"),"['Network', 'Benerin', 'Price', 'Paketan', 'Doang', 'Taikin', ""]")</f>
        <v>['Network', 'Benerin', 'Price', 'Paketan', 'Doang', 'Taikin', "]</v>
      </c>
      <c r="D2835" s="3">
        <v>1.0</v>
      </c>
    </row>
    <row r="2836" ht="15.75" customHeight="1">
      <c r="A2836" s="1">
        <v>2834.0</v>
      </c>
      <c r="B2836" s="3" t="s">
        <v>2836</v>
      </c>
      <c r="C2836" s="3" t="str">
        <f>IFERROR(__xludf.DUMMYFUNCTION("GOOGLETRANSLATE(B2836,""id"",""en"")"),"['already', 'kagak', 'set', 'Telkomsel', 'developed', 'fees',' transfer ',' pulse ',' nominal ',' rb ',' developing ',' all ',' Transfer ',' Telkomsel ',' Transfer ',' Costs', 'Telkomsel', 'Close', 'Company', 'Congratulations',' Telkomsel ',' developing '"&amp;",' Costs', 'Transfer', 'Credit' , 'Telkomsel', 'suggestion', 'Telkomsel', 'in the future', 'fees', 'transfer', 'enhanced', 'minimal', 'transaction', '']")</f>
        <v>['already', 'kagak', 'set', 'Telkomsel', 'developed', 'fees',' transfer ',' pulse ',' nominal ',' rb ',' developing ',' all ',' Transfer ',' Telkomsel ',' Transfer ',' Costs', 'Telkomsel', 'Close', 'Company', 'Congratulations',' Telkomsel ',' developing ',' Costs', 'Transfer', 'Credit' , 'Telkomsel', 'suggestion', 'Telkomsel', 'in the future', 'fees', 'transfer', 'enhanced', 'minimal', 'transaction', '']</v>
      </c>
      <c r="D2836" s="3">
        <v>1.0</v>
      </c>
    </row>
    <row r="2837" ht="15.75" customHeight="1">
      <c r="A2837" s="1">
        <v>2835.0</v>
      </c>
      <c r="B2837" s="3" t="s">
        <v>2837</v>
      </c>
      <c r="C2837" s="3" t="str">
        <f>IFERROR(__xludf.DUMMYFUNCTION("GOOGLETRANSLATE(B2837,""id"",""en"")"),"['The network', 'bad', 'yesterday', 'Sayuhan', 'Costs', 'Package', 'Data', 'expensive', 'quality', 'cheap', 'disappointed', 'Telkomsel']")</f>
        <v>['The network', 'bad', 'yesterday', 'Sayuhan', 'Costs', 'Package', 'Data', 'expensive', 'quality', 'cheap', 'disappointed', 'Telkomsel']</v>
      </c>
      <c r="D2837" s="3">
        <v>1.0</v>
      </c>
    </row>
    <row r="2838" ht="15.75" customHeight="1">
      <c r="A2838" s="1">
        <v>2836.0</v>
      </c>
      <c r="B2838" s="3" t="s">
        <v>2838</v>
      </c>
      <c r="C2838" s="3" t="str">
        <f>IFERROR(__xludf.DUMMYFUNCTION("GOOGLETRANSLATE(B2838,""id"",""en"")"),"['pulse', 'lost', 'package', 'internet', 'tri', 'already', 'expensive', 'artisan', 'sucked', 'pulses', 'loanny', '']")</f>
        <v>['pulse', 'lost', 'package', 'internet', 'tri', 'already', 'expensive', 'artisan', 'sucked', 'pulses', 'loanny', '']</v>
      </c>
      <c r="D2838" s="3">
        <v>1.0</v>
      </c>
    </row>
    <row r="2839" ht="15.75" customHeight="1">
      <c r="A2839" s="1">
        <v>2837.0</v>
      </c>
      <c r="B2839" s="3" t="s">
        <v>2839</v>
      </c>
      <c r="C2839" s="3" t="str">
        <f>IFERROR(__xludf.DUMMYFUNCTION("GOOGLETRANSLATE(B2839,""id"",""en"")"),"['Network', 'Best', 'The', 'Best', 'already', 'price', 'expensive', 'comparable', 'signal', 'games',' slow ',' network ',' really ',' play ',' game ',' searching ',' internet ',' slow ',' severe ',' make ',' Telkomsel ',' cook ',' lose ',' competitor ',' "&amp;"next door ' , 'Network', 'stable', 'wherever', ""]")</f>
        <v>['Network', 'Best', 'The', 'Best', 'already', 'price', 'expensive', 'comparable', 'signal', 'games',' slow ',' network ',' really ',' play ',' game ',' searching ',' internet ',' slow ',' severe ',' make ',' Telkomsel ',' cook ',' lose ',' competitor ',' next door ' , 'Network', 'stable', 'wherever', "]</v>
      </c>
      <c r="D2839" s="3">
        <v>1.0</v>
      </c>
    </row>
    <row r="2840" ht="15.75" customHeight="1">
      <c r="A2840" s="1">
        <v>2838.0</v>
      </c>
      <c r="B2840" s="3" t="s">
        <v>2840</v>
      </c>
      <c r="C2840" s="3" t="str">
        <f>IFERROR(__xludf.DUMMYFUNCTION("GOOGLETRANSLATE(B2840,""id"",""en"")"),"['Please', 'signal', 'network', 'internet', 'expanded', 'region', 'remote', 'internet', 'smooth', 'thank you']")</f>
        <v>['Please', 'signal', 'network', 'internet', 'expanded', 'region', 'remote', 'internet', 'smooth', 'thank you']</v>
      </c>
      <c r="D2840" s="3">
        <v>4.0</v>
      </c>
    </row>
    <row r="2841" ht="15.75" customHeight="1">
      <c r="A2841" s="1">
        <v>2839.0</v>
      </c>
      <c r="B2841" s="3" t="s">
        <v>2841</v>
      </c>
      <c r="C2841" s="3" t="str">
        <f>IFERROR(__xludf.DUMMYFUNCTION("GOOGLETRANSLATE(B2841,""id"",""en"")"),"['limit', 'kartuHALO', 'thousand', 'get', 'bill', 'above', 'thousand', 'buy', 'package', 'additional', 'that's',' package ',' Useful ',' Multimedia ',' SMS ',' Plus', 'Signal', 'Equivalent', 'Provider', 'Million', 'People', ""]")</f>
        <v>['limit', 'kartuHALO', 'thousand', 'get', 'bill', 'above', 'thousand', 'buy', 'package', 'additional', 'that's',' package ',' Useful ',' Multimedia ',' SMS ',' Plus', 'Signal', 'Equivalent', 'Provider', 'Million', 'People', "]</v>
      </c>
      <c r="D2841" s="3">
        <v>2.0</v>
      </c>
    </row>
    <row r="2842" ht="15.75" customHeight="1">
      <c r="A2842" s="1">
        <v>2840.0</v>
      </c>
      <c r="B2842" s="3" t="s">
        <v>2842</v>
      </c>
      <c r="C2842" s="3" t="str">
        <f>IFERROR(__xludf.DUMMYFUNCTION("GOOGLETRANSLATE(B2842,""id"",""en"")"),"['beneriinnn', 'wooii', 'signal', 'area', 'sumsel', 'ngeta', 'kayak', 'taiikkk', 'right', 'signal', 'Telkomsel', 'morning', ' afternoon ',' afternoon ',' night ',' play ',' game ',' ngelag ',' continued ',' buy ',' quota ',' expensive ',' expensive ',' si"&amp;"gnal ',' kayak ' , 'taeekkkkk']")</f>
        <v>['beneriinnn', 'wooii', 'signal', 'area', 'sumsel', 'ngeta', 'kayak', 'taiikkk', 'right', 'signal', 'Telkomsel', 'morning', ' afternoon ',' afternoon ',' night ',' play ',' game ',' ngelag ',' continued ',' buy ',' quota ',' expensive ',' expensive ',' signal ',' kayak ' , 'taeekkkkk']</v>
      </c>
      <c r="D2842" s="3">
        <v>1.0</v>
      </c>
    </row>
    <row r="2843" ht="15.75" customHeight="1">
      <c r="A2843" s="1">
        <v>2841.0</v>
      </c>
      <c r="B2843" s="3" t="s">
        <v>2843</v>
      </c>
      <c r="C2843" s="3" t="str">
        <f>IFERROR(__xludf.DUMMYFUNCTION("GOOGLETRANSLATE(B2843,""id"",""en"")"),"['difficult', 'application', 'series',' code ',' verification ',' must ',' click ',' link ',' complicated ',' just ',' open ',' application ',' Verification ',' application ',' BURIK ']")</f>
        <v>['difficult', 'application', 'series',' code ',' verification ',' must ',' click ',' link ',' complicated ',' just ',' open ',' application ',' Verification ',' application ',' BURIK ']</v>
      </c>
      <c r="D2843" s="3">
        <v>1.0</v>
      </c>
    </row>
    <row r="2844" ht="15.75" customHeight="1">
      <c r="A2844" s="1">
        <v>2842.0</v>
      </c>
      <c r="B2844" s="3" t="s">
        <v>2844</v>
      </c>
      <c r="C2844" s="3" t="str">
        <f>IFERROR(__xludf.DUMMYFUNCTION("GOOGLETRANSLATE(B2844,""id"",""en"")"),"['jakarta', 'mah', 'good', 'signal', 'sub-district', 'mande', 'district', 'cianjur', 'signal', 'slow', 'please', 'fix', ' ']")</f>
        <v>['jakarta', 'mah', 'good', 'signal', 'sub-district', 'mande', 'district', 'cianjur', 'signal', 'slow', 'please', 'fix', ' ']</v>
      </c>
      <c r="D2844" s="3">
        <v>5.0</v>
      </c>
    </row>
    <row r="2845" ht="15.75" customHeight="1">
      <c r="A2845" s="1">
        <v>2843.0</v>
      </c>
      <c r="B2845" s="3" t="s">
        <v>2845</v>
      </c>
      <c r="C2845" s="3" t="str">
        <f>IFERROR(__xludf.DUMMYFUNCTION("GOOGLETRANSLATE(B2845,""id"",""en"")"),"['Please', 'Fix', 'Application', 'Upgrade', 'Semkin', 'Bad', 'Performing', 'Application', 'Error', 'As fast', 'anything', 'wifi', ' network ',' quota ',' opened ',' application ',' mending ',' use ',' application ',' old ',' bro ',' disappointed ',' open "&amp;"',' application ', ""]")</f>
        <v>['Please', 'Fix', 'Application', 'Upgrade', 'Semkin', 'Bad', 'Performing', 'Application', 'Error', 'As fast', 'anything', 'wifi', ' network ',' quota ',' opened ',' application ',' mending ',' use ',' application ',' old ',' bro ',' disappointed ',' open ',' application ', "]</v>
      </c>
      <c r="D2845" s="3">
        <v>1.0</v>
      </c>
    </row>
    <row r="2846" ht="15.75" customHeight="1">
      <c r="A2846" s="1">
        <v>2844.0</v>
      </c>
      <c r="B2846" s="3" t="s">
        <v>2846</v>
      </c>
      <c r="C2846" s="3" t="str">
        <f>IFERROR(__xludf.DUMMYFUNCTION("GOOGLETRANSLATE(B2846,""id"",""en"")"),"['gag', 'understand', 'sympathy', 'price', 'quota', 'naek', 'quality', 'gag', 'naek', 'area', 'dead', 'lights',' Network ',' dead ',' Hadeuhhhhhhhhhhh ',' disappointed ',' buotit ']")</f>
        <v>['gag', 'understand', 'sympathy', 'price', 'quota', 'naek', 'quality', 'gag', 'naek', 'area', 'dead', 'lights',' Network ',' dead ',' Hadeuhhhhhhhhhhh ',' disappointed ',' buotit ']</v>
      </c>
      <c r="D2846" s="3">
        <v>1.0</v>
      </c>
    </row>
    <row r="2847" ht="15.75" customHeight="1">
      <c r="A2847" s="1">
        <v>2845.0</v>
      </c>
      <c r="B2847" s="3" t="s">
        <v>2847</v>
      </c>
      <c r="C2847" s="3" t="str">
        <f>IFERROR(__xludf.DUMMYFUNCTION("GOOGLETRANSLATE(B2847,""id"",""en"")"),"['Please', 'WOI', 'Min', 'Signal', 'BURIK', 'Buy', 'Unlimited', 'a month', 'TPS', 'TPI', 'Signal', 'Kek', ' Gini ',' please ',' woi ',' signal ',' kek ',' gini ',' suits', 'price']")</f>
        <v>['Please', 'WOI', 'Min', 'Signal', 'BURIK', 'Buy', 'Unlimited', 'a month', 'TPS', 'TPI', 'Signal', 'Kek', ' Gini ',' please ',' woi ',' signal ',' kek ',' gini ',' suits', 'price']</v>
      </c>
      <c r="D2847" s="3">
        <v>1.0</v>
      </c>
    </row>
    <row r="2848" ht="15.75" customHeight="1">
      <c r="A2848" s="1">
        <v>2846.0</v>
      </c>
      <c r="B2848" s="3" t="s">
        <v>2848</v>
      </c>
      <c r="C2848" s="3" t="str">
        <f>IFERROR(__xludf.DUMMYFUNCTION("GOOGLETRANSLATE(B2848,""id"",""en"")"),"['network', 'lose', 'play', 'sceter', 'network', 'ghost', 'please', 'fix', 'network', 'harm', 'people', 'devil', ' ']")</f>
        <v>['network', 'lose', 'play', 'sceter', 'network', 'ghost', 'please', 'fix', 'network', 'harm', 'people', 'devil', ' ']</v>
      </c>
      <c r="D2848" s="3">
        <v>1.0</v>
      </c>
    </row>
    <row r="2849" ht="15.75" customHeight="1">
      <c r="A2849" s="1">
        <v>2847.0</v>
      </c>
      <c r="B2849" s="3" t="s">
        <v>2849</v>
      </c>
      <c r="C2849" s="3" t="str">
        <f>IFERROR(__xludf.DUMMYFUNCTION("GOOGLETRANSLATE(B2849,""id"",""en"")"),"['Provider', 'Network', 'Disappointing', 'Slumping', 'Network', 'Bkin', 'Emotion', ""]")</f>
        <v>['Provider', 'Network', 'Disappointing', 'Slumping', 'Network', 'Bkin', 'Emotion', "]</v>
      </c>
      <c r="D2849" s="3">
        <v>1.0</v>
      </c>
    </row>
    <row r="2850" ht="15.75" customHeight="1">
      <c r="A2850" s="1">
        <v>2848.0</v>
      </c>
      <c r="B2850" s="3" t="s">
        <v>2850</v>
      </c>
      <c r="C2850" s="3" t="str">
        <f>IFERROR(__xludf.DUMMYFUNCTION("GOOGLETRANSLATE(B2850,""id"",""en"")"),"['network', 'the widest', 'the fastest', 'indo', 'already', 'that's',' package ',' expensive ',' expensive ',' ugly ',' really ',' the network ',' Play ',' Game ',' ping ',' stable ',' already ',' complement ',' solution ',' network ',' drop ', ""]")</f>
        <v>['network', 'the widest', 'the fastest', 'indo', 'already', 'that's',' package ',' expensive ',' expensive ',' ugly ',' really ',' the network ',' Play ',' Game ',' ping ',' stable ',' already ',' complement ',' solution ',' network ',' drop ', "]</v>
      </c>
      <c r="D2850" s="3">
        <v>1.0</v>
      </c>
    </row>
    <row r="2851" ht="15.75" customHeight="1">
      <c r="A2851" s="1">
        <v>2849.0</v>
      </c>
      <c r="B2851" s="3" t="s">
        <v>2851</v>
      </c>
      <c r="C2851" s="3" t="str">
        <f>IFERROR(__xludf.DUMMYFUNCTION("GOOGLETRANSLATE(B2851,""id"",""en"")"),"['Network', 'nihh', 'package', 'expensive', 'expensive', 'network', 'person', 'play', 'game', 'lost', 'asuuuu']")</f>
        <v>['Network', 'nihh', 'package', 'expensive', 'expensive', 'network', 'person', 'play', 'game', 'lost', 'asuuuu']</v>
      </c>
      <c r="D2851" s="3">
        <v>1.0</v>
      </c>
    </row>
    <row r="2852" ht="15.75" customHeight="1">
      <c r="A2852" s="1">
        <v>2850.0</v>
      </c>
      <c r="B2852" s="3" t="s">
        <v>2852</v>
      </c>
      <c r="C2852" s="3" t="str">
        <f>IFERROR(__xludf.DUMMYFUNCTION("GOOGLETRANSLATE(B2852,""id"",""en"")"),"['Paketan', 'Data', 'Different', 'Number', 'Different', 'Purchase', 'Data', 'Fix', 'Control', 'System', ""]")</f>
        <v>['Paketan', 'Data', 'Different', 'Number', 'Different', 'Purchase', 'Data', 'Fix', 'Control', 'System', "]</v>
      </c>
      <c r="D2852" s="3">
        <v>1.0</v>
      </c>
    </row>
    <row r="2853" ht="15.75" customHeight="1">
      <c r="A2853" s="1">
        <v>2851.0</v>
      </c>
      <c r="B2853" s="3" t="s">
        <v>2853</v>
      </c>
      <c r="C2853" s="3" t="str">
        <f>IFERROR(__xludf.DUMMYFUNCTION("GOOGLETRANSLATE(B2853,""id"",""en"")"),"['Add', 'quota', 'Unlimited', 'Game', 'ROBLOX', 'Minecraft', 'Bedrock', 'Edition', 'Add', 'Star']")</f>
        <v>['Add', 'quota', 'Unlimited', 'Game', 'ROBLOX', 'Minecraft', 'Bedrock', 'Edition', 'Add', 'Star']</v>
      </c>
      <c r="D2853" s="3">
        <v>3.0</v>
      </c>
    </row>
    <row r="2854" ht="15.75" customHeight="1">
      <c r="A2854" s="1">
        <v>2852.0</v>
      </c>
      <c r="B2854" s="3" t="s">
        <v>2854</v>
      </c>
      <c r="C2854" s="3" t="str">
        <f>IFERROR(__xludf.DUMMYFUNCTION("GOOGLETRANSLATE(B2854,""id"",""en"")"),"['Network', 'ugly', 'rich', 'super', 'fast', 'forest', 'city', 'good', 'ugly', 'expensive', 'TPI', 'good', ' Services', 'Telkomsel', 'TPI', 'Bad', 'Disappointed', 'Please', 'Fix', 'Accelerate', 'Network', 'Expensive', 'TPI', 'ugly', 'Gara' , 'Gara', 'card"&amp;"', 'Hello', 'Pay', 'Block', 'Gimna', 'explained', '']")</f>
        <v>['Network', 'ugly', 'rich', 'super', 'fast', 'forest', 'city', 'good', 'ugly', 'expensive', 'TPI', 'good', ' Services', 'Telkomsel', 'TPI', 'Bad', 'Disappointed', 'Please', 'Fix', 'Accelerate', 'Network', 'Expensive', 'TPI', 'ugly', 'Gara' , 'Gara', 'card', 'Hello', 'Pay', 'Block', 'Gimna', 'explained', '']</v>
      </c>
      <c r="D2854" s="3">
        <v>1.0</v>
      </c>
    </row>
    <row r="2855" ht="15.75" customHeight="1">
      <c r="A2855" s="1">
        <v>2853.0</v>
      </c>
      <c r="B2855" s="3" t="s">
        <v>2855</v>
      </c>
      <c r="C2855" s="3" t="str">
        <f>IFERROR(__xludf.DUMMYFUNCTION("GOOGLETRANSLATE(B2855,""id"",""en"")"),"['Region', 'Jln', 'Darmo', 'Sugondo', 'Jln', 'Captain', 'Dulhasim', 'Jln', 'Panglima', 'Sudirman', 'Jln', 'Veteran', ' Gresik ',' Java ',' East ',' Network ',' Internet ',' Telkomsel ',' Bad ',' Location ',' Area ',' City ',' Please ',' Fix ',' Customer '"&amp;" , 'Disappointed', 'Thank', 'Love']")</f>
        <v>['Region', 'Jln', 'Darmo', 'Sugondo', 'Jln', 'Captain', 'Dulhasim', 'Jln', 'Panglima', 'Sudirman', 'Jln', 'Veteran', ' Gresik ',' Java ',' East ',' Network ',' Internet ',' Telkomsel ',' Bad ',' Location ',' Area ',' City ',' Please ',' Fix ',' Customer ' , 'Disappointed', 'Thank', 'Love']</v>
      </c>
      <c r="D2855" s="3">
        <v>1.0</v>
      </c>
    </row>
    <row r="2856" ht="15.75" customHeight="1">
      <c r="A2856" s="1">
        <v>2854.0</v>
      </c>
      <c r="B2856" s="3" t="s">
        <v>2856</v>
      </c>
      <c r="C2856" s="3" t="str">
        <f>IFERROR(__xludf.DUMMYFUNCTION("GOOGLETRANSLATE(B2856,""id"",""en"")"),"['Mohin', 'Network', 'Internet', 'Fix', 'City', 'Bandar', 'Lampung', 'Capital', 'Way', 'Right', 'District', 'Baradatu', ' Kelurahan ',' Bengkulu ',' please ',' signal ',' internet ',' difficult ',' please ',' fix ']")</f>
        <v>['Mohin', 'Network', 'Internet', 'Fix', 'City', 'Bandar', 'Lampung', 'Capital', 'Way', 'Right', 'District', 'Baradatu', ' Kelurahan ',' Bengkulu ',' please ',' signal ',' internet ',' difficult ',' please ',' fix ']</v>
      </c>
      <c r="D2856" s="3">
        <v>5.0</v>
      </c>
    </row>
    <row r="2857" ht="15.75" customHeight="1">
      <c r="A2857" s="1">
        <v>2855.0</v>
      </c>
      <c r="B2857" s="3" t="s">
        <v>2857</v>
      </c>
      <c r="C2857" s="3" t="str">
        <f>IFERROR(__xludf.DUMMYFUNCTION("GOOGLETRANSLATE(B2857,""id"",""en"")"),"['Woy', 'Telkomsel', 'The network', 'repaired', 'Ngeapain', 'Towards',' Maghrib ',' Clock ',' Night ',' Huu ',' Sinyal ',' ugly ',' Please, 'Telkomsel', 'SIFE', 'Facing', 'Already', 'Raft', 'Expensive', 'Network', 'Destroyed', 'Very', 'Consumer', 'Satisfi"&amp;"ed', 'Buy' , 'Luu', 'yaa', 'Place', 'I', 'Tower', 'Indosat', 'already', 'manufacture', 'because', 'person', 'Switch', 'Indosat', ' ']")</f>
        <v>['Woy', 'Telkomsel', 'The network', 'repaired', 'Ngeapain', 'Towards',' Maghrib ',' Clock ',' Night ',' Huu ',' Sinyal ',' ugly ',' Please, 'Telkomsel', 'SIFE', 'Facing', 'Already', 'Raft', 'Expensive', 'Network', 'Destroyed', 'Very', 'Consumer', 'Satisfied', 'Buy' , 'Luu', 'yaa', 'Place', 'I', 'Tower', 'Indosat', 'already', 'manufacture', 'because', 'person', 'Switch', 'Indosat', ' ']</v>
      </c>
      <c r="D2857" s="3">
        <v>1.0</v>
      </c>
    </row>
    <row r="2858" ht="15.75" customHeight="1">
      <c r="A2858" s="1">
        <v>2856.0</v>
      </c>
      <c r="B2858" s="3" t="s">
        <v>2858</v>
      </c>
      <c r="C2858" s="3" t="str">
        <f>IFERROR(__xludf.DUMMYFUNCTION("GOOGLETRANSLATE(B2858,""id"",""en"")"),"['tops',' rank ',' Telkomsel ',' eat ',' gajih ',' blind ',' fix ',' network ',' package ',' expensive ',' network ',' rich ',' Rich ',' ']")</f>
        <v>['tops',' rank ',' Telkomsel ',' eat ',' gajih ',' blind ',' fix ',' network ',' package ',' expensive ',' network ',' rich ',' Rich ',' ']</v>
      </c>
      <c r="D2858" s="3">
        <v>1.0</v>
      </c>
    </row>
    <row r="2859" ht="15.75" customHeight="1">
      <c r="A2859" s="1">
        <v>2857.0</v>
      </c>
      <c r="B2859" s="3" t="s">
        <v>2859</v>
      </c>
      <c r="C2859" s="3" t="str">
        <f>IFERROR(__xludf.DUMMYFUNCTION("GOOGLETRANSLATE(B2859,""id"",""en"")"),"['Bener', 'Bener', 'APK', 'Telkomsel', 'Help', 'Trouble', 'Loading', 'Fill', 'Credit', 'Difficult', 'Quota', 'GMN', ' Performance ',' service ',' satisfying ',' consumer ',' active ',' short ',' ']")</f>
        <v>['Bener', 'Bener', 'APK', 'Telkomsel', 'Help', 'Trouble', 'Loading', 'Fill', 'Credit', 'Difficult', 'Quota', 'GMN', ' Performance ',' service ',' satisfying ',' consumer ',' active ',' short ',' ']</v>
      </c>
      <c r="D2859" s="3">
        <v>1.0</v>
      </c>
    </row>
    <row r="2860" ht="15.75" customHeight="1">
      <c r="A2860" s="1">
        <v>2858.0</v>
      </c>
      <c r="B2860" s="3" t="s">
        <v>2860</v>
      </c>
      <c r="C2860" s="3" t="str">
        <f>IFERROR(__xludf.DUMMYFUNCTION("GOOGLETRANSLATE(B2860,""id"",""en"")"),"['Siyal', 'Soon', 'dead', 'connection', 'bad', 'price', 'package', 'expensive', 'smpai', 'skarang', 'no', 'repair', ' kah ',' get ',' service ',' satisfying ',' dri ',' package ',' expensive ',' buy ', ""]")</f>
        <v>['Siyal', 'Soon', 'dead', 'connection', 'bad', 'price', 'package', 'expensive', 'smpai', 'skarang', 'no', 'repair', ' kah ',' get ',' service ',' satisfying ',' dri ',' package ',' expensive ',' buy ', "]</v>
      </c>
      <c r="D2860" s="3">
        <v>1.0</v>
      </c>
    </row>
    <row r="2861" ht="15.75" customHeight="1">
      <c r="A2861" s="1">
        <v>2859.0</v>
      </c>
      <c r="B2861" s="3" t="s">
        <v>2861</v>
      </c>
      <c r="C2861" s="3" t="str">
        <f>IFERROR(__xludf.DUMMYFUNCTION("GOOGLETRANSLATE(B2861,""id"",""en"")"),"['Telkomsel', 'Corruptor', 'Lottery', 'PHP', 'Already', 'Rich', 'Treasure', 'Bring', 'Dead', 'Watch Out', 'Bankrupt', ""]")</f>
        <v>['Telkomsel', 'Corruptor', 'Lottery', 'PHP', 'Already', 'Rich', 'Treasure', 'Bring', 'Dead', 'Watch Out', 'Bankrupt', "]</v>
      </c>
      <c r="D2861" s="3">
        <v>1.0</v>
      </c>
    </row>
    <row r="2862" ht="15.75" customHeight="1">
      <c r="A2862" s="1">
        <v>2860.0</v>
      </c>
      <c r="B2862" s="3" t="s">
        <v>2862</v>
      </c>
      <c r="C2862" s="3" t="str">
        <f>IFERROR(__xludf.DUMMYFUNCTION("GOOGLETRANSLATE(B2862,""id"",""en"")"),"['buy', 'pulse', 'expensive', 'comparable', 'signal', 'ugly', 'Please', 'fix', 'sya', 'area', 'kec', 'Malangbong', ' Garut ',' signal ',' Telkomsel ',' Benerin ',' Disruption ',' Mulu ',' Sya ',' Gamer ',' Original ',' Disappointed ',' Very ']")</f>
        <v>['buy', 'pulse', 'expensive', 'comparable', 'signal', 'ugly', 'Please', 'fix', 'sya', 'area', 'kec', 'Malangbong', ' Garut ',' signal ',' Telkomsel ',' Benerin ',' Disruption ',' Mulu ',' Sya ',' Gamer ',' Original ',' Disappointed ',' Very ']</v>
      </c>
      <c r="D2862" s="3">
        <v>1.0</v>
      </c>
    </row>
    <row r="2863" ht="15.75" customHeight="1">
      <c r="A2863" s="1">
        <v>2861.0</v>
      </c>
      <c r="B2863" s="3" t="s">
        <v>2863</v>
      </c>
      <c r="C2863" s="3" t="str">
        <f>IFERROR(__xludf.DUMMYFUNCTION("GOOGLETRANSLATE(B2863,""id"",""en"")"),"['Thank you', 'MyTelkomsel', 'love', 'promo', 'GB', 'Star', 'Addin', 'Love', 'friend', 'promo', 'Udh']")</f>
        <v>['Thank you', 'MyTelkomsel', 'love', 'promo', 'GB', 'Star', 'Addin', 'Love', 'friend', 'promo', 'Udh']</v>
      </c>
      <c r="D2863" s="3">
        <v>5.0</v>
      </c>
    </row>
    <row r="2864" ht="15.75" customHeight="1">
      <c r="A2864" s="1">
        <v>2862.0</v>
      </c>
      <c r="B2864" s="3" t="s">
        <v>2864</v>
      </c>
      <c r="C2864" s="3" t="str">
        <f>IFERROR(__xludf.DUMMYFUNCTION("GOOGLETRANSLATE(B2864,""id"",""en"")"),"['My computer', 'entering', 'server', 'Telkomsel', 'price', 'quota', 'expensive', 'makes it difficult', 'student']")</f>
        <v>['My computer', 'entering', 'server', 'Telkomsel', 'price', 'quota', 'expensive', 'makes it difficult', 'student']</v>
      </c>
      <c r="D2864" s="3">
        <v>1.0</v>
      </c>
    </row>
    <row r="2865" ht="15.75" customHeight="1">
      <c r="A2865" s="1">
        <v>2863.0</v>
      </c>
      <c r="B2865" s="3" t="s">
        <v>2865</v>
      </c>
      <c r="C2865" s="3" t="str">
        <f>IFERROR(__xludf.DUMMYFUNCTION("GOOGLETRANSLATE(B2865,""id"",""en"")"),"['Open', 'Application', 'KNPA', 'Disruption', 'Cook', 'Uninstall', 'Install', 'reset', 'spend', 'quota']")</f>
        <v>['Open', 'Application', 'KNPA', 'Disruption', 'Cook', 'Uninstall', 'Install', 'reset', 'spend', 'quota']</v>
      </c>
      <c r="D2865" s="3">
        <v>1.0</v>
      </c>
    </row>
    <row r="2866" ht="15.75" customHeight="1">
      <c r="A2866" s="1">
        <v>2864.0</v>
      </c>
      <c r="B2866" s="3" t="s">
        <v>2866</v>
      </c>
      <c r="C2866" s="3" t="str">
        <f>IFERROR(__xludf.DUMMYFUNCTION("GOOGLETRANSLATE(B2866,""id"",""en"")"),"['', 'Claim', 'Daily', 'Chekin', 'quota', 'MB', 'Telkomsel', 'SUCCESS', 'SMS', 'FAILURE', 'How', 'My APK', 'Accurate ',' Chekin ',' bonus', 'Bulhongan', 'mere', 'pulse', 'cut', 'Severe', 'disappointed', 'provider', 'professional', 'Padah', 'update', 'Late"&amp;"st', 'ttp', 'ngaco']")</f>
        <v>['', 'Claim', 'Daily', 'Chekin', 'quota', 'MB', 'Telkomsel', 'SUCCESS', 'SMS', 'FAILURE', 'How', 'My APK', 'Accurate ',' Chekin ',' bonus', 'Bulhongan', 'mere', 'pulse', 'cut', 'Severe', 'disappointed', 'provider', 'professional', 'Padah', 'update', 'Latest', 'ttp', 'ngaco']</v>
      </c>
      <c r="D2866" s="3">
        <v>1.0</v>
      </c>
    </row>
    <row r="2867" ht="15.75" customHeight="1">
      <c r="A2867" s="1">
        <v>2865.0</v>
      </c>
      <c r="B2867" s="3" t="s">
        <v>2867</v>
      </c>
      <c r="C2867" s="3" t="str">
        <f>IFERROR(__xludf.DUMMYFUNCTION("GOOGLETRANSLATE(B2867,""id"",""en"")"),"['application', 'Telkomsel', 'difficult', 'enter', 'enter', 'command', 'confirm', 'log', 'address',' web ',' Telkomsel ',' sent ',' sms', 'address',' web ',' Telkomsel ',' display ',' page ',' found ',' page ',' web ',' Telkomsel ',' try ',' log ',' addre"&amp;"ss' , 'Mail', 'Account', 'Medsos', 'Log', ""]")</f>
        <v>['application', 'Telkomsel', 'difficult', 'enter', 'enter', 'command', 'confirm', 'log', 'address',' web ',' Telkomsel ',' sent ',' sms', 'address',' web ',' Telkomsel ',' display ',' page ',' found ',' page ',' web ',' Telkomsel ',' try ',' log ',' address' , 'Mail', 'Account', 'Medsos', 'Log', "]</v>
      </c>
      <c r="D2867" s="3">
        <v>2.0</v>
      </c>
    </row>
    <row r="2868" ht="15.75" customHeight="1">
      <c r="A2868" s="1">
        <v>2866.0</v>
      </c>
      <c r="B2868" s="3" t="s">
        <v>2868</v>
      </c>
      <c r="C2868" s="3" t="str">
        <f>IFERROR(__xludf.DUMMYFUNCTION("GOOGLETRANSLATE(B2868,""id"",""en"")"),"['Give', 'Star', 'expensive', 'Network', 'Season', 'Njir', 'Look', 'Task', 'Google', 'Lemotny', 'Forgiveness',' Damn ',' replace ',' Telkomsel ',' network ',' fast ',' add ',' slow ',' tadiny ',' rich ',' gini ',' mending ',' tetep ',' make ',' indosat ' "&amp;", 'already', 'mah', 'cheap', 'fast', 'regret', 'buy', 'quota', 'rb', 'doang', 'kenceng', 'skrg', 'lemoth', ' exceed ',' forest ',' inland ',' ']")</f>
        <v>['Give', 'Star', 'expensive', 'Network', 'Season', 'Njir', 'Look', 'Task', 'Google', 'Lemotny', 'Forgiveness',' Damn ',' replace ',' Telkomsel ',' network ',' fast ',' add ',' slow ',' tadiny ',' rich ',' gini ',' mending ',' tetep ',' make ',' indosat ' , 'already', 'mah', 'cheap', 'fast', 'regret', 'buy', 'quota', 'rb', 'doang', 'kenceng', 'skrg', 'lemoth', ' exceed ',' forest ',' inland ',' ']</v>
      </c>
      <c r="D2868" s="3">
        <v>1.0</v>
      </c>
    </row>
    <row r="2869" ht="15.75" customHeight="1">
      <c r="A2869" s="1">
        <v>2867.0</v>
      </c>
      <c r="B2869" s="3" t="s">
        <v>2869</v>
      </c>
      <c r="C2869" s="3" t="str">
        <f>IFERROR(__xludf.DUMMYFUNCTION("GOOGLETRANSLATE(B2869,""id"",""en"")"),"['Love', 'Bintang', 'Disappointed', 'Credit', 'Buy', 'Minutes', 'Abis', 'Use', 'TPI', 'Thank', 'Love']")</f>
        <v>['Love', 'Bintang', 'Disappointed', 'Credit', 'Buy', 'Minutes', 'Abis', 'Use', 'TPI', 'Thank', 'Love']</v>
      </c>
      <c r="D2869" s="3">
        <v>1.0</v>
      </c>
    </row>
    <row r="2870" ht="15.75" customHeight="1">
      <c r="A2870" s="1">
        <v>2868.0</v>
      </c>
      <c r="B2870" s="3" t="s">
        <v>2870</v>
      </c>
      <c r="C2870" s="3" t="str">
        <f>IFERROR(__xludf.DUMMYFUNCTION("GOOGLETRANSLATE(B2870,""id"",""en"")"),"['Disappointed', 'KPADA', 'Telkomsel', 'Network', 'APL', 'MyTelkomsel', 'Related', 'Method', 'Purchase', 'Package', 'Quota', 'Expensive', ' already ',' styles', 'tolerant', 'pieces',' price ',' purchase ',' users', 'Telkomsel', 'Tens',' million ',' people"&amp;" ',' sangt ',' unfortunate ' , 'platform', 'main', 'stingy', 'please', 'noticed', 'maslh', 'check', 'APL', 'MyTelkomsel', 'active', 'Please', 'conduct', ' Tang ',' ']")</f>
        <v>['Disappointed', 'KPADA', 'Telkomsel', 'Network', 'APL', 'MyTelkomsel', 'Related', 'Method', 'Purchase', 'Package', 'Quota', 'Expensive', ' already ',' styles', 'tolerant', 'pieces',' price ',' purchase ',' users', 'Telkomsel', 'Tens',' million ',' people ',' sangt ',' unfortunate ' , 'platform', 'main', 'stingy', 'please', 'noticed', 'maslh', 'check', 'APL', 'MyTelkomsel', 'active', 'Please', 'conduct', ' Tang ',' ']</v>
      </c>
      <c r="D2870" s="3">
        <v>2.0</v>
      </c>
    </row>
    <row r="2871" ht="15.75" customHeight="1">
      <c r="A2871" s="1">
        <v>2869.0</v>
      </c>
      <c r="B2871" s="3" t="s">
        <v>2871</v>
      </c>
      <c r="C2871" s="3" t="str">
        <f>IFERROR(__xludf.DUMMYFUNCTION("GOOGLETRANSLATE(B2871,""id"",""en"")"),"['set', 'ugly', 'really', 'network', 'Telkomsel', 'good', 'just', 'zoom', 'doang', 'dipake', 'nge', 'game', ' really ugly']")</f>
        <v>['set', 'ugly', 'really', 'network', 'Telkomsel', 'good', 'just', 'zoom', 'doang', 'dipake', 'nge', 'game', ' really ugly']</v>
      </c>
      <c r="D2871" s="3">
        <v>1.0</v>
      </c>
    </row>
    <row r="2872" ht="15.75" customHeight="1">
      <c r="A2872" s="1">
        <v>2870.0</v>
      </c>
      <c r="B2872" s="3" t="s">
        <v>2872</v>
      </c>
      <c r="C2872" s="3" t="str">
        <f>IFERROR(__xludf.DUMMYFUNCTION("GOOGLETRANSLATE(B2872,""id"",""en"")"),"['Telkomsel', 'right', 'buy', 'package', 'quota', 'network', 'slow', 'believer', 'package', 'run out', 'network', 'normal']")</f>
        <v>['Telkomsel', 'right', 'buy', 'package', 'quota', 'network', 'slow', 'believer', 'package', 'run out', 'network', 'normal']</v>
      </c>
      <c r="D2872" s="3">
        <v>2.0</v>
      </c>
    </row>
    <row r="2873" ht="15.75" customHeight="1">
      <c r="A2873" s="1">
        <v>2871.0</v>
      </c>
      <c r="B2873" s="3" t="s">
        <v>2873</v>
      </c>
      <c r="C2873" s="3" t="str">
        <f>IFERROR(__xludf.DUMMYFUNCTION("GOOGLETRANSLATE(B2873,""id"",""en"")"),"['please', 'Telkomsel', 'wanted', 'Telkomsel', 'number', 'expensive', 'quota', 'cheap', 'wallet', 'crew', 'cry', 'please' Yakan ',' naturally ',' GTU ',' price ',' I think ',' that way ',' doang ',' bcotankan ',' review ',' thank ',' uwoe ',' ']")</f>
        <v>['please', 'Telkomsel', 'wanted', 'Telkomsel', 'number', 'expensive', 'quota', 'cheap', 'wallet', 'crew', 'cry', 'please' Yakan ',' naturally ',' GTU ',' price ',' I think ',' that way ',' doang ',' bcotankan ',' review ',' thank ',' uwoe ',' ']</v>
      </c>
      <c r="D2873" s="3">
        <v>1.0</v>
      </c>
    </row>
    <row r="2874" ht="15.75" customHeight="1">
      <c r="A2874" s="1">
        <v>2872.0</v>
      </c>
      <c r="B2874" s="3" t="s">
        <v>2874</v>
      </c>
      <c r="C2874" s="3" t="str">
        <f>IFERROR(__xludf.DUMMYFUNCTION("GOOGLETRANSLATE(B2874,""id"",""en"")"),"['Severe', 'really', 'application', 'slow', 'really', 'heavy', 'then', 'app', 'respond', 'korin', 'update', 'already', ' Ngmong ']")</f>
        <v>['Severe', 'really', 'application', 'slow', 'really', 'heavy', 'then', 'app', 'respond', 'korin', 'update', 'already', ' Ngmong ']</v>
      </c>
      <c r="D2874" s="3">
        <v>1.0</v>
      </c>
    </row>
    <row r="2875" ht="15.75" customHeight="1">
      <c r="A2875" s="1">
        <v>2873.0</v>
      </c>
      <c r="B2875" s="3" t="s">
        <v>2875</v>
      </c>
      <c r="C2875" s="3" t="str">
        <f>IFERROR(__xludf.DUMMYFUNCTION("GOOGLETRANSLATE(B2875,""id"",""en"")"),"['application', 'ama', 'provider', 'look for', 'money', 'doang', 'expensive', 'bkin', 'ksel', 'skrng', 'expensive', 'network', ' slow ',' komplittt ']")</f>
        <v>['application', 'ama', 'provider', 'look for', 'money', 'doang', 'expensive', 'bkin', 'ksel', 'skrng', 'expensive', 'network', ' slow ',' komplittt ']</v>
      </c>
      <c r="D2875" s="3">
        <v>1.0</v>
      </c>
    </row>
    <row r="2876" ht="15.75" customHeight="1">
      <c r="A2876" s="1">
        <v>2874.0</v>
      </c>
      <c r="B2876" s="3" t="s">
        <v>2876</v>
      </c>
      <c r="C2876" s="3" t="str">
        <f>IFERROR(__xludf.DUMMYFUNCTION("GOOGLETRANSLATE(B2876,""id"",""en"")"),"['company', 'provider', 'cellular', 'thief', 'pulse', 'customer', 'actually', '']")</f>
        <v>['company', 'provider', 'cellular', 'thief', 'pulse', 'customer', 'actually', '']</v>
      </c>
      <c r="D2876" s="3">
        <v>1.0</v>
      </c>
    </row>
    <row r="2877" ht="15.75" customHeight="1">
      <c r="A2877" s="1">
        <v>2875.0</v>
      </c>
      <c r="B2877" s="3" t="s">
        <v>2877</v>
      </c>
      <c r="C2877" s="3" t="str">
        <f>IFERROR(__xludf.DUMMYFUNCTION("GOOGLETRANSLATE(B2877,""id"",""en"")"),"['Package', 'special', 'corporate', 'signal', 'smooth', 'use', 'package', 'smooth', 'stay', 'office', 'telkom', 'yes' Package ',' Corporate ',' Region ',' Kah ',' Signal ',' Light ',' ']")</f>
        <v>['Package', 'special', 'corporate', 'signal', 'smooth', 'use', 'package', 'smooth', 'stay', 'office', 'telkom', 'yes' Package ',' Corporate ',' Region ',' Kah ',' Signal ',' Light ',' ']</v>
      </c>
      <c r="D2877" s="3">
        <v>1.0</v>
      </c>
    </row>
    <row r="2878" ht="15.75" customHeight="1">
      <c r="A2878" s="1">
        <v>2876.0</v>
      </c>
      <c r="B2878" s="3" t="s">
        <v>2878</v>
      </c>
      <c r="C2878" s="3" t="str">
        <f>IFERROR(__xludf.DUMMYFUNCTION("GOOGLETRANSLATE(B2878,""id"",""en"")"),"['price', 'expensive', 'signal', 'update', 'Telkomsel', 'Login', 'MLBB', 'strong', 'signal', 'Hadeh']")</f>
        <v>['price', 'expensive', 'signal', 'update', 'Telkomsel', 'Login', 'MLBB', 'strong', 'signal', 'Hadeh']</v>
      </c>
      <c r="D2878" s="3">
        <v>2.0</v>
      </c>
    </row>
    <row r="2879" ht="15.75" customHeight="1">
      <c r="A2879" s="1">
        <v>2877.0</v>
      </c>
      <c r="B2879" s="3" t="s">
        <v>2879</v>
      </c>
      <c r="C2879" s="3" t="str">
        <f>IFERROR(__xludf.DUMMYFUNCTION("GOOGLETRANSLATE(B2879,""id"",""en"")"),"['Read', 'column', 'comment', 'pupuslah', 'hope', 'star', 'reduced', 'TPI', 'complaints',' customers', 'loyal', 'Telkomsel', ' Disappointed ',' bad ',' rates', 'network', 'proof', 'Telkomsel', 'thinking', 'profit', '']")</f>
        <v>['Read', 'column', 'comment', 'pupuslah', 'hope', 'star', 'reduced', 'TPI', 'complaints',' customers', 'loyal', 'Telkomsel', ' Disappointed ',' bad ',' rates', 'network', 'proof', 'Telkomsel', 'thinking', 'profit', '']</v>
      </c>
      <c r="D2879" s="3">
        <v>1.0</v>
      </c>
    </row>
    <row r="2880" ht="15.75" customHeight="1">
      <c r="A2880" s="1">
        <v>2878.0</v>
      </c>
      <c r="B2880" s="3" t="s">
        <v>2880</v>
      </c>
      <c r="C2880" s="3" t="str">
        <f>IFERROR(__xludf.DUMMYFUNCTION("GOOGLETRANSLATE(B2880,""id"",""en"")"),"['Gara', 'Gara', 'Network', 'bad', 'loss',' thank ',' Severe ',' network ',' please ',' repair ',' network ',' user ',' Harm ']")</f>
        <v>['Gara', 'Gara', 'Network', 'bad', 'loss',' thank ',' Severe ',' network ',' please ',' repair ',' network ',' user ',' Harm ']</v>
      </c>
      <c r="D2880" s="3">
        <v>1.0</v>
      </c>
    </row>
    <row r="2881" ht="15.75" customHeight="1">
      <c r="A2881" s="1">
        <v>2879.0</v>
      </c>
      <c r="B2881" s="3" t="s">
        <v>2881</v>
      </c>
      <c r="C2881" s="3" t="str">
        <f>IFERROR(__xludf.DUMMYFUNCTION("GOOGLETRANSLATE(B2881,""id"",""en"")"),"['Application', 'rotten', 'UDH', 'update', 'msh', 'intact', 'login', 'typing', 'difficult', 'type', 'number', 'price', ' Paketan ',' Doang ',' expensive ',' TPI ',' quality ',' cheap ',' ']")</f>
        <v>['Application', 'rotten', 'UDH', 'update', 'msh', 'intact', 'login', 'typing', 'difficult', 'type', 'number', 'price', ' Paketan ',' Doang ',' expensive ',' TPI ',' quality ',' cheap ',' ']</v>
      </c>
      <c r="D2881" s="3">
        <v>1.0</v>
      </c>
    </row>
    <row r="2882" ht="15.75" customHeight="1">
      <c r="A2882" s="1">
        <v>2880.0</v>
      </c>
      <c r="B2882" s="3" t="s">
        <v>2882</v>
      </c>
      <c r="C2882" s="3" t="str">
        <f>IFERROR(__xludf.DUMMYFUNCTION("GOOGLETRANSLATE(B2882,""id"",""en"")"),"['Sorry', 'quality', 'network', 'price', 'expensive', '']")</f>
        <v>['Sorry', 'quality', 'network', 'price', 'expensive', '']</v>
      </c>
      <c r="D2882" s="3">
        <v>1.0</v>
      </c>
    </row>
    <row r="2883" ht="15.75" customHeight="1">
      <c r="A2883" s="1">
        <v>2881.0</v>
      </c>
      <c r="B2883" s="3" t="s">
        <v>2883</v>
      </c>
      <c r="C2883" s="3" t="str">
        <f>IFERROR(__xludf.DUMMYFUNCTION("GOOGLETRANSLATE(B2883,""id"",""en"")"),"['update', 'Telkomsel', 'then', 'Sya', 'install', 'kmbali', 'download', 'tetep', 'trusss',' sya ',' bli ',' pketan ',' Nyaa ',' gimnaaaa ',' thisiiii ',' buy ',' GB ',' skrg ',' gmn ',' siiih ',' telkomsel ',' ']")</f>
        <v>['update', 'Telkomsel', 'then', 'Sya', 'install', 'kmbali', 'download', 'tetep', 'trusss',' sya ',' bli ',' pketan ',' Nyaa ',' gimnaaaa ',' thisiiii ',' buy ',' GB ',' skrg ',' gmn ',' siiih ',' telkomsel ',' ']</v>
      </c>
      <c r="D2883" s="3">
        <v>1.0</v>
      </c>
    </row>
    <row r="2884" ht="15.75" customHeight="1">
      <c r="A2884" s="1">
        <v>2882.0</v>
      </c>
      <c r="B2884" s="3" t="s">
        <v>2884</v>
      </c>
      <c r="C2884" s="3" t="str">
        <f>IFERROR(__xludf.DUMMYFUNCTION("GOOGLETRANSLATE(B2884,""id"",""en"")"),"['hadeeeeh', 'UDH', 'update', 'difficult', 'open', 'please', 'min', 'update', 'easy', 'open', 'knp', 'skrng', ' difficult', '']")</f>
        <v>['hadeeeeh', 'UDH', 'update', 'difficult', 'open', 'please', 'min', 'update', 'easy', 'open', 'knp', 'skrng', ' difficult', '']</v>
      </c>
      <c r="D2884" s="3">
        <v>2.0</v>
      </c>
    </row>
    <row r="2885" ht="15.75" customHeight="1">
      <c r="A2885" s="1">
        <v>2883.0</v>
      </c>
      <c r="B2885" s="3" t="s">
        <v>2885</v>
      </c>
      <c r="C2885" s="3" t="str">
        <f>IFERROR(__xludf.DUMMYFUNCTION("GOOGLETRANSLATE(B2885,""id"",""en"")"),"['signal', 'slow', 'right', 'UDH', 'buy', 'quota', 'for', 'rb', 'signal', 'ilang', 'until', 'signal', ' Talikin ',' Money ',' Gue ',' Cave ',' Review ',' Card ',' Indosat ',' Ngertiii ',' Indosat ',' Cheap ',' Sousal ',' Good ',' Kyak ' , 'Telkomsel', 're"&amp;"verse', 'money', 'gua']")</f>
        <v>['signal', 'slow', 'right', 'UDH', 'buy', 'quota', 'for', 'rb', 'signal', 'ilang', 'until', 'signal', ' Talikin ',' Money ',' Gue ',' Cave ',' Review ',' Card ',' Indosat ',' Ngertiii ',' Indosat ',' Cheap ',' Sousal ',' Good ',' Kyak ' , 'Telkomsel', 'reverse', 'money', 'gua']</v>
      </c>
      <c r="D2885" s="3">
        <v>1.0</v>
      </c>
    </row>
    <row r="2886" ht="15.75" customHeight="1">
      <c r="A2886" s="1">
        <v>2884.0</v>
      </c>
      <c r="B2886" s="3" t="s">
        <v>2886</v>
      </c>
      <c r="C2886" s="3" t="str">
        <f>IFERROR(__xludf.DUMMYFUNCTION("GOOGLETRANSLATE(B2886,""id"",""en"")"),"['swear', 'Telkomsel', 'crazy', 'udh', 'signalny', 'ugly', 'slow', 'forgiveness',' package ',' maybe ',' expensive ',' maybe ',' crazy ',' already ',' bner ',' corruption ',' org ',' dlm ']")</f>
        <v>['swear', 'Telkomsel', 'crazy', 'udh', 'signalny', 'ugly', 'slow', 'forgiveness',' package ',' maybe ',' expensive ',' maybe ',' crazy ',' already ',' bner ',' corruption ',' org ',' dlm ']</v>
      </c>
      <c r="D2886" s="3">
        <v>1.0</v>
      </c>
    </row>
    <row r="2887" ht="15.75" customHeight="1">
      <c r="A2887" s="1">
        <v>2885.0</v>
      </c>
      <c r="B2887" s="3" t="s">
        <v>2887</v>
      </c>
      <c r="C2887" s="3" t="str">
        <f>IFERROR(__xludf.DUMMYFUNCTION("GOOGLETRANSLATE(B2887,""id"",""en"")"),"['Please', 'sorry', 'Telkomsel', 'yaa', 'quota', 'expensive', 'signal', 'plump', 'bgtt', 'right', 'rain', 'alternating', ' ',' plane ',' Telkomsel ',' signal ',' tasty ',' gini ',' honest ',' disappointed ',' really ', ""]")</f>
        <v>['Please', 'sorry', 'Telkomsel', 'yaa', 'quota', 'expensive', 'signal', 'plump', 'bgtt', 'right', 'rain', 'alternating', ' ',' plane ',' Telkomsel ',' signal ',' tasty ',' gini ',' honest ',' disappointed ',' really ', "]</v>
      </c>
      <c r="D2887" s="3">
        <v>1.0</v>
      </c>
    </row>
    <row r="2888" ht="15.75" customHeight="1">
      <c r="A2888" s="1">
        <v>2886.0</v>
      </c>
      <c r="B2888" s="3" t="s">
        <v>2888</v>
      </c>
      <c r="C2888" s="3" t="str">
        <f>IFERROR(__xludf.DUMMYFUNCTION("GOOGLETRANSLATE(B2888,""id"",""en"")"),"['Oyyy', 'cave', 'buy', 'package', 'regret', 'cave', 'buy', 'pulse', 'ehh', 'package', 'buy', 'code', ' dial ',' please ',' Telkomsel ',' please ',' fix ',' really ',' disappointed ']")</f>
        <v>['Oyyy', 'cave', 'buy', 'package', 'regret', 'cave', 'buy', 'pulse', 'ehh', 'package', 'buy', 'code', ' dial ',' please ',' Telkomsel ',' please ',' fix ',' really ',' disappointed ']</v>
      </c>
      <c r="D2888" s="3">
        <v>1.0</v>
      </c>
    </row>
    <row r="2889" ht="15.75" customHeight="1">
      <c r="A2889" s="1">
        <v>2887.0</v>
      </c>
      <c r="B2889" s="3" t="s">
        <v>2889</v>
      </c>
      <c r="C2889" s="3" t="str">
        <f>IFERROR(__xludf.DUMMYFUNCTION("GOOGLETRANSLATE(B2889,""id"",""en"")"),"['package', 'ngilank', 'already', 'mah', 'pulse', 'ngilan', 'contents',' pulse ',' then ',' ilang ',' then ',' fill ',' ilang ',' pulse ',' how ',' mean ',' ']")</f>
        <v>['package', 'ngilank', 'already', 'mah', 'pulse', 'ngilan', 'contents',' pulse ',' then ',' ilang ',' then ',' fill ',' ilang ',' pulse ',' how ',' mean ',' ']</v>
      </c>
      <c r="D2889" s="3">
        <v>1.0</v>
      </c>
    </row>
    <row r="2890" ht="15.75" customHeight="1">
      <c r="A2890" s="1">
        <v>2888.0</v>
      </c>
      <c r="B2890" s="3" t="s">
        <v>2890</v>
      </c>
      <c r="C2890" s="3" t="str">
        <f>IFERROR(__xludf.DUMMYFUNCTION("GOOGLETRANSLATE(B2890,""id"",""en"")"),"['loyal', 'use', 'Telkomsel', 'Telkomsel', 'secondly', 'convenience', 'communicating']")</f>
        <v>['loyal', 'use', 'Telkomsel', 'Telkomsel', 'secondly', 'convenience', 'communicating']</v>
      </c>
      <c r="D2890" s="3">
        <v>5.0</v>
      </c>
    </row>
    <row r="2891" ht="15.75" customHeight="1">
      <c r="A2891" s="1">
        <v>2889.0</v>
      </c>
      <c r="B2891" s="3" t="s">
        <v>2891</v>
      </c>
      <c r="C2891" s="3" t="str">
        <f>IFERROR(__xludf.DUMMYFUNCTION("GOOGLETRANSLATE(B2891,""id"",""en"")"),"['Forced', 'down', 'star', 'already', 'expensive', 'division', 'quota', 'watch', 'lazy', 'pakenya', ""]")</f>
        <v>['Forced', 'down', 'star', 'already', 'expensive', 'division', 'quota', 'watch', 'lazy', 'pakenya', "]</v>
      </c>
      <c r="D2891" s="3">
        <v>1.0</v>
      </c>
    </row>
    <row r="2892" ht="15.75" customHeight="1">
      <c r="A2892" s="1">
        <v>2890.0</v>
      </c>
      <c r="B2892" s="3" t="s">
        <v>2892</v>
      </c>
      <c r="C2892" s="3" t="str">
        <f>IFERROR(__xludf.DUMMYFUNCTION("GOOGLETRANSLATE(B2892,""id"",""en"")"),"['Network', 'good', 'ngak', 'good', 'kayak', 'please', 'fix', 'network', 'gan', '']")</f>
        <v>['Network', 'good', 'ngak', 'good', 'kayak', 'please', 'fix', 'network', 'gan', '']</v>
      </c>
      <c r="D2892" s="3">
        <v>3.0</v>
      </c>
    </row>
    <row r="2893" ht="15.75" customHeight="1">
      <c r="A2893" s="1">
        <v>2891.0</v>
      </c>
      <c r="B2893" s="3" t="s">
        <v>2893</v>
      </c>
      <c r="C2893" s="3" t="str">
        <f>IFERROR(__xludf.DUMMYFUNCTION("GOOGLETRANSLATE(B2893,""id"",""en"")"),"['WeeII', 'Telkom', 'Please', 'Benerin', 'Signal', 'Village', 'Kedungjati', 'Kab', 'Purbalingga', 'Signal', 'Really', 'Play', ' Game ',' Direct ',' Lost ',' Aduhhhh ',' Benerin ',' Ahh ',' Price ',' Signal ']")</f>
        <v>['WeeII', 'Telkom', 'Please', 'Benerin', 'Signal', 'Village', 'Kedungjati', 'Kab', 'Purbalingga', 'Signal', 'Really', 'Play', ' Game ',' Direct ',' Lost ',' Aduhhhh ',' Benerin ',' Ahh ',' Price ',' Signal ']</v>
      </c>
      <c r="D2893" s="3">
        <v>1.0</v>
      </c>
    </row>
    <row r="2894" ht="15.75" customHeight="1">
      <c r="A2894" s="1">
        <v>2892.0</v>
      </c>
      <c r="B2894" s="3" t="s">
        <v>2894</v>
      </c>
      <c r="C2894" s="3" t="str">
        <f>IFERROR(__xludf.DUMMYFUNCTION("GOOGLETRANSLATE(B2894,""id"",""en"")"),"['Woy', 'Network', 'UDH', 'Price', 'Nge', 'Cannabis',' Network ',' Good ',' Watch ',' Sometimes', 'Lola', 'Live', ' disconnected ',' Make ',' Telkomtod ',' Nambahin ',' Sin ',' Mulu ',' his work ',' garbage ']")</f>
        <v>['Woy', 'Network', 'UDH', 'Price', 'Nge', 'Cannabis',' Network ',' Good ',' Watch ',' Sometimes', 'Lola', 'Live', ' disconnected ',' Make ',' Telkomtod ',' Nambahin ',' Sin ',' Mulu ',' his work ',' garbage ']</v>
      </c>
      <c r="D2894" s="3">
        <v>1.0</v>
      </c>
    </row>
    <row r="2895" ht="15.75" customHeight="1">
      <c r="A2895" s="1">
        <v>2893.0</v>
      </c>
      <c r="B2895" s="3" t="s">
        <v>2895</v>
      </c>
      <c r="C2895" s="3" t="str">
        <f>IFERROR(__xludf.DUMMYFUNCTION("GOOGLETRANSLATE(B2895,""id"",""en"")"),"['Price', 'package', 'skyrocket', 'signal', 'Ancurrr', 'Severe', 'Severe', ""]")</f>
        <v>['Price', 'package', 'skyrocket', 'signal', 'Ancurrr', 'Severe', 'Severe', "]</v>
      </c>
      <c r="D2895" s="3">
        <v>1.0</v>
      </c>
    </row>
    <row r="2896" ht="15.75" customHeight="1">
      <c r="A2896" s="1">
        <v>2894.0</v>
      </c>
      <c r="B2896" s="3" t="s">
        <v>2896</v>
      </c>
      <c r="C2896" s="3" t="str">
        <f>IFERROR(__xludf.DUMMYFUNCTION("GOOGLETRANSLATE(B2896,""id"",""en"")"),"['UDH', 'price', 'expensive', 'signal', 'quality', 'slogan', 'price', 'quality', 'play', 'lag', 'lag']")</f>
        <v>['UDH', 'price', 'expensive', 'signal', 'quality', 'slogan', 'price', 'quality', 'play', 'lag', 'lag']</v>
      </c>
      <c r="D2896" s="3">
        <v>1.0</v>
      </c>
    </row>
    <row r="2897" ht="15.75" customHeight="1">
      <c r="A2897" s="1">
        <v>2895.0</v>
      </c>
      <c r="B2897" s="3" t="s">
        <v>2897</v>
      </c>
      <c r="C2897" s="3" t="str">
        <f>IFERROR(__xludf.DUMMYFUNCTION("GOOGLETRANSLATE(B2897,""id"",""en"")"),"['price', 'package', 'expensive', 'network', 'according to', 'price', 'slow', 'Telkomsel', 'Telkomsel', 'astagfirullah']")</f>
        <v>['price', 'package', 'expensive', 'network', 'according to', 'price', 'slow', 'Telkomsel', 'Telkomsel', 'astagfirullah']</v>
      </c>
      <c r="D2897" s="3">
        <v>1.0</v>
      </c>
    </row>
    <row r="2898" ht="15.75" customHeight="1">
      <c r="A2898" s="1">
        <v>2896.0</v>
      </c>
      <c r="B2898" s="3" t="s">
        <v>2898</v>
      </c>
      <c r="C2898" s="3" t="str">
        <f>IFERROR(__xludf.DUMMYFUNCTION("GOOGLETRANSLATE(B2898,""id"",""en"")"),"['no', 'quality', 'Network', 'Indosat', 'Program', 'Disappointed', 'Telkomsel', 'Delete', 'Sell', 'Ad', ""]")</f>
        <v>['no', 'quality', 'Network', 'Indosat', 'Program', 'Disappointed', 'Telkomsel', 'Delete', 'Sell', 'Ad', "]</v>
      </c>
      <c r="D2898" s="3">
        <v>1.0</v>
      </c>
    </row>
    <row r="2899" ht="15.75" customHeight="1">
      <c r="A2899" s="1">
        <v>2897.0</v>
      </c>
      <c r="B2899" s="3" t="s">
        <v>2899</v>
      </c>
      <c r="C2899" s="3" t="str">
        <f>IFERROR(__xludf.DUMMYFUNCTION("GOOGLETRANSLATE(B2899,""id"",""en"")"),"['Sometimes', 'quota', 'contents', 'used', 'first', 'active', 'compared to', 'quota', 'active', 'stay', 'for a moment', ""]")</f>
        <v>['Sometimes', 'quota', 'contents', 'used', 'first', 'active', 'compared to', 'quota', 'active', 'stay', 'for a moment', "]</v>
      </c>
      <c r="D2899" s="3">
        <v>4.0</v>
      </c>
    </row>
    <row r="2900" ht="15.75" customHeight="1">
      <c r="A2900" s="1">
        <v>2898.0</v>
      </c>
      <c r="B2900" s="3" t="s">
        <v>2900</v>
      </c>
      <c r="C2900" s="3" t="str">
        <f>IFERROR(__xludf.DUMMYFUNCTION("GOOGLETRANSLATE(B2900,""id"",""en"")"),"['pretentious',' package ',' unlimited ',' masi ',' use ',' fup ',' btw ',' speed ',' kbps', 'ajawkwkwk', 'network', 'package', ' Masi ',' Limit ',' Fup ',' Mantap ',' ']")</f>
        <v>['pretentious',' package ',' unlimited ',' masi ',' use ',' fup ',' btw ',' speed ',' kbps', 'ajawkwkwk', 'network', 'package', ' Masi ',' Limit ',' Fup ',' Mantap ',' ']</v>
      </c>
      <c r="D2900" s="3">
        <v>1.0</v>
      </c>
    </row>
    <row r="2901" ht="15.75" customHeight="1">
      <c r="A2901" s="1">
        <v>2899.0</v>
      </c>
      <c r="B2901" s="3" t="s">
        <v>2901</v>
      </c>
      <c r="C2901" s="3" t="str">
        <f>IFERROR(__xludf.DUMMYFUNCTION("GOOGLETRANSLATE(B2901,""id"",""en"")"),"['Telkomsel', 'price', 'package', 'internet', 'expensive', 'expensive', 'fill', 'pulses',' thousand ',' get ',' buy ',' package ',' Gigamax ',' and then ',' quota ',' internet ',' Giga ',' Please ',' Package ',' Combo ',' Sakti ',' Cheap ',' Price ', ""]")</f>
        <v>['Telkomsel', 'price', 'package', 'internet', 'expensive', 'expensive', 'fill', 'pulses',' thousand ',' get ',' buy ',' package ',' Gigamax ',' and then ',' quota ',' internet ',' Giga ',' Please ',' Package ',' Combo ',' Sakti ',' Cheap ',' Price ', "]</v>
      </c>
      <c r="D2901" s="3">
        <v>1.0</v>
      </c>
    </row>
    <row r="2902" ht="15.75" customHeight="1">
      <c r="A2902" s="1">
        <v>2900.0</v>
      </c>
      <c r="B2902" s="3" t="s">
        <v>2902</v>
      </c>
      <c r="C2902" s="3" t="str">
        <f>IFERROR(__xludf.DUMMYFUNCTION("GOOGLETRANSLATE(B2902,""id"",""en"")"),"['Disappointed', 'Network', 'Talkomsel', 'Region', 'Good']")</f>
        <v>['Disappointed', 'Network', 'Talkomsel', 'Region', 'Good']</v>
      </c>
      <c r="D2902" s="3">
        <v>2.0</v>
      </c>
    </row>
    <row r="2903" ht="15.75" customHeight="1">
      <c r="A2903" s="1">
        <v>2901.0</v>
      </c>
      <c r="B2903" s="3" t="s">
        <v>2903</v>
      </c>
      <c r="C2903" s="3" t="str">
        <f>IFERROR(__xludf.DUMMYFUNCTION("GOOGLETRANSLATE(B2903,""id"",""en"")"),"['Since', 'lot', 'Makai', 'Telkomsel', 'soaring', 'HRGA', 'Package', 'Internet', 'Credit', 'Perdan', 'Package', 'Internet', ' Skrng ',' divided ',' ']")</f>
        <v>['Since', 'lot', 'Makai', 'Telkomsel', 'soaring', 'HRGA', 'Package', 'Internet', 'Credit', 'Perdan', 'Package', 'Internet', ' Skrng ',' divided ',' ']</v>
      </c>
      <c r="D2903" s="3">
        <v>1.0</v>
      </c>
    </row>
    <row r="2904" ht="15.75" customHeight="1">
      <c r="A2904" s="1">
        <v>2902.0</v>
      </c>
      <c r="B2904" s="3" t="s">
        <v>2904</v>
      </c>
      <c r="C2904" s="3" t="str">
        <f>IFERROR(__xludf.DUMMYFUNCTION("GOOGLETRANSLATE(B2904,""id"",""en"")"),"['Disappointed', 'Heavy', 'Points', 'Tuker', 'Nga', 'HRS', 'Wait', 'Scorched', 'Eliminate', 'Application', 'Min']")</f>
        <v>['Disappointed', 'Heavy', 'Points', 'Tuker', 'Nga', 'HRS', 'Wait', 'Scorched', 'Eliminate', 'Application', 'Min']</v>
      </c>
      <c r="D2904" s="3">
        <v>1.0</v>
      </c>
    </row>
    <row r="2905" ht="15.75" customHeight="1">
      <c r="A2905" s="1">
        <v>2903.0</v>
      </c>
      <c r="B2905" s="3" t="s">
        <v>2905</v>
      </c>
      <c r="C2905" s="3" t="str">
        <f>IFERROR(__xludf.DUMMYFUNCTION("GOOGLETRANSLATE(B2905,""id"",""en"")"),"['Please', 'Network', 'MyTelkomsel', 'Fix', 'Enter', 'MyTelkomsel', 'Kog', 'out', 'appears',' Try ',' Rich ',' Gini ',' Please, 'Hospital', 'complaints', 'Thanks', 'Success', 'MyTelkomsel', '']")</f>
        <v>['Please', 'Network', 'MyTelkomsel', 'Fix', 'Enter', 'MyTelkomsel', 'Kog', 'out', 'appears',' Try ',' Rich ',' Gini ',' Please, 'Hospital', 'complaints', 'Thanks', 'Success', 'MyTelkomsel', '']</v>
      </c>
      <c r="D2905" s="3">
        <v>3.0</v>
      </c>
    </row>
    <row r="2906" ht="15.75" customHeight="1">
      <c r="A2906" s="1">
        <v>2904.0</v>
      </c>
      <c r="B2906" s="3" t="s">
        <v>2906</v>
      </c>
      <c r="C2906" s="3" t="str">
        <f>IFERROR(__xludf.DUMMYFUNCTION("GOOGLETRANSLATE(B2906,""id"",""en"")"),"['Star', 'cave', 'love', 'star', 'price', 'package', 'expensive', 'network', 'kyk', 'think', 'you', 'woi', ' Pay ',' expensive ',' Cman ',' Waiting ',' Your Signal ',' ilang ',' Embossed ',' Doang ',' Anjim ', ""]")</f>
        <v>['Star', 'cave', 'love', 'star', 'price', 'package', 'expensive', 'network', 'kyk', 'think', 'you', 'woi', ' Pay ',' expensive ',' Cman ',' Waiting ',' Your Signal ',' ilang ',' Embossed ',' Doang ',' Anjim ', "]</v>
      </c>
      <c r="D2906" s="3">
        <v>1.0</v>
      </c>
    </row>
    <row r="2907" ht="15.75" customHeight="1">
      <c r="A2907" s="1">
        <v>2905.0</v>
      </c>
      <c r="B2907" s="3" t="s">
        <v>2907</v>
      </c>
      <c r="C2907" s="3" t="str">
        <f>IFERROR(__xludf.DUMMYFUNCTION("GOOGLETRANSLATE(B2907,""id"",""en"")"),"['signal', 'good', 'really', 'like', 'boong', 'ngeleg', 'ora', 'sung', 'edan']")</f>
        <v>['signal', 'good', 'really', 'like', 'boong', 'ngeleg', 'ora', 'sung', 'edan']</v>
      </c>
      <c r="D2907" s="3">
        <v>1.0</v>
      </c>
    </row>
    <row r="2908" ht="15.75" customHeight="1">
      <c r="A2908" s="1">
        <v>2906.0</v>
      </c>
      <c r="B2908" s="3" t="s">
        <v>2908</v>
      </c>
      <c r="C2908" s="3" t="str">
        <f>IFERROR(__xludf.DUMMYFUNCTION("GOOGLETRANSLATE(B2908,""id"",""en"")"),"['Help', 'quota', 'study', 'helped', 'government', 'Indonesia', 'leader', 'Indonesia', 'care', 'education', 'child', 'school' ']")</f>
        <v>['Help', 'quota', 'study', 'helped', 'government', 'Indonesia', 'leader', 'Indonesia', 'care', 'education', 'child', 'school' ']</v>
      </c>
      <c r="D2908" s="3">
        <v>5.0</v>
      </c>
    </row>
    <row r="2909" ht="15.75" customHeight="1">
      <c r="A2909" s="1">
        <v>2907.0</v>
      </c>
      <c r="B2909" s="3" t="s">
        <v>2909</v>
      </c>
      <c r="C2909" s="3" t="str">
        <f>IFERROR(__xludf.DUMMYFUNCTION("GOOGLETRANSLATE(B2909,""id"",""en"")"),"['Telkomsel', 'gausah', 'ngayal', 'ugly', 'rain', 'direct', 'down', 'think', 'signal', 'good']")</f>
        <v>['Telkomsel', 'gausah', 'ngayal', 'ugly', 'rain', 'direct', 'down', 'think', 'signal', 'good']</v>
      </c>
      <c r="D2909" s="3">
        <v>1.0</v>
      </c>
    </row>
    <row r="2910" ht="15.75" customHeight="1">
      <c r="A2910" s="1">
        <v>2908.0</v>
      </c>
      <c r="B2910" s="3" t="s">
        <v>2910</v>
      </c>
      <c r="C2910" s="3" t="str">
        <f>IFERROR(__xludf.DUMMYFUNCTION("GOOGLETRANSLATE(B2910,""id"",""en"")"),"['example', 'child', 'signal', 'lag', 'then', 'quota', 'expensive', 'comed', 'rich', 'gini', 'told', 'contact', ' Twitter ',' brain ',' Where ',' Mind ',' Rich ',' Child ', ""]")</f>
        <v>['example', 'child', 'signal', 'lag', 'then', 'quota', 'expensive', 'comed', 'rich', 'gini', 'told', 'contact', ' Twitter ',' brain ',' Where ',' Mind ',' Rich ',' Child ', "]</v>
      </c>
      <c r="D2910" s="3">
        <v>1.0</v>
      </c>
    </row>
    <row r="2911" ht="15.75" customHeight="1">
      <c r="A2911" s="1">
        <v>2909.0</v>
      </c>
      <c r="B2911" s="3" t="s">
        <v>2911</v>
      </c>
      <c r="C2911" s="3" t="str">
        <f>IFERROR(__xludf.DUMMYFUNCTION("GOOGLETRANSLATE(B2911,""id"",""en"")"),"['Report', 'Tweet', 'Tetep', 'Network', 'Stable', 'Play', 'Game', 'Leet', 'Disappointed', 'Quota', 'already', 'expensive', ' network ',' bad ',' dahlah ',' replace ',' network ']")</f>
        <v>['Report', 'Tweet', 'Tetep', 'Network', 'Stable', 'Play', 'Game', 'Leet', 'Disappointed', 'Quota', 'already', 'expensive', ' network ',' bad ',' dahlah ',' replace ',' network ']</v>
      </c>
      <c r="D2911" s="3">
        <v>1.0</v>
      </c>
    </row>
    <row r="2912" ht="15.75" customHeight="1">
      <c r="A2912" s="1">
        <v>2910.0</v>
      </c>
      <c r="B2912" s="3" t="s">
        <v>2912</v>
      </c>
      <c r="C2912" s="3" t="str">
        <f>IFERROR(__xludf.DUMMYFUNCTION("GOOGLETRANSLATE(B2912,""id"",""en"")"),"['Sorry', 'really', 'umpteenth', 'time', 'pulse', 'sucked', 'package', 'internet', 'ngk', 'understand', 'led', 'Telkomsel', ' users', 'Telkomsel', 'rich', 'robbed', 'buy', 'package', 'malal', 'ehh', 'pulse', 'sucked', 'thin', 'solution', 'what' , '']")</f>
        <v>['Sorry', 'really', 'umpteenth', 'time', 'pulse', 'sucked', 'package', 'internet', 'ngk', 'understand', 'led', 'Telkomsel', ' users', 'Telkomsel', 'rich', 'robbed', 'buy', 'package', 'malal', 'ehh', 'pulse', 'sucked', 'thin', 'solution', 'what' , '']</v>
      </c>
      <c r="D2912" s="3">
        <v>1.0</v>
      </c>
    </row>
    <row r="2913" ht="15.75" customHeight="1">
      <c r="A2913" s="1">
        <v>2911.0</v>
      </c>
      <c r="B2913" s="3" t="s">
        <v>2913</v>
      </c>
      <c r="C2913" s="3" t="str">
        <f>IFERROR(__xludf.DUMMYFUNCTION("GOOGLETRANSLATE(B2913,""id"",""en"")"),"['easy', 'hopefully', 'Telkomsel', 'just', 'hope', 'DALLAM', 'Giving', 'Fromo', 'gift', ""]")</f>
        <v>['easy', 'hopefully', 'Telkomsel', 'just', 'hope', 'DALLAM', 'Giving', 'Fromo', 'gift', "]</v>
      </c>
      <c r="D2913" s="3">
        <v>5.0</v>
      </c>
    </row>
    <row r="2914" ht="15.75" customHeight="1">
      <c r="A2914" s="1">
        <v>2912.0</v>
      </c>
      <c r="B2914" s="3" t="s">
        <v>2914</v>
      </c>
      <c r="C2914" s="3" t="str">
        <f>IFERROR(__xludf.DUMMYFUNCTION("GOOGLETRANSLATE(B2914,""id"",""en"")"),"['expensive', 'user', 'loyal', 'price', 'package', 'special', 'poor']")</f>
        <v>['expensive', 'user', 'loyal', 'price', 'package', 'special', 'poor']</v>
      </c>
      <c r="D2914" s="3">
        <v>1.0</v>
      </c>
    </row>
    <row r="2915" ht="15.75" customHeight="1">
      <c r="A2915" s="1">
        <v>2913.0</v>
      </c>
      <c r="B2915" s="3" t="s">
        <v>2915</v>
      </c>
      <c r="C2915" s="3" t="str">
        <f>IFERROR(__xludf.DUMMYFUNCTION("GOOGLETRANSLATE(B2915,""id"",""en"")"),"['Top', 'price', 'package', 'combo', 'saktinya', 'collapsed', 'price', 'skrg', 'udh', 'rb', 'gb', '']")</f>
        <v>['Top', 'price', 'package', 'combo', 'saktinya', 'collapsed', 'price', 'skrg', 'udh', 'rb', 'gb', '']</v>
      </c>
      <c r="D2915" s="3">
        <v>4.0</v>
      </c>
    </row>
    <row r="2916" ht="15.75" customHeight="1">
      <c r="A2916" s="1">
        <v>2914.0</v>
      </c>
      <c r="B2916" s="3" t="s">
        <v>2916</v>
      </c>
      <c r="C2916" s="3" t="str">
        <f>IFERROR(__xludf.DUMMYFUNCTION("GOOGLETRANSLATE(B2916,""id"",""en"")"),"['slow', 'Network', 'HP', 'restart', 'height', 'responkyan', 'package', 'network', 'kayak', 'Kura', 'Kura', ""]")</f>
        <v>['slow', 'Network', 'HP', 'restart', 'height', 'responkyan', 'package', 'network', 'kayak', 'Kura', 'Kura', "]</v>
      </c>
      <c r="D2916" s="3">
        <v>1.0</v>
      </c>
    </row>
    <row r="2917" ht="15.75" customHeight="1">
      <c r="A2917" s="1">
        <v>2915.0</v>
      </c>
      <c r="B2917" s="3" t="s">
        <v>2917</v>
      </c>
      <c r="C2917" s="3" t="str">
        <f>IFERROR(__xludf.DUMMYFUNCTION("GOOGLETRANSLATE(B2917,""id"",""en"")"),"['The application', 'ugly', 'boong', 'the application', 'good', '']")</f>
        <v>['The application', 'ugly', 'boong', 'the application', 'good', '']</v>
      </c>
      <c r="D2917" s="3">
        <v>5.0</v>
      </c>
    </row>
    <row r="2918" ht="15.75" customHeight="1">
      <c r="A2918" s="1">
        <v>2916.0</v>
      </c>
      <c r="B2918" s="3" t="s">
        <v>2918</v>
      </c>
      <c r="C2918" s="3" t="str">
        <f>IFERROR(__xludf.DUMMYFUNCTION("GOOGLETRANSLATE(B2918,""id"",""en"")"),"['network', 'Telkomsel', 'slow', 'speed', 'maximum', 'internet', 'KB', 'quota', 'network', 'please', 'repair', 'use', ' Telkomsel ',' slow ',' gini ',' area ',' use ',' Telkomsel ',' Gara ',' Gara ',' ']")</f>
        <v>['network', 'Telkomsel', 'slow', 'speed', 'maximum', 'internet', 'KB', 'quota', 'network', 'please', 'repair', 'use', ' Telkomsel ',' slow ',' gini ',' area ',' use ',' Telkomsel ',' Gara ',' Gara ',' ']</v>
      </c>
      <c r="D2918" s="3">
        <v>1.0</v>
      </c>
    </row>
    <row r="2919" ht="15.75" customHeight="1">
      <c r="A2919" s="1">
        <v>2917.0</v>
      </c>
      <c r="B2919" s="3" t="s">
        <v>2919</v>
      </c>
      <c r="C2919" s="3" t="str">
        <f>IFERROR(__xludf.DUMMYFUNCTION("GOOGLETRANSLATE(B2919,""id"",""en"")"),"['signal', 'full', 'bar', 'full', 'access', 'google', 'open', 'padah', 'good', ""]")</f>
        <v>['signal', 'full', 'bar', 'full', 'access', 'google', 'open', 'padah', 'good', "]</v>
      </c>
      <c r="D2919" s="3">
        <v>1.0</v>
      </c>
    </row>
    <row r="2920" ht="15.75" customHeight="1">
      <c r="A2920" s="1">
        <v>2918.0</v>
      </c>
      <c r="B2920" s="3" t="s">
        <v>2920</v>
      </c>
      <c r="C2920" s="3" t="str">
        <f>IFERROR(__xludf.DUMMYFUNCTION("GOOGLETRANSLATE(B2920,""id"",""en"")"),"['Network', 'Good', 'Price', 'Package', 'Internet', 'Expensive', 'Discount', 'Price', 'Package', 'Customer', 'Satisfied', ""]")</f>
        <v>['Network', 'Good', 'Price', 'Package', 'Internet', 'Expensive', 'Discount', 'Price', 'Package', 'Customer', 'Satisfied', "]</v>
      </c>
      <c r="D2920" s="3">
        <v>4.0</v>
      </c>
    </row>
    <row r="2921" ht="15.75" customHeight="1">
      <c r="A2921" s="1">
        <v>2919.0</v>
      </c>
      <c r="B2921" s="3" t="s">
        <v>2921</v>
      </c>
      <c r="C2921" s="3" t="str">
        <f>IFERROR(__xludf.DUMMYFUNCTION("GOOGLETRANSLATE(B2921,""id"",""en"")"),"['rotten', 'change', 'prime', 'already', 'pakek', 'Telkomsel', 'good', 'troublesome', ""]")</f>
        <v>['rotten', 'change', 'prime', 'already', 'pakek', 'Telkomsel', 'good', 'troublesome', "]</v>
      </c>
      <c r="D2921" s="3">
        <v>1.0</v>
      </c>
    </row>
    <row r="2922" ht="15.75" customHeight="1">
      <c r="A2922" s="1">
        <v>2920.0</v>
      </c>
      <c r="B2922" s="3" t="s">
        <v>2922</v>
      </c>
      <c r="C2922" s="3" t="str">
        <f>IFERROR(__xludf.DUMMYFUNCTION("GOOGLETRANSLATE(B2922,""id"",""en"")"),"['', 'Telkomsel', 'open', 'Telkomsel', 'difficult', 'forgiveness',' download ',' reset ',' cleaned ',' his cellphone ',' research ',' his cellphone ',' it's hard ',' NOT ',' LGI ',' HRS ',' GMN ',' open ',' fast ',' Telkomsel ',' LGI ', ""]")</f>
        <v>['', 'Telkomsel', 'open', 'Telkomsel', 'difficult', 'forgiveness',' download ',' reset ',' cleaned ',' his cellphone ',' research ',' his cellphone ',' it's hard ',' NOT ',' LGI ',' HRS ',' GMN ',' open ',' fast ',' Telkomsel ',' LGI ', "]</v>
      </c>
      <c r="D2922" s="3">
        <v>1.0</v>
      </c>
    </row>
    <row r="2923" ht="15.75" customHeight="1">
      <c r="A2923" s="1">
        <v>2921.0</v>
      </c>
      <c r="B2923" s="3" t="s">
        <v>2923</v>
      </c>
      <c r="C2923" s="3" t="str">
        <f>IFERROR(__xludf.DUMMYFUNCTION("GOOGLETRANSLATE(B2923,""id"",""en"")"),"['Network', 'good', 'package', 'hope', 'pull', 'tanoa', 'hope', 'price', 'package', 'cheap']")</f>
        <v>['Network', 'good', 'package', 'hope', 'pull', 'tanoa', 'hope', 'price', 'package', 'cheap']</v>
      </c>
      <c r="D2923" s="3">
        <v>5.0</v>
      </c>
    </row>
    <row r="2924" ht="15.75" customHeight="1">
      <c r="A2924" s="1">
        <v>2922.0</v>
      </c>
      <c r="B2924" s="3" t="s">
        <v>2924</v>
      </c>
      <c r="C2924" s="3" t="str">
        <f>IFERROR(__xludf.DUMMYFUNCTION("GOOGLETRANSLATE(B2924,""id"",""en"")"),"['activation', 'package', 'apply', 'active', 'Telkomsel', 'Uda', 'awaited', 'process', 'please', 'repair']")</f>
        <v>['activation', 'package', 'apply', 'active', 'Telkomsel', 'Uda', 'awaited', 'process', 'please', 'repair']</v>
      </c>
      <c r="D2924" s="3">
        <v>5.0</v>
      </c>
    </row>
    <row r="2925" ht="15.75" customHeight="1">
      <c r="A2925" s="1">
        <v>2923.0</v>
      </c>
      <c r="B2925" s="3" t="s">
        <v>2925</v>
      </c>
      <c r="C2925" s="3" t="str">
        <f>IFERROR(__xludf.DUMMYFUNCTION("GOOGLETRANSLATE(B2925,""id"",""en"")"),"['rotten', 'network', 'sunshine', 'city', 'network', 'change', 'tetep', 'rotten', 'the network']")</f>
        <v>['rotten', 'network', 'sunshine', 'city', 'network', 'change', 'tetep', 'rotten', 'the network']</v>
      </c>
      <c r="D2925" s="3">
        <v>1.0</v>
      </c>
    </row>
    <row r="2926" ht="15.75" customHeight="1">
      <c r="A2926" s="1">
        <v>2924.0</v>
      </c>
      <c r="B2926" s="3" t="s">
        <v>2926</v>
      </c>
      <c r="C2926" s="3" t="str">
        <f>IFERROR(__xludf.DUMMYFUNCTION("GOOGLETRANSLATE(B2926,""id"",""en"")"),"['expensive', 'Doang', 'Internet', 'Lemottt', 'UDH', 'TLP', 'still', 'Lemotttt', 'poor', 'improvement', 'internet', 'Dongg', ' Still ',' Lemottt ',' Location ',' City ',' Tangerang ', ""]")</f>
        <v>['expensive', 'Doang', 'Internet', 'Lemottt', 'UDH', 'TLP', 'still', 'Lemotttt', 'poor', 'improvement', 'internet', 'Dongg', ' Still ',' Lemottt ',' Location ',' City ',' Tangerang ', "]</v>
      </c>
      <c r="D2926" s="3">
        <v>1.0</v>
      </c>
    </row>
    <row r="2927" ht="15.75" customHeight="1">
      <c r="A2927" s="1">
        <v>2925.0</v>
      </c>
      <c r="B2927" s="3" t="s">
        <v>2927</v>
      </c>
      <c r="C2927" s="3" t="str">
        <f>IFERROR(__xludf.DUMMYFUNCTION("GOOGLETRANSLATE(B2927,""id"",""en"")"),"['Hello', 'Sis',' ask ',' quota ',' multimedia ',' use ',' open ',' YouTube ',' use ',' open ',' YouTube ',' see ',' Comments', 'people', 'access',' open ',' youtube ',' quota ',' multimedia ',' open ',' youtube ',' open ',' application ',' tiktok ',' zoo"&amp;"m ' , 'Not bad', 'slow', 'slow', 'description', 'quota', 'multimedia', 'tiktok', 'zoom', 'knp', 'slow', '']")</f>
        <v>['Hello', 'Sis',' ask ',' quota ',' multimedia ',' use ',' open ',' YouTube ',' use ',' open ',' YouTube ',' see ',' Comments', 'people', 'access',' open ',' youtube ',' quota ',' multimedia ',' open ',' youtube ',' open ',' application ',' tiktok ',' zoom ' , 'Not bad', 'slow', 'slow', 'description', 'quota', 'multimedia', 'tiktok', 'zoom', 'knp', 'slow', '']</v>
      </c>
      <c r="D2927" s="3">
        <v>2.0</v>
      </c>
    </row>
    <row r="2928" ht="15.75" customHeight="1">
      <c r="A2928" s="1">
        <v>2926.0</v>
      </c>
      <c r="B2928" s="3" t="s">
        <v>2928</v>
      </c>
      <c r="C2928" s="3" t="str">
        <f>IFERROR(__xludf.DUMMYFUNCTION("GOOGLETRANSLATE(B2928,""id"",""en"")"),"['Bintang', 'Program', 'related', 'Exchange', 'Points',' Useful ',' That's', 'Points',' Accumulated ',' Ditukana ',' Pulse ',' Package ',' Internet ',' Looks', 'Better', 'Deh', ""]")</f>
        <v>['Bintang', 'Program', 'related', 'Exchange', 'Points',' Useful ',' That's', 'Points',' Accumulated ',' Ditukana ',' Pulse ',' Package ',' Internet ',' Looks', 'Better', 'Deh', "]</v>
      </c>
      <c r="D2928" s="3">
        <v>2.0</v>
      </c>
    </row>
    <row r="2929" ht="15.75" customHeight="1">
      <c r="A2929" s="1">
        <v>2927.0</v>
      </c>
      <c r="B2929" s="3" t="s">
        <v>2929</v>
      </c>
      <c r="C2929" s="3" t="str">
        <f>IFERROR(__xludf.DUMMYFUNCTION("GOOGLETRANSLATE(B2929,""id"",""en"")"),"['package', 'expensive', 'signal', 'down', 'dead', 'lights', 'chaotic', ""]")</f>
        <v>['package', 'expensive', 'signal', 'down', 'dead', 'lights', 'chaotic', "]</v>
      </c>
      <c r="D2929" s="3">
        <v>1.0</v>
      </c>
    </row>
    <row r="2930" ht="15.75" customHeight="1">
      <c r="A2930" s="1">
        <v>2928.0</v>
      </c>
      <c r="B2930" s="3" t="s">
        <v>2930</v>
      </c>
      <c r="C2930" s="3" t="str">
        <f>IFERROR(__xludf.DUMMYFUNCTION("GOOGLETRANSLATE(B2930,""id"",""en"")"),"['knapa', 'buy', 'quota', 'data', 'description', 'process',' udh ',' some ',' times', 'succeed', 'then', 'handle it', ' Tlong ',' pnjelasn ',' ']")</f>
        <v>['knapa', 'buy', 'quota', 'data', 'description', 'process',' udh ',' some ',' times', 'succeed', 'then', 'handle it', ' Tlong ',' pnjelasn ',' ']</v>
      </c>
      <c r="D2930" s="3">
        <v>4.0</v>
      </c>
    </row>
    <row r="2931" ht="15.75" customHeight="1">
      <c r="A2931" s="1">
        <v>2929.0</v>
      </c>
      <c r="B2931" s="3" t="s">
        <v>2931</v>
      </c>
      <c r="C2931" s="3" t="str">
        <f>IFERROR(__xludf.DUMMYFUNCTION("GOOGLETRANSLATE(B2931,""id"",""en"")"),"['Ass',' Please ',' Yesterday ',' Thinking ',' Tandy ',' Bonus', 'Accept', 'Fludification', 'Flimty', 'Register', 'Name', 'Address',' finished ',' understand ',' Wass', 'Telkomsel', 'See', 'GraPARI', 'Filling', 'Package', 'Please', 'Thn', 'Disconnect', 'T"&amp;"elkomsel', 'GraPari' , 'Help', 'Kudur', '']")</f>
        <v>['Ass',' Please ',' Yesterday ',' Thinking ',' Tandy ',' Bonus', 'Accept', 'Fludification', 'Flimty', 'Register', 'Name', 'Address',' finished ',' understand ',' Wass', 'Telkomsel', 'See', 'GraPARI', 'Filling', 'Package', 'Please', 'Thn', 'Disconnect', 'Telkomsel', 'GraPari' , 'Help', 'Kudur', '']</v>
      </c>
      <c r="D2931" s="3">
        <v>4.0</v>
      </c>
    </row>
    <row r="2932" ht="15.75" customHeight="1">
      <c r="A2932" s="1">
        <v>2930.0</v>
      </c>
      <c r="B2932" s="3" t="s">
        <v>2932</v>
      </c>
      <c r="C2932" s="3" t="str">
        <f>IFERROR(__xludf.DUMMYFUNCTION("GOOGLETRANSLATE(B2932,""id"",""en"")"),"['Satisfied', 'Wear', 'Application', 'Telkomsel', 'Application', 'Register', 'Package', 'Save', 'Promotions',' Card ',' Telkomsel ',' Purchase ',' The package is', 'expensive', 'cheap', 'beans',' Agrinocon ',' Application ',' Telkomsel ',' Save ',' GB ','"&amp;" RB ', ""]")</f>
        <v>['Satisfied', 'Wear', 'Application', 'Telkomsel', 'Application', 'Register', 'Package', 'Save', 'Promotions',' Card ',' Telkomsel ',' Purchase ',' The package is', 'expensive', 'cheap', 'beans',' Agrinocon ',' Application ',' Telkomsel ',' Save ',' GB ',' RB ', "]</v>
      </c>
      <c r="D2932" s="3">
        <v>5.0</v>
      </c>
    </row>
    <row r="2933" ht="15.75" customHeight="1">
      <c r="A2933" s="1">
        <v>2931.0</v>
      </c>
      <c r="B2933" s="3" t="s">
        <v>2933</v>
      </c>
      <c r="C2933" s="3" t="str">
        <f>IFERROR(__xludf.DUMMYFUNCTION("GOOGLETRANSLATE(B2933,""id"",""en"")"),"['already', 'non', 'activated', 'hello', 'already', 'punasin', 'slim', 'msh', 'bill', 'ebiling', 'gmn', 'system', ' Suggestion ',' Mending ',' Lo ',' Postpaid ',' Ribet ',' Urus', 'Dipake', 'Dipake', 'Limit', 'zero', 'Mending', 'card', 'Ribet' , 'Money', "&amp;"'buy', 'buy', 'Telkomsel', 'Capruk', 'kocal']")</f>
        <v>['already', 'non', 'activated', 'hello', 'already', 'punasin', 'slim', 'msh', 'bill', 'ebiling', 'gmn', 'system', ' Suggestion ',' Mending ',' Lo ',' Postpaid ',' Ribet ',' Urus', 'Dipake', 'Dipake', 'Limit', 'zero', 'Mending', 'card', 'Ribet' , 'Money', 'buy', 'buy', 'Telkomsel', 'Capruk', 'kocal']</v>
      </c>
      <c r="D2933" s="3">
        <v>1.0</v>
      </c>
    </row>
    <row r="2934" ht="15.75" customHeight="1">
      <c r="A2934" s="1">
        <v>2932.0</v>
      </c>
      <c r="B2934" s="3" t="s">
        <v>2934</v>
      </c>
      <c r="C2934" s="3" t="str">
        <f>IFERROR(__xludf.DUMMYFUNCTION("GOOGLETRANSLATE(B2934,""id"",""en"")"),"['Haii', 'min', 'yaa', 'buy', 'package', 'already', 'many', 'times',' try ',' payment ',' process', 'notif', ' SMS ',' Enter ',' Please ',' Help ',' Min ']")</f>
        <v>['Haii', 'min', 'yaa', 'buy', 'package', 'already', 'many', 'times',' try ',' payment ',' process', 'notif', ' SMS ',' Enter ',' Please ',' Help ',' Min ']</v>
      </c>
      <c r="D2934" s="3">
        <v>1.0</v>
      </c>
    </row>
    <row r="2935" ht="15.75" customHeight="1">
      <c r="A2935" s="1">
        <v>2933.0</v>
      </c>
      <c r="B2935" s="3" t="s">
        <v>2935</v>
      </c>
      <c r="C2935" s="3" t="str">
        <f>IFERROR(__xludf.DUMMYFUNCTION("GOOGLETRANSLATE(B2935,""id"",""en"")"),"['Open', 'Application', 'Use', 'Internet', 'MOTH', 'Credit', 'Rupiah', 'Quota', 'Internet', 'Telkomsel', ""]")</f>
        <v>['Open', 'Application', 'Use', 'Internet', 'MOTH', 'Credit', 'Rupiah', 'Quota', 'Internet', 'Telkomsel', "]</v>
      </c>
      <c r="D2935" s="3">
        <v>1.0</v>
      </c>
    </row>
    <row r="2936" ht="15.75" customHeight="1">
      <c r="A2936" s="1">
        <v>2934.0</v>
      </c>
      <c r="B2936" s="3" t="s">
        <v>2936</v>
      </c>
      <c r="C2936" s="3" t="str">
        <f>IFERROR(__xludf.DUMMYFUNCTION("GOOGLETRANSLATE(B2936,""id"",""en"")"),"['Hello', 'Min', 'Telkomsel', 'Bad', 'Network', 'Moving', 'Provider', 'Min', 'Please', 'Increase', 'Quality', 'The Line', ' ']")</f>
        <v>['Hello', 'Min', 'Telkomsel', 'Bad', 'Network', 'Moving', 'Provider', 'Min', 'Please', 'Increase', 'Quality', 'The Line', ' ']</v>
      </c>
      <c r="D2936" s="3">
        <v>3.0</v>
      </c>
    </row>
    <row r="2937" ht="15.75" customHeight="1">
      <c r="A2937" s="1">
        <v>2935.0</v>
      </c>
      <c r="B2937" s="3" t="s">
        <v>2937</v>
      </c>
      <c r="C2937" s="3" t="str">
        <f>IFERROR(__xludf.DUMMYFUNCTION("GOOGLETRANSLATE(B2937,""id"",""en"")"),"['card', 'expensive', 'Indonesia', 'Hangar', 'Batam', 'Aero', 'Technic', 'Hang', 'Nadim', 'Strong', 'Internet', ""]")</f>
        <v>['card', 'expensive', 'Indonesia', 'Hangar', 'Batam', 'Aero', 'Technic', 'Hang', 'Nadim', 'Strong', 'Internet', "]</v>
      </c>
      <c r="D2937" s="3">
        <v>1.0</v>
      </c>
    </row>
    <row r="2938" ht="15.75" customHeight="1">
      <c r="A2938" s="1">
        <v>2936.0</v>
      </c>
      <c r="B2938" s="3" t="s">
        <v>2938</v>
      </c>
      <c r="C2938" s="3" t="str">
        <f>IFERROR(__xludf.DUMMYFUNCTION("GOOGLETRANSLATE(B2938,""id"",""en"")"),"['Hopefully', 'Org', 'Congratulations', 'Fraud', 'Overcome', 'On behalf of', 'Telkomsel']")</f>
        <v>['Hopefully', 'Org', 'Congratulations', 'Fraud', 'Overcome', 'On behalf of', 'Telkomsel']</v>
      </c>
      <c r="D2938" s="3">
        <v>4.0</v>
      </c>
    </row>
    <row r="2939" ht="15.75" customHeight="1">
      <c r="A2939" s="1">
        <v>2937.0</v>
      </c>
      <c r="B2939" s="3" t="s">
        <v>2939</v>
      </c>
      <c r="C2939" s="3" t="str">
        <f>IFERROR(__xludf.DUMMYFUNCTION("GOOGLETRANSLATE(B2939,""id"",""en"")"),"['see', 'neighbor', 'next door', 'price', 'package', 'internet', 'cheap', 'ciknal', 'please', 'fix', 'package', 'neighbor', ' Next to ',' Color ',' banana ']")</f>
        <v>['see', 'neighbor', 'next door', 'price', 'package', 'internet', 'cheap', 'ciknal', 'please', 'fix', 'package', 'neighbor', ' Next to ',' Color ',' banana ']</v>
      </c>
      <c r="D2939" s="3">
        <v>1.0</v>
      </c>
    </row>
    <row r="2940" ht="15.75" customHeight="1">
      <c r="A2940" s="1">
        <v>2938.0</v>
      </c>
      <c r="B2940" s="3" t="s">
        <v>2940</v>
      </c>
      <c r="C2940" s="3" t="str">
        <f>IFERROR(__xludf.DUMMYFUNCTION("GOOGLETRANSLATE(B2940,""id"",""en"")"),"['likes', 'Telkomsel', 'quota', 'multimedia', 'used', 'darling', 'really', 'GB', 'keuang', 'vain', 'vain']")</f>
        <v>['likes', 'Telkomsel', 'quota', 'multimedia', 'used', 'darling', 'really', 'GB', 'keuang', 'vain', 'vain']</v>
      </c>
      <c r="D2940" s="3">
        <v>4.0</v>
      </c>
    </row>
    <row r="2941" ht="15.75" customHeight="1">
      <c r="A2941" s="1">
        <v>2939.0</v>
      </c>
      <c r="B2941" s="3" t="s">
        <v>2941</v>
      </c>
      <c r="C2941" s="3" t="str">
        <f>IFERROR(__xludf.DUMMYFUNCTION("GOOGLETRANSLATE(B2941,""id"",""en"")"),"['', 'level', 'network', 'good', 'disappointed', 'use', 'Telkomsel', '']")</f>
        <v>['', 'level', 'network', 'good', 'disappointed', 'use', 'Telkomsel', '']</v>
      </c>
      <c r="D2941" s="3">
        <v>5.0</v>
      </c>
    </row>
    <row r="2942" ht="15.75" customHeight="1">
      <c r="A2942" s="1">
        <v>2940.0</v>
      </c>
      <c r="B2942" s="3" t="s">
        <v>2942</v>
      </c>
      <c r="C2942" s="3" t="str">
        <f>IFERROR(__xludf.DUMMYFUNCTION("GOOGLETRANSLATE(B2942,""id"",""en"")"),"['Enter', 'application', 'MyTelkomsel', 'Home', 'essence', 'already', 'enter', ""]")</f>
        <v>['Enter', 'application', 'MyTelkomsel', 'Home', 'essence', 'already', 'enter', "]</v>
      </c>
      <c r="D2942" s="3">
        <v>1.0</v>
      </c>
    </row>
    <row r="2943" ht="15.75" customHeight="1">
      <c r="A2943" s="1">
        <v>2941.0</v>
      </c>
      <c r="B2943" s="3" t="s">
        <v>2943</v>
      </c>
      <c r="C2943" s="3" t="str">
        <f>IFERROR(__xludf.DUMMYFUNCTION("GOOGLETRANSLATE(B2943,""id"",""en"")"),"['Please', 'Sorry', 'Suggestion', 'Telkomsel', 'Quality', 'Network', 'Signal', 'Increase', ""]")</f>
        <v>['Please', 'Sorry', 'Suggestion', 'Telkomsel', 'Quality', 'Network', 'Signal', 'Increase', "]</v>
      </c>
      <c r="D2943" s="3">
        <v>5.0</v>
      </c>
    </row>
    <row r="2944" ht="15.75" customHeight="1">
      <c r="A2944" s="1">
        <v>2942.0</v>
      </c>
      <c r="B2944" s="3" t="s">
        <v>2944</v>
      </c>
      <c r="C2944" s="3" t="str">
        <f>IFERROR(__xludf.DUMMYFUNCTION("GOOGLETRANSLATE(B2944,""id"",""en"")"),"['Feature', 'contents',' package ',' voucher ',' voucher ',' sell ',' fitul ',' application ',' please ',' love ',' karna ',' manual ',' system ',' busy ',' already ',' repeat ']")</f>
        <v>['Feature', 'contents',' package ',' voucher ',' voucher ',' sell ',' fitul ',' application ',' please ',' love ',' karna ',' manual ',' system ',' busy ',' already ',' repeat ']</v>
      </c>
      <c r="D2944" s="3">
        <v>5.0</v>
      </c>
    </row>
    <row r="2945" ht="15.75" customHeight="1">
      <c r="A2945" s="1">
        <v>2943.0</v>
      </c>
      <c r="B2945" s="3" t="s">
        <v>2945</v>
      </c>
      <c r="C2945" s="3" t="str">
        <f>IFERROR(__xludf.DUMMYFUNCTION("GOOGLETRANSLATE(B2945,""id"",""en"")"),"['Application', 'disorder', 'Something', 'Wrong', 'Telkomsel', 'already', 'Telkomnyet', 'cave', 'Telkomsel', 'dilapidated', 'nyut', 'signal', ' ugly ',' the application ',' disorder ',' ']")</f>
        <v>['Application', 'disorder', 'Something', 'Wrong', 'Telkomsel', 'already', 'Telkomnyet', 'cave', 'Telkomsel', 'dilapidated', 'nyut', 'signal', ' ugly ',' the application ',' disorder ',' ']</v>
      </c>
      <c r="D2945" s="3">
        <v>5.0</v>
      </c>
    </row>
    <row r="2946" ht="15.75" customHeight="1">
      <c r="A2946" s="1">
        <v>2944.0</v>
      </c>
      <c r="B2946" s="3" t="s">
        <v>2946</v>
      </c>
      <c r="C2946" s="3" t="str">
        <f>IFERROR(__xludf.DUMMYFUNCTION("GOOGLETRANSLATE(B2946,""id"",""en"")"),"['Please', 'Telkomsel', 'Notice', 'Give', 'Access',' Internet ',' Make ',' Credit ',' Pulse ',' thousand ',' ilang ',' Gara ',' Gara ',' Open ',' Game ',' Kirain ',' Quota ',' Ministry of Education and Culture ',' Game ',' Ahh ',' Love ',' Warning ',' Tak"&amp;"e ']")</f>
        <v>['Please', 'Telkomsel', 'Notice', 'Give', 'Access',' Internet ',' Make ',' Credit ',' Pulse ',' thousand ',' ilang ',' Gara ',' Gara ',' Open ',' Game ',' Kirain ',' Quota ',' Ministry of Education and Culture ',' Game ',' Ahh ',' Love ',' Warning ',' Take ']</v>
      </c>
      <c r="D2946" s="3">
        <v>1.0</v>
      </c>
    </row>
    <row r="2947" ht="15.75" customHeight="1">
      <c r="A2947" s="1">
        <v>2945.0</v>
      </c>
      <c r="B2947" s="3" t="s">
        <v>2947</v>
      </c>
      <c r="C2947" s="3" t="str">
        <f>IFERROR(__xludf.DUMMYFUNCTION("GOOGLETRANSLATE(B2947,""id"",""en"")"),"['Telkomsel', 'reach', 'territory', 'Indonesian', 'tnggalx', 'region', 'remote', 'communicating', 'brother', 'friend', 'family', 'card', ' Telkomsel ',' ']")</f>
        <v>['Telkomsel', 'reach', 'territory', 'Indonesian', 'tnggalx', 'region', 'remote', 'communicating', 'brother', 'friend', 'family', 'card', ' Telkomsel ',' ']</v>
      </c>
      <c r="D2947" s="3">
        <v>4.0</v>
      </c>
    </row>
    <row r="2948" ht="15.75" customHeight="1">
      <c r="A2948" s="1">
        <v>2946.0</v>
      </c>
      <c r="B2948" s="3" t="s">
        <v>2948</v>
      </c>
      <c r="C2948" s="3" t="str">
        <f>IFERROR(__xludf.DUMMYFUNCTION("GOOGLETRANSLATE(B2948,""id"",""en"")"),"['Signal', 'ugly', 'really', 'like', 'ngilank', 'stable', 'detrimental', 'user', 'no', 'change', 'Please', 'sorry', ' Users', 'Telkomsel', 'already', 'here', 'signal', 'ugly', '']")</f>
        <v>['Signal', 'ugly', 'really', 'like', 'ngilank', 'stable', 'detrimental', 'user', 'no', 'change', 'Please', 'sorry', ' Users', 'Telkomsel', 'already', 'here', 'signal', 'ugly', '']</v>
      </c>
      <c r="D2948" s="3">
        <v>1.0</v>
      </c>
    </row>
    <row r="2949" ht="15.75" customHeight="1">
      <c r="A2949" s="1">
        <v>2947.0</v>
      </c>
      <c r="B2949" s="3" t="s">
        <v>2949</v>
      </c>
      <c r="C2949" s="3" t="str">
        <f>IFERROR(__xludf.DUMMYFUNCTION("GOOGLETRANSLATE(B2949,""id"",""en"")"),"['signal', 'Telkomsel', 'operator', 'next door', 'error', 'operator', 'next door', 'ngegame', 'it's good', 'next door', 'logical', 'price', ' The package, 'the difference', 'really', 'forced', 'Males', 'buy', 'Telkomsel', ""]")</f>
        <v>['signal', 'Telkomsel', 'operator', 'next door', 'error', 'operator', 'next door', 'ngegame', 'it's good', 'next door', 'logical', 'price', ' The package, 'the difference', 'really', 'forced', 'Males', 'buy', 'Telkomsel', "]</v>
      </c>
      <c r="D2949" s="3">
        <v>1.0</v>
      </c>
    </row>
    <row r="2950" ht="15.75" customHeight="1">
      <c r="A2950" s="1">
        <v>2948.0</v>
      </c>
      <c r="B2950" s="3" t="s">
        <v>2950</v>
      </c>
      <c r="C2950" s="3" t="str">
        <f>IFERROR(__xludf.DUMMYFUNCTION("GOOGLETRANSLATE(B2950,""id"",""en"")"),"['Please', 'Yesterday', 'buy', 'Kari', 'Telekomsel', 'already', 'quota', 'contents',' credit ',' pulse ',' enter ',' trs', ' balance ',' already ',' dance ',' credit ',' blm ',' entered ',' please ',' help ']")</f>
        <v>['Please', 'Yesterday', 'buy', 'Kari', 'Telekomsel', 'already', 'quota', 'contents',' credit ',' pulse ',' enter ',' trs', ' balance ',' already ',' dance ',' credit ',' blm ',' entered ',' please ',' help ']</v>
      </c>
      <c r="D2950" s="3">
        <v>1.0</v>
      </c>
    </row>
    <row r="2951" ht="15.75" customHeight="1">
      <c r="A2951" s="1">
        <v>2949.0</v>
      </c>
      <c r="B2951" s="3" t="s">
        <v>2951</v>
      </c>
      <c r="C2951" s="3" t="str">
        <f>IFERROR(__xludf.DUMMYFUNCTION("GOOGLETRANSLATE(B2951,""id"",""en"")"),"['UDH', 'updated', 'newest', 'right', 'topup', 'pulse', 'via', 'payment', 'shopeepay', 'msk', 'udh', 'consul', ' Customer ',' serviceny ',' handling ',' complicated ',' processed ',' for days', 'conclusion', 'kapok', 'contents',' reset ',' pulse ',' telko"&amp;"msdl ']")</f>
        <v>['UDH', 'updated', 'newest', 'right', 'topup', 'pulse', 'via', 'payment', 'shopeepay', 'msk', 'udh', 'consul', ' Customer ',' serviceny ',' handling ',' complicated ',' processed ',' for days', 'conclusion', 'kapok', 'contents',' reset ',' pulse ',' telkomsdl ']</v>
      </c>
      <c r="D2951" s="3">
        <v>1.0</v>
      </c>
    </row>
    <row r="2952" ht="15.75" customHeight="1">
      <c r="A2952" s="1">
        <v>2950.0</v>
      </c>
      <c r="B2952" s="3" t="s">
        <v>2952</v>
      </c>
      <c r="C2952" s="3" t="str">
        <f>IFERROR(__xludf.DUMMYFUNCTION("GOOGLETRANSLATE(B2952,""id"",""en"")"),"['Please', 'Telkomsel', 'Price', 'Package', 'Internet', 'Mangkin', 'Expensive', 'Please', 'Lower', 'Pandemic', 'Gini', 'Miss',' Persulit ',' internet ',' please ',' fix ',' online ',' signal ',' lost ',' Please ',' try ',' signal ',' sorry ',' kirikan ','"&amp;" user ' , 'Card', 'Telkomsel', 'Restless']")</f>
        <v>['Please', 'Telkomsel', 'Price', 'Package', 'Internet', 'Mangkin', 'Expensive', 'Please', 'Lower', 'Pandemic', 'Gini', 'Miss',' Persulit ',' internet ',' please ',' fix ',' online ',' signal ',' lost ',' Please ',' try ',' signal ',' sorry ',' kirikan ',' user ' , 'Card', 'Telkomsel', 'Restless']</v>
      </c>
      <c r="D2952" s="3">
        <v>1.0</v>
      </c>
    </row>
    <row r="2953" ht="15.75" customHeight="1">
      <c r="A2953" s="1">
        <v>2951.0</v>
      </c>
      <c r="B2953" s="3" t="s">
        <v>2953</v>
      </c>
      <c r="C2953" s="3" t="str">
        <f>IFERROR(__xludf.DUMMYFUNCTION("GOOGLETRANSLATE(B2953,""id"",""en"")"),"['Daily', 'Click', 'work', 'Sia', 'Sia', 'Click', 'Gift', 'Claim', 'Points', 'Disappear', ""]")</f>
        <v>['Daily', 'Click', 'work', 'Sia', 'Sia', 'Click', 'Gift', 'Claim', 'Points', 'Disappear', "]</v>
      </c>
      <c r="D2953" s="3">
        <v>1.0</v>
      </c>
    </row>
    <row r="2954" ht="15.75" customHeight="1">
      <c r="A2954" s="1">
        <v>2952.0</v>
      </c>
      <c r="B2954" s="3" t="s">
        <v>2954</v>
      </c>
      <c r="C2954" s="3" t="str">
        <f>IFERROR(__xludf.DUMMYFUNCTION("GOOGLETRANSLATE(B2954,""id"",""en"")"),"['min', 'please', 'fix', 'package', 'internet', 'omg', 'buy', 'please', 'fix', 'as soon as possible,' person ',' angry ',' Subscriptions', 'Telkomsel', 'fix', 'okay', 'that way', 'words',' so ',' thank you ', ""]")</f>
        <v>['min', 'please', 'fix', 'package', 'internet', 'omg', 'buy', 'please', 'fix', 'as soon as possible,' person ',' angry ',' Subscriptions', 'Telkomsel', 'fix', 'okay', 'that way', 'words',' so ',' thank you ', "]</v>
      </c>
      <c r="D2954" s="3">
        <v>1.0</v>
      </c>
    </row>
    <row r="2955" ht="15.75" customHeight="1">
      <c r="A2955" s="1">
        <v>2953.0</v>
      </c>
      <c r="B2955" s="3" t="s">
        <v>2955</v>
      </c>
      <c r="C2955" s="3" t="str">
        <f>IFERROR(__xludf.DUMMYFUNCTION("GOOGLETRANSLATE(B2955,""id"",""en"")"),"['Pay', 'Fund', 'Gaada', 'Choice', 'Already', 'Many', 'Kali', 'Kayak', 'Gini', 'Gabisa', 'Lined']")</f>
        <v>['Pay', 'Fund', 'Gaada', 'Choice', 'Already', 'Many', 'Kali', 'Kayak', 'Gini', 'Gabisa', 'Lined']</v>
      </c>
      <c r="D2955" s="3">
        <v>4.0</v>
      </c>
    </row>
    <row r="2956" ht="15.75" customHeight="1">
      <c r="A2956" s="1">
        <v>2954.0</v>
      </c>
      <c r="B2956" s="3" t="s">
        <v>2956</v>
      </c>
      <c r="C2956" s="3" t="str">
        <f>IFERROR(__xludf.DUMMYFUNCTION("GOOGLETRANSLATE(B2956,""id"",""en"")"),"['signal', 'ilang', 'Nilagan', 'play', 'game', 'like', 'mobile', 'Legends', 'lag', 'price', 'expensive']")</f>
        <v>['signal', 'ilang', 'Nilagan', 'play', 'game', 'like', 'mobile', 'Legends', 'lag', 'price', 'expensive']</v>
      </c>
      <c r="D2956" s="3">
        <v>1.0</v>
      </c>
    </row>
    <row r="2957" ht="15.75" customHeight="1">
      <c r="A2957" s="1">
        <v>2955.0</v>
      </c>
      <c r="B2957" s="3" t="s">
        <v>2957</v>
      </c>
      <c r="C2957" s="3" t="str">
        <f>IFERROR(__xludf.DUMMYFUNCTION("GOOGLETRANSLATE(B2957,""id"",""en"")"),"['buy', 'quota', 'failed', 'repeated', 'times', 'gajelas', 'really', 'deh', 'emotion', 'ihhhh', 'replace', 'replace']")</f>
        <v>['buy', 'quota', 'failed', 'repeated', 'times', 'gajelas', 'really', 'deh', 'emotion', 'ihhhh', 'replace', 'replace']</v>
      </c>
      <c r="D2957" s="3">
        <v>1.0</v>
      </c>
    </row>
    <row r="2958" ht="15.75" customHeight="1">
      <c r="A2958" s="1">
        <v>2956.0</v>
      </c>
      <c r="B2958" s="3" t="s">
        <v>2958</v>
      </c>
      <c r="C2958" s="3" t="str">
        <f>IFERROR(__xludf.DUMMYFUNCTION("GOOGLETRANSLATE(B2958,""id"",""en"")"),"['people', 'idiot', 'kasi', 'star', 'skolah', 'barrajar', 'his brain', 'stupid', 'pretentious', ""]")</f>
        <v>['people', 'idiot', 'kasi', 'star', 'skolah', 'barrajar', 'his brain', 'stupid', 'pretentious', "]</v>
      </c>
      <c r="D2958" s="3">
        <v>5.0</v>
      </c>
    </row>
    <row r="2959" ht="15.75" customHeight="1">
      <c r="A2959" s="1">
        <v>2957.0</v>
      </c>
      <c r="B2959" s="3" t="s">
        <v>2959</v>
      </c>
      <c r="C2959" s="3" t="str">
        <f>IFERROR(__xludf.DUMMYFUNCTION("GOOGLETRANSLATE(B2959,""id"",""en"")"),"['Network', 'poor', 'really', 'klau', 'mlam', 'functioning', 'ngelodiang', 'slow', 'lat', 'how', 'Telkomsel', 'wound']")</f>
        <v>['Network', 'poor', 'really', 'klau', 'mlam', 'functioning', 'ngelodiang', 'slow', 'lat', 'how', 'Telkomsel', 'wound']</v>
      </c>
      <c r="D2959" s="3">
        <v>1.0</v>
      </c>
    </row>
    <row r="2960" ht="15.75" customHeight="1">
      <c r="A2960" s="1">
        <v>2958.0</v>
      </c>
      <c r="B2960" s="3" t="s">
        <v>2960</v>
      </c>
      <c r="C2960" s="3" t="str">
        <f>IFERROR(__xludf.DUMMYFUNCTION("GOOGLETRANSLATE(B2960,""id"",""en"")"),"['Telkomsel', 'Telkomsel', 'Save', 'Credit', 'Transaction', 'Content', 'Credit', 'Used', 'TLP', 'Minutes',' Out ',' Please ',' His instructions', 'Mimin', ""]")</f>
        <v>['Telkomsel', 'Telkomsel', 'Save', 'Credit', 'Transaction', 'Content', 'Credit', 'Used', 'TLP', 'Minutes',' Out ',' Please ',' His instructions', 'Mimin', "]</v>
      </c>
      <c r="D2960" s="3">
        <v>1.0</v>
      </c>
    </row>
    <row r="2961" ht="15.75" customHeight="1">
      <c r="A2961" s="1">
        <v>2959.0</v>
      </c>
      <c r="B2961" s="3" t="s">
        <v>2961</v>
      </c>
      <c r="C2961" s="3" t="str">
        <f>IFERROR(__xludf.DUMMYFUNCTION("GOOGLETRANSLATE(B2961,""id"",""en"")"),"['Telkomsel', 'signal', 'slow', 'really', 'annoyed', 'really', 'disappointed', '']")</f>
        <v>['Telkomsel', 'signal', 'slow', 'really', 'annoyed', 'really', 'disappointed', '']</v>
      </c>
      <c r="D2961" s="3">
        <v>4.0</v>
      </c>
    </row>
    <row r="2962" ht="15.75" customHeight="1">
      <c r="A2962" s="1">
        <v>2960.0</v>
      </c>
      <c r="B2962" s="3" t="s">
        <v>2962</v>
      </c>
      <c r="C2962" s="3" t="str">
        <f>IFERROR(__xludf.DUMMYFUNCTION("GOOGLETRANSLATE(B2962,""id"",""en"")"),"['Disappointed', 'really', 'I', 'emng', 'user', 'telkom', 'yrs',' here ',' price ',' expensive ',' connection ',' internet ',' JDI ',' Lemot ',' Severe ']")</f>
        <v>['Disappointed', 'really', 'I', 'emng', 'user', 'telkom', 'yrs',' here ',' price ',' expensive ',' connection ',' internet ',' JDI ',' Lemot ',' Severe ']</v>
      </c>
      <c r="D2962" s="3">
        <v>1.0</v>
      </c>
    </row>
    <row r="2963" ht="15.75" customHeight="1">
      <c r="A2963" s="1">
        <v>2961.0</v>
      </c>
      <c r="B2963" s="3" t="s">
        <v>2963</v>
      </c>
      <c r="C2963" s="3" t="str">
        <f>IFERROR(__xludf.DUMMYFUNCTION("GOOGLETRANSLATE(B2963,""id"",""en"")"),"['Area', 'Makassar', 'Clock', 'Likes', 'Disconnect', 'Routine', 'Bad']")</f>
        <v>['Area', 'Makassar', 'Clock', 'Likes', 'Disconnect', 'Routine', 'Bad']</v>
      </c>
      <c r="D2963" s="3">
        <v>2.0</v>
      </c>
    </row>
    <row r="2964" ht="15.75" customHeight="1">
      <c r="A2964" s="1">
        <v>2962.0</v>
      </c>
      <c r="B2964" s="3" t="s">
        <v>2964</v>
      </c>
      <c r="C2964" s="3" t="str">
        <f>IFERROR(__xludf.DUMMYFUNCTION("GOOGLETRANSLATE(B2964,""id"",""en"")"),"['update', 'the latest', 'the application', 'stable', 'steady', 'deh', 'user', 'interface', 'light', 'eyes',' thumb ',' Telkomsel ',' Hopefully ',' In the future ',' innovate ',' Unite ',' Indonesia ',' Extra ',' Plis', 'Love', 'DarkMode', 'get', 'Flashba"&amp;"ng', 'right', 'open' , 'application']")</f>
        <v>['update', 'the latest', 'the application', 'stable', 'steady', 'deh', 'user', 'interface', 'light', 'eyes',' thumb ',' Telkomsel ',' Hopefully ',' In the future ',' innovate ',' Unite ',' Indonesia ',' Extra ',' Plis', 'Love', 'DarkMode', 'get', 'Flashbang', 'right', 'open' , 'application']</v>
      </c>
      <c r="D2964" s="3">
        <v>4.0</v>
      </c>
    </row>
    <row r="2965" ht="15.75" customHeight="1">
      <c r="A2965" s="1">
        <v>2963.0</v>
      </c>
      <c r="B2965" s="3" t="s">
        <v>2965</v>
      </c>
      <c r="C2965" s="3" t="str">
        <f>IFERROR(__xludf.DUMMYFUNCTION("GOOGLETRANSLATE(B2965,""id"",""en"")"),"['user', 'loyal', 'use', 'disappointed', 'package', 'multi', 'media', 'use', 'open', 'anything', 'quota', 'main', ' use ',' buy ',' expensive ',' wasted ',' Mang ',' use ',' use ',' Embed ',' bonus', 'quota', 'multi', 'media', 'just' , 'Tool', 'Tipu', '']")</f>
        <v>['user', 'loyal', 'use', 'disappointed', 'package', 'multi', 'media', 'use', 'open', 'anything', 'quota', 'main', ' use ',' buy ',' expensive ',' wasted ',' Mang ',' use ',' use ',' Embed ',' bonus', 'quota', 'multi', 'media', 'just' , 'Tool', 'Tipu', '']</v>
      </c>
      <c r="D2965" s="3">
        <v>1.0</v>
      </c>
    </row>
    <row r="2966" ht="15.75" customHeight="1">
      <c r="A2966" s="1">
        <v>2964.0</v>
      </c>
      <c r="B2966" s="3" t="s">
        <v>2966</v>
      </c>
      <c r="C2966" s="3" t="str">
        <f>IFERROR(__xludf.DUMMYFUNCTION("GOOGLETRANSLATE(B2966,""id"",""en"")"),"['difficult', 'customer', 'service', 'Veronika', 'function', 'offer', 'products',' expensive ',' quota ',' multimedia ',' function ',' whataaaaaa ',' Please, 'admin', 'ugly', 'Telkomsel', 'bnyak', 'promo', 'kgk', 'use', 'try', 'promo', 'no', 'use']")</f>
        <v>['difficult', 'customer', 'service', 'Veronika', 'function', 'offer', 'products',' expensive ',' quota ',' multimedia ',' function ',' whataaaaaa ',' Please, 'admin', 'ugly', 'Telkomsel', 'bnyak', 'promo', 'kgk', 'use', 'try', 'promo', 'no', 'use']</v>
      </c>
      <c r="D2966" s="3">
        <v>1.0</v>
      </c>
    </row>
    <row r="2967" ht="15.75" customHeight="1">
      <c r="A2967" s="1">
        <v>2965.0</v>
      </c>
      <c r="B2967" s="3" t="s">
        <v>2967</v>
      </c>
      <c r="C2967" s="3" t="str">
        <f>IFERROR(__xludf.DUMMYFUNCTION("GOOGLETRANSLATE(B2967,""id"",""en"")"),"['renewal', 'just', 'given', 'lock', 'data', 'buy', 'package', 'data', 'Telkomsel', 'already', 'pulses',' directly ',' Abis', 'please', 'love', 'lock', 'data', 'rich', 'application', 'axis',' donk ',' calm ',' buy ',' package ',' data ' , 'Ngabil', 'pulse"&amp;"', 'direct']")</f>
        <v>['renewal', 'just', 'given', 'lock', 'data', 'buy', 'package', 'data', 'Telkomsel', 'already', 'pulses',' directly ',' Abis', 'please', 'love', 'lock', 'data', 'rich', 'application', 'axis',' donk ',' calm ',' buy ',' package ',' data ' , 'Ngabil', 'pulse', 'direct']</v>
      </c>
      <c r="D2967" s="3">
        <v>1.0</v>
      </c>
    </row>
    <row r="2968" ht="15.75" customHeight="1">
      <c r="A2968" s="1">
        <v>2966.0</v>
      </c>
      <c r="B2968" s="3" t="s">
        <v>2968</v>
      </c>
      <c r="C2968" s="3" t="str">
        <f>IFERROR(__xludf.DUMMYFUNCTION("GOOGLETRANSLATE(B2968,""id"",""en"")"),"['claims',' bonus', 'quota', 'pulse', 'sucked', 'bonus',' quota ',' really ',' poor ',' check ',' expensive ',' slow ',' The network is', '']")</f>
        <v>['claims',' bonus', 'quota', 'pulse', 'sucked', 'bonus',' quota ',' really ',' poor ',' check ',' expensive ',' slow ',' The network is', '']</v>
      </c>
      <c r="D2968" s="3">
        <v>1.0</v>
      </c>
    </row>
    <row r="2969" ht="15.75" customHeight="1">
      <c r="A2969" s="1">
        <v>2967.0</v>
      </c>
      <c r="B2969" s="3" t="s">
        <v>2969</v>
      </c>
      <c r="C2969" s="3" t="str">
        <f>IFERROR(__xludf.DUMMYFUNCTION("GOOGLETRANSLATE(B2969,""id"",""en"")"),"['Bad', 'Network', 'Internet', 'Disconnect', 'Severe', 'Network', 'Dubarin', 'Service', 'Bad', 'Disband', 'Telkomsel', 'Loss',' user ',' expensive ',' doank ',' quality ',' bad ']")</f>
        <v>['Bad', 'Network', 'Internet', 'Disconnect', 'Severe', 'Network', 'Dubarin', 'Service', 'Bad', 'Disband', 'Telkomsel', 'Loss',' user ',' expensive ',' doank ',' quality ',' bad ']</v>
      </c>
      <c r="D2969" s="3">
        <v>1.0</v>
      </c>
    </row>
    <row r="2970" ht="15.75" customHeight="1">
      <c r="A2970" s="1">
        <v>2968.0</v>
      </c>
      <c r="B2970" s="3" t="s">
        <v>2970</v>
      </c>
      <c r="C2970" s="3" t="str">
        <f>IFERROR(__xludf.DUMMYFUNCTION("GOOGLETRANSLATE(B2970,""id"",""en"")"),"['Log', 'enter', 'numbers', 'typed', 'appears', 'button', 'number']")</f>
        <v>['Log', 'enter', 'numbers', 'typed', 'appears', 'button', 'number']</v>
      </c>
      <c r="D2970" s="3">
        <v>1.0</v>
      </c>
    </row>
    <row r="2971" ht="15.75" customHeight="1">
      <c r="A2971" s="1">
        <v>2969.0</v>
      </c>
      <c r="B2971" s="3" t="s">
        <v>2971</v>
      </c>
      <c r="C2971" s="3" t="str">
        <f>IFERROR(__xludf.DUMMYFUNCTION("GOOGLETRANSLATE(B2971,""id"",""en"")"),"['signal', 'full', 'steady', 'friend', 'keep', 'tsel', 'emang', 'steady', 'business', 'signal']")</f>
        <v>['signal', 'full', 'steady', 'friend', 'keep', 'tsel', 'emang', 'steady', 'business', 'signal']</v>
      </c>
      <c r="D2971" s="3">
        <v>5.0</v>
      </c>
    </row>
    <row r="2972" ht="15.75" customHeight="1">
      <c r="A2972" s="1">
        <v>2970.0</v>
      </c>
      <c r="B2972" s="3" t="s">
        <v>2972</v>
      </c>
      <c r="C2972" s="3" t="str">
        <f>IFERROR(__xludf.DUMMYFUNCTION("GOOGLETRANSLATE(B2972,""id"",""en"")"),"['', 'Region', 'Kecamatan', 'Dente', 'Teladas',' County ',' Bone ',' Onion ',' Province ',' Lampung ',' Signal ',' Number ',' Lost ',' Slalu ',' buy ',' package ',' expensive ',' ']")</f>
        <v>['', 'Region', 'Kecamatan', 'Dente', 'Teladas',' County ',' Bone ',' Onion ',' Province ',' Lampung ',' Signal ',' Number ',' Lost ',' Slalu ',' buy ',' package ',' expensive ',' ']</v>
      </c>
      <c r="D2972" s="3">
        <v>2.0</v>
      </c>
    </row>
    <row r="2973" ht="15.75" customHeight="1">
      <c r="A2973" s="1">
        <v>2971.0</v>
      </c>
      <c r="B2973" s="3" t="s">
        <v>2973</v>
      </c>
      <c r="C2973" s="3" t="str">
        <f>IFERROR(__xludf.DUMMYFUNCTION("GOOGLETRANSLATE(B2973,""id"",""en"")"),"['Network', 'Severe', 'Lagging', 'UDH', 'Rich', 'Customer', 'Already', 'Looked', 'Kayak', 'Gini', 'Mending', 'Move', ' Providers', 'Becus',' Concerned ',' Satisfaction ',' Customer ',' Provider ',' Top ',' Products', 'Expensive', 'Quality', 'Network', '']")</f>
        <v>['Network', 'Severe', 'Lagging', 'UDH', 'Rich', 'Customer', 'Already', 'Looked', 'Kayak', 'Gini', 'Mending', 'Move', ' Providers', 'Becus',' Concerned ',' Satisfaction ',' Customer ',' Provider ',' Top ',' Products', 'Expensive', 'Quality', 'Network', '']</v>
      </c>
      <c r="D2973" s="3">
        <v>1.0</v>
      </c>
    </row>
    <row r="2974" ht="15.75" customHeight="1">
      <c r="A2974" s="1">
        <v>2972.0</v>
      </c>
      <c r="B2974" s="3" t="s">
        <v>2974</v>
      </c>
      <c r="C2974" s="3" t="str">
        <f>IFERROR(__xludf.DUMMYFUNCTION("GOOGLETRANSLATE(B2974,""id"",""en"")"),"['Telkomsel', 'disorder', 'already', 'cool', 'already', 'kayak', 'card', 'garbage', 'already', 'MLS', 'card', 'Telkomsel', ' Please, 'Office', 'Center', 'Telkomsel', 'Benerin', 'Network', 'Telkomsel', 'Number', 'Sorry', 'Rough']")</f>
        <v>['Telkomsel', 'disorder', 'already', 'cool', 'already', 'kayak', 'card', 'garbage', 'already', 'MLS', 'card', 'Telkomsel', ' Please, 'Office', 'Center', 'Telkomsel', 'Benerin', 'Network', 'Telkomsel', 'Number', 'Sorry', 'Rough']</v>
      </c>
      <c r="D2974" s="3">
        <v>1.0</v>
      </c>
    </row>
    <row r="2975" ht="15.75" customHeight="1">
      <c r="A2975" s="1">
        <v>2973.0</v>
      </c>
      <c r="B2975" s="3" t="s">
        <v>2975</v>
      </c>
      <c r="C2975" s="3" t="str">
        <f>IFERROR(__xludf.DUMMYFUNCTION("GOOGLETRANSLATE(B2975,""id"",""en"")"),"['Network', 'Inyrnet', 'Rich', 'Taik', 'Location', 'Kumai', 'Kalimantan', 'Please', 'Enhanced', 'Quality', 'Internet', 'Disappointed']")</f>
        <v>['Network', 'Inyrnet', 'Rich', 'Taik', 'Location', 'Kumai', 'Kalimantan', 'Please', 'Enhanced', 'Quality', 'Internet', 'Disappointed']</v>
      </c>
      <c r="D2975" s="3">
        <v>1.0</v>
      </c>
    </row>
    <row r="2976" ht="15.75" customHeight="1">
      <c r="A2976" s="1">
        <v>2974.0</v>
      </c>
      <c r="B2976" s="3" t="s">
        <v>2976</v>
      </c>
      <c r="C2976" s="3" t="str">
        <f>IFERROR(__xludf.DUMMYFUNCTION("GOOGLETRANSLATE(B2976,""id"",""en"")"),"['Telkomsel', 'complicated', 'moved', 'prepaid', 'stop', 'subscription', 'number', 'scorched', 'solution', 'user', 'policy', 'according to' Profit ',' package ',' expensive ',' please ',' Telkomsel ',' rules', 'enter', 'sense', ""]")</f>
        <v>['Telkomsel', 'complicated', 'moved', 'prepaid', 'stop', 'subscription', 'number', 'scorched', 'solution', 'user', 'policy', 'according to' Profit ',' package ',' expensive ',' please ',' Telkomsel ',' rules', 'enter', 'sense', "]</v>
      </c>
      <c r="D2976" s="3">
        <v>1.0</v>
      </c>
    </row>
    <row r="2977" ht="15.75" customHeight="1">
      <c r="A2977" s="1">
        <v>2975.0</v>
      </c>
      <c r="B2977" s="3" t="s">
        <v>2977</v>
      </c>
      <c r="C2977" s="3" t="str">
        <f>IFERROR(__xludf.DUMMYFUNCTION("GOOGLETRANSLATE(B2977,""id"",""en"")"),"['Package', 'Claim', 'Daily', 'Checkin', 'Filled', 'Please', 'Fix']")</f>
        <v>['Package', 'Claim', 'Daily', 'Checkin', 'Filled', 'Please', 'Fix']</v>
      </c>
      <c r="D2977" s="3">
        <v>5.0</v>
      </c>
    </row>
    <row r="2978" ht="15.75" customHeight="1">
      <c r="A2978" s="1">
        <v>2976.0</v>
      </c>
      <c r="B2978" s="3" t="s">
        <v>2978</v>
      </c>
      <c r="C2978" s="3" t="str">
        <f>IFERROR(__xludf.DUMMYFUNCTION("GOOGLETRANSLATE(B2978,""id"",""en"")"),"['Quality', 'bad', 'already', 'package', 'here', 'expensive', 'stinher', 'signal', 'quality', 'edge', 'udh', 'try', ' Many ',' times', 'Telfon', 'oprator', 'The reason', 'improve', 'network', 'Mulu', 'normally', 'please', 'fix', 'normal', 'fees' , 'Doang'"&amp;", 'expensive', '']")</f>
        <v>['Quality', 'bad', 'already', 'package', 'here', 'expensive', 'stinher', 'signal', 'quality', 'edge', 'udh', 'try', ' Many ',' times', 'Telfon', 'oprator', 'The reason', 'improve', 'network', 'Mulu', 'normally', 'please', 'fix', 'normal', 'fees' , 'Doang', 'expensive', '']</v>
      </c>
      <c r="D2978" s="3">
        <v>1.0</v>
      </c>
    </row>
    <row r="2979" ht="15.75" customHeight="1">
      <c r="A2979" s="1">
        <v>2977.0</v>
      </c>
      <c r="B2979" s="3" t="s">
        <v>2979</v>
      </c>
      <c r="C2979" s="3" t="str">
        <f>IFERROR(__xludf.DUMMYFUNCTION("GOOGLETRANSLATE(B2979,""id"",""en"")"),"['heavy', 'light', 'donk', 'load', 'page', 'gabisa', '']")</f>
        <v>['heavy', 'light', 'donk', 'load', 'page', 'gabisa', '']</v>
      </c>
      <c r="D2979" s="3">
        <v>3.0</v>
      </c>
    </row>
    <row r="2980" ht="15.75" customHeight="1">
      <c r="A2980" s="1">
        <v>2978.0</v>
      </c>
      <c r="B2980" s="3" t="s">
        <v>2980</v>
      </c>
      <c r="C2980" s="3" t="str">
        <f>IFERROR(__xludf.DUMMYFUNCTION("GOOGLETRANSLATE(B2980,""id"",""en"")"),"['Sya', 'likes', 'Telkomsel', 'cheap', 'network', 'driver', 'ojol', 'use', 'Telkomsel']")</f>
        <v>['Sya', 'likes', 'Telkomsel', 'cheap', 'network', 'driver', 'ojol', 'use', 'Telkomsel']</v>
      </c>
      <c r="D2980" s="3">
        <v>5.0</v>
      </c>
    </row>
    <row r="2981" ht="15.75" customHeight="1">
      <c r="A2981" s="1">
        <v>2979.0</v>
      </c>
      <c r="B2981" s="3" t="s">
        <v>2981</v>
      </c>
      <c r="C2981" s="3" t="str">
        <f>IFERROR(__xludf.DUMMYFUNCTION("GOOGLETRANSLATE(B2981,""id"",""en"")"),"['Change', 'provider', 'wife', 'leave', 'sympathy', 'network', 'emotion', 'mulu']")</f>
        <v>['Change', 'provider', 'wife', 'leave', 'sympathy', 'network', 'emotion', 'mulu']</v>
      </c>
      <c r="D2981" s="3">
        <v>1.0</v>
      </c>
    </row>
    <row r="2982" ht="15.75" customHeight="1">
      <c r="A2982" s="1">
        <v>2980.0</v>
      </c>
      <c r="B2982" s="3" t="s">
        <v>2982</v>
      </c>
      <c r="C2982" s="3" t="str">
        <f>IFERROR(__xludf.DUMMYFUNCTION("GOOGLETRANSLATE(B2982,""id"",""en"")"),"['Sorry', 'star', 'Lower', 'drastically', 'here', 'quality', 'signal', 'ugly', 'price', 'package', 'data', 'expensive', ' users', 'disappointed', 'hope', 'change', 'in the future', 'tks']")</f>
        <v>['Sorry', 'star', 'Lower', 'drastically', 'here', 'quality', 'signal', 'ugly', 'price', 'package', 'data', 'expensive', ' users', 'disappointed', 'hope', 'change', 'in the future', 'tks']</v>
      </c>
      <c r="D2982" s="3">
        <v>1.0</v>
      </c>
    </row>
    <row r="2983" ht="15.75" customHeight="1">
      <c r="A2983" s="1">
        <v>2981.0</v>
      </c>
      <c r="B2983" s="3" t="s">
        <v>2983</v>
      </c>
      <c r="C2983" s="3" t="str">
        <f>IFERROR(__xludf.DUMMYFUNCTION("GOOGLETRANSLATE(B2983,""id"",""en"")"),"['Lotten', 'prizes', 'quota', 'use', 'internet', '']")</f>
        <v>['Lotten', 'prizes', 'quota', 'use', 'internet', '']</v>
      </c>
      <c r="D2983" s="3">
        <v>5.0</v>
      </c>
    </row>
    <row r="2984" ht="15.75" customHeight="1">
      <c r="A2984" s="1">
        <v>2982.0</v>
      </c>
      <c r="B2984" s="3" t="s">
        <v>2984</v>
      </c>
      <c r="C2984" s="3" t="str">
        <f>IFERROR(__xludf.DUMMYFUNCTION("GOOGLETRANSLATE(B2984,""id"",""en"")"),"['It's all', 'price', 'quota', 'expensive', 'quality', 'network', '']")</f>
        <v>['It's all', 'price', 'quota', 'expensive', 'quality', 'network', '']</v>
      </c>
      <c r="D2984" s="3">
        <v>1.0</v>
      </c>
    </row>
    <row r="2985" ht="15.75" customHeight="1">
      <c r="A2985" s="1">
        <v>2983.0</v>
      </c>
      <c r="B2985" s="3" t="s">
        <v>2985</v>
      </c>
      <c r="C2985" s="3" t="str">
        <f>IFERROR(__xludf.DUMMYFUNCTION("GOOGLETRANSLATE(B2985,""id"",""en"")"),"['Signal', 'Telkomsel', 'stable', 'Bener', 'Bener', 'Severe', 'already', 'stuck', 'Mulu', 'buff', ""]")</f>
        <v>['Signal', 'Telkomsel', 'stable', 'Bener', 'Bener', 'Severe', 'already', 'stuck', 'Mulu', 'buff', "]</v>
      </c>
      <c r="D2985" s="3">
        <v>5.0</v>
      </c>
    </row>
    <row r="2986" ht="15.75" customHeight="1">
      <c r="A2986" s="1">
        <v>2984.0</v>
      </c>
      <c r="B2986" s="3" t="s">
        <v>2986</v>
      </c>
      <c r="C2986" s="3" t="str">
        <f>IFERROR(__xludf.DUMMYFUNCTION("GOOGLETRANSLATE(B2986,""id"",""en"")"),"['customer', 'loyal', 'disappointed', 'signal', 'ilang', 'ghosting', 'really', 'urgent', 'troublesome']")</f>
        <v>['customer', 'loyal', 'disappointed', 'signal', 'ilang', 'ghosting', 'really', 'urgent', 'troublesome']</v>
      </c>
      <c r="D2986" s="3">
        <v>3.0</v>
      </c>
    </row>
    <row r="2987" ht="15.75" customHeight="1">
      <c r="A2987" s="1">
        <v>2985.0</v>
      </c>
      <c r="B2987" s="3" t="s">
        <v>2987</v>
      </c>
      <c r="C2987" s="3" t="str">
        <f>IFERROR(__xludf.DUMMYFUNCTION("GOOGLETRANSLATE(B2987,""id"",""en"")"),"['Telkomsel', 'severe', 'signal', 'full', 'data', 'internet', 'no', 'package', 'full', 'buy', 'dimode', 'plane', ' times', 'disappointed', 'annoyed', 'oath']")</f>
        <v>['Telkomsel', 'severe', 'signal', 'full', 'data', 'internet', 'no', 'package', 'full', 'buy', 'dimode', 'plane', ' times', 'disappointed', 'annoyed', 'oath']</v>
      </c>
      <c r="D2987" s="3">
        <v>1.0</v>
      </c>
    </row>
    <row r="2988" ht="15.75" customHeight="1">
      <c r="A2988" s="1">
        <v>2986.0</v>
      </c>
      <c r="B2988" s="3" t="s">
        <v>2988</v>
      </c>
      <c r="C2988" s="3" t="str">
        <f>IFERROR(__xludf.DUMMYFUNCTION("GOOGLETRANSLATE(B2988,""id"",""en"")"),"['Sorry', 'Telkomsel', 'Dead', 'Electricity', 'Sousal', 'Direct', 'ugly', 'Please', 'Fix', 'Thank you']")</f>
        <v>['Sorry', 'Telkomsel', 'Dead', 'Electricity', 'Sousal', 'Direct', 'ugly', 'Please', 'Fix', 'Thank you']</v>
      </c>
      <c r="D2988" s="3">
        <v>1.0</v>
      </c>
    </row>
    <row r="2989" ht="15.75" customHeight="1">
      <c r="A2989" s="1">
        <v>2987.0</v>
      </c>
      <c r="B2989" s="3" t="s">
        <v>2989</v>
      </c>
      <c r="C2989" s="3" t="str">
        <f>IFERROR(__xludf.DUMMYFUNCTION("GOOGLETRANSLATE(B2989,""id"",""en"")"),"['operator', 'Telkomsel', 'poor', 'many years',' signal ',' slow ',' open ',' google ',' difficult ',' lose ',' operator ',' price ',' expensive ',' quality ',' low ',' ']")</f>
        <v>['operator', 'Telkomsel', 'poor', 'many years',' signal ',' slow ',' open ',' google ',' difficult ',' lose ',' operator ',' price ',' expensive ',' quality ',' low ',' ']</v>
      </c>
      <c r="D2989" s="3">
        <v>1.0</v>
      </c>
    </row>
    <row r="2990" ht="15.75" customHeight="1">
      <c r="A2990" s="1">
        <v>2988.0</v>
      </c>
      <c r="B2990" s="3" t="s">
        <v>2990</v>
      </c>
      <c r="C2990" s="3" t="str">
        <f>IFERROR(__xludf.DUMMYFUNCTION("GOOGLETRANSLATE(B2990,""id"",""en"")"),"['Heart', 'application', 'now', 'fraud', 'sucked', 'pulse', 'run out', 'buy', 'quota', 'quota', 'enter', 'pulse', ' Cut ',' complained ',' rotated ',' like ',' org ',' stupid ', ""]")</f>
        <v>['Heart', 'application', 'now', 'fraud', 'sucked', 'pulse', 'run out', 'buy', 'quota', 'quota', 'enter', 'pulse', ' Cut ',' complained ',' rotated ',' like ',' org ',' stupid ', "]</v>
      </c>
      <c r="D2990" s="3">
        <v>1.0</v>
      </c>
    </row>
    <row r="2991" ht="15.75" customHeight="1">
      <c r="A2991" s="1">
        <v>2989.0</v>
      </c>
      <c r="B2991" s="3" t="s">
        <v>2991</v>
      </c>
      <c r="C2991" s="3" t="str">
        <f>IFERROR(__xludf.DUMMYFUNCTION("GOOGLETRANSLATE(B2991,""id"",""en"")"),"['Please', 'Telkomsel', 'Udh', 'buy', 'expensive', 'knp', 'use', 'open', 'disappointed', 'following', 'Telkomsel', 'Udh', ' Knp ',' Skng ',' Severe ',' Klw ',' Will ',' Delete ',' Application ',' Friend ',' Use ',' Will ',' Take ',' Delete ',' Buy ' , 'ex"&amp;"pensive', 'use']")</f>
        <v>['Please', 'Telkomsel', 'Udh', 'buy', 'expensive', 'knp', 'use', 'open', 'disappointed', 'following', 'Telkomsel', 'Udh', ' Knp ',' Skng ',' Severe ',' Klw ',' Will ',' Delete ',' Application ',' Friend ',' Use ',' Will ',' Take ',' Delete ',' Buy ' , 'expensive', 'use']</v>
      </c>
      <c r="D2991" s="3">
        <v>1.0</v>
      </c>
    </row>
    <row r="2992" ht="15.75" customHeight="1">
      <c r="A2992" s="1">
        <v>2990.0</v>
      </c>
      <c r="B2992" s="3" t="s">
        <v>2992</v>
      </c>
      <c r="C2992" s="3" t="str">
        <f>IFERROR(__xludf.DUMMYFUNCTION("GOOGLETRANSLATE(B2992,""id"",""en"")"),"['times',' access', 'stop', 'dark', 'screen', 'run out', 'flame', 'closed', 'screen', 'writing', 'lln', ' application ',' ugly ',' Telkomsel ',' sponsor ',' name ',' Telkomsel ',' ugly ',' eyes', 'consumer']")</f>
        <v>['times',' access', 'stop', 'dark', 'screen', 'run out', 'flame', 'closed', 'screen', 'writing', 'lln', ' application ',' ugly ',' Telkomsel ',' sponsor ',' name ',' Telkomsel ',' ugly ',' eyes', 'consumer']</v>
      </c>
      <c r="D2992" s="3">
        <v>2.0</v>
      </c>
    </row>
    <row r="2993" ht="15.75" customHeight="1">
      <c r="A2993" s="1">
        <v>2991.0</v>
      </c>
      <c r="B2993" s="3" t="s">
        <v>2993</v>
      </c>
      <c r="C2993" s="3" t="str">
        <f>IFERROR(__xludf.DUMMYFUNCTION("GOOGLETRANSLATE(B2993,""id"",""en"")"),"['signal', 'like', 'missing', 'according to', 'price', 'fair', 'city', 'signal', 'full', 'full', 'ngilan']")</f>
        <v>['signal', 'like', 'missing', 'according to', 'price', 'fair', 'city', 'signal', 'full', 'full', 'ngilan']</v>
      </c>
      <c r="D2993" s="3">
        <v>1.0</v>
      </c>
    </row>
    <row r="2994" ht="15.75" customHeight="1">
      <c r="A2994" s="1">
        <v>2992.0</v>
      </c>
      <c r="B2994" s="3" t="s">
        <v>2994</v>
      </c>
      <c r="C2994" s="3" t="str">
        <f>IFERROR(__xludf.DUMMYFUNCTION("GOOGLETRANSLATE(B2994,""id"",""en"")"),"['application', 'MyTelkomsel', 'easy', 'buy', 'quota', 'internet', 'according to', 'need', '']")</f>
        <v>['application', 'MyTelkomsel', 'easy', 'buy', 'quota', 'internet', 'according to', 'need', '']</v>
      </c>
      <c r="D2994" s="3">
        <v>5.0</v>
      </c>
    </row>
    <row r="2995" ht="15.75" customHeight="1">
      <c r="A2995" s="1">
        <v>2993.0</v>
      </c>
      <c r="B2995" s="3" t="s">
        <v>2995</v>
      </c>
      <c r="C2995" s="3" t="str">
        <f>IFERROR(__xludf.DUMMYFUNCTION("GOOGLETRANSLATE(B2995,""id"",""en"")"),"['Open', 'APL', 'Cepet', 'AFA', 'Pulses', 'Out', 'How', ""]")</f>
        <v>['Open', 'APL', 'Cepet', 'AFA', 'Pulses', 'Out', 'How', "]</v>
      </c>
      <c r="D2995" s="3">
        <v>3.0</v>
      </c>
    </row>
    <row r="2996" ht="15.75" customHeight="1">
      <c r="A2996" s="1">
        <v>2994.0</v>
      </c>
      <c r="B2996" s="3" t="s">
        <v>2996</v>
      </c>
      <c r="C2996" s="3" t="str">
        <f>IFERROR(__xludf.DUMMYFUNCTION("GOOGLETRANSLATE(B2996,""id"",""en"")"),"['Complement', 'Makai', 'card', 'Telkomsel', 'Network', 'bad', 'card', 'internet', 'process',' nya ',' lights', 'dead', ' Lost ',' network ',' rich ',' lights', 'dead', 'NGK', 'influence', 'exception', 'damage', 'severe', 'office', 'related', 'Telkomsel' "&amp;", 'accept', 'please', 'fix', 'quality', 'card', 'network', 'nya']")</f>
        <v>['Complement', 'Makai', 'card', 'Telkomsel', 'Network', 'bad', 'card', 'internet', 'process',' nya ',' lights', 'dead', ' Lost ',' network ',' rich ',' lights', 'dead', 'NGK', 'influence', 'exception', 'damage', 'severe', 'office', 'related', 'Telkomsel' , 'accept', 'please', 'fix', 'quality', 'card', 'network', 'nya']</v>
      </c>
      <c r="D2996" s="3">
        <v>1.0</v>
      </c>
    </row>
    <row r="2997" ht="15.75" customHeight="1">
      <c r="A2997" s="1">
        <v>2995.0</v>
      </c>
      <c r="B2997" s="3" t="s">
        <v>2997</v>
      </c>
      <c r="C2997" s="3" t="str">
        <f>IFERROR(__xludf.DUMMYFUNCTION("GOOGLETRANSLATE(B2997,""id"",""en"")"),"['hope', 'signal', 'internet', 'Telkomsel', 'area', 'remote', 'reach', 'tower', 'strong', ""]")</f>
        <v>['hope', 'signal', 'internet', 'Telkomsel', 'area', 'remote', 'reach', 'tower', 'strong', "]</v>
      </c>
      <c r="D2997" s="3">
        <v>5.0</v>
      </c>
    </row>
    <row r="2998" ht="15.75" customHeight="1">
      <c r="A2998" s="1">
        <v>2996.0</v>
      </c>
      <c r="B2998" s="3" t="s">
        <v>2998</v>
      </c>
      <c r="C2998" s="3" t="str">
        <f>IFERROR(__xludf.DUMMYFUNCTION("GOOGLETRANSLATE(B2998,""id"",""en"")"),"['signal', 'KMNA', 'Maen', 'Games',' Please ',' Fix ',' Signal ',' Open ',' Facebook ',' Signal ',' Sometimes', 'Dancok', ' Maen ',' Games', 'Teros']")</f>
        <v>['signal', 'KMNA', 'Maen', 'Games',' Please ',' Fix ',' Signal ',' Open ',' Facebook ',' Signal ',' Sometimes', 'Dancok', ' Maen ',' Games', 'Teros']</v>
      </c>
      <c r="D2998" s="3">
        <v>1.0</v>
      </c>
    </row>
    <row r="2999" ht="15.75" customHeight="1">
      <c r="A2999" s="1">
        <v>2997.0</v>
      </c>
      <c r="B2999" s="3" t="s">
        <v>2999</v>
      </c>
      <c r="C2999" s="3" t="str">
        <f>IFERROR(__xludf.DUMMYFUNCTION("GOOGLETRANSLATE(B2999,""id"",""en"")"),"['signal', 'difficult', 'forgiveness',' week ',' sampe ',' stresssss', 'gara', 'gara', 'signal', 'buy', 'package', 'internet', ' Paketan ',' expensive ',' signal ',' snail ',' idiot ',' taeklah ',' replace ',' card ',' severe ',' Telkomsel ']")</f>
        <v>['signal', 'difficult', 'forgiveness',' week ',' sampe ',' stresssss', 'gara', 'gara', 'signal', 'buy', 'package', 'internet', ' Paketan ',' expensive ',' signal ',' snail ',' idiot ',' taeklah ',' replace ',' card ',' severe ',' Telkomsel ']</v>
      </c>
      <c r="D2999" s="3">
        <v>1.0</v>
      </c>
    </row>
    <row r="3000" ht="15.75" customHeight="1">
      <c r="A3000" s="1">
        <v>2998.0</v>
      </c>
      <c r="B3000" s="3" t="s">
        <v>3000</v>
      </c>
      <c r="C3000" s="3" t="str">
        <f>IFERROR(__xludf.DUMMYFUNCTION("GOOGLETRANSLATE(B3000,""id"",""en"")"),"['steady', 'easy', 'use', 'utilization', 'tuk', 'package', 'unlimited', 'please', 'hold', 'contents', 'modem']")</f>
        <v>['steady', 'easy', 'use', 'utilization', 'tuk', 'package', 'unlimited', 'please', 'hold', 'contents', 'modem']</v>
      </c>
      <c r="D3000" s="3">
        <v>5.0</v>
      </c>
    </row>
    <row r="3001" ht="15.75" customHeight="1">
      <c r="A3001" s="1">
        <v>2999.0</v>
      </c>
      <c r="B3001" s="3" t="s">
        <v>3001</v>
      </c>
      <c r="C3001" s="3" t="str">
        <f>IFERROR(__xludf.DUMMYFUNCTION("GOOGLETRANSLATE(B3001,""id"",""en"")"),"['knp', 'min', 'me', 'annoyed', 'then', 'hah', 'card', 'anjg', 'udh', 'expensive', 'internet', 'kek', ' Anjg ',' pork ',' severe ',' unclean ',' unclean ',' unclean ',' I ',' NGTD ',' fix ',' package ',' gamemax ',' anjg ',' functioning ' , 'Package', 'ga"&amp;"memax', 'anjg', 'NGTD', 'please', 'fix', 'return', 'pulse', 'me', 'ngtd']")</f>
        <v>['knp', 'min', 'me', 'annoyed', 'then', 'hah', 'card', 'anjg', 'udh', 'expensive', 'internet', 'kek', ' Anjg ',' pork ',' severe ',' unclean ',' unclean ',' unclean ',' I ',' NGTD ',' fix ',' package ',' gamemax ',' anjg ',' functioning ' , 'Package', 'gamemax', 'anjg', 'NGTD', 'please', 'fix', 'return', 'pulse', 'me', 'ngtd']</v>
      </c>
      <c r="D3001" s="3">
        <v>1.0</v>
      </c>
    </row>
    <row r="3002" ht="15.75" customHeight="1">
      <c r="A3002" s="1">
        <v>3000.0</v>
      </c>
      <c r="B3002" s="3" t="s">
        <v>3002</v>
      </c>
      <c r="C3002" s="3" t="str">
        <f>IFERROR(__xludf.DUMMYFUNCTION("GOOGLETRANSLATE(B3002,""id"",""en"")"),"['ngibul', 'package', 'game', 'max', 'silver', 'quota', 'internet', 'abis', 'quota', 'gamenya']")</f>
        <v>['ngibul', 'package', 'game', 'max', 'silver', 'quota', 'internet', 'abis', 'quota', 'gamenya']</v>
      </c>
      <c r="D3002" s="3">
        <v>1.0</v>
      </c>
    </row>
    <row r="3003" ht="15.75" customHeight="1">
      <c r="A3003" s="1">
        <v>3001.0</v>
      </c>
      <c r="B3003" s="3" t="s">
        <v>3003</v>
      </c>
      <c r="C3003" s="3" t="str">
        <f>IFERROR(__xludf.DUMMYFUNCTION("GOOGLETRANSLATE(B3003,""id"",""en"")"),"['Bener', 'Severe', 'really', 'signal', 'sympathy', 'price', 'doang', 'package', 'expensive', 'signal', 'right', 'ugly', ' Very ',' Kaga ',' Rich ',' Signal ',' Kenceng ',' Didalem ',' House ',' Severe ',' Very ',' Signal ',' Sympathy ',' Rich ',' Rich ' "&amp;", 'really', 'buy', 'card', 'sympathy', 'severe', 'really', 'until', 'emotion', 'see', 'signal', 'kaga', 'rich', ' Gini ',' Update ',' Severe ',' oath ',' annoyed ',' really ',' cave ',' signal ',' sympathy ',' please ',' signal ',' fix ',' play ' , 'Game'"&amp;", 'NGLEG', 'Bener']")</f>
        <v>['Bener', 'Severe', 'really', 'signal', 'sympathy', 'price', 'doang', 'package', 'expensive', 'signal', 'right', 'ugly', ' Very ',' Kaga ',' Rich ',' Signal ',' Kenceng ',' Didalem ',' House ',' Severe ',' Very ',' Signal ',' Sympathy ',' Rich ',' Rich ' , 'really', 'buy', 'card', 'sympathy', 'severe', 'really', 'until', 'emotion', 'see', 'signal', 'kaga', 'rich', ' Gini ',' Update ',' Severe ',' oath ',' annoyed ',' really ',' cave ',' signal ',' sympathy ',' please ',' signal ',' fix ',' play ' , 'Game', 'NGLEG', 'Bener']</v>
      </c>
      <c r="D3003" s="3">
        <v>1.0</v>
      </c>
    </row>
    <row r="3004" ht="15.75" customHeight="1">
      <c r="A3004" s="1">
        <v>3002.0</v>
      </c>
      <c r="B3004" s="3" t="s">
        <v>3004</v>
      </c>
      <c r="C3004" s="3" t="str">
        <f>IFERROR(__xludf.DUMMYFUNCTION("GOOGLETRANSLATE(B3004,""id"",""en"")"),"['Gwe', 'disappointed', 'use', 'internet', 'Telkomsel', 'Gwe', 'already', 'Oaka', 'Telkomsel', 'replace', 'play', 'mobile', ' LEGENDS ',' Signal ',' ilang ',' Lag ',' Severe ',' Play ',' Game ',' Please ',' Telkomsel ',' Prepared ',' Network ',' Internet "&amp;"' , '']")</f>
        <v>['Gwe', 'disappointed', 'use', 'internet', 'Telkomsel', 'Gwe', 'already', 'Oaka', 'Telkomsel', 'replace', 'play', 'mobile', ' LEGENDS ',' Signal ',' ilang ',' Lag ',' Severe ',' Play ',' Game ',' Please ',' Telkomsel ',' Prepared ',' Network ',' Internet ' , '']</v>
      </c>
      <c r="D3004" s="3">
        <v>1.0</v>
      </c>
    </row>
    <row r="3005" ht="15.75" customHeight="1">
      <c r="A3005" s="1">
        <v>3003.0</v>
      </c>
      <c r="B3005" s="3" t="s">
        <v>3005</v>
      </c>
      <c r="C3005" s="3" t="str">
        <f>IFERROR(__xludf.DUMMYFUNCTION("GOOGLETRANSLATE(B3005,""id"",""en"")"),"['Please', 'Telkomsel', 'Exchange', 'points',' Addin ',' Voucher ',' Game ',' Exchange ',' Points', 'Sometimes',' Kaga ',' Lottery ',' JGA ',' NGK ',' DPAT ',' ']")</f>
        <v>['Please', 'Telkomsel', 'Exchange', 'points',' Addin ',' Voucher ',' Game ',' Exchange ',' Points', 'Sometimes',' Kaga ',' Lottery ',' JGA ',' NGK ',' DPAT ',' ']</v>
      </c>
      <c r="D3005" s="3">
        <v>1.0</v>
      </c>
    </row>
    <row r="3006" ht="15.75" customHeight="1">
      <c r="A3006" s="1">
        <v>3004.0</v>
      </c>
      <c r="B3006" s="3" t="s">
        <v>3006</v>
      </c>
      <c r="C3006" s="3" t="str">
        <f>IFERROR(__xludf.DUMMYFUNCTION("GOOGLETRANSLATE(B3006,""id"",""en"")"),"['buy', 'package', 'unlimited', 'active', 'fit', 'activated', 'package', 'nyampe', 'buy', 'date', 'abis',' package ',' Until ',' on ',' what ',' meaning ',' user ',' gold ',' please ',' Telkomsel ',' repaired ']")</f>
        <v>['buy', 'package', 'unlimited', 'active', 'fit', 'activated', 'package', 'nyampe', 'buy', 'date', 'abis',' package ',' Until ',' on ',' what ',' meaning ',' user ',' gold ',' please ',' Telkomsel ',' repaired ']</v>
      </c>
      <c r="D3006" s="3">
        <v>2.0</v>
      </c>
    </row>
    <row r="3007" ht="15.75" customHeight="1">
      <c r="A3007" s="1">
        <v>3005.0</v>
      </c>
      <c r="B3007" s="3" t="s">
        <v>3007</v>
      </c>
      <c r="C3007" s="3" t="str">
        <f>IFERROR(__xludf.DUMMYFUNCTION("GOOGLETRANSLATE(B3007,""id"",""en"")"),"['Telkomsel', 'signal', 'bad', 'really', 'internet', 'please', 'check', 'area', 'cilacap']")</f>
        <v>['Telkomsel', 'signal', 'bad', 'really', 'internet', 'please', 'check', 'area', 'cilacap']</v>
      </c>
      <c r="D3007" s="3">
        <v>1.0</v>
      </c>
    </row>
    <row r="3008" ht="15.75" customHeight="1">
      <c r="A3008" s="1">
        <v>3006.0</v>
      </c>
      <c r="B3008" s="3" t="s">
        <v>3008</v>
      </c>
      <c r="C3008" s="3" t="str">
        <f>IFERROR(__xludf.DUMMYFUNCTION("GOOGLETRANSLATE(B3008,""id"",""en"")"),"['Maap', 'love', 'star', 'already', 'network', 'slow', 'stable', 'rich', 'times',' make ',' Alhamdulillah ',' Telkomsel ',' now ',' slow ',' expensive ',' doang ',' thanks', 'min']")</f>
        <v>['Maap', 'love', 'star', 'already', 'network', 'slow', 'stable', 'rich', 'times',' make ',' Alhamdulillah ',' Telkomsel ',' now ',' slow ',' expensive ',' doang ',' thanks', 'min']</v>
      </c>
      <c r="D3008" s="3">
        <v>1.0</v>
      </c>
    </row>
    <row r="3009" ht="15.75" customHeight="1">
      <c r="A3009" s="1">
        <v>3007.0</v>
      </c>
      <c r="B3009" s="3" t="s">
        <v>3009</v>
      </c>
      <c r="C3009" s="3" t="str">
        <f>IFERROR(__xludf.DUMMYFUNCTION("GOOGLETRANSLATE(B3009,""id"",""en"")"),"['Hopefully', 'In the future', 'Telkomsel', 'stop', 'operate', 'Amin', 'here', 'signal', 'already', 'rich', 'rich', 'card', ' Cheap ',' Emotion ',' Gajelas', ""]")</f>
        <v>['Hopefully', 'In the future', 'Telkomsel', 'stop', 'operate', 'Amin', 'here', 'signal', 'already', 'rich', 'rich', 'card', ' Cheap ',' Emotion ',' Gajelas', "]</v>
      </c>
      <c r="D3009" s="3">
        <v>1.0</v>
      </c>
    </row>
    <row r="3010" ht="15.75" customHeight="1">
      <c r="A3010" s="1">
        <v>3008.0</v>
      </c>
      <c r="B3010" s="3" t="s">
        <v>3010</v>
      </c>
      <c r="C3010" s="3" t="str">
        <f>IFERROR(__xludf.DUMMYFUNCTION("GOOGLETRANSLATE(B3010,""id"",""en"")"),"['Signal', 'Telkomsel', 'Chapter', 'Hopefully', 'owner', 'Telkomsel', 'Bark', 'Named', 'Price', 'Trus',' Quality ',' Trunntrus', ' Chapter ',' Klian ',' Monopoly ',' Telkomunication ',' Indonesia ']")</f>
        <v>['Signal', 'Telkomsel', 'Chapter', 'Hopefully', 'owner', 'Telkomsel', 'Bark', 'Named', 'Price', 'Trus',' Quality ',' Trunntrus', ' Chapter ',' Klian ',' Monopoly ',' Telkomunication ',' Indonesia ']</v>
      </c>
      <c r="D3010" s="3">
        <v>1.0</v>
      </c>
    </row>
    <row r="3011" ht="15.75" customHeight="1">
      <c r="A3011" s="1">
        <v>3009.0</v>
      </c>
      <c r="B3011" s="3" t="s">
        <v>3011</v>
      </c>
      <c r="C3011" s="3" t="str">
        <f>IFERROR(__xludf.DUMMYFUNCTION("GOOGLETRANSLATE(B3011,""id"",""en"")"),"['apdet', 'trbaru', 'world', 'game', 'bgaimana', 'top', 'game', 'Telkomsel', '']")</f>
        <v>['apdet', 'trbaru', 'world', 'game', 'bgaimana', 'top', 'game', 'Telkomsel', '']</v>
      </c>
      <c r="D3011" s="3">
        <v>1.0</v>
      </c>
    </row>
    <row r="3012" ht="15.75" customHeight="1">
      <c r="A3012" s="1">
        <v>3010.0</v>
      </c>
      <c r="B3012" s="3" t="s">
        <v>3012</v>
      </c>
      <c r="C3012" s="3" t="str">
        <f>IFERROR(__xludf.DUMMYFUNCTION("GOOGLETRANSLATE(B3012,""id"",""en"")"),"['Please', 'Fix', 'System', 'Credit', 'Keep', 'Call', 'SMS', 'Package', 'Internet', 'Remnant', 'GB', 'Package', ' expensive ',' pulse ',' missing ',' ']")</f>
        <v>['Please', 'Fix', 'System', 'Credit', 'Keep', 'Call', 'SMS', 'Package', 'Internet', 'Remnant', 'GB', 'Package', ' expensive ',' pulse ',' missing ',' ']</v>
      </c>
      <c r="D3012" s="3">
        <v>1.0</v>
      </c>
    </row>
    <row r="3013" ht="15.75" customHeight="1">
      <c r="A3013" s="1">
        <v>3011.0</v>
      </c>
      <c r="B3013" s="3" t="s">
        <v>3013</v>
      </c>
      <c r="C3013" s="3" t="str">
        <f>IFERROR(__xludf.DUMMYFUNCTION("GOOGLETRANSLATE(B3013,""id"",""en"")"),"['please', 'Telkomsel', 'signal', 'area', 'mountain', 'sindur', 'bogor', 'fix', 'signal', 'bad', 'really', 'bad', ' card ',' signal ',' good ']")</f>
        <v>['please', 'Telkomsel', 'signal', 'area', 'mountain', 'sindur', 'bogor', 'fix', 'signal', 'bad', 'really', 'bad', ' card ',' signal ',' good ']</v>
      </c>
      <c r="D3013" s="3">
        <v>1.0</v>
      </c>
    </row>
    <row r="3014" ht="15.75" customHeight="1">
      <c r="A3014" s="1">
        <v>3012.0</v>
      </c>
      <c r="B3014" s="3" t="s">
        <v>3014</v>
      </c>
      <c r="C3014" s="3" t="str">
        <f>IFERROR(__xludf.DUMMYFUNCTION("GOOGLETRANSLATE(B3014,""id"",""en"")"),"[ 'Application', 'bagusssssssssssssssssssssssssssssssssssssssssssssssssssssssssssssssssssssssssssssssssssssssssssssssssssssssssssssssssssssssssssssssssssssssssssssssssssssssssssssssssssssssssssssssssssssssssssssssssssssssssssssssssssssssssssssssssssssssss"&amp;"ssssssssssssssssssssssssssssssssssssssssssssssssss']")</f>
        <v>[ 'Application', 'bagu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v>
      </c>
      <c r="D3014" s="3">
        <v>5.0</v>
      </c>
    </row>
    <row r="3015" ht="15.75" customHeight="1">
      <c r="A3015" s="1">
        <v>3013.0</v>
      </c>
      <c r="B3015" s="3" t="s">
        <v>3015</v>
      </c>
      <c r="C3015" s="3" t="str">
        <f>IFERROR(__xludf.DUMMYFUNCTION("GOOGLETRANSLATE(B3015,""id"",""en"")"),"['Telk', 'Telkomsel', 'promo', 'package', 'GB', 'slow', 'forgiveness',' taste ',' cheated ',' deh ',' please ',' TEL ',' Wahhh ']")</f>
        <v>['Telk', 'Telkomsel', 'promo', 'package', 'GB', 'slow', 'forgiveness',' taste ',' cheated ',' deh ',' please ',' TEL ',' Wahhh ']</v>
      </c>
      <c r="D3015" s="3">
        <v>1.0</v>
      </c>
    </row>
    <row r="3016" ht="15.75" customHeight="1">
      <c r="A3016" s="1">
        <v>3014.0</v>
      </c>
      <c r="B3016" s="3" t="s">
        <v>3016</v>
      </c>
      <c r="C3016" s="3" t="str">
        <f>IFERROR(__xludf.DUMMYFUNCTION("GOOGLETRANSLATE(B3016,""id"",""en"")"),"['super', 'loading', 'first', 'open', 'website', 'content', 'animation', 'application', 'mytelkomsel', 'incidente', 'application', ' Provider ',' ']")</f>
        <v>['super', 'loading', 'first', 'open', 'website', 'content', 'animation', 'application', 'mytelkomsel', 'incidente', 'application', ' Provider ',' ']</v>
      </c>
      <c r="D3016" s="3">
        <v>1.0</v>
      </c>
    </row>
    <row r="3017" ht="15.75" customHeight="1">
      <c r="A3017" s="1">
        <v>3015.0</v>
      </c>
      <c r="B3017" s="3" t="s">
        <v>3017</v>
      </c>
      <c r="C3017" s="3" t="str">
        <f>IFERROR(__xludf.DUMMYFUNCTION("GOOGLETRANSLATE(B3017,""id"",""en"")"),"['open', 'Telkomsel', 'louding', 'minute', 'open', 'login', 'slow', 'linuding', 'hold', 'change', 'price', 'quota', ' rb ',' like ',' card ',' cellular ']")</f>
        <v>['open', 'Telkomsel', 'louding', 'minute', 'open', 'login', 'slow', 'linuding', 'hold', 'change', 'price', 'quota', ' rb ',' like ',' card ',' cellular ']</v>
      </c>
      <c r="D3017" s="3">
        <v>3.0</v>
      </c>
    </row>
    <row r="3018" ht="15.75" customHeight="1">
      <c r="A3018" s="1">
        <v>3016.0</v>
      </c>
      <c r="B3018" s="3" t="s">
        <v>3018</v>
      </c>
      <c r="C3018" s="3" t="str">
        <f>IFERROR(__xludf.DUMMYFUNCTION("GOOGLETRANSLATE(B3018,""id"",""en"")"),"['how', 'signal', 'Telkomsel', 'bar', 'full', 'connect', 'cabry', 'slow', 'forgiveness',' price ',' package ',' expensive ',' signal ',' bad ',' what ',' price ',' no ',' suits', 'quality', 'review', 'responded']")</f>
        <v>['how', 'signal', 'Telkomsel', 'bar', 'full', 'connect', 'cabry', 'slow', 'forgiveness',' price ',' package ',' expensive ',' signal ',' bad ',' what ',' price ',' no ',' suits', 'quality', 'review', 'responded']</v>
      </c>
      <c r="D3018" s="3">
        <v>1.0</v>
      </c>
    </row>
    <row r="3019" ht="15.75" customHeight="1">
      <c r="A3019" s="1">
        <v>3017.0</v>
      </c>
      <c r="B3019" s="3" t="s">
        <v>3019</v>
      </c>
      <c r="C3019" s="3" t="str">
        <f>IFERROR(__xludf.DUMMYFUNCTION("GOOGLETRANSLATE(B3019,""id"",""en"")"),"['Top', 'deh', 'can', 'bonus', 'family', 'Telkomsel', 'era', 'baheula']")</f>
        <v>['Top', 'deh', 'can', 'bonus', 'family', 'Telkomsel', 'era', 'baheula']</v>
      </c>
      <c r="D3019" s="3">
        <v>5.0</v>
      </c>
    </row>
    <row r="3020" ht="15.75" customHeight="1">
      <c r="A3020" s="1">
        <v>3018.0</v>
      </c>
      <c r="B3020" s="3" t="s">
        <v>3020</v>
      </c>
      <c r="C3020" s="3" t="str">
        <f>IFERROR(__xludf.DUMMYFUNCTION("GOOGLETRANSLATE(B3020,""id"",""en"")"),"['Increase', 'Quality', 'Quantity', 'Customer', 'Priority', 'Main', ""]")</f>
        <v>['Increase', 'Quality', 'Quantity', 'Customer', 'Priority', 'Main', "]</v>
      </c>
      <c r="D3020" s="3">
        <v>5.0</v>
      </c>
    </row>
    <row r="3021" ht="15.75" customHeight="1">
      <c r="A3021" s="1">
        <v>3019.0</v>
      </c>
      <c r="B3021" s="3" t="s">
        <v>3021</v>
      </c>
      <c r="C3021" s="3" t="str">
        <f>IFERROR(__xludf.DUMMYFUNCTION("GOOGLETRANSLATE(B3021,""id"",""en"")"),"['Enter', 'Telkomsel', 'Main', 'Game', 'Minutes',' Hang ',' Application ',' Google ',' Play ',' Hang ',' Enter ',' Telkomsel ',' Takterihat ',' pulse ',' error ',' connection ',' disappointed ',' a month ', ""]")</f>
        <v>['Enter', 'Telkomsel', 'Main', 'Game', 'Minutes',' Hang ',' Application ',' Google ',' Play ',' Hang ',' Enter ',' Telkomsel ',' Takterihat ',' pulse ',' error ',' connection ',' disappointed ',' a month ', "]</v>
      </c>
      <c r="D3021" s="3">
        <v>1.0</v>
      </c>
    </row>
    <row r="3022" ht="15.75" customHeight="1">
      <c r="A3022" s="1">
        <v>3020.0</v>
      </c>
      <c r="B3022" s="3" t="s">
        <v>3022</v>
      </c>
      <c r="C3022" s="3" t="str">
        <f>IFERROR(__xludf.DUMMYFUNCTION("GOOGLETRANSLATE(B3022,""id"",""en"")"),"['Developover', 'Please', 'Shrink', 'Size', 'Application', 'Telkomsel', 'Lemot', 'Open', 'Transaction', 'Thank you', ""]")</f>
        <v>['Developover', 'Please', 'Shrink', 'Size', 'Application', 'Telkomsel', 'Lemot', 'Open', 'Transaction', 'Thank you', "]</v>
      </c>
      <c r="D3022" s="3">
        <v>4.0</v>
      </c>
    </row>
    <row r="3023" ht="15.75" customHeight="1">
      <c r="A3023" s="1">
        <v>3021.0</v>
      </c>
      <c r="B3023" s="3" t="s">
        <v>3023</v>
      </c>
      <c r="C3023" s="3" t="str">
        <f>IFERROR(__xludf.DUMMYFUNCTION("GOOGLETRANSLATE(B3023,""id"",""en"")"),"['Application', 'opened', 'Package', 'Signal', 'Good', 'Open', 'Application', 'Snyal', 'Direct', 'Down', 'Mhon', 'Fix']")</f>
        <v>['Application', 'opened', 'Package', 'Signal', 'Good', 'Open', 'Application', 'Snyal', 'Direct', 'Down', 'Mhon', 'Fix']</v>
      </c>
      <c r="D3023" s="3">
        <v>1.0</v>
      </c>
    </row>
    <row r="3024" ht="15.75" customHeight="1">
      <c r="A3024" s="1">
        <v>3022.0</v>
      </c>
      <c r="B3024" s="3" t="s">
        <v>3024</v>
      </c>
      <c r="C3024" s="3" t="str">
        <f>IFERROR(__xludf.DUMMYFUNCTION("GOOGLETRANSLATE(B3024,""id"",""en"")"),"['number', 'Register', 'account', 'Telkomsel', 'quota', 'learn', 'sms',' notification ',' quota ',' learn ',' can ',' Telkomsel ',' Please ',' repaired ',' ']")</f>
        <v>['number', 'Register', 'account', 'Telkomsel', 'quota', 'learn', 'sms',' notification ',' quota ',' learn ',' can ',' Telkomsel ',' Please ',' repaired ',' ']</v>
      </c>
      <c r="D3024" s="3">
        <v>4.0</v>
      </c>
    </row>
    <row r="3025" ht="15.75" customHeight="1">
      <c r="A3025" s="1">
        <v>3023.0</v>
      </c>
      <c r="B3025" s="3" t="s">
        <v>3025</v>
      </c>
      <c r="C3025" s="3" t="str">
        <f>IFERROR(__xludf.DUMMYFUNCTION("GOOGLETRANSLATE(B3025,""id"",""en"")"),"['Success', 'Telkosel', 'Changed', 'Mantap', '']")</f>
        <v>['Success', 'Telkosel', 'Changed', 'Mantap', '']</v>
      </c>
      <c r="D3025" s="3">
        <v>5.0</v>
      </c>
    </row>
    <row r="3026" ht="15.75" customHeight="1">
      <c r="A3026" s="1">
        <v>3024.0</v>
      </c>
      <c r="B3026" s="3" t="s">
        <v>3026</v>
      </c>
      <c r="C3026" s="3" t="str">
        <f>IFERROR(__xludf.DUMMYFUNCTION("GOOGLETRANSLATE(B3026,""id"",""en"")"),"['Notif', 'appears', 'Numby', 'Notif']")</f>
        <v>['Notif', 'appears', 'Numby', 'Notif']</v>
      </c>
      <c r="D3026" s="3">
        <v>3.0</v>
      </c>
    </row>
    <row r="3027" ht="15.75" customHeight="1">
      <c r="A3027" s="1">
        <v>3025.0</v>
      </c>
      <c r="B3027" s="3" t="s">
        <v>3027</v>
      </c>
      <c r="C3027" s="3" t="str">
        <f>IFERROR(__xludf.DUMMYFUNCTION("GOOGLETRANSLATE(B3027,""id"",""en"")"),"['Lumping', 'pulses', 'thousand', 'reduced', 'a thousand', 'quota', 'right', 'Ntar', 'Ntar', 'bankrupt', 'Mampus', ""]")</f>
        <v>['Lumping', 'pulses', 'thousand', 'reduced', 'a thousand', 'quota', 'right', 'Ntar', 'Ntar', 'bankrupt', 'Mampus', "]</v>
      </c>
      <c r="D3027" s="3">
        <v>1.0</v>
      </c>
    </row>
    <row r="3028" ht="15.75" customHeight="1">
      <c r="A3028" s="1">
        <v>3026.0</v>
      </c>
      <c r="B3028" s="3" t="s">
        <v>3028</v>
      </c>
      <c r="C3028" s="3" t="str">
        <f>IFERROR(__xludf.DUMMYFUNCTION("GOOGLETRANSLATE(B3028,""id"",""en"")"),"['bug', 'buy', 'internet', 'omg', 'minutes', 'please', 'muted']")</f>
        <v>['bug', 'buy', 'internet', 'omg', 'minutes', 'please', 'muted']</v>
      </c>
      <c r="D3028" s="3">
        <v>1.0</v>
      </c>
    </row>
    <row r="3029" ht="15.75" customHeight="1">
      <c r="A3029" s="1">
        <v>3027.0</v>
      </c>
      <c r="B3029" s="3" t="s">
        <v>3029</v>
      </c>
      <c r="C3029" s="3" t="str">
        <f>IFERROR(__xludf.DUMMYFUNCTION("GOOGLETRANSLATE(B3029,""id"",""en"")"),"['gwa', 'gwa', 'update', 'number', 'prepaid', 'already', 'expensive', 'network', 'bad', 'change', 'darling', 'essence', ' Want ',' Rough ',' Gwa ',' Telkomsel ']")</f>
        <v>['gwa', 'gwa', 'update', 'number', 'prepaid', 'already', 'expensive', 'network', 'bad', 'change', 'darling', 'essence', ' Want ',' Rough ',' Gwa ',' Telkomsel ']</v>
      </c>
      <c r="D3029" s="3">
        <v>1.0</v>
      </c>
    </row>
    <row r="3030" ht="15.75" customHeight="1">
      <c r="A3030" s="1">
        <v>3028.0</v>
      </c>
      <c r="B3030" s="3" t="s">
        <v>3030</v>
      </c>
      <c r="C3030" s="3" t="str">
        <f>IFERROR(__xludf.DUMMYFUNCTION("GOOGLETRANSLATE(B3030,""id"",""en"")"),"['please', 'Telkomsel', 'play', 'cut', 'pulse', 'package', 'internet', 'run out', 'polite', 'polite', 'play', 'suck', ' Credit ',' people ',' delight ',' ']")</f>
        <v>['please', 'Telkomsel', 'play', 'cut', 'pulse', 'package', 'internet', 'run out', 'polite', 'polite', 'play', 'suck', ' Credit ',' people ',' delight ',' ']</v>
      </c>
      <c r="D3030" s="3">
        <v>1.0</v>
      </c>
    </row>
    <row r="3031" ht="15.75" customHeight="1">
      <c r="A3031" s="1">
        <v>3029.0</v>
      </c>
      <c r="B3031" s="3" t="s">
        <v>3031</v>
      </c>
      <c r="C3031" s="3" t="str">
        <f>IFERROR(__xludf.DUMMYFUNCTION("GOOGLETRANSLATE(B3031,""id"",""en"")"),"['pulse', 'ilang', 'his writing', 'internet', 'package', 'kouta', 'rich', 'gini', 'disappointed', 'telkomsel', 'signal', 'steady', ' Tetep ',' disappointed ',' credit ',' missing ',' clarity ']")</f>
        <v>['pulse', 'ilang', 'his writing', 'internet', 'package', 'kouta', 'rich', 'gini', 'disappointed', 'telkomsel', 'signal', 'steady', ' Tetep ',' disappointed ',' credit ',' missing ',' clarity ']</v>
      </c>
      <c r="D3031" s="3">
        <v>1.0</v>
      </c>
    </row>
    <row r="3032" ht="15.75" customHeight="1">
      <c r="A3032" s="1">
        <v>3030.0</v>
      </c>
      <c r="B3032" s="3" t="s">
        <v>3032</v>
      </c>
      <c r="C3032" s="3" t="str">
        <f>IFERROR(__xludf.DUMMYFUNCTION("GOOGLETRANSLATE(B3032,""id"",""en"")"),"['admin', 'Telkom', 'intention', 'sell', 'quota', 'unlimited', 'sell', 'play', 'game', 'ugly', 'really', 'senyan', ' Mending ',' gausah ',' sell ',' buy ',' expensive ',' network ',' ugly ',' satisfied ',' service ',' telkom ',' buy ',' card ',' telkom ' "&amp;", 'Thinking', 'times', 'bad', 'really', 'signal', 'play', 'pub', 'buy', 'package', 'expensive', 'expensive']")</f>
        <v>['admin', 'Telkom', 'intention', 'sell', 'quota', 'unlimited', 'sell', 'play', 'game', 'ugly', 'really', 'senyan', ' Mending ',' gausah ',' sell ',' buy ',' expensive ',' network ',' ugly ',' satisfied ',' service ',' telkom ',' buy ',' card ',' telkom ' , 'Thinking', 'times', 'bad', 'really', 'signal', 'play', 'pub', 'buy', 'package', 'expensive', 'expensive']</v>
      </c>
      <c r="D3032" s="3">
        <v>1.0</v>
      </c>
    </row>
    <row r="3033" ht="15.75" customHeight="1">
      <c r="A3033" s="1">
        <v>3031.0</v>
      </c>
      <c r="B3033" s="3" t="s">
        <v>3033</v>
      </c>
      <c r="C3033" s="3" t="str">
        <f>IFERROR(__xludf.DUMMYFUNCTION("GOOGLETRANSLATE(B3033,""id"",""en"")"),"['signal', 'ugly', 'really', 'Sya', 'city', 'forgiveness',' kapok ',' pke ',' telkomsel ',' openings', 'good', 'mlh', ' maybe ',' Action ',' brp ',' Telkomsen ',' moved ',' provider ',' mksh ',' telomsel ',' accompany ',' brp ',' power ',' signal ',' thre"&amp;"at ' ]")</f>
        <v>['signal', 'ugly', 'really', 'Sya', 'city', 'forgiveness',' kapok ',' pke ',' telkomsel ',' openings', 'good', 'mlh', ' maybe ',' Action ',' brp ',' Telkomsen ',' moved ',' provider ',' mksh ',' telomsel ',' accompany ',' brp ',' power ',' signal ',' threat ' ]</v>
      </c>
      <c r="D3033" s="3">
        <v>1.0</v>
      </c>
    </row>
    <row r="3034" ht="15.75" customHeight="1">
      <c r="A3034" s="1">
        <v>3032.0</v>
      </c>
      <c r="B3034" s="3" t="s">
        <v>3034</v>
      </c>
      <c r="C3034" s="3" t="str">
        <f>IFERROR(__xludf.DUMMYFUNCTION("GOOGLETRANSLATE(B3034,""id"",""en"")"),"['Internet', 'appears',' buy ',' package ',' internet ',' hub ',' call ',' center ',' in the future ',' bad ',' quality ',' service ',' Telkomsel ',' ']")</f>
        <v>['Internet', 'appears',' buy ',' package ',' internet ',' hub ',' call ',' center ',' in the future ',' bad ',' quality ',' service ',' Telkomsel ',' ']</v>
      </c>
      <c r="D3034" s="3">
        <v>1.0</v>
      </c>
    </row>
    <row r="3035" ht="15.75" customHeight="1">
      <c r="A3035" s="1">
        <v>3033.0</v>
      </c>
      <c r="B3035" s="3" t="s">
        <v>3035</v>
      </c>
      <c r="C3035" s="3" t="str">
        <f>IFERROR(__xludf.DUMMYFUNCTION("GOOGLETRANSLATE(B3035,""id"",""en"")"),"['odal', 'company', 'Telkomsel', 'me', 'contents',' package ',' combo ',' sakti ',' use ',' hotspot ',' laptop ',' open ',' Just ',' browser ',' package ',' leftover ',' network ',' down ',' causing ',' hot ',' Telkomsel ',' game you ',' kah ',' country '"&amp;",' super ' , 'Power', 'bro', 'covid', 'take', 'right', 'person', 'price', 'buy', 'package', 'thousand', 'bro', 'run out', ' Just ',' Muantap ', ""]")</f>
        <v>['odal', 'company', 'Telkomsel', 'me', 'contents',' package ',' combo ',' sakti ',' use ',' hotspot ',' laptop ',' open ',' Just ',' browser ',' package ',' leftover ',' network ',' down ',' causing ',' hot ',' Telkomsel ',' game you ',' kah ',' country ',' super ' , 'Power', 'bro', 'covid', 'take', 'right', 'person', 'price', 'buy', 'package', 'thousand', 'bro', 'run out', ' Just ',' Muantap ', "]</v>
      </c>
      <c r="D3035" s="3">
        <v>1.0</v>
      </c>
    </row>
    <row r="3036" ht="15.75" customHeight="1">
      <c r="A3036" s="1">
        <v>3034.0</v>
      </c>
      <c r="B3036" s="3" t="s">
        <v>3036</v>
      </c>
      <c r="C3036" s="3" t="str">
        <f>IFERROR(__xludf.DUMMYFUNCTION("GOOGLETRANSLATE(B3036,""id"",""en"")"),"['Knp', 'Telkomsel', 'Bngt', 'Take', 'Credit', 'STTS', 'COMFORMENT', 'Internet', 'Rates',' Credit ',' Quota ',' Internet ',' Banyaaaaak ',' Missed ',' Cut ',' Nyari ',' Untung ',' It's', '']")</f>
        <v>['Knp', 'Telkomsel', 'Bngt', 'Take', 'Credit', 'STTS', 'COMFORMENT', 'Internet', 'Rates',' Credit ',' Quota ',' Internet ',' Banyaaaaak ',' Missed ',' Cut ',' Nyari ',' Untung ',' It's', '']</v>
      </c>
      <c r="D3036" s="3">
        <v>1.0</v>
      </c>
    </row>
    <row r="3037" ht="15.75" customHeight="1">
      <c r="A3037" s="1">
        <v>3035.0</v>
      </c>
      <c r="B3037" s="3" t="s">
        <v>3037</v>
      </c>
      <c r="C3037" s="3" t="str">
        <f>IFERROR(__xludf.DUMMYFUNCTION("GOOGLETRANSLATE(B3037,""id"",""en"")"),"['Price', 'Doang', 'expensive', 'missing', 'network', 'tournament', 'ilang', 'mulu', 'signal', 'rich', 'gini', 'mending', ' The price ',' down ',' buy ',' quota ',' expensive ',' ilang ',' mulu ',' network ',' gara ',' signal ',' doang ',' lost ',' mulu '"&amp;" , 'cave', 'taekk']")</f>
        <v>['Price', 'Doang', 'expensive', 'missing', 'network', 'tournament', 'ilang', 'mulu', 'signal', 'rich', 'gini', 'mending', ' The price ',' down ',' buy ',' quota ',' expensive ',' ilang ',' mulu ',' network ',' gara ',' signal ',' doang ',' lost ',' mulu ' , 'cave', 'taekk']</v>
      </c>
      <c r="D3037" s="3">
        <v>1.0</v>
      </c>
    </row>
    <row r="3038" ht="15.75" customHeight="1">
      <c r="A3038" s="1">
        <v>3036.0</v>
      </c>
      <c r="B3038" s="3" t="s">
        <v>3038</v>
      </c>
      <c r="C3038" s="3" t="str">
        <f>IFERROR(__xludf.DUMMYFUNCTION("GOOGLETRANSLATE(B3038,""id"",""en"")"),"['Application', 'Telkomsel', 'Gaak', 'Direct', 'Pay', 'Diamond', 'Game', 'Must', 'Lewal', 'Points',' Wallet ',' Wallet ',' Points', 'Application', 'Download', 'Application', '']")</f>
        <v>['Application', 'Telkomsel', 'Gaak', 'Direct', 'Pay', 'Diamond', 'Game', 'Must', 'Lewal', 'Points',' Wallet ',' Wallet ',' Points', 'Application', 'Download', 'Application', '']</v>
      </c>
      <c r="D3038" s="3">
        <v>2.0</v>
      </c>
    </row>
    <row r="3039" ht="15.75" customHeight="1">
      <c r="A3039" s="1">
        <v>3037.0</v>
      </c>
      <c r="B3039" s="3" t="s">
        <v>3039</v>
      </c>
      <c r="C3039" s="3" t="str">
        <f>IFERROR(__xludf.DUMMYFUNCTION("GOOGLETRANSLATE(B3039,""id"",""en"")"),"['update', 'package', 'as soon as', 'expensive', 'parahh', 'abissss']")</f>
        <v>['update', 'package', 'as soon as', 'expensive', 'parahh', 'abissss']</v>
      </c>
      <c r="D3039" s="3">
        <v>1.0</v>
      </c>
    </row>
    <row r="3040" ht="15.75" customHeight="1">
      <c r="A3040" s="1">
        <v>3038.0</v>
      </c>
      <c r="B3040" s="3" t="s">
        <v>3040</v>
      </c>
      <c r="C3040" s="3" t="str">
        <f>IFERROR(__xludf.DUMMYFUNCTION("GOOGLETRANSLATE(B3040,""id"",""en"")"),"['Loading', 'Page', 'Condition', 'Network', 'Good', 'Please', 'Fast', 'handled']")</f>
        <v>['Loading', 'Page', 'Condition', 'Network', 'Good', 'Please', 'Fast', 'handled']</v>
      </c>
      <c r="D3040" s="3">
        <v>1.0</v>
      </c>
    </row>
    <row r="3041" ht="15.75" customHeight="1">
      <c r="A3041" s="1">
        <v>3039.0</v>
      </c>
      <c r="B3041" s="3" t="s">
        <v>3041</v>
      </c>
      <c r="C3041" s="3" t="str">
        <f>IFERROR(__xludf.DUMMYFUNCTION("GOOGLETRANSLATE(B3041,""id"",""en"")"),"['pulse', 'drained', 'make', 'internet', 'package', 'internet', 'masi', 'active', 'contents',' pulse ',' according to ',' pakrt ',' purchased ',' leftover ',' pulse ',' sucked ',' run out ',' pulse ']")</f>
        <v>['pulse', 'drained', 'make', 'internet', 'package', 'internet', 'masi', 'active', 'contents',' pulse ',' according to ',' pakrt ',' purchased ',' leftover ',' pulse ',' sucked ',' run out ',' pulse ']</v>
      </c>
      <c r="D3041" s="3">
        <v>1.0</v>
      </c>
    </row>
    <row r="3042" ht="15.75" customHeight="1">
      <c r="A3042" s="1">
        <v>3040.0</v>
      </c>
      <c r="B3042" s="3" t="s">
        <v>3042</v>
      </c>
      <c r="C3042" s="3" t="str">
        <f>IFERROR(__xludf.DUMMYFUNCTION("GOOGLETRANSLATE(B3042,""id"",""en"")"),"['Love', 'Bintang', 'Good', 'Functional', 'Destimored', 'Performance', 'App', 'Lemot', 'Hopefully', 'repaired', 'front', 'Greetings',' ']")</f>
        <v>['Love', 'Bintang', 'Good', 'Functional', 'Destimored', 'Performance', 'App', 'Lemot', 'Hopefully', 'repaired', 'front', 'Greetings',' ']</v>
      </c>
      <c r="D3042" s="3">
        <v>4.0</v>
      </c>
    </row>
    <row r="3043" ht="15.75" customHeight="1">
      <c r="A3043" s="1">
        <v>3041.0</v>
      </c>
      <c r="B3043" s="3" t="s">
        <v>3043</v>
      </c>
      <c r="C3043" s="3" t="str">
        <f>IFERROR(__xludf.DUMMYFUNCTION("GOOGLETRANSLATE(B3043,""id"",""en"")"),"['strange', 'run out', 'pulses',' contents', 'trrus',' list ',' package ',' internet ',' pulse ',' msh ',' leftover ',' sumps', ' Quota ',' UDH ',' Cut ',' Credit ',' Cut ',' Disappointed ',' ']")</f>
        <v>['strange', 'run out', 'pulses',' contents', 'trrus',' list ',' package ',' internet ',' pulse ',' msh ',' leftover ',' sumps', ' Quota ',' UDH ',' Cut ',' Credit ',' Cut ',' Disappointed ',' ']</v>
      </c>
      <c r="D3043" s="3">
        <v>2.0</v>
      </c>
    </row>
    <row r="3044" ht="15.75" customHeight="1">
      <c r="A3044" s="1">
        <v>3042.0</v>
      </c>
      <c r="B3044" s="3" t="s">
        <v>3044</v>
      </c>
      <c r="C3044" s="3" t="str">
        <f>IFERROR(__xludf.DUMMYFUNCTION("GOOGLETRANSLATE(B3044,""id"",""en"")"),"['Please', 'love', 'feature', 'key', 'pulse', 'min', 'features', 'star', 'Thanks']")</f>
        <v>['Please', 'love', 'feature', 'key', 'pulse', 'min', 'features', 'star', 'Thanks']</v>
      </c>
      <c r="D3044" s="3">
        <v>3.0</v>
      </c>
    </row>
    <row r="3045" ht="15.75" customHeight="1">
      <c r="A3045" s="1">
        <v>3043.0</v>
      </c>
      <c r="B3045" s="3" t="s">
        <v>3045</v>
      </c>
      <c r="C3045" s="3" t="str">
        <f>IFERROR(__xludf.DUMMYFUNCTION("GOOGLETRANSLATE(B3045,""id"",""en"")"),"['quota', 'unlimited', 'UDH', 'rich', 'unlimited', 'except', 'youtube', 'jammed', 'skr', 'doang', 'bun', 'slow']")</f>
        <v>['quota', 'unlimited', 'UDH', 'rich', 'unlimited', 'except', 'youtube', 'jammed', 'skr', 'doang', 'bun', 'slow']</v>
      </c>
      <c r="D3045" s="3">
        <v>3.0</v>
      </c>
    </row>
    <row r="3046" ht="15.75" customHeight="1">
      <c r="A3046" s="1">
        <v>3044.0</v>
      </c>
      <c r="B3046" s="3" t="s">
        <v>3046</v>
      </c>
      <c r="C3046" s="3" t="str">
        <f>IFERROR(__xludf.DUMMYFUNCTION("GOOGLETRANSLATE(B3046,""id"",""en"")"),"['price', 'expensive', 'quality', 'ugly', 'play', 'mobile', 'legend', 'signal', 'ilang', 'what', 'thousand', 'ugly', ' very']")</f>
        <v>['price', 'expensive', 'quality', 'ugly', 'play', 'mobile', 'legend', 'signal', 'ilang', 'what', 'thousand', 'ugly', ' very']</v>
      </c>
      <c r="D3046" s="3">
        <v>1.0</v>
      </c>
    </row>
    <row r="3047" ht="15.75" customHeight="1">
      <c r="A3047" s="1">
        <v>3045.0</v>
      </c>
      <c r="B3047" s="3" t="s">
        <v>3047</v>
      </c>
      <c r="C3047" s="3" t="str">
        <f>IFERROR(__xludf.DUMMYFUNCTION("GOOGLETRANSLATE(B3047,""id"",""en"")"),"['take', 'package', 'emergency', 'credit', 'suck', 'Please', 'operator', 'Telkomsel', 'search', 'money', 'difficult', 'suck', ' not clear']")</f>
        <v>['take', 'package', 'emergency', 'credit', 'suck', 'Please', 'operator', 'Telkomsel', 'search', 'money', 'difficult', 'suck', ' not clear']</v>
      </c>
      <c r="D3047" s="3">
        <v>1.0</v>
      </c>
    </row>
    <row r="3048" ht="15.75" customHeight="1">
      <c r="A3048" s="1">
        <v>3046.0</v>
      </c>
      <c r="B3048" s="3" t="s">
        <v>3048</v>
      </c>
      <c r="C3048" s="3" t="str">
        <f>IFERROR(__xludf.DUMMYFUNCTION("GOOGLETRANSLATE(B3048,""id"",""en"")"),"['Dear', 'Telkomsel', 'like', 'ngaaco', 'teach', 'custamer', 'service', 'talk', 'ayang', 'honest', 'like', 'lie', ' Kasi, 'promo', 'promo', 'card', 'violated', 'card', 'Hallo', 'stop', 'card', 'Hello', 'moved', 'basic', 'Telkomsel' , 'Looks', 'lie', '']")</f>
        <v>['Dear', 'Telkomsel', 'like', 'ngaaco', 'teach', 'custamer', 'service', 'talk', 'ayang', 'honest', 'like', 'lie', ' Kasi, 'promo', 'promo', 'card', 'violated', 'card', 'Hallo', 'stop', 'card', 'Hello', 'moved', 'basic', 'Telkomsel' , 'Looks', 'lie', '']</v>
      </c>
      <c r="D3048" s="3">
        <v>1.0</v>
      </c>
    </row>
    <row r="3049" ht="15.75" customHeight="1">
      <c r="A3049" s="1">
        <v>3047.0</v>
      </c>
      <c r="B3049" s="3" t="s">
        <v>3049</v>
      </c>
      <c r="C3049" s="3" t="str">
        <f>IFERROR(__xludf.DUMMYFUNCTION("GOOGLETRANSLATE(B3049,""id"",""en"")"),"['Telkomsel', 'package', 'gamemax', 'quality', 'internet', 'bad', 'in the area', 'my stay', 'play', 'game', 'network', 'internet', ' Disconnect ',' Connect ',' mean ',' Try ',' intentional ',' package ',' bought ',' use ',' money ',' Lho ',' free ',' user"&amp;" ',' disappointed ' , 'ping', 'game', 'bad', 'above', 'ms', ""]")</f>
        <v>['Telkomsel', 'package', 'gamemax', 'quality', 'internet', 'bad', 'in the area', 'my stay', 'play', 'game', 'network', 'internet', ' Disconnect ',' Connect ',' mean ',' Try ',' intentional ',' package ',' bought ',' use ',' money ',' Lho ',' free ',' user ',' disappointed ' , 'ping', 'game', 'bad', 'above', 'ms', "]</v>
      </c>
      <c r="D3049" s="3">
        <v>1.0</v>
      </c>
    </row>
    <row r="3050" ht="15.75" customHeight="1">
      <c r="A3050" s="1">
        <v>3048.0</v>
      </c>
      <c r="B3050" s="3" t="s">
        <v>3050</v>
      </c>
      <c r="C3050" s="3" t="str">
        <f>IFERROR(__xludf.DUMMYFUNCTION("GOOGLETRANSLATE(B3050,""id"",""en"")"),"['How', 'talk', 'Gini', 'Nihh', 'YouTube', 'watch', 'smooth', 'nihh', 'game', 'business',' download ',' Ngebrowser ',' LEMOTTTT ',' Ampunmm ',' Try ',' Deh ',' Komen ',' Pliss', 'Fix']")</f>
        <v>['How', 'talk', 'Gini', 'Nihh', 'YouTube', 'watch', 'smooth', 'nihh', 'game', 'business',' download ',' Ngebrowser ',' LEMOTTTT ',' Ampunmm ',' Try ',' Deh ',' Komen ',' Pliss', 'Fix']</v>
      </c>
      <c r="D3050" s="3">
        <v>5.0</v>
      </c>
    </row>
    <row r="3051" ht="15.75" customHeight="1">
      <c r="A3051" s="1">
        <v>3049.0</v>
      </c>
      <c r="B3051" s="3" t="s">
        <v>3051</v>
      </c>
      <c r="C3051" s="3" t="str">
        <f>IFERROR(__xludf.DUMMYFUNCTION("GOOGLETRANSLATE(B3051,""id"",""en"")"),"['Sis',' Network ',' Telkomsel ',' Region ',' Lost ',' Sis', 'Already', 'Saturday', 'September', 'Region', 'Kelurahan', 'Balai', ' King ',' Subdistrict ',' Edge ',' County ',' Bengkalis', 'Province', 'Riau', 'Camatan', 'Constraints',' Network ',' Whatever"&amp;" ',' Saturday ',' Yesterday ' , 'Feel', 'network', 'internet', 'problematic', 'line', 'beg', 'answer', 'brother']")</f>
        <v>['Sis',' Network ',' Telkomsel ',' Region ',' Lost ',' Sis', 'Already', 'Saturday', 'September', 'Region', 'Kelurahan', 'Balai', ' King ',' Subdistrict ',' Edge ',' County ',' Bengkalis', 'Province', 'Riau', 'Camatan', 'Constraints',' Network ',' Whatever ',' Saturday ',' Yesterday ' , 'Feel', 'network', 'internet', 'problematic', 'line', 'beg', 'answer', 'brother']</v>
      </c>
      <c r="D3051" s="3">
        <v>3.0</v>
      </c>
    </row>
    <row r="3052" ht="15.75" customHeight="1">
      <c r="A3052" s="1">
        <v>3050.0</v>
      </c>
      <c r="B3052" s="3" t="s">
        <v>3052</v>
      </c>
      <c r="C3052" s="3" t="str">
        <f>IFERROR(__xludf.DUMMYFUNCTION("GOOGLETRANSLATE(B3052,""id"",""en"")"),"['sympathy', 'network', 'severe', 'severe', 'kapok', 'credit', 'emergency', 'quota', 'GB', 'a minute', 'ilang', 'ngerugiin', ' people ',' donk ',' severe ']")</f>
        <v>['sympathy', 'network', 'severe', 'severe', 'kapok', 'credit', 'emergency', 'quota', 'GB', 'a minute', 'ilang', 'ngerugiin', ' people ',' donk ',' severe ']</v>
      </c>
      <c r="D3052" s="3">
        <v>1.0</v>
      </c>
    </row>
    <row r="3053" ht="15.75" customHeight="1">
      <c r="A3053" s="1">
        <v>3051.0</v>
      </c>
      <c r="B3053" s="3" t="s">
        <v>3053</v>
      </c>
      <c r="C3053" s="3" t="str">
        <f>IFERROR(__xludf.DUMMYFUNCTION("GOOGLETRANSLATE(B3053,""id"",""en"")"),"['Signal', 'Telkomsel', 'Good', 'Change', 'Card', 'Operator', 'DSNI', '']")</f>
        <v>['Signal', 'Telkomsel', 'Good', 'Change', 'Card', 'Operator', 'DSNI', '']</v>
      </c>
      <c r="D3053" s="3">
        <v>2.0</v>
      </c>
    </row>
    <row r="3054" ht="15.75" customHeight="1">
      <c r="A3054" s="1">
        <v>3052.0</v>
      </c>
      <c r="B3054" s="3" t="s">
        <v>3054</v>
      </c>
      <c r="C3054" s="3" t="str">
        <f>IFERROR(__xludf.DUMMYFUNCTION("GOOGLETRANSLATE(B3054,""id"",""en"")"),"['package', 'expensive', 'network', 'lol', 'replied', 'budi', 'Telkomsel', 'package', 'pay', 'expensive', 'expensive', 'network', ' Error ']")</f>
        <v>['package', 'expensive', 'network', 'lol', 'replied', 'budi', 'Telkomsel', 'package', 'pay', 'expensive', 'expensive', 'network', ' Error ']</v>
      </c>
      <c r="D3054" s="3">
        <v>1.0</v>
      </c>
    </row>
    <row r="3055" ht="15.75" customHeight="1">
      <c r="A3055" s="1">
        <v>3053.0</v>
      </c>
      <c r="B3055" s="3" t="s">
        <v>3055</v>
      </c>
      <c r="C3055" s="3" t="str">
        <f>IFERROR(__xludf.DUMMYFUNCTION("GOOGLETRANSLATE(B3055,""id"",""en"")"),"['complaint', 'mode', 'fraud', 'effective', 'wants', 'branch', 'grapari', 'direct', '']")</f>
        <v>['complaint', 'mode', 'fraud', 'effective', 'wants', 'branch', 'grapari', 'direct', '']</v>
      </c>
      <c r="D3055" s="3">
        <v>1.0</v>
      </c>
    </row>
    <row r="3056" ht="15.75" customHeight="1">
      <c r="A3056" s="1">
        <v>3054.0</v>
      </c>
      <c r="B3056" s="3" t="s">
        <v>3056</v>
      </c>
      <c r="C3056" s="3" t="str">
        <f>IFERROR(__xludf.DUMMYFUNCTION("GOOGLETRANSLATE(B3056,""id"",""en"")"),"['Please', 'Sorry', 'Love', 'Ranting', 'Application', 'Card', 'Sister', 'Okay', 'Good', 'TPI', 'Card', 'Different', ' expensive ',' expensive ',' please ',' repaired ',' krna ',' sya ',' like ',' pkai ',' application ']")</f>
        <v>['Please', 'Sorry', 'Love', 'Ranting', 'Application', 'Card', 'Sister', 'Okay', 'Good', 'TPI', 'Card', 'Different', ' expensive ',' expensive ',' please ',' repaired ',' krna ',' sya ',' like ',' pkai ',' application ']</v>
      </c>
      <c r="D3056" s="3">
        <v>4.0</v>
      </c>
    </row>
    <row r="3057" ht="15.75" customHeight="1">
      <c r="A3057" s="1">
        <v>3055.0</v>
      </c>
      <c r="B3057" s="3" t="s">
        <v>3057</v>
      </c>
      <c r="C3057" s="3" t="str">
        <f>IFERROR(__xludf.DUMMYFUNCTION("GOOGLETRANSLATE(B3057,""id"",""en"")"),"['leftover', 'pulse', 'suck', 'srmu', 'quota', 'internet', 'pulses',' suck ',' also ',' emng ',' save ',' pulses', ' Telkomsel ',' yaa ',' lock ',' pulses', 'loss',' leftover ',' pulse ',' buy ',' quota ',' internet ',' response ',' min ',' ']")</f>
        <v>['leftover', 'pulse', 'suck', 'srmu', 'quota', 'internet', 'pulses',' suck ',' also ',' emng ',' save ',' pulses', ' Telkomsel ',' yaa ',' lock ',' pulses', 'loss',' leftover ',' pulse ',' buy ',' quota ',' internet ',' response ',' min ',' ']</v>
      </c>
      <c r="D3057" s="3">
        <v>1.0</v>
      </c>
    </row>
    <row r="3058" ht="15.75" customHeight="1">
      <c r="A3058" s="1">
        <v>3056.0</v>
      </c>
      <c r="B3058" s="3" t="s">
        <v>3058</v>
      </c>
      <c r="C3058" s="3" t="str">
        <f>IFERROR(__xludf.DUMMYFUNCTION("GOOGLETRANSLATE(B3058,""id"",""en"")"),"['Signal', 'Sometimes', 'trs', '']")</f>
        <v>['Signal', 'Sometimes', 'trs', '']</v>
      </c>
      <c r="D3058" s="3">
        <v>3.0</v>
      </c>
    </row>
    <row r="3059" ht="15.75" customHeight="1">
      <c r="A3059" s="1">
        <v>3057.0</v>
      </c>
      <c r="B3059" s="3" t="s">
        <v>3059</v>
      </c>
      <c r="C3059" s="3" t="str">
        <f>IFERROR(__xludf.DUMMYFUNCTION("GOOGLETRANSLATE(B3059,""id"",""en"")"),"['The rest', 'sorry', 'loyal', 'use', 'Telkomsel', 'please', 'signal', 'Telkomsel', 'area', 'stable', 'sand', 'Pinang', ' Village ',' Kadu ',' Umbrella ',' Kec ',' Menes', 'Kab', 'Pandeglang', 'Prov', 'Banten', 'please', 'help', 'thank', 'love' ]")</f>
        <v>['The rest', 'sorry', 'loyal', 'use', 'Telkomsel', 'please', 'signal', 'Telkomsel', 'area', 'stable', 'sand', 'Pinang', ' Village ',' Kadu ',' Umbrella ',' Kec ',' Menes', 'Kab', 'Pandeglang', 'Prov', 'Banten', 'please', 'help', 'thank', 'love' ]</v>
      </c>
      <c r="D3059" s="3">
        <v>1.0</v>
      </c>
    </row>
    <row r="3060" ht="15.75" customHeight="1">
      <c r="A3060" s="1">
        <v>3058.0</v>
      </c>
      <c r="B3060" s="3" t="s">
        <v>3060</v>
      </c>
      <c r="C3060" s="3" t="str">
        <f>IFERROR(__xludf.DUMMYFUNCTION("GOOGLETRANSLATE(B3060,""id"",""en"")"),"['number', 'Telkomsel', 'expensive','A ',' friend ',' cheap ',' cheap ', ""]")</f>
        <v>['number', 'Telkomsel', 'expensive','A ',' friend ',' cheap ',' cheap ', "]</v>
      </c>
      <c r="D3060" s="3">
        <v>5.0</v>
      </c>
    </row>
    <row r="3061" ht="15.75" customHeight="1">
      <c r="A3061" s="1">
        <v>3059.0</v>
      </c>
      <c r="B3061" s="3" t="s">
        <v>3061</v>
      </c>
      <c r="C3061" s="3" t="str">
        <f>IFERROR(__xludf.DUMMYFUNCTION("GOOGLETRANSLATE(B3061,""id"",""en"")"),"['pulse', 'cave', 'take', 'quota', 'pulse', 'tetep', 'take', 'haram', 'emang', 'telkomsel', 'anjig', 'loss',' Cave ',' buy ',' plsa ',' take ']")</f>
        <v>['pulse', 'cave', 'take', 'quota', 'pulse', 'tetep', 'take', 'haram', 'emang', 'telkomsel', 'anjig', 'loss',' Cave ',' buy ',' plsa ',' take ']</v>
      </c>
      <c r="D3061" s="3">
        <v>1.0</v>
      </c>
    </row>
    <row r="3062" ht="15.75" customHeight="1">
      <c r="A3062" s="1">
        <v>3060.0</v>
      </c>
      <c r="B3062" s="3" t="s">
        <v>3062</v>
      </c>
      <c r="C3062" s="3" t="str">
        <f>IFERROR(__xludf.DUMMYFUNCTION("GOOGLETRANSLATE(B3062,""id"",""en"")"),"['Telkomsel', 'error', 'my place', 'network']")</f>
        <v>['Telkomsel', 'error', 'my place', 'network']</v>
      </c>
      <c r="D3062" s="3">
        <v>2.0</v>
      </c>
    </row>
    <row r="3063" ht="15.75" customHeight="1">
      <c r="A3063" s="1">
        <v>3061.0</v>
      </c>
      <c r="B3063" s="3" t="s">
        <v>3063</v>
      </c>
      <c r="C3063" s="3" t="str">
        <f>IFERROR(__xludf.DUMMYFUNCTION("GOOGLETRANSLATE(B3063,""id"",""en"")"),"['already', 'good', 'repaired', 'bug', 'buy', 'package', 'sometimes',' pulse ',' right ',' buy ',' package ',' buy ',' pulse', '']")</f>
        <v>['already', 'good', 'repaired', 'bug', 'buy', 'package', 'sometimes',' pulse ',' right ',' buy ',' package ',' buy ',' pulse', '']</v>
      </c>
      <c r="D3063" s="3">
        <v>4.0</v>
      </c>
    </row>
    <row r="3064" ht="15.75" customHeight="1">
      <c r="A3064" s="1">
        <v>3062.0</v>
      </c>
      <c r="B3064" s="3" t="s">
        <v>3064</v>
      </c>
      <c r="C3064" s="3" t="str">
        <f>IFERROR(__xludf.DUMMYFUNCTION("GOOGLETRANSLATE(B3064,""id"",""en"")"),"['mistaken', 'buy', 'package', 'xtream', 'no', 'mean', 'package', 'data', 'internet', '']")</f>
        <v>['mistaken', 'buy', 'package', 'xtream', 'no', 'mean', 'package', 'data', 'internet', '']</v>
      </c>
      <c r="D3064" s="3">
        <v>5.0</v>
      </c>
    </row>
    <row r="3065" ht="15.75" customHeight="1">
      <c r="A3065" s="1">
        <v>3063.0</v>
      </c>
      <c r="B3065" s="3" t="s">
        <v>3065</v>
      </c>
      <c r="C3065" s="3" t="str">
        <f>IFERROR(__xludf.DUMMYFUNCTION("GOOGLETRANSLATE(B3065,""id"",""en"")"),"['Telkomsel', 'Santayah', 'Kuote', 'Internet', 'Conscine', 'Data', 'Credit', 'Regular', 'Hadeuuh', 'Darling', 'Contents',' Credit ',' ',' already ',' network ',' slow ',' basically ',' poor ',' poor ',' poor ']")</f>
        <v>['Telkomsel', 'Santayah', 'Kuote', 'Internet', 'Conscine', 'Data', 'Credit', 'Regular', 'Hadeuuh', 'Darling', 'Contents',' Credit ',' ',' already ',' network ',' slow ',' basically ',' poor ',' poor ',' poor ']</v>
      </c>
      <c r="D3065" s="3">
        <v>1.0</v>
      </c>
    </row>
    <row r="3066" ht="15.75" customHeight="1">
      <c r="A3066" s="1">
        <v>3064.0</v>
      </c>
      <c r="B3066" s="3" t="s">
        <v>3066</v>
      </c>
      <c r="C3066" s="3" t="str">
        <f>IFERROR(__xludf.DUMMYFUNCTION("GOOGLETRANSLATE(B3066,""id"",""en"")"),"['Kartuku', 'old', 'th', 'Please', 'Telkomsel', 'loyal', 'myself', 'to you', 'love', 'promo', 'to me', 'card', ' Telkomsel ',' Package ',' Cheap ',' Meriah ',' ']")</f>
        <v>['Kartuku', 'old', 'th', 'Please', 'Telkomsel', 'loyal', 'myself', 'to you', 'love', 'promo', 'to me', 'card', ' Telkomsel ',' Package ',' Cheap ',' Meriah ',' ']</v>
      </c>
      <c r="D3066" s="3">
        <v>5.0</v>
      </c>
    </row>
    <row r="3067" ht="15.75" customHeight="1">
      <c r="A3067" s="1">
        <v>3065.0</v>
      </c>
      <c r="B3067" s="3" t="s">
        <v>3067</v>
      </c>
      <c r="C3067" s="3" t="str">
        <f>IFERROR(__xludf.DUMMYFUNCTION("GOOGLETRANSLATE(B3067,""id"",""en"")"),"['Cool', 'Honey', 'Gift', 'Exchange', 'Point', 'Veronika', 'Change', 'Simpotelly', 'Ajh']")</f>
        <v>['Cool', 'Honey', 'Gift', 'Exchange', 'Point', 'Veronika', 'Change', 'Simpotelly', 'Ajh']</v>
      </c>
      <c r="D3067" s="3">
        <v>5.0</v>
      </c>
    </row>
    <row r="3068" ht="15.75" customHeight="1">
      <c r="A3068" s="1">
        <v>3066.0</v>
      </c>
      <c r="B3068" s="3" t="s">
        <v>3068</v>
      </c>
      <c r="C3068" s="3" t="str">
        <f>IFERROR(__xludf.DUMMYFUNCTION("GOOGLETRANSLATE(B3068,""id"",""en"")"),"['Review', 'connection', 'internet', 'response', 'internet', 'slow', 'connect', 'bro']")</f>
        <v>['Review', 'connection', 'internet', 'response', 'internet', 'slow', 'connect', 'bro']</v>
      </c>
      <c r="D3068" s="3">
        <v>1.0</v>
      </c>
    </row>
    <row r="3069" ht="15.75" customHeight="1">
      <c r="A3069" s="1">
        <v>3067.0</v>
      </c>
      <c r="B3069" s="3" t="s">
        <v>3069</v>
      </c>
      <c r="C3069" s="3" t="str">
        <f>IFERROR(__xludf.DUMMYFUNCTION("GOOGLETRANSLATE(B3069,""id"",""en"")"),"['Current', 'opened', 'bln', 'difficult', 'black', 'screen', 'repeated', '']")</f>
        <v>['Current', 'opened', 'bln', 'difficult', 'black', 'screen', 'repeated', '']</v>
      </c>
      <c r="D3069" s="3">
        <v>3.0</v>
      </c>
    </row>
    <row r="3070" ht="15.75" customHeight="1">
      <c r="A3070" s="1">
        <v>3068.0</v>
      </c>
      <c r="B3070" s="3" t="s">
        <v>3070</v>
      </c>
      <c r="C3070" s="3" t="str">
        <f>IFERROR(__xludf.DUMMYFUNCTION("GOOGLETRANSLATE(B3070,""id"",""en"")"),"['bad', 'dead', 'reset', 'slow', 'spin', 'play', 'pdhl', 'practical', 'skrg', 'story', 'use', 'application', ' hinder']")</f>
        <v>['bad', 'dead', 'reset', 'slow', 'spin', 'play', 'pdhl', 'practical', 'skrg', 'story', 'use', 'application', ' hinder']</v>
      </c>
      <c r="D3070" s="3">
        <v>1.0</v>
      </c>
    </row>
    <row r="3071" ht="15.75" customHeight="1">
      <c r="A3071" s="1">
        <v>3069.0</v>
      </c>
      <c r="B3071" s="3" t="s">
        <v>3071</v>
      </c>
      <c r="C3071" s="3" t="str">
        <f>IFERROR(__xludf.DUMMYFUNCTION("GOOGLETRANSLATE(B3071,""id"",""en"")"),"['Kouta', 'Game', 'Kouta', 'Main', 'Out', 'Speed', 'Signal', 'Game', 'Down', 'Derast', ""]")</f>
        <v>['Kouta', 'Game', 'Kouta', 'Main', 'Out', 'Speed', 'Signal', 'Game', 'Down', 'Derast', "]</v>
      </c>
      <c r="D3071" s="3">
        <v>1.0</v>
      </c>
    </row>
    <row r="3072" ht="15.75" customHeight="1">
      <c r="A3072" s="1">
        <v>3070.0</v>
      </c>
      <c r="B3072" s="3" t="s">
        <v>3072</v>
      </c>
      <c r="C3072" s="3" t="str">
        <f>IFERROR(__xludf.DUMMYFUNCTION("GOOGLETRANSLATE(B3072,""id"",""en"")"),"['Nga', 'proud of', 'signal', 'internet', 'slow', 'unigned', 'speed', 'Telkomsel', 'improving', 'spy', 'moved', 'next door', ' ']")</f>
        <v>['Nga', 'proud of', 'signal', 'internet', 'slow', 'unigned', 'speed', 'Telkomsel', 'improving', 'spy', 'moved', 'next door', ' ']</v>
      </c>
      <c r="D3072" s="3">
        <v>1.0</v>
      </c>
    </row>
    <row r="3073" ht="15.75" customHeight="1">
      <c r="A3073" s="1">
        <v>3071.0</v>
      </c>
      <c r="B3073" s="3" t="s">
        <v>3073</v>
      </c>
      <c r="C3073" s="3" t="str">
        <f>IFERROR(__xludf.DUMMYFUNCTION("GOOGLETRANSLATE(B3073,""id"",""en"")"),"['price', 'quality', 'expensive', 'see', 'total', 'heart', 'quota', 'main', 'friend', 'kqlau', 'quota', 'main', ' run out ',' guaranteed ',' chat ',' wkwkww ',' unlimitid ',' patient ',' unlimited ', ""]")</f>
        <v>['price', 'quality', 'expensive', 'see', 'total', 'heart', 'quota', 'main', 'friend', 'kqlau', 'quota', 'main', ' run out ',' guaranteed ',' chat ',' wkwkww ',' unlimitid ',' patient ',' unlimited ', "]</v>
      </c>
      <c r="D3073" s="3">
        <v>1.0</v>
      </c>
    </row>
    <row r="3074" ht="15.75" customHeight="1">
      <c r="A3074" s="1">
        <v>3072.0</v>
      </c>
      <c r="B3074" s="3" t="s">
        <v>3074</v>
      </c>
      <c r="C3074" s="3" t="str">
        <f>IFERROR(__xludf.DUMMYFUNCTION("GOOGLETRANSLATE(B3074,""id"",""en"")"),"['enter', 'application', 'Telkomsel', 'right', 'run out', 'updated', 'please', 'repair']")</f>
        <v>['enter', 'application', 'Telkomsel', 'right', 'run out', 'updated', 'please', 'repair']</v>
      </c>
      <c r="D3074" s="3">
        <v>2.0</v>
      </c>
    </row>
    <row r="3075" ht="15.75" customHeight="1">
      <c r="A3075" s="1">
        <v>3073.0</v>
      </c>
      <c r="B3075" s="3" t="s">
        <v>3075</v>
      </c>
      <c r="C3075" s="3" t="str">
        <f>IFERROR(__xludf.DUMMYFUNCTION("GOOGLETRANSLATE(B3075,""id"",""en"")"),"['Telkomsel', 'signal', 'strong', 'promo', 'service', 'fix', 'spy', 'pride', 'user']")</f>
        <v>['Telkomsel', 'signal', 'strong', 'promo', 'service', 'fix', 'spy', 'pride', 'user']</v>
      </c>
      <c r="D3075" s="3">
        <v>5.0</v>
      </c>
    </row>
    <row r="3076" ht="15.75" customHeight="1">
      <c r="A3076" s="1">
        <v>3074.0</v>
      </c>
      <c r="B3076" s="3" t="s">
        <v>3076</v>
      </c>
      <c r="C3076" s="3" t="str">
        <f>IFERROR(__xludf.DUMMYFUNCTION("GOOGLETRANSLATE(B3076,""id"",""en"")"),"['halah', 'taaii', 'price', 'money', 'mna', 'promo', 'promo', 'limited', 'unlimited', 'TPI', 'restricted', 'unlimited', ' GBLK ']")</f>
        <v>['halah', 'taaii', 'price', 'money', 'mna', 'promo', 'promo', 'limited', 'unlimited', 'TPI', 'restricted', 'unlimited', ' GBLK ']</v>
      </c>
      <c r="D3076" s="3">
        <v>1.0</v>
      </c>
    </row>
    <row r="3077" ht="15.75" customHeight="1">
      <c r="A3077" s="1">
        <v>3075.0</v>
      </c>
      <c r="B3077" s="3" t="s">
        <v>3077</v>
      </c>
      <c r="C3077" s="3" t="str">
        <f>IFERROR(__xludf.DUMMYFUNCTION("GOOGLETRANSLATE(B3077,""id"",""en"")"),"['please', 'package', 'expensive', 'kerena', 'the application', 'good', 'bnyak', 'help']")</f>
        <v>['please', 'package', 'expensive', 'kerena', 'the application', 'good', 'bnyak', 'help']</v>
      </c>
      <c r="D3077" s="3">
        <v>5.0</v>
      </c>
    </row>
    <row r="3078" ht="15.75" customHeight="1">
      <c r="A3078" s="1">
        <v>3076.0</v>
      </c>
      <c r="B3078" s="3" t="s">
        <v>3078</v>
      </c>
      <c r="C3078" s="3" t="str">
        <f>IFERROR(__xludf.DUMMYFUNCTION("GOOGLETRANSLATE(B3078,""id"",""en"")"),"['buy', 'quota', 'learn', 'number', 'menu']")</f>
        <v>['buy', 'quota', 'learn', 'number', 'menu']</v>
      </c>
      <c r="D3078" s="3">
        <v>1.0</v>
      </c>
    </row>
    <row r="3079" ht="15.75" customHeight="1">
      <c r="A3079" s="1">
        <v>3077.0</v>
      </c>
      <c r="B3079" s="3" t="s">
        <v>3079</v>
      </c>
      <c r="C3079" s="3" t="str">
        <f>IFERROR(__xludf.DUMMYFUNCTION("GOOGLETRANSLATE(B3079,""id"",""en"")"),"['Telkomsel', 'gimaaaaa', 'yesterday', 'fill', 'reset', 'pulse', 'then', 'check', 'lived', 'rupiah', 'please', 'what' its clarity ',' loss', 'thousand', 'money', 'purpose', 'buy', 'credit', 'claim', 'quota', 'free', 'gini', 'giniaaa', 'yes' , 'buy', 'buy'"&amp;", 'pulses',' really ',' please ',' really ',' anjerrrrr ',' God ',' emotion ',' morning ',' morning ',' Gara ',' Telkomsel ']")</f>
        <v>['Telkomsel', 'gimaaaaa', 'yesterday', 'fill', 'reset', 'pulse', 'then', 'check', 'lived', 'rupiah', 'please', 'what' its clarity ',' loss', 'thousand', 'money', 'purpose', 'buy', 'credit', 'claim', 'quota', 'free', 'gini', 'giniaaa', 'yes' , 'buy', 'buy', 'pulses',' really ',' please ',' really ',' anjerrrrr ',' God ',' emotion ',' morning ',' morning ',' Gara ',' Telkomsel ']</v>
      </c>
      <c r="D3079" s="3">
        <v>1.0</v>
      </c>
    </row>
    <row r="3080" ht="15.75" customHeight="1">
      <c r="A3080" s="1">
        <v>3078.0</v>
      </c>
      <c r="B3080" s="3" t="s">
        <v>3080</v>
      </c>
      <c r="C3080" s="3" t="str">
        <f>IFERROR(__xludf.DUMMYFUNCTION("GOOGLETRANSLATE(B3080,""id"",""en"")"),"['Program', 'Daily', 'Check', 'Points', 'Delete', 'Claims', 'Gift', 'What']")</f>
        <v>['Program', 'Daily', 'Check', 'Points', 'Delete', 'Claims', 'Gift', 'What']</v>
      </c>
      <c r="D3080" s="3">
        <v>3.0</v>
      </c>
    </row>
    <row r="3081" ht="15.75" customHeight="1">
      <c r="A3081" s="1">
        <v>3079.0</v>
      </c>
      <c r="B3081" s="3" t="s">
        <v>3081</v>
      </c>
      <c r="C3081" s="3" t="str">
        <f>IFERROR(__xludf.DUMMYFUNCTION("GOOGLETRANSLATE(B3081,""id"",""en"")"),"['What', 'enter', 'code', 'link', 'send', 'send', 'follow', 'instructions', 'send']")</f>
        <v>['What', 'enter', 'code', 'link', 'send', 'send', 'follow', 'instructions', 'send']</v>
      </c>
      <c r="D3081" s="3">
        <v>1.0</v>
      </c>
    </row>
    <row r="3082" ht="15.75" customHeight="1">
      <c r="A3082" s="1">
        <v>3080.0</v>
      </c>
      <c r="B3082" s="3" t="s">
        <v>3082</v>
      </c>
      <c r="C3082" s="3" t="str">
        <f>IFERROR(__xludf.DUMMYFUNCTION("GOOGLETRANSLATE(B3082,""id"",""en"")"),"['application', 'times', 'finished', 'open', 'application', 'notification', 'application', 'Telkomsel', 'use', 'power']")</f>
        <v>['application', 'times', 'finished', 'open', 'application', 'notification', 'application', 'Telkomsel', 'use', 'power']</v>
      </c>
      <c r="D3082" s="3">
        <v>4.0</v>
      </c>
    </row>
    <row r="3083" ht="15.75" customHeight="1">
      <c r="A3083" s="1">
        <v>3081.0</v>
      </c>
      <c r="B3083" s="3" t="s">
        <v>3083</v>
      </c>
      <c r="C3083" s="3" t="str">
        <f>IFERROR(__xludf.DUMMYFUNCTION("GOOGLETRANSLATE(B3083,""id"",""en"")"),"['Telkomsel', 'network', 'koq', 'karuan', 'package', 'expensive', 'network', 'delay', 'series', 'really', 'poor']")</f>
        <v>['Telkomsel', 'network', 'koq', 'karuan', 'package', 'expensive', 'network', 'delay', 'series', 'really', 'poor']</v>
      </c>
      <c r="D3083" s="3">
        <v>1.0</v>
      </c>
    </row>
    <row r="3084" ht="15.75" customHeight="1">
      <c r="A3084" s="1">
        <v>3082.0</v>
      </c>
      <c r="B3084" s="3" t="s">
        <v>3084</v>
      </c>
      <c r="C3084" s="3" t="str">
        <f>IFERROR(__xludf.DUMMYFUNCTION("GOOGLETRANSLATE(B3084,""id"",""en"")"),"['The application', 'Telkomsel', 'a month', 'update', 'annoying', 'knpa', 'application', 'fanatik', 'update']")</f>
        <v>['The application', 'Telkomsel', 'a month', 'update', 'annoying', 'knpa', 'application', 'fanatik', 'update']</v>
      </c>
      <c r="D3084" s="3">
        <v>3.0</v>
      </c>
    </row>
    <row r="3085" ht="15.75" customHeight="1">
      <c r="A3085" s="1">
        <v>3083.0</v>
      </c>
      <c r="B3085" s="3" t="s">
        <v>3085</v>
      </c>
      <c r="C3085" s="3" t="str">
        <f>IFERROR(__xludf.DUMMYFUNCTION("GOOGLETRANSLATE(B3085,""id"",""en"")"),"['option', 'option', 'package', 'internet', 'change', 'change', 'enter', 'sense', 'promo', 'interesting', 'sorry', 'love', ' Stars', 'Make', 'interesting', 'Options',' Entenance ',' Turns', 'Teaf', '']")</f>
        <v>['option', 'option', 'package', 'internet', 'change', 'change', 'enter', 'sense', 'promo', 'interesting', 'sorry', 'love', ' Stars', 'Make', 'interesting', 'Options',' Entenance ',' Turns', 'Teaf', '']</v>
      </c>
      <c r="D3085" s="3">
        <v>2.0</v>
      </c>
    </row>
    <row r="3086" ht="15.75" customHeight="1">
      <c r="A3086" s="1">
        <v>3084.0</v>
      </c>
      <c r="B3086" s="3" t="s">
        <v>3086</v>
      </c>
      <c r="C3086" s="3" t="str">
        <f>IFERROR(__xludf.DUMMYFUNCTION("GOOGLETRANSLATE(B3086,""id"",""en"")"),"['Network', 'bad', 'price', 'expensive', 'already', 'pakek', 'special', 'that's',' customer ',' price ',' comparable ',' quality ',' ']")</f>
        <v>['Network', 'bad', 'price', 'expensive', 'already', 'pakek', 'special', 'that's',' customer ',' price ',' comparable ',' quality ',' ']</v>
      </c>
      <c r="D3086" s="3">
        <v>1.0</v>
      </c>
    </row>
    <row r="3087" ht="15.75" customHeight="1">
      <c r="A3087" s="1">
        <v>3085.0</v>
      </c>
      <c r="B3087" s="3" t="s">
        <v>3087</v>
      </c>
      <c r="C3087" s="3" t="str">
        <f>IFERROR(__xludf.DUMMYFUNCTION("GOOGLETRANSLATE(B3087,""id"",""en"")"),"['Try', 'menu', 'control', 'pulse', 'myxl', 'worry', 'pulse', 'truncated', 'data', 'package', 'data', 'already', ' Abis', 'Choice', 'Package', 'Different', 'Card', 'Impressed', 'Select', 'Select', ""]")</f>
        <v>['Try', 'menu', 'control', 'pulse', 'myxl', 'worry', 'pulse', 'truncated', 'data', 'package', 'data', 'already', ' Abis', 'Choice', 'Package', 'Different', 'Card', 'Impressed', 'Select', 'Select', "]</v>
      </c>
      <c r="D3087" s="3">
        <v>1.0</v>
      </c>
    </row>
    <row r="3088" ht="15.75" customHeight="1">
      <c r="A3088" s="1">
        <v>3086.0</v>
      </c>
      <c r="B3088" s="3" t="s">
        <v>3088</v>
      </c>
      <c r="C3088" s="3" t="str">
        <f>IFERROR(__xludf.DUMMYFUNCTION("GOOGLETRANSLATE(B3088,""id"",""en"")"),"['Please', 'separated', 'pulse', 'ama', 'quota', 'kayak', 'cmn', 'count', 'minute', 'pulse', 'sumps',' forget ',' Turn off ',' data ',' quota ',' run out ',' ']")</f>
        <v>['Please', 'separated', 'pulse', 'ama', 'quota', 'kayak', 'cmn', 'count', 'minute', 'pulse', 'sumps',' forget ',' Turn off ',' data ',' quota ',' run out ',' ']</v>
      </c>
      <c r="D3088" s="3">
        <v>1.0</v>
      </c>
    </row>
    <row r="3089" ht="15.75" customHeight="1">
      <c r="A3089" s="1">
        <v>3087.0</v>
      </c>
      <c r="B3089" s="3" t="s">
        <v>3089</v>
      </c>
      <c r="C3089" s="3" t="str">
        <f>IFERROR(__xludf.DUMMYFUNCTION("GOOGLETRANSLATE(B3089,""id"",""en"")"),"['friend', 'buy', 'card', 'Telkomsel', 'sekarag', 'tlkomsel', 'crazy', 'game', 'network', 'jellek', 'bngt', 'emotion', ' BNGET ',' Package ',' Game ',' Max ',' Main ',' Game ',' GMANA ',' ']")</f>
        <v>['friend', 'buy', 'card', 'Telkomsel', 'sekarag', 'tlkomsel', 'crazy', 'game', 'network', 'jellek', 'bngt', 'emotion', ' BNGET ',' Package ',' Game ',' Max ',' Main ',' Game ',' GMANA ',' ']</v>
      </c>
      <c r="D3089" s="3">
        <v>1.0</v>
      </c>
    </row>
    <row r="3090" ht="15.75" customHeight="1">
      <c r="A3090" s="1">
        <v>3088.0</v>
      </c>
      <c r="B3090" s="3" t="s">
        <v>3090</v>
      </c>
      <c r="C3090" s="3" t="str">
        <f>IFERROR(__xludf.DUMMYFUNCTION("GOOGLETRANSLATE(B3090,""id"",""en"")"),"['here', 'price', 'package', 'expensive', 'Kalopun', 'discount', 'krg', 'help', 'network', 'error', 'brada', 'jakarta', ' Jogja ',' Skali ',' Signal ',' PDHL ',' BKN ',' PDLMAN ',' Provider ',' Famous', 'PLG', 'Expensive', 'Quality', 'Network', 'smakin' ,"&amp;" 'decreases', 'please', 'fix', 'thank you']")</f>
        <v>['here', 'price', 'package', 'expensive', 'Kalopun', 'discount', 'krg', 'help', 'network', 'error', 'brada', 'jakarta', ' Jogja ',' Skali ',' Signal ',' PDHL ',' BKN ',' PDLMAN ',' Provider ',' Famous', 'PLG', 'Expensive', 'Quality', 'Network', 'smakin' , 'decreases', 'please', 'fix', 'thank you']</v>
      </c>
      <c r="D3090" s="3">
        <v>1.0</v>
      </c>
    </row>
    <row r="3091" ht="15.75" customHeight="1">
      <c r="A3091" s="1">
        <v>3089.0</v>
      </c>
      <c r="B3091" s="3" t="s">
        <v>3091</v>
      </c>
      <c r="C3091" s="3" t="str">
        <f>IFERROR(__xludf.DUMMYFUNCTION("GOOGLETRANSLATE(B3091,""id"",""en"")"),"['Min', 'Addin', 'Features',' Credit ',' Lock ',' Forgotten ',' Koutaa ',' Credit ',' Hidupin ',' Data ',' Cellular ',' Used ',' Pulsely ',' ']")</f>
        <v>['Min', 'Addin', 'Features',' Credit ',' Lock ',' Forgotten ',' Koutaa ',' Credit ',' Hidupin ',' Data ',' Cellular ',' Used ',' Pulsely ',' ']</v>
      </c>
      <c r="D3091" s="3">
        <v>4.0</v>
      </c>
    </row>
    <row r="3092" ht="15.75" customHeight="1">
      <c r="A3092" s="1">
        <v>3090.0</v>
      </c>
      <c r="B3092" s="3" t="s">
        <v>3092</v>
      </c>
      <c r="C3092" s="3" t="str">
        <f>IFERROR(__xludf.DUMMYFUNCTION("GOOGLETRANSLATE(B3092,""id"",""en"")"),"['likes',' application ',' complaint ',' quota ',' internet ',' have ',' deadline ',' deadline ',' take precedence ',' Please ',' complain ',' responded ',' thank you', '']")</f>
        <v>['likes',' application ',' complaint ',' quota ',' internet ',' have ',' deadline ',' deadline ',' take precedence ',' Please ',' complain ',' responded ',' thank you', '']</v>
      </c>
      <c r="D3092" s="3">
        <v>5.0</v>
      </c>
    </row>
    <row r="3093" ht="15.75" customHeight="1">
      <c r="A3093" s="1">
        <v>3091.0</v>
      </c>
      <c r="B3093" s="3" t="s">
        <v>3093</v>
      </c>
      <c r="C3093" s="3" t="str">
        <f>IFERROR(__xludf.DUMMYFUNCTION("GOOGLETRANSLATE(B3093,""id"",""en"")"),"['Ngentod', 'card', 'like', 'ngeleg', 'sudden', 'Gara', 'lose', 'tour', 'ajng', 'change', 'loss', 'card']")</f>
        <v>['Ngentod', 'card', 'like', 'ngeleg', 'sudden', 'Gara', 'lose', 'tour', 'ajng', 'change', 'loss', 'card']</v>
      </c>
      <c r="D3093" s="3">
        <v>1.0</v>
      </c>
    </row>
    <row r="3094" ht="15.75" customHeight="1">
      <c r="A3094" s="1">
        <v>3092.0</v>
      </c>
      <c r="B3094" s="3" t="s">
        <v>3094</v>
      </c>
      <c r="C3094" s="3" t="str">
        <f>IFERROR(__xludf.DUMMYFUNCTION("GOOGLETRANSLATE(B3094,""id"",""en"")"),"['Love', 'Bintang', 'Karna', 'Disappointed', 'Qeatured', 'Network', 'Internet', 'Network', 'Busy', 'Try', 'Delete', 'Star', ' network ',' internet ',' special ',' card ',' Telkomsel ',' like ',' suck ',' pulse ',' notification ',' explanation ',' Kuka ','"&amp;" pulse ',' suck ' , 'thank you']")</f>
        <v>['Love', 'Bintang', 'Karna', 'Disappointed', 'Qeatured', 'Network', 'Internet', 'Network', 'Busy', 'Try', 'Delete', 'Star', ' network ',' internet ',' special ',' card ',' Telkomsel ',' like ',' suck ',' pulse ',' notification ',' explanation ',' Kuka ',' pulse ',' suck ' , 'thank you']</v>
      </c>
      <c r="D3094" s="3">
        <v>1.0</v>
      </c>
    </row>
    <row r="3095" ht="15.75" customHeight="1">
      <c r="A3095" s="1">
        <v>3093.0</v>
      </c>
      <c r="B3095" s="3" t="s">
        <v>3095</v>
      </c>
      <c r="C3095" s="3" t="str">
        <f>IFERROR(__xludf.DUMMYFUNCTION("GOOGLETRANSLATE(B3095,""id"",""en"")"),"['Mantab', 'buy', 'package', 'expensive', 'expensive', 'network', 'full', 'maen', 'game', 'ngelag', 'cok', 'cok', ' Asuu ',' ']")</f>
        <v>['Mantab', 'buy', 'package', 'expensive', 'expensive', 'network', 'full', 'maen', 'game', 'ngelag', 'cok', 'cok', ' Asuu ',' ']</v>
      </c>
      <c r="D3095" s="3">
        <v>1.0</v>
      </c>
    </row>
    <row r="3096" ht="15.75" customHeight="1">
      <c r="A3096" s="1">
        <v>3094.0</v>
      </c>
      <c r="B3096" s="3" t="s">
        <v>3096</v>
      </c>
      <c r="C3096" s="3" t="str">
        <f>IFERROR(__xludf.DUMMYFUNCTION("GOOGLETRANSLATE(B3096,""id"",""en"")"),"['oath', 'gajelas',' quota ',' GB ',' open ',' tiktok ',' pulse ',' sumps', 'internet', 'right', 'play', 'game', ' Credit ',' thousand ',' stay ',' thousand ',' Telkomsel ',' Error ', ""]")</f>
        <v>['oath', 'gajelas',' quota ',' GB ',' open ',' tiktok ',' pulse ',' sumps', 'internet', 'right', 'play', 'game', ' Credit ',' thousand ',' stay ',' thousand ',' Telkomsel ',' Error ', "]</v>
      </c>
      <c r="D3096" s="3">
        <v>1.0</v>
      </c>
    </row>
    <row r="3097" ht="15.75" customHeight="1">
      <c r="A3097" s="1">
        <v>3095.0</v>
      </c>
      <c r="B3097" s="3" t="s">
        <v>3097</v>
      </c>
      <c r="C3097" s="3" t="str">
        <f>IFERROR(__xludf.DUMMYFUNCTION("GOOGLETRANSLATE(B3097,""id"",""en"")"),"['Sympathy', 'The', 'Best', 'Telecomunication', 'The', 'World', 'Trimakasih', 'Telkomsel', 'Convenience', 'Communicate', 'Friends',' People ',' Old ',' relatives', 'Thnks',' Very ',' Much ',' Telkomsel ',' Hopefully ',' Best ',' Eyes', 'World']")</f>
        <v>['Sympathy', 'The', 'Best', 'Telecomunication', 'The', 'World', 'Trimakasih', 'Telkomsel', 'Convenience', 'Communicate', 'Friends',' People ',' Old ',' relatives', 'Thnks',' Very ',' Much ',' Telkomsel ',' Hopefully ',' Best ',' Eyes', 'World']</v>
      </c>
      <c r="D3097" s="3">
        <v>5.0</v>
      </c>
    </row>
    <row r="3098" ht="15.75" customHeight="1">
      <c r="A3098" s="1">
        <v>3096.0</v>
      </c>
      <c r="B3098" s="3" t="s">
        <v>3098</v>
      </c>
      <c r="C3098" s="3" t="str">
        <f>IFERROR(__xludf.DUMMYFUNCTION("GOOGLETRANSLATE(B3098,""id"",""en"")"),"['Network', 'Telkomsel', 'ugly', 'disappointed']")</f>
        <v>['Network', 'Telkomsel', 'ugly', 'disappointed']</v>
      </c>
      <c r="D3098" s="3">
        <v>1.0</v>
      </c>
    </row>
    <row r="3099" ht="15.75" customHeight="1">
      <c r="A3099" s="1">
        <v>3097.0</v>
      </c>
      <c r="B3099" s="3" t="s">
        <v>3099</v>
      </c>
      <c r="C3099" s="3" t="str">
        <f>IFERROR(__xludf.DUMMYFUNCTION("GOOGLETRANSLATE(B3099,""id"",""en"")"),"['strange', 'quota', 'active', 'lgi', 'kptong', 'dluan', 'quota', 'msa', 'active', 'tingl', 'hri', 'mlh', ' kpotong ',' mubadzir ',' bngt ',' quota ',' gbny ']")</f>
        <v>['strange', 'quota', 'active', 'lgi', 'kptong', 'dluan', 'quota', 'msa', 'active', 'tingl', 'hri', 'mlh', ' kpotong ',' mubadzir ',' bngt ',' quota ',' gbny ']</v>
      </c>
      <c r="D3099" s="3">
        <v>1.0</v>
      </c>
    </row>
    <row r="3100" ht="15.75" customHeight="1">
      <c r="A3100" s="1">
        <v>3098.0</v>
      </c>
      <c r="B3100" s="3" t="s">
        <v>3100</v>
      </c>
      <c r="C3100" s="3" t="str">
        <f>IFERROR(__xludf.DUMMYFUNCTION("GOOGLETRANSLATE(B3100,""id"",""en"")"),"['Please', 'Telkomsel', 'sell', 'Package', 'Telkomsel', 'Trapping', 'Detailed', 'Package', 'Application', 'Deceived', ""]")</f>
        <v>['Please', 'Telkomsel', 'sell', 'Package', 'Telkomsel', 'Trapping', 'Detailed', 'Package', 'Application', 'Deceived', "]</v>
      </c>
      <c r="D3100" s="3">
        <v>2.0</v>
      </c>
    </row>
    <row r="3101" ht="15.75" customHeight="1">
      <c r="A3101" s="1">
        <v>3099.0</v>
      </c>
      <c r="B3101" s="3" t="s">
        <v>3101</v>
      </c>
      <c r="C3101" s="3" t="str">
        <f>IFERROR(__xludf.DUMMYFUNCTION("GOOGLETRANSLATE(B3101,""id"",""en"")"),"['Please', 'Tell', 'The Reasons',' Package ',' Out ',' Automatism ',' Diverted ',' Credit ',' Please ',' Moved ',' Credit ',' User ',' Customers', 'Sometimes',' at home ',' save ',' credit ',' needs', 'sudden', 'please', 'responded', 'thank', 'love']")</f>
        <v>['Please', 'Tell', 'The Reasons',' Package ',' Out ',' Automatism ',' Diverted ',' Credit ',' Please ',' Moved ',' Credit ',' User ',' Customers', 'Sometimes',' at home ',' save ',' credit ',' needs', 'sudden', 'please', 'responded', 'thank', 'love']</v>
      </c>
      <c r="D3101" s="3">
        <v>1.0</v>
      </c>
    </row>
    <row r="3102" ht="15.75" customHeight="1">
      <c r="A3102" s="1">
        <v>3100.0</v>
      </c>
      <c r="B3102" s="3" t="s">
        <v>3102</v>
      </c>
      <c r="C3102" s="3" t="str">
        <f>IFERROR(__xludf.DUMMYFUNCTION("GOOGLETRANSLATE(B3102,""id"",""en"")"),"['App', 'Search', 'Money', 'Quality', 'Trash', 'Advertising', 'Useful', 'Quota', 'Internet', 'Internet', 'Waste', 'Watch', ' Sayang ',' Ngin ',' quota ',' ahead ',' NOT ',' YOUNG ',' Next ',' Ribet ', ""]")</f>
        <v>['App', 'Search', 'Money', 'Quality', 'Trash', 'Advertising', 'Useful', 'Quota', 'Internet', 'Internet', 'Waste', 'Watch', ' Sayang ',' Ngin ',' quota ',' ahead ',' NOT ',' YOUNG ',' Next ',' Ribet ', "]</v>
      </c>
      <c r="D3102" s="3">
        <v>1.0</v>
      </c>
    </row>
    <row r="3103" ht="15.75" customHeight="1">
      <c r="A3103" s="1">
        <v>3101.0</v>
      </c>
      <c r="B3103" s="3" t="s">
        <v>3103</v>
      </c>
      <c r="C3103" s="3" t="str">
        <f>IFERROR(__xludf.DUMMYFUNCTION("GOOGLETRANSLATE(B3103,""id"",""en"")"),"['complaints', 'quota', 'kepakai', 'compared to', 'quota', 'run out', 'active', 'stay', 'thank', 'love', ""]")</f>
        <v>['complaints', 'quota', 'kepakai', 'compared to', 'quota', 'run out', 'active', 'stay', 'thank', 'love', "]</v>
      </c>
      <c r="D3103" s="3">
        <v>4.0</v>
      </c>
    </row>
    <row r="3104" ht="15.75" customHeight="1">
      <c r="A3104" s="1">
        <v>3102.0</v>
      </c>
      <c r="B3104" s="3" t="s">
        <v>3104</v>
      </c>
      <c r="C3104" s="3" t="str">
        <f>IFERROR(__xludf.DUMMYFUNCTION("GOOGLETRANSLATE(B3104,""id"",""en"")"),"['network', 'Telkomsel', 'home', 'severe', 'slow', 'kab', 'tensing', 'kota', 'payakumbuh', 'sumatera', 'west', 'hope', ' quality ',' network ',' enhanced ']")</f>
        <v>['network', 'Telkomsel', 'home', 'severe', 'slow', 'kab', 'tensing', 'kota', 'payakumbuh', 'sumatera', 'west', 'hope', ' quality ',' network ',' enhanced ']</v>
      </c>
      <c r="D3104" s="3">
        <v>1.0</v>
      </c>
    </row>
    <row r="3105" ht="15.75" customHeight="1">
      <c r="A3105" s="1">
        <v>3103.0</v>
      </c>
      <c r="B3105" s="3" t="s">
        <v>3105</v>
      </c>
      <c r="C3105" s="3" t="str">
        <f>IFERROR(__xludf.DUMMYFUNCTION("GOOGLETRANSLATE(B3105,""id"",""en"")"),"['application', 'Telkomsel', 'ugly', 'Yesterday', 'package', 'for', 'contents',' reset ',' lost ',' disappointed ',' really ',' Sia ',' Fill ',' reset ',' pulse ',' Telkomsel ']")</f>
        <v>['application', 'Telkomsel', 'ugly', 'Yesterday', 'package', 'for', 'contents',' reset ',' lost ',' disappointed ',' really ',' Sia ',' Fill ',' reset ',' pulse ',' Telkomsel ']</v>
      </c>
      <c r="D3105" s="3">
        <v>1.0</v>
      </c>
    </row>
    <row r="3106" ht="15.75" customHeight="1">
      <c r="A3106" s="1">
        <v>3104.0</v>
      </c>
      <c r="B3106" s="3" t="s">
        <v>3106</v>
      </c>
      <c r="C3106" s="3" t="str">
        <f>IFERROR(__xludf.DUMMYFUNCTION("GOOGLETRANSLATE(B3106,""id"",""en"")"),"['price', 'quality', 'service', 'teklomsel', 'satisfying', 'beside', 'price', 'expensive', 'quality', 'signal', 'internet', 'bad', ' Down ']")</f>
        <v>['price', 'quality', 'service', 'teklomsel', 'satisfying', 'beside', 'price', 'expensive', 'quality', 'signal', 'internet', 'bad', ' Down ']</v>
      </c>
      <c r="D3106" s="3">
        <v>1.0</v>
      </c>
    </row>
    <row r="3107" ht="15.75" customHeight="1">
      <c r="A3107" s="1">
        <v>3105.0</v>
      </c>
      <c r="B3107" s="3" t="s">
        <v>3107</v>
      </c>
      <c r="C3107" s="3" t="str">
        <f>IFERROR(__xludf.DUMMYFUNCTION("GOOGLETRANSLATE(B3107,""id"",""en"")"),"['Telkomsel', 'leading', 'business',' signal ',' shape ',' like ',' soap ',' beam ',' antenna ',' all-round ',' touch ',' move ',' cards', 'heart', 'cheap', 'lot', 'quality', 'card', 'red', 'telkomsel']")</f>
        <v>['Telkomsel', 'leading', 'business',' signal ',' shape ',' like ',' soap ',' beam ',' antenna ',' all-round ',' touch ',' move ',' cards', 'heart', 'cheap', 'lot', 'quality', 'card', 'red', 'telkomsel']</v>
      </c>
      <c r="D3107" s="3">
        <v>5.0</v>
      </c>
    </row>
    <row r="3108" ht="15.75" customHeight="1">
      <c r="A3108" s="1">
        <v>3106.0</v>
      </c>
      <c r="B3108" s="3" t="s">
        <v>3108</v>
      </c>
      <c r="C3108" s="3" t="str">
        <f>IFERROR(__xludf.DUMMYFUNCTION("GOOGLETRANSLATE(B3108,""id"",""en"")"),"['disappointing', 'network', 'slow', 'lights', 'go out', 'network', 'lost', 'weak', 'emang']")</f>
        <v>['disappointing', 'network', 'slow', 'lights', 'go out', 'network', 'lost', 'weak', 'emang']</v>
      </c>
      <c r="D3108" s="3">
        <v>5.0</v>
      </c>
    </row>
    <row r="3109" ht="15.75" customHeight="1">
      <c r="A3109" s="1">
        <v>3107.0</v>
      </c>
      <c r="B3109" s="3" t="s">
        <v>3109</v>
      </c>
      <c r="C3109" s="3" t="str">
        <f>IFERROR(__xludf.DUMMYFUNCTION("GOOGLETRANSLATE(B3109,""id"",""en"")"),"['Please', 'Fix', 'Network', 'Kouta', 'Network', 'Bad', 'Eat', 'Kouta', 'keuang']")</f>
        <v>['Please', 'Fix', 'Network', 'Kouta', 'Network', 'Bad', 'Eat', 'Kouta', 'keuang']</v>
      </c>
      <c r="D3109" s="3">
        <v>2.0</v>
      </c>
    </row>
    <row r="3110" ht="15.75" customHeight="1">
      <c r="A3110" s="1">
        <v>3108.0</v>
      </c>
      <c r="B3110" s="3" t="s">
        <v>3110</v>
      </c>
      <c r="C3110" s="3" t="str">
        <f>IFERROR(__xludf.DUMMYFUNCTION("GOOGLETRANSLATE(B3110,""id"",""en"")"),"['Lubuk', 'Kab', 'Siak', 'Prov', 'Riau', 'Mantap', 'Times',' Network ',' Provider ',' Sumpahhh ',' already ',' Package ',' expensive ',' network ',' lose ',' smartfren ',' shame ', ""]")</f>
        <v>['Lubuk', 'Kab', 'Siak', 'Prov', 'Riau', 'Mantap', 'Times',' Network ',' Provider ',' Sumpahhh ',' already ',' Package ',' expensive ',' network ',' lose ',' smartfren ',' shame ', "]</v>
      </c>
      <c r="D3110" s="3">
        <v>1.0</v>
      </c>
    </row>
    <row r="3111" ht="15.75" customHeight="1">
      <c r="A3111" s="1">
        <v>3109.0</v>
      </c>
      <c r="B3111" s="3" t="s">
        <v>3111</v>
      </c>
      <c r="C3111" s="3" t="str">
        <f>IFERROR(__xludf.DUMMYFUNCTION("GOOGLETRANSLATE(B3111,""id"",""en"")"),"['oath', 'disappointed', 'program', 'Telkomsel', 'change', 'card', 'card', 'hello', 'where', 'owe', 'paid', 'card', ' dead ',' stop ',' system ',' card ',' hello ',' card ',' die ',' oath ',' no ',' like ',' really ',' beg ',' returned ' ]")</f>
        <v>['oath', 'disappointed', 'program', 'Telkomsel', 'change', 'card', 'card', 'hello', 'where', 'owe', 'paid', 'card', ' dead ',' stop ',' system ',' card ',' hello ',' card ',' die ',' oath ',' no ',' like ',' really ',' beg ',' returned ' ]</v>
      </c>
      <c r="D3111" s="3">
        <v>1.0</v>
      </c>
    </row>
    <row r="3112" ht="15.75" customHeight="1">
      <c r="A3112" s="1">
        <v>3110.0</v>
      </c>
      <c r="B3112" s="3" t="s">
        <v>3112</v>
      </c>
      <c r="C3112" s="3" t="str">
        <f>IFERROR(__xludf.DUMMYFUNCTION("GOOGLETRANSLATE(B3112,""id"",""en"")"),"['', 'Telkomsel', 'Lamaha', 'Disappointed', 'Waiter', 'Telkomsel', 'Signal', 'Lost', 'Quota', 'Gabisa', 'Used', 'Point', 'Telkomsel ',' scorched ',' lost ',' usage ',' above ',' million ',' galagi ',' deh ',' telkomsel ',' bye ']")</f>
        <v>['', 'Telkomsel', 'Lamaha', 'Disappointed', 'Waiter', 'Telkomsel', 'Signal', 'Lost', 'Quota', 'Gabisa', 'Used', 'Point', 'Telkomsel ',' scorched ',' lost ',' usage ',' above ',' million ',' galagi ',' deh ',' telkomsel ',' bye ']</v>
      </c>
      <c r="D3112" s="3">
        <v>1.0</v>
      </c>
    </row>
    <row r="3113" ht="15.75" customHeight="1">
      <c r="A3113" s="1">
        <v>3111.0</v>
      </c>
      <c r="B3113" s="3" t="s">
        <v>3113</v>
      </c>
      <c r="C3113" s="3" t="str">
        <f>IFERROR(__xludf.DUMMYFUNCTION("GOOGLETRANSLATE(B3113,""id"",""en"")"),"['here', 'slow', 'Mulu', 'signal', 'developing', 'decreases', 'signal', 'feels', 'mah', 'rain', 'severe', 'bet']")</f>
        <v>['here', 'slow', 'Mulu', 'signal', 'developing', 'decreases', 'signal', 'feels', 'mah', 'rain', 'severe', 'bet']</v>
      </c>
      <c r="D3113" s="3">
        <v>1.0</v>
      </c>
    </row>
    <row r="3114" ht="15.75" customHeight="1">
      <c r="A3114" s="1">
        <v>3112.0</v>
      </c>
      <c r="B3114" s="3" t="s">
        <v>3114</v>
      </c>
      <c r="C3114" s="3" t="str">
        <f>IFERROR(__xludf.DUMMYFUNCTION("GOOGLETRANSLATE(B3114,""id"",""en"")"),"['Telkomsel', 'rich', 'animals', 'network', 'sometimes', 'sometimes', 'missing', 'blood']")</f>
        <v>['Telkomsel', 'rich', 'animals', 'network', 'sometimes', 'sometimes', 'missing', 'blood']</v>
      </c>
      <c r="D3114" s="3">
        <v>1.0</v>
      </c>
    </row>
    <row r="3115" ht="15.75" customHeight="1">
      <c r="A3115" s="1">
        <v>3113.0</v>
      </c>
      <c r="B3115" s="3" t="s">
        <v>3115</v>
      </c>
      <c r="C3115" s="3" t="str">
        <f>IFERROR(__xludf.DUMMYFUNCTION("GOOGLETRANSLATE(B3115,""id"",""en"")"),"['refund', 'pulse', 'process', 'response', 'action']")</f>
        <v>['refund', 'pulse', 'process', 'response', 'action']</v>
      </c>
      <c r="D3115" s="3">
        <v>1.0</v>
      </c>
    </row>
    <row r="3116" ht="15.75" customHeight="1">
      <c r="A3116" s="1">
        <v>3114.0</v>
      </c>
      <c r="B3116" s="3" t="s">
        <v>3116</v>
      </c>
      <c r="C3116" s="3" t="str">
        <f>IFERROR(__xludf.DUMMYFUNCTION("GOOGLETRANSLATE(B3116,""id"",""en"")"),"['', 'Account', 'Telkomsel', 'Package', 'Combo', 'Sakti', 'Card', 'Only', 'Recommended', 'Try', 'Recommended', 'Combo', 'Sakti ',' ']")</f>
        <v>['', 'Account', 'Telkomsel', 'Package', 'Combo', 'Sakti', 'Card', 'Only', 'Recommended', 'Try', 'Recommended', 'Combo', 'Sakti ',' ']</v>
      </c>
      <c r="D3116" s="3">
        <v>2.0</v>
      </c>
    </row>
    <row r="3117" ht="15.75" customHeight="1">
      <c r="A3117" s="1">
        <v>3115.0</v>
      </c>
      <c r="B3117" s="3" t="s">
        <v>3117</v>
      </c>
      <c r="C3117" s="3" t="str">
        <f>IFERROR(__xludf.DUMMYFUNCTION("GOOGLETRANSLATE(B3117,""id"",""en"")"),"['Internet', 'Telkomsel', 'slow', 'harmed', 'quota', 'unlimited', 'complete']")</f>
        <v>['Internet', 'Telkomsel', 'slow', 'harmed', 'quota', 'unlimited', 'complete']</v>
      </c>
      <c r="D3117" s="3">
        <v>1.0</v>
      </c>
    </row>
    <row r="3118" ht="15.75" customHeight="1">
      <c r="A3118" s="1">
        <v>3116.0</v>
      </c>
      <c r="B3118" s="3" t="s">
        <v>3118</v>
      </c>
      <c r="C3118" s="3" t="str">
        <f>IFERROR(__xludf.DUMMYFUNCTION("GOOGLETRANSLATE(B3118,""id"",""en"")"),"['signal', 'Telkomsel', 'area', 'ugly', 'busuuk', 'bnyak', 'game', 'ngeleg']")</f>
        <v>['signal', 'Telkomsel', 'area', 'ugly', 'busuuk', 'bnyak', 'game', 'ngeleg']</v>
      </c>
      <c r="D3118" s="3">
        <v>1.0</v>
      </c>
    </row>
    <row r="3119" ht="15.75" customHeight="1">
      <c r="A3119" s="1">
        <v>3117.0</v>
      </c>
      <c r="B3119" s="3" t="s">
        <v>3119</v>
      </c>
      <c r="C3119" s="3" t="str">
        <f>IFERROR(__xludf.DUMMYFUNCTION("GOOGLETRANSLATE(B3119,""id"",""en"")"),"['Sorry', 'Sorry', 'Telkomsel', 'Kopini', 'Makinn', 'Lemootttt', 'Nauzubillah', 'My Quoto', 'GB', 'Lemooottt', 'ask', 'Ampunn', ' Open ',' gabisaa ',' send ',' message ',' pending ',' just ',' how ',' price ',' according to ',' quality ', ""]")</f>
        <v>['Sorry', 'Sorry', 'Telkomsel', 'Kopini', 'Makinn', 'Lemootttt', 'Nauzubillah', 'My Quoto', 'GB', 'Lemooottt', 'ask', 'Ampunn', ' Open ',' gabisaa ',' send ',' message ',' pending ',' just ',' how ',' price ',' according to ',' quality ', "]</v>
      </c>
      <c r="D3119" s="3">
        <v>1.0</v>
      </c>
    </row>
    <row r="3120" ht="15.75" customHeight="1">
      <c r="A3120" s="1">
        <v>3118.0</v>
      </c>
      <c r="B3120" s="3" t="s">
        <v>3120</v>
      </c>
      <c r="C3120" s="3" t="str">
        <f>IFERROR(__xludf.DUMMYFUNCTION("GOOGLETRANSLATE(B3120,""id"",""en"")"),"['Love', 'star', 'because', 'signal', 'disorder', 'trs', 'wish', 'what']")</f>
        <v>['Love', 'star', 'because', 'signal', 'disorder', 'trs', 'wish', 'what']</v>
      </c>
      <c r="D3120" s="3">
        <v>1.0</v>
      </c>
    </row>
    <row r="3121" ht="15.75" customHeight="1">
      <c r="A3121" s="1">
        <v>3119.0</v>
      </c>
      <c r="B3121" s="3" t="s">
        <v>3121</v>
      </c>
      <c r="C3121" s="3" t="str">
        <f>IFERROR(__xludf.DUMMYFUNCTION("GOOGLETRANSLATE(B3121,""id"",""en"")"),"['BANGJE', 'BANGJE', 'Buy', 'Package', 'Games', 'Road', 'Dipake', 'Damn', 'Signal', 'ilang', 'Nilagan', 'kntle']")</f>
        <v>['BANGJE', 'BANGJE', 'Buy', 'Package', 'Games', 'Road', 'Dipake', 'Damn', 'Signal', 'ilang', 'Nilagan', 'kntle']</v>
      </c>
      <c r="D3121" s="3">
        <v>1.0</v>
      </c>
    </row>
    <row r="3122" ht="15.75" customHeight="1">
      <c r="A3122" s="1">
        <v>3120.0</v>
      </c>
      <c r="B3122" s="3" t="s">
        <v>3122</v>
      </c>
      <c r="C3122" s="3" t="str">
        <f>IFERROR(__xludf.DUMMYFUNCTION("GOOGLETRANSLATE(B3122,""id"",""en"")"),"['Customer', 'Telkomsel', 'Please', 'Package', 'Internet', 'Local', 'Change', 'Internet', 'Main', 'City', 'Love', 'Star', ' Change ',' Internet ',' main ',' quota ',' local ']")</f>
        <v>['Customer', 'Telkomsel', 'Please', 'Package', 'Internet', 'Local', 'Change', 'Internet', 'Main', 'City', 'Love', 'Star', ' Change ',' Internet ',' main ',' quota ',' local ']</v>
      </c>
      <c r="D3122" s="3">
        <v>3.0</v>
      </c>
    </row>
    <row r="3123" ht="15.75" customHeight="1">
      <c r="A3123" s="1">
        <v>3121.0</v>
      </c>
      <c r="B3123" s="3" t="s">
        <v>3123</v>
      </c>
      <c r="C3123" s="3" t="str">
        <f>IFERROR(__xludf.DUMMYFUNCTION("GOOGLETRANSLATE(B3123,""id"",""en"")"),"['expensive', 'signal', 'ugly', 'use', 'disappointing', 'bsk', 'replace', 'provider']")</f>
        <v>['expensive', 'signal', 'ugly', 'use', 'disappointing', 'bsk', 'replace', 'provider']</v>
      </c>
      <c r="D3123" s="3">
        <v>1.0</v>
      </c>
    </row>
    <row r="3124" ht="15.75" customHeight="1">
      <c r="A3124" s="1">
        <v>3122.0</v>
      </c>
      <c r="B3124" s="3" t="s">
        <v>3124</v>
      </c>
      <c r="C3124" s="3" t="str">
        <f>IFERROR(__xludf.DUMMYFUNCTION("GOOGLETRANSLATE(B3124,""id"",""en"")"),"['min', 'signal', 'good', 'sekrang', 'signal', 'sink', 'internet', 'claim', 'signal', 'nomer', 'reality', 'signal', ' "", 'min', 'please', 'check', 'field', 'claim', 'doang', '']")</f>
        <v>['min', 'signal', 'good', 'sekrang', 'signal', 'sink', 'internet', 'claim', 'signal', 'nomer', 'reality', 'signal', ' ", 'min', 'please', 'check', 'field', 'claim', 'doang', '']</v>
      </c>
      <c r="D3124" s="3">
        <v>1.0</v>
      </c>
    </row>
    <row r="3125" ht="15.75" customHeight="1">
      <c r="A3125" s="1">
        <v>3123.0</v>
      </c>
      <c r="B3125" s="3" t="s">
        <v>3125</v>
      </c>
      <c r="C3125" s="3" t="str">
        <f>IFERROR(__xludf.DUMMYFUNCTION("GOOGLETRANSLATE(B3125,""id"",""en"")"),"['signal', 'lose', 'skrg', 'quality', 'telkomxxx', 'lose', 'provider', ""]")</f>
        <v>['signal', 'lose', 'skrg', 'quality', 'telkomxxx', 'lose', 'provider', "]</v>
      </c>
      <c r="D3125" s="3">
        <v>1.0</v>
      </c>
    </row>
    <row r="3126" ht="15.75" customHeight="1">
      <c r="A3126" s="1">
        <v>3124.0</v>
      </c>
      <c r="B3126" s="3" t="s">
        <v>3126</v>
      </c>
      <c r="C3126" s="3" t="str">
        <f>IFERROR(__xludf.DUMMYFUNCTION("GOOGLETRANSLATE(B3126,""id"",""en"")"),"['Disappointed', 'really', 'Telkomsel', 'package', 'expensive', 'signal', 'rich', 'snail', 'package', 'nelfon', 'rb', 'per month', ' gnti ',' Mahall ',' disappointed ',' really ',' customer ',' loyal ',' plan ',' buy ',' prdana ',' telkomsel ',' dehh ', "&amp;"""]")</f>
        <v>['Disappointed', 'really', 'Telkomsel', 'package', 'expensive', 'signal', 'rich', 'snail', 'package', 'nelfon', 'rb', 'per month', ' gnti ',' Mahall ',' disappointed ',' really ',' customer ',' loyal ',' plan ',' buy ',' prdana ',' telkomsel ',' dehh ', "]</v>
      </c>
      <c r="D3126" s="3">
        <v>1.0</v>
      </c>
    </row>
    <row r="3127" ht="15.75" customHeight="1">
      <c r="A3127" s="1">
        <v>3125.0</v>
      </c>
      <c r="B3127" s="3" t="s">
        <v>3127</v>
      </c>
      <c r="C3127" s="3" t="str">
        <f>IFERROR(__xludf.DUMMYFUNCTION("GOOGLETRANSLATE(B3127,""id"",""en"")"),"['purchase', 'quota', 'apk', 'slow', 'knp', 'claim', 'gift', 'check', 'must', 'pulse', 'pulses',' understand ',' understand ',' run out ',' forced ',' buy ',' pulse ',' please ',' fix ',' right ',' buy ',' quota ',' apk ',' right ',' fast ' , 'response']")</f>
        <v>['purchase', 'quota', 'apk', 'slow', 'knp', 'claim', 'gift', 'check', 'must', 'pulse', 'pulses',' understand ',' understand ',' run out ',' forced ',' buy ',' pulse ',' please ',' fix ',' right ',' buy ',' quota ',' apk ',' right ',' fast ' , 'response']</v>
      </c>
      <c r="D3127" s="3">
        <v>1.0</v>
      </c>
    </row>
    <row r="3128" ht="15.75" customHeight="1">
      <c r="A3128" s="1">
        <v>3126.0</v>
      </c>
      <c r="B3128" s="3" t="s">
        <v>3128</v>
      </c>
      <c r="C3128" s="3" t="str">
        <f>IFERROR(__xludf.DUMMYFUNCTION("GOOGLETRANSLATE(B3128,""id"",""en"")"),"['Telkomsel', 'kendoooooooor', 'slow', 'leading', 'towards', 'night', 'signal', 'melur', 'melting', 'Telkomsel', 'disappointing', '']")</f>
        <v>['Telkomsel', 'kendoooooooor', 'slow', 'leading', 'towards', 'night', 'signal', 'melur', 'melting', 'Telkomsel', 'disappointing', '']</v>
      </c>
      <c r="D3128" s="3">
        <v>1.0</v>
      </c>
    </row>
    <row r="3129" ht="15.75" customHeight="1">
      <c r="A3129" s="1">
        <v>3127.0</v>
      </c>
      <c r="B3129" s="3" t="s">
        <v>3129</v>
      </c>
      <c r="C3129" s="3" t="str">
        <f>IFERROR(__xludf.DUMMYFUNCTION("GOOGLETRANSLATE(B3129,""id"",""en"")"),"['lost', 'its network', 'emotion', 'report', 'bot', 'solution']")</f>
        <v>['lost', 'its network', 'emotion', 'report', 'bot', 'solution']</v>
      </c>
      <c r="D3129" s="3">
        <v>1.0</v>
      </c>
    </row>
    <row r="3130" ht="15.75" customHeight="1">
      <c r="A3130" s="1">
        <v>3128.0</v>
      </c>
      <c r="B3130" s="3" t="s">
        <v>3130</v>
      </c>
      <c r="C3130" s="3" t="str">
        <f>IFERROR(__xludf.DUMMYFUNCTION("GOOGLETRANSLATE(B3130,""id"",""en"")"),"['Telkomsel', 'pulp', 'exert', 'network', 'stable', 'expensive', 'Doang', 'Season', 'That's',' Maen ',' Game ',' Live ',' Strem ',' stable ',' chaotic ',' Telkomsel ',' chaotic ',' thank you ',' ']")</f>
        <v>['Telkomsel', 'pulp', 'exert', 'network', 'stable', 'expensive', 'Doang', 'Season', 'That's',' Maen ',' Game ',' Live ',' Strem ',' stable ',' chaotic ',' Telkomsel ',' chaotic ',' thank you ',' ']</v>
      </c>
      <c r="D3130" s="3">
        <v>1.0</v>
      </c>
    </row>
    <row r="3131" ht="15.75" customHeight="1">
      <c r="A3131" s="1">
        <v>3129.0</v>
      </c>
      <c r="B3131" s="3" t="s">
        <v>3131</v>
      </c>
      <c r="C3131" s="3" t="str">
        <f>IFERROR(__xludf.DUMMYFUNCTION("GOOGLETRANSLATE(B3131,""id"",""en"")"),"['Telkomsel', 'signal', 'difficult', 'please', 'fix', 'package', 'buy', 'please', 'fix', ""]")</f>
        <v>['Telkomsel', 'signal', 'difficult', 'please', 'fix', 'package', 'buy', 'please', 'fix', "]</v>
      </c>
      <c r="D3131" s="3">
        <v>1.0</v>
      </c>
    </row>
    <row r="3132" ht="15.75" customHeight="1">
      <c r="A3132" s="1">
        <v>3130.0</v>
      </c>
      <c r="B3132" s="3" t="s">
        <v>3132</v>
      </c>
      <c r="C3132" s="3" t="str">
        <f>IFERROR(__xludf.DUMMYFUNCTION("GOOGLETRANSLATE(B3132,""id"",""en"")"),"['Please', 'repaired', 'tower', 'area', 'kec', 'mantewe', 'kab', 'land', 'spices',' prov ',' kalimantan ',' tower ',' getting ',' lightning ',' it seems', 'bubuk', 'bngt', 'signalny', 'state', 'rotten', 'gni']")</f>
        <v>['Please', 'repaired', 'tower', 'area', 'kec', 'mantewe', 'kab', 'land', 'spices',' prov ',' kalimantan ',' tower ',' getting ',' lightning ',' it seems', 'bubuk', 'bngt', 'signalny', 'state', 'rotten', 'gni']</v>
      </c>
      <c r="D3132" s="3">
        <v>1.0</v>
      </c>
    </row>
    <row r="3133" ht="15.75" customHeight="1">
      <c r="A3133" s="1">
        <v>3131.0</v>
      </c>
      <c r="B3133" s="3" t="s">
        <v>3133</v>
      </c>
      <c r="C3133" s="3" t="str">
        <f>IFERROR(__xludf.DUMMYFUNCTION("GOOGLETRANSLATE(B3133,""id"",""en"")"),"['Ampun', 'signal', 'severe', 'Telkomsel', 'Jakarta', 'market', 'parent', 'jakarta', 'east', 'signal', 'internet', 'difficult', ' Rain ',' dead ',' lights', 'see', 'YouTube', 'difficult', '']")</f>
        <v>['Ampun', 'signal', 'severe', 'Telkomsel', 'Jakarta', 'market', 'parent', 'jakarta', 'east', 'signal', 'internet', 'difficult', ' Rain ',' dead ',' lights', 'see', 'YouTube', 'difficult', '']</v>
      </c>
      <c r="D3133" s="3">
        <v>1.0</v>
      </c>
    </row>
    <row r="3134" ht="15.75" customHeight="1">
      <c r="A3134" s="1">
        <v>3132.0</v>
      </c>
      <c r="B3134" s="3" t="s">
        <v>3134</v>
      </c>
      <c r="C3134" s="3" t="str">
        <f>IFERROR(__xludf.DUMMYFUNCTION("GOOGLETRANSLATE(B3134,""id"",""en"")"),"['Honorable' 'Operqtor', 'Please', 'Fix', 'Maximum', 'Performance', 'Region', 'Kudus',' Develop ',' Region ',' Pro ',' Max ',' fall ',' try ',' imagine ',' play ',' game ',' tolongggg ',' lahhhh ',' lag ',' lag ',' lag ',' terusss', 'woi', 'telkommmmmmmmm"&amp;"mmm' , 'plisss', 'deh', 'fix']")</f>
        <v>['Honorable' 'Operqtor', 'Please', 'Fix', 'Maximum', 'Performance', 'Region', 'Kudus',' Develop ',' Region ',' Pro ',' Max ',' fall ',' try ',' imagine ',' play ',' game ',' tolongggg ',' lahhhh ',' lag ',' lag ',' lag ',' terusss', 'woi', 'telkommmmmmmmmmmm' , 'plisss', 'deh', 'fix']</v>
      </c>
      <c r="D3134" s="3">
        <v>3.0</v>
      </c>
    </row>
    <row r="3135" ht="15.75" customHeight="1">
      <c r="A3135" s="1">
        <v>3133.0</v>
      </c>
      <c r="B3135" s="3" t="s">
        <v>3135</v>
      </c>
      <c r="C3135" s="3" t="str">
        <f>IFERROR(__xludf.DUMMYFUNCTION("GOOGLETRANSLATE(B3135,""id"",""en"")"),"['', 'Pig', 'Addin', 'Cable', 'Network', 'Village', 'Ngaku', 'Internet', 'Fastest', 'World', 'Pig', 'Internet', 'Udh ',' rich ',' snail ',' slow ',' like ',' blacklist ',' ajh ',' card ',' like ']")</f>
        <v>['', 'Pig', 'Addin', 'Cable', 'Network', 'Village', 'Ngaku', 'Internet', 'Fastest', 'World', 'Pig', 'Internet', 'Udh ',' rich ',' snail ',' slow ',' like ',' blacklist ',' ajh ',' card ',' like ']</v>
      </c>
      <c r="D3135" s="3">
        <v>1.0</v>
      </c>
    </row>
    <row r="3136" ht="15.75" customHeight="1">
      <c r="A3136" s="1">
        <v>3134.0</v>
      </c>
      <c r="B3136" s="3" t="s">
        <v>3136</v>
      </c>
      <c r="C3136" s="3" t="str">
        <f>IFERROR(__xludf.DUMMYFUNCTION("GOOGLETRANSLATE(B3136,""id"",""en"")"),"['Sometimes', 'slow', 'promo', 'good', 'data', 'roll', 'over', 'used', 'full']")</f>
        <v>['Sometimes', 'slow', 'promo', 'good', 'data', 'roll', 'over', 'used', 'full']</v>
      </c>
      <c r="D3136" s="3">
        <v>4.0</v>
      </c>
    </row>
    <row r="3137" ht="15.75" customHeight="1">
      <c r="A3137" s="1">
        <v>3135.0</v>
      </c>
      <c r="B3137" s="3" t="s">
        <v>3137</v>
      </c>
      <c r="C3137" s="3" t="str">
        <f>IFERROR(__xludf.DUMMYFUNCTION("GOOGLETRANSLATE(B3137,""id"",""en"")"),"['Ouch', 'buy', 'expensive', 'expensive', 'offer', 'unlimited', 'deliberate', 'skrg', 'signal', 'difficult', 'really', 'buy', ' package ',' expensive ',' open ',' whatsapp ',' web ',' laptop ',' hard ',' forgiveness']")</f>
        <v>['Ouch', 'buy', 'expensive', 'expensive', 'offer', 'unlimited', 'deliberate', 'skrg', 'signal', 'difficult', 'really', 'buy', ' package ',' expensive ',' open ',' whatsapp ',' web ',' laptop ',' hard ',' forgiveness']</v>
      </c>
      <c r="D3137" s="3">
        <v>1.0</v>
      </c>
    </row>
    <row r="3138" ht="15.75" customHeight="1">
      <c r="A3138" s="1">
        <v>3136.0</v>
      </c>
      <c r="B3138" s="3" t="s">
        <v>3138</v>
      </c>
      <c r="C3138" s="3" t="str">
        <f>IFERROR(__xludf.DUMMYFUNCTION("GOOGLETRANSLATE(B3138,""id"",""en"")"),"['Good', 'Napa', 'see', 'down', 'heightiiiiiiiiiiiiiiiiiii']")</f>
        <v>['Good', 'Napa', 'see', 'down', 'heightiiiiiiiiiiiiiiiiiii']</v>
      </c>
      <c r="D3138" s="3">
        <v>4.0</v>
      </c>
    </row>
    <row r="3139" ht="15.75" customHeight="1">
      <c r="A3139" s="1">
        <v>3137.0</v>
      </c>
      <c r="B3139" s="3" t="s">
        <v>3139</v>
      </c>
      <c r="C3139" s="3" t="str">
        <f>IFERROR(__xludf.DUMMYFUNCTION("GOOGLETRANSLATE(B3139,""id"",""en"")"),"['expensive', 'really', 'quotes', 'already', 'card', 'promo', 'already', 'expensive', 'signal', 'masi', 'down']")</f>
        <v>['expensive', 'really', 'quotes', 'already', 'card', 'promo', 'already', 'expensive', 'signal', 'masi', 'down']</v>
      </c>
      <c r="D3139" s="3">
        <v>3.0</v>
      </c>
    </row>
    <row r="3140" ht="15.75" customHeight="1">
      <c r="A3140" s="1">
        <v>3138.0</v>
      </c>
      <c r="B3140" s="3" t="s">
        <v>3140</v>
      </c>
      <c r="C3140" s="3" t="str">
        <f>IFERROR(__xludf.DUMMYFUNCTION("GOOGLETRANSLATE(B3140,""id"",""en"")"),"['complaining', 'network', 'oprator', 'play', 'game', 'online', 'network', 'satisfying', 'play', 'game', 'network', 'normal', ' The point is', 'GMN', '']")</f>
        <v>['complaining', 'network', 'oprator', 'play', 'game', 'online', 'network', 'satisfying', 'play', 'game', 'network', 'normal', ' The point is', 'GMN', '']</v>
      </c>
      <c r="D3140" s="3">
        <v>1.0</v>
      </c>
    </row>
    <row r="3141" ht="15.75" customHeight="1">
      <c r="A3141" s="1">
        <v>3139.0</v>
      </c>
      <c r="B3141" s="3" t="s">
        <v>3141</v>
      </c>
      <c r="C3141" s="3" t="str">
        <f>IFERROR(__xludf.DUMMYFUNCTION("GOOGLETRANSLATE(B3141,""id"",""en"")"),"['Dear', 'admin', 'disappointed', 'network', 'Telkomsel', 'signal', 'as fast as',' dlu ',' a week ',' signal ',' dsini ',' bad ',' good ',' really ',' TPI ',' skrang ',' bad ',' bngen ',' tlong ',' fix ',' the network ',' good ',' dri ',' skrang ',' dri '"&amp;" , 'dlu']")</f>
        <v>['Dear', 'admin', 'disappointed', 'network', 'Telkomsel', 'signal', 'as fast as',' dlu ',' a week ',' signal ',' dsini ',' bad ',' good ',' really ',' TPI ',' skrang ',' bad ',' bngen ',' tlong ',' fix ',' the network ',' good ',' dri ',' skrang ',' dri ' , 'dlu']</v>
      </c>
      <c r="D3141" s="3">
        <v>2.0</v>
      </c>
    </row>
    <row r="3142" ht="15.75" customHeight="1">
      <c r="A3142" s="1">
        <v>3140.0</v>
      </c>
      <c r="B3142" s="3" t="s">
        <v>3142</v>
      </c>
      <c r="C3142" s="3" t="str">
        <f>IFERROR(__xludf.DUMMYFUNCTION("GOOGLETRANSLATE(B3142,""id"",""en"")"),"['Provider', 'fisted', 'debt', 'replace', 'quota', 'expensive', 'suits', 'quality', 'network', 'bad', ""]")</f>
        <v>['Provider', 'fisted', 'debt', 'replace', 'quota', 'expensive', 'suits', 'quality', 'network', 'bad', "]</v>
      </c>
      <c r="D3142" s="3">
        <v>1.0</v>
      </c>
    </row>
    <row r="3143" ht="15.75" customHeight="1">
      <c r="A3143" s="1">
        <v>3141.0</v>
      </c>
      <c r="B3143" s="3" t="s">
        <v>3143</v>
      </c>
      <c r="C3143" s="3" t="str">
        <f>IFERROR(__xludf.DUMMYFUNCTION("GOOGLETRANSLATE(B3143,""id"",""en"")"),"['Uda', 'Not bad', 'good', 'skrg', 'thank', 'love', 'Telkomsel', 'promo', 'data', 'cheap', 'donk', 'hehehehe']")</f>
        <v>['Uda', 'Not bad', 'good', 'skrg', 'thank', 'love', 'Telkomsel', 'promo', 'data', 'cheap', 'donk', 'hehehehe']</v>
      </c>
      <c r="D3143" s="3">
        <v>4.0</v>
      </c>
    </row>
    <row r="3144" ht="15.75" customHeight="1">
      <c r="A3144" s="1">
        <v>3142.0</v>
      </c>
      <c r="B3144" s="3" t="s">
        <v>3144</v>
      </c>
      <c r="C3144" s="3" t="str">
        <f>IFERROR(__xludf.DUMMYFUNCTION("GOOGLETRANSLATE(B3144,""id"",""en"")"),"['signal', 'good', 'slow', 'rain']")</f>
        <v>['signal', 'good', 'slow', 'rain']</v>
      </c>
      <c r="D3144" s="3">
        <v>1.0</v>
      </c>
    </row>
    <row r="3145" ht="15.75" customHeight="1">
      <c r="A3145" s="1">
        <v>3143.0</v>
      </c>
      <c r="B3145" s="3" t="s">
        <v>3145</v>
      </c>
      <c r="C3145" s="3" t="str">
        <f>IFERROR(__xludf.DUMMYFUNCTION("GOOGLETRANSLATE(B3145,""id"",""en"")"),"['Alus', 'access', 'Telkomsel', 'use', 'package', 'data', 'buy', 'package', 'loss', 'pulses']")</f>
        <v>['Alus', 'access', 'Telkomsel', 'use', 'package', 'data', 'buy', 'package', 'loss', 'pulses']</v>
      </c>
      <c r="D3145" s="3">
        <v>4.0</v>
      </c>
    </row>
    <row r="3146" ht="15.75" customHeight="1">
      <c r="A3146" s="1">
        <v>3144.0</v>
      </c>
      <c r="B3146" s="3" t="s">
        <v>3146</v>
      </c>
      <c r="C3146" s="3" t="str">
        <f>IFERROR(__xludf.DUMMYFUNCTION("GOOGLETRANSLATE(B3146,""id"",""en"")"),"['Honest', 'fans',' Telkomsel ',' Forgot ',' Contents', 'Credit', 'Enter', 'Turnling', 'Switch', 'Card', 'Hello', 'Karna', ' Honey ',' nomer ',' switch ',' card ',' Hello ',' card ',' Hello ',' no ',' as beautiful as', 'imagine', 'already', 'package', 'ex"&amp;"pensive' , 'Appeal', 'card', 'prepaid', 'that's',' all-round ',' persuhit ',' no ',' activate ',' banking ',' because ',' no ',' sms', ' Premium ',' Limit ',' Wait ',' Disable ',' Hello ',' Wait ',' Disappointing ',' ']")</f>
        <v>['Honest', 'fans',' Telkomsel ',' Forgot ',' Contents', 'Credit', 'Enter', 'Turnling', 'Switch', 'Card', 'Hello', 'Karna', ' Honey ',' nomer ',' switch ',' card ',' Hello ',' card ',' Hello ',' no ',' as beautiful as', 'imagine', 'already', 'package', 'expensive' , 'Appeal', 'card', 'prepaid', 'that's',' all-round ',' persuhit ',' no ',' activate ',' banking ',' because ',' no ',' sms', ' Premium ',' Limit ',' Wait ',' Disable ',' Hello ',' Wait ',' Disappointing ',' ']</v>
      </c>
      <c r="D3146" s="3">
        <v>1.0</v>
      </c>
    </row>
    <row r="3147" ht="15.75" customHeight="1">
      <c r="A3147" s="1">
        <v>3145.0</v>
      </c>
      <c r="B3147" s="3" t="s">
        <v>3147</v>
      </c>
      <c r="C3147" s="3" t="str">
        <f>IFERROR(__xludf.DUMMYFUNCTION("GOOGLETRANSLATE(B3147,""id"",""en"")"),"['quota', 'expensive', 'signal', 'gajelas',' package ',' divided ',' gajelas', 'gabiasa', 'satisfying', 'users',' chose ',' update ',' signal ',' fake ',' already ',' quota ',' expensive ',' tired ',' move ',' tri ',' already ',' cheap ',' speed ',' inter"&amp;"net ',' telkomnyet ' , 'Mending', 'Delete', 'Telkomnyet']")</f>
        <v>['quota', 'expensive', 'signal', 'gajelas',' package ',' divided ',' gajelas', 'gabiasa', 'satisfying', 'users',' chose ',' update ',' signal ',' fake ',' already ',' quota ',' expensive ',' tired ',' move ',' tri ',' already ',' cheap ',' speed ',' internet ',' telkomnyet ' , 'Mending', 'Delete', 'Telkomnyet']</v>
      </c>
      <c r="D3147" s="3">
        <v>1.0</v>
      </c>
    </row>
    <row r="3148" ht="15.75" customHeight="1">
      <c r="A3148" s="1">
        <v>3146.0</v>
      </c>
      <c r="B3148" s="3" t="s">
        <v>3148</v>
      </c>
      <c r="C3148" s="3" t="str">
        <f>IFERROR(__xludf.DUMMYFUNCTION("GOOGLETRANSLATE(B3148,""id"",""en"")"),"[ 'Application', 'kerennnnnnnnnnnnnnnnnnnnnnnnnnnnnnnnnnnnnnnnnnnnnnnnnnnmnnnnnnnnnnnnnnnnnnnnnnnnnnnnnnnnnnnnnnnnnnnnnnnnnnnnnnnnnmnnnnnnnnnnnnnnnnnnnnnnnnnnnnnnnnnnnnnnnnnnnnnnnnnnnnnnnnnmnnnnnnn']")</f>
        <v>[ 'Application', 'kerennnnnnnnnnnnnnnnnnnnnnnnnnnnnnnnnnnnnnnnnnnnnnnnnnnmnnnnnnnnnnnnnnnnnnnnnnnnnnnnnnnnnnnnnnnnnnnnnnnnnnnnnnnnnmnnnnnnnnnnnnnnnnnnnnnnnnnnnnnnnnnnnnnnnnnnnnnnnnnnnnnnnnnmnnnnnnn']</v>
      </c>
      <c r="D3148" s="3">
        <v>5.0</v>
      </c>
    </row>
    <row r="3149" ht="15.75" customHeight="1">
      <c r="A3149" s="1">
        <v>3147.0</v>
      </c>
      <c r="B3149" s="3" t="s">
        <v>3149</v>
      </c>
      <c r="C3149" s="3" t="str">
        <f>IFERROR(__xludf.DUMMYFUNCTION("GOOGLETRANSLATE(B3149,""id"",""en"")"),"['Please', 'Love', 'Package', 'Game', 'Game', 'Call', 'Duty', 'Mobile', 'Out', 'Buy', 'Package', 'Internet', ' Package ',' Game ']")</f>
        <v>['Please', 'Love', 'Package', 'Game', 'Game', 'Call', 'Duty', 'Mobile', 'Out', 'Buy', 'Package', 'Internet', ' Package ',' Game ']</v>
      </c>
      <c r="D3149" s="3">
        <v>4.0</v>
      </c>
    </row>
    <row r="3150" ht="15.75" customHeight="1">
      <c r="A3150" s="1">
        <v>3148.0</v>
      </c>
      <c r="B3150" s="3" t="s">
        <v>3150</v>
      </c>
      <c r="C3150" s="3" t="str">
        <f>IFERROR(__xludf.DUMMYFUNCTION("GOOGLETRANSLATE(B3150,""id"",""en"")"),"['Please', 'Sorry', 'Rating', 'Sya', 'Down', 'Network', 'Lemot', 'Area', 'Jambi', 'Ntah', 'Lemot', 'Disappointed', ' Years', 'Telkomsel', 'Condition', 'Glancing', 'After', 'Price', 'Cheap', 'Quality', 'Network', ""]")</f>
        <v>['Please', 'Sorry', 'Rating', 'Sya', 'Down', 'Network', 'Lemot', 'Area', 'Jambi', 'Ntah', 'Lemot', 'Disappointed', ' Years', 'Telkomsel', 'Condition', 'Glancing', 'After', 'Price', 'Cheap', 'Quality', 'Network', "]</v>
      </c>
      <c r="D3150" s="3">
        <v>2.0</v>
      </c>
    </row>
    <row r="3151" ht="15.75" customHeight="1">
      <c r="A3151" s="1">
        <v>3149.0</v>
      </c>
      <c r="B3151" s="3" t="s">
        <v>3151</v>
      </c>
      <c r="C3151" s="3" t="str">
        <f>IFERROR(__xludf.DUMMYFUNCTION("GOOGLETRANSLATE(B3151,""id"",""en"")"),"['Come', 'ugly', 'comparable', 'price', 'package', 'gave', 'review', 'patience', 'run out', 'signal', 'ugly', 'really', ' please ',' fix ',' replace ',' card ',' thank ',' love ']")</f>
        <v>['Come', 'ugly', 'comparable', 'price', 'package', 'gave', 'review', 'patience', 'run out', 'signal', 'ugly', 'really', ' please ',' fix ',' replace ',' card ',' thank ',' love ']</v>
      </c>
      <c r="D3151" s="3">
        <v>1.0</v>
      </c>
    </row>
    <row r="3152" ht="15.75" customHeight="1">
      <c r="A3152" s="1">
        <v>3150.0</v>
      </c>
      <c r="B3152" s="3" t="s">
        <v>3152</v>
      </c>
      <c r="C3152" s="3" t="str">
        <f>IFERROR(__xludf.DUMMYFUNCTION("GOOGLETRANSLATE(B3152,""id"",""en"")"),"['Package', 'Data', 'Credit', 'Cut', 'Telkomsel', 'Restore', 'Credit', 'Woooy', 'Disight', 'Telkomsel', ""]")</f>
        <v>['Package', 'Data', 'Credit', 'Cut', 'Telkomsel', 'Restore', 'Credit', 'Woooy', 'Disight', 'Telkomsel', "]</v>
      </c>
      <c r="D3152" s="3">
        <v>1.0</v>
      </c>
    </row>
    <row r="3153" ht="15.75" customHeight="1">
      <c r="A3153" s="1">
        <v>3151.0</v>
      </c>
      <c r="B3153" s="3" t="s">
        <v>3153</v>
      </c>
      <c r="C3153" s="3" t="str">
        <f>IFERROR(__xludf.DUMMYFUNCTION("GOOGLETRANSLATE(B3153,""id"",""en"")"),"['Telkomsel', 'area', 'Purwakarta', 'Java', 'West', 'network', 'slow', 'good', 'quota', 'please', 'fix', 'difficult', ' Internet ',' Move ',' ']")</f>
        <v>['Telkomsel', 'area', 'Purwakarta', 'Java', 'West', 'network', 'slow', 'good', 'quota', 'please', 'fix', 'difficult', ' Internet ',' Move ',' ']</v>
      </c>
      <c r="D3153" s="3">
        <v>1.0</v>
      </c>
    </row>
    <row r="3154" ht="15.75" customHeight="1">
      <c r="A3154" s="1">
        <v>3152.0</v>
      </c>
      <c r="B3154" s="3" t="s">
        <v>3154</v>
      </c>
      <c r="C3154" s="3" t="str">
        <f>IFERROR(__xludf.DUMMYFUNCTION("GOOGLETRANSLATE(B3154,""id"",""en"")"),"['APK', 'good', 'Severe', 'Beguna', 'buy', 'package', 'contents',' right ',' check ',' tomorrow ',' ilang ',' open ',' APK ',' Telkomsel ',' Gini ',' Hope ',' Search ',' Provider ',' Dahlah ',' Credit ',' Fill ',' ilang ', ""]")</f>
        <v>['APK', 'good', 'Severe', 'Beguna', 'buy', 'package', 'contents',' right ',' check ',' tomorrow ',' ilang ',' open ',' APK ',' Telkomsel ',' Gini ',' Hope ',' Search ',' Provider ',' Dahlah ',' Credit ',' Fill ',' ilang ', "]</v>
      </c>
      <c r="D3154" s="3">
        <v>1.0</v>
      </c>
    </row>
    <row r="3155" ht="15.75" customHeight="1">
      <c r="A3155" s="1">
        <v>3153.0</v>
      </c>
      <c r="B3155" s="3" t="s">
        <v>3155</v>
      </c>
      <c r="C3155" s="3" t="str">
        <f>IFERROR(__xludf.DUMMYFUNCTION("GOOGLETRANSLATE(B3155,""id"",""en"")"),"['Quality', 'Live', 'ugly', 'compared to', 'Operator', 'Must', 'Telkomsel', 'Mkn', 'Mkinturun', 'Quality', 'Signal']")</f>
        <v>['Quality', 'Live', 'ugly', 'compared to', 'Operator', 'Must', 'Telkomsel', 'Mkn', 'Mkinturun', 'Quality', 'Signal']</v>
      </c>
      <c r="D3155" s="3">
        <v>3.0</v>
      </c>
    </row>
    <row r="3156" ht="15.75" customHeight="1">
      <c r="A3156" s="1">
        <v>3154.0</v>
      </c>
      <c r="B3156" s="3" t="s">
        <v>3156</v>
      </c>
      <c r="C3156" s="3" t="str">
        <f>IFERROR(__xludf.DUMMYFUNCTION("GOOGLETRANSLATE(B3156,""id"",""en"")"),"['Telkomsel', 'already', 'Different', 'unlimited', 'sosmed', 'smooth', 'feels',' tricks', 'quota', 'main', 'abis',' yaudah ',' slow ',' quota ']")</f>
        <v>['Telkomsel', 'already', 'Different', 'unlimited', 'sosmed', 'smooth', 'feels',' tricks', 'quota', 'main', 'abis',' yaudah ',' slow ',' quota ']</v>
      </c>
      <c r="D3156" s="3">
        <v>1.0</v>
      </c>
    </row>
    <row r="3157" ht="15.75" customHeight="1">
      <c r="A3157" s="1">
        <v>3155.0</v>
      </c>
      <c r="B3157" s="3" t="s">
        <v>3157</v>
      </c>
      <c r="C3157" s="3" t="str">
        <f>IFERROR(__xludf.DUMMYFUNCTION("GOOGLETRANSLATE(B3157,""id"",""en"")"),"['exchanges',' Points', 'Coupons',' Lottery ',' Coupons', 'Notification', 'Coupons',' Clock ',' Deceived ',' Signal ',' Telkomsel ',' Bad ',' signal ',' rotten ']")</f>
        <v>['exchanges',' Points', 'Coupons',' Lottery ',' Coupons', 'Notification', 'Coupons',' Clock ',' Deceived ',' Signal ',' Telkomsel ',' Bad ',' signal ',' rotten ']</v>
      </c>
      <c r="D3157" s="3">
        <v>1.0</v>
      </c>
    </row>
    <row r="3158" ht="15.75" customHeight="1">
      <c r="A3158" s="1">
        <v>3156.0</v>
      </c>
      <c r="B3158" s="3" t="s">
        <v>3158</v>
      </c>
      <c r="C3158" s="3" t="str">
        <f>IFERROR(__xludf.DUMMYFUNCTION("GOOGLETRANSLATE(B3158,""id"",""en"")"),"['kenem', 'network', 'wifi', 'indihome', 'slow', 'really', 'stremaing', 'youtube', 'difficult', 'really', 'internet', 'Please', ' Repicking ',' ']")</f>
        <v>['kenem', 'network', 'wifi', 'indihome', 'slow', 'really', 'stremaing', 'youtube', 'difficult', 'really', 'internet', 'Please', ' Repicking ',' ']</v>
      </c>
      <c r="D3158" s="3">
        <v>2.0</v>
      </c>
    </row>
    <row r="3159" ht="15.75" customHeight="1">
      <c r="A3159" s="1">
        <v>3157.0</v>
      </c>
      <c r="B3159" s="3" t="s">
        <v>3159</v>
      </c>
      <c r="C3159" s="3" t="str">
        <f>IFERROR(__xludf.DUMMYFUNCTION("GOOGLETRANSLATE(B3159,""id"",""en"")"),"['Package', 'cheerful', 'apply', 'date']")</f>
        <v>['Package', 'cheerful', 'apply', 'date']</v>
      </c>
      <c r="D3159" s="3">
        <v>5.0</v>
      </c>
    </row>
    <row r="3160" ht="15.75" customHeight="1">
      <c r="A3160" s="1">
        <v>3158.0</v>
      </c>
      <c r="B3160" s="3" t="s">
        <v>3160</v>
      </c>
      <c r="C3160" s="3" t="str">
        <f>IFERROR(__xludf.DUMMYFUNCTION("GOOGLETRANSLATE(B3160,""id"",""en"")"),"['Telkomsel', 'here', 'bad', 'signal', 'slow', 'forgiveness',' reply ',' review ',' told ',' contact ',' repair ',' system ',' Dropped ']")</f>
        <v>['Telkomsel', 'here', 'bad', 'signal', 'slow', 'forgiveness',' reply ',' review ',' told ',' contact ',' repair ',' system ',' Dropped ']</v>
      </c>
      <c r="D3160" s="3">
        <v>1.0</v>
      </c>
    </row>
    <row r="3161" ht="15.75" customHeight="1">
      <c r="A3161" s="1">
        <v>3159.0</v>
      </c>
      <c r="B3161" s="3" t="s">
        <v>3161</v>
      </c>
      <c r="C3161" s="3" t="str">
        <f>IFERROR(__xludf.DUMMYFUNCTION("GOOGLETRANSLATE(B3161,""id"",""en"")"),"['', 'use', 'package', 'according to', 'need', 'package', 'deleted', 'directed', 'buy', 'package', 'quota', 'needed', 'severe ',' ']")</f>
        <v>['', 'use', 'package', 'according to', 'need', 'package', 'deleted', 'directed', 'buy', 'package', 'quota', 'needed', 'severe ',' ']</v>
      </c>
      <c r="D3161" s="3">
        <v>1.0</v>
      </c>
    </row>
    <row r="3162" ht="15.75" customHeight="1">
      <c r="A3162" s="1">
        <v>3160.0</v>
      </c>
      <c r="B3162" s="3" t="s">
        <v>3162</v>
      </c>
      <c r="C3162" s="3" t="str">
        <f>IFERROR(__xludf.DUMMYFUNCTION("GOOGLETRANSLATE(B3162,""id"",""en"")"),"['Please', 'Min', 'Addin', 'Features', 'Credit', 'Safe', 'Kayak', 'Provider', 'Next "",' Cook ',' Quota ',' Out ',' TRS ',' MOTH ',' Credit ',' already ',' Cut ',' Credit ',' Signal ',' Lemot ',' Ping ',' Maen ',' Game ',' ugly ',' Please ' , 'Acquired', "&amp;"'Nurse', 'Min', 'Society', '']")</f>
        <v>['Please', 'Min', 'Addin', 'Features', 'Credit', 'Safe', 'Kayak', 'Provider', 'Next ",' Cook ',' Quota ',' Out ',' TRS ',' MOTH ',' Credit ',' already ',' Cut ',' Credit ',' Signal ',' Lemot ',' Ping ',' Maen ',' Game ',' ugly ',' Please ' , 'Acquired', 'Nurse', 'Min', 'Society', '']</v>
      </c>
      <c r="D3162" s="3">
        <v>1.0</v>
      </c>
    </row>
    <row r="3163" ht="15.75" customHeight="1">
      <c r="A3163" s="1">
        <v>3161.0</v>
      </c>
      <c r="B3163" s="3" t="s">
        <v>3163</v>
      </c>
      <c r="C3163" s="3" t="str">
        <f>IFERROR(__xludf.DUMMYFUNCTION("GOOGLETRANSLATE(B3163,""id"",""en"")"),"['network', 'Telkomasel', 'game', 'bad', 'quota', 'expensive', 'really', 'loss', 'basics']")</f>
        <v>['network', 'Telkomasel', 'game', 'bad', 'quota', 'expensive', 'really', 'loss', 'basics']</v>
      </c>
      <c r="D3163" s="3">
        <v>1.0</v>
      </c>
    </row>
    <row r="3164" ht="15.75" customHeight="1">
      <c r="A3164" s="1">
        <v>3162.0</v>
      </c>
      <c r="B3164" s="3" t="s">
        <v>3164</v>
      </c>
      <c r="C3164" s="3" t="str">
        <f>IFERROR(__xludf.DUMMYFUNCTION("GOOGLETRANSLATE(B3164,""id"",""en"")"),"['quota', 'expensive', 'according to', 'network', 'network', 'Telkomsel', 'please', 'Dragus']")</f>
        <v>['quota', 'expensive', 'according to', 'network', 'network', 'Telkomsel', 'please', 'Dragus']</v>
      </c>
      <c r="D3164" s="3">
        <v>1.0</v>
      </c>
    </row>
    <row r="3165" ht="15.75" customHeight="1">
      <c r="A3165" s="1">
        <v>3163.0</v>
      </c>
      <c r="B3165" s="3" t="s">
        <v>3165</v>
      </c>
      <c r="C3165" s="3" t="str">
        <f>IFERROR(__xludf.DUMMYFUNCTION("GOOGLETRANSLATE(B3165,""id"",""en"")"),"['quota', 'pulse', 'right', 'turn on', 'data', 'pulses', 'suck', 'yaa', ""]")</f>
        <v>['quota', 'pulse', 'right', 'turn on', 'data', 'pulses', 'suck', 'yaa', "]</v>
      </c>
      <c r="D3165" s="3">
        <v>2.0</v>
      </c>
    </row>
    <row r="3166" ht="15.75" customHeight="1">
      <c r="A3166" s="1">
        <v>3164.0</v>
      </c>
      <c r="B3166" s="3" t="s">
        <v>3166</v>
      </c>
      <c r="C3166" s="3" t="str">
        <f>IFERROR(__xludf.DUMMYFUNCTION("GOOGLETRANSLATE(B3166,""id"",""en"")"),"['Operator', 'cunning', 'like', 'Maling', 'credit', 'like', 'fraudsters', 'Call', 'Live', 'streaming']")</f>
        <v>['Operator', 'cunning', 'like', 'Maling', 'credit', 'like', 'fraudsters', 'Call', 'Live', 'streaming']</v>
      </c>
      <c r="D3166" s="3">
        <v>2.0</v>
      </c>
    </row>
    <row r="3167" ht="15.75" customHeight="1">
      <c r="A3167" s="1">
        <v>3165.0</v>
      </c>
      <c r="B3167" s="3" t="s">
        <v>3167</v>
      </c>
      <c r="C3167" s="3" t="str">
        <f>IFERROR(__xludf.DUMMYFUNCTION("GOOGLETRANSLATE(B3167,""id"",""en"")"),"['application', 'ugly', 'times',' supports', 'awokwokwowkwk', 'smooth', 'emng', 'signal', 'bad', 'because', 'weather', 'Uklum', ' Paketan ',' a little ',' expensive ',' Over ',' all ',' good ',' appeal ',' oprator ',' steady ',' Telkomsel ']")</f>
        <v>['application', 'ugly', 'times',' supports', 'awokwokwowkwk', 'smooth', 'emng', 'signal', 'bad', 'because', 'weather', 'Uklum', ' Paketan ',' a little ',' expensive ',' Over ',' all ',' good ',' appeal ',' oprator ',' steady ',' Telkomsel ']</v>
      </c>
      <c r="D3167" s="3">
        <v>5.0</v>
      </c>
    </row>
    <row r="3168" ht="15.75" customHeight="1">
      <c r="A3168" s="1">
        <v>3166.0</v>
      </c>
      <c r="B3168" s="3" t="s">
        <v>3168</v>
      </c>
      <c r="C3168" s="3" t="str">
        <f>IFERROR(__xludf.DUMMYFUNCTION("GOOGLETRANSLATE(B3168,""id"",""en"")"),"['Helping', 'Network', 'Strong', '']")</f>
        <v>['Helping', 'Network', 'Strong', '']</v>
      </c>
      <c r="D3168" s="3">
        <v>5.0</v>
      </c>
    </row>
    <row r="3169" ht="15.75" customHeight="1">
      <c r="A3169" s="1">
        <v>3167.0</v>
      </c>
      <c r="B3169" s="3" t="s">
        <v>3169</v>
      </c>
      <c r="C3169" s="3" t="str">
        <f>IFERROR(__xludf.DUMMYFUNCTION("GOOGLETRANSLATE(B3169,""id"",""en"")"),"['Telkomsel', 'disappointing', 'sinya', 'bad', 'customer', 'loyal', 'times', 'disorder', 'network', 'sangaaaattttt', 'badkkkkkkkkkkkkkkkkk']")</f>
        <v>['Telkomsel', 'disappointing', 'sinya', 'bad', 'customer', 'loyal', 'times', 'disorder', 'network', 'sangaaaattttt', 'badkkkkkkkkkkkkkkkkk']</v>
      </c>
      <c r="D3169" s="3">
        <v>1.0</v>
      </c>
    </row>
    <row r="3170" ht="15.75" customHeight="1">
      <c r="A3170" s="1">
        <v>3168.0</v>
      </c>
      <c r="B3170" s="3" t="s">
        <v>3170</v>
      </c>
      <c r="C3170" s="3" t="str">
        <f>IFERROR(__xludf.DUMMYFUNCTION("GOOGLETRANSLATE(B3170,""id"",""en"")"),"['apk', 'good', 'understand', 'point', 'buy', 'pulse', 'quota', 'point', '']")</f>
        <v>['apk', 'good', 'understand', 'point', 'buy', 'pulse', 'quota', 'point', '']</v>
      </c>
      <c r="D3170" s="3">
        <v>5.0</v>
      </c>
    </row>
    <row r="3171" ht="15.75" customHeight="1">
      <c r="A3171" s="1">
        <v>3169.0</v>
      </c>
      <c r="B3171" s="3" t="s">
        <v>3171</v>
      </c>
      <c r="C3171" s="3" t="str">
        <f>IFERROR(__xludf.DUMMYFUNCTION("GOOGLETRANSLATE(B3171,""id"",""en"")"),"['', 'UDH', 'signal', 'Telkomsel', 'ugly', 'severe', 'udh', 'so', 'entry', 'app', 'difficult', 'signal', 'ugly ',' Weve ',' Bener ',' ugly ',' Telkomsel ',' how ',' rich ',' go bankrupt ',' at the "", 'user', 'org']")</f>
        <v>['', 'UDH', 'signal', 'Telkomsel', 'ugly', 'severe', 'udh', 'so', 'entry', 'app', 'difficult', 'signal', 'ugly ',' Weve ',' Bener ',' ugly ',' Telkomsel ',' how ',' rich ',' go bankrupt ',' at the ", 'user', 'org']</v>
      </c>
      <c r="D3171" s="3">
        <v>1.0</v>
      </c>
    </row>
    <row r="3172" ht="15.75" customHeight="1">
      <c r="A3172" s="1">
        <v>3170.0</v>
      </c>
      <c r="B3172" s="3" t="s">
        <v>3172</v>
      </c>
      <c r="C3172" s="3" t="str">
        <f>IFERROR(__xludf.DUMMYFUNCTION("GOOGLETRANSLATE(B3172,""id"",""en"")"),"['ugly', 'really', 'network', 'ngeleg', 'sometimes', 'play', 'game', 'direct', 'broke', 'signal', 'like', 'really' Ngeblank ',' signal ',' price ',' according to ',' convenience ',' consumer ',' please ',' repaired ',' consumer ',' moved ',' provider ', "&amp;"""]")</f>
        <v>['ugly', 'really', 'network', 'ngeleg', 'sometimes', 'play', 'game', 'direct', 'broke', 'signal', 'like', 'really' Ngeblank ',' signal ',' price ',' according to ',' convenience ',' consumer ',' please ',' repaired ',' consumer ',' moved ',' provider ', "]</v>
      </c>
      <c r="D3172" s="3">
        <v>1.0</v>
      </c>
    </row>
    <row r="3173" ht="15.75" customHeight="1">
      <c r="A3173" s="1">
        <v>3171.0</v>
      </c>
      <c r="B3173" s="3" t="s">
        <v>3173</v>
      </c>
      <c r="C3173" s="3" t="str">
        <f>IFERROR(__xludf.DUMMYFUNCTION("GOOGLETRANSLATE(B3173,""id"",""en"")"),"['Lock', 'Lock', 'credit', 'run out', 'quota', 'direct', 'suck', 'pulses', ""]")</f>
        <v>['Lock', 'Lock', 'credit', 'run out', 'quota', 'direct', 'suck', 'pulses', "]</v>
      </c>
      <c r="D3173" s="3">
        <v>5.0</v>
      </c>
    </row>
    <row r="3174" ht="15.75" customHeight="1">
      <c r="A3174" s="1">
        <v>3172.0</v>
      </c>
      <c r="B3174" s="3" t="s">
        <v>3174</v>
      </c>
      <c r="C3174" s="3" t="str">
        <f>IFERROR(__xludf.DUMMYFUNCTION("GOOGLETRANSLATE(B3174,""id"",""en"")"),"['signal', 'Telkomsel', 'bad', 'cook', 'buy', 'package', 'omg', 'for', 'open', 'application', 'Telkomsel', 'ngak', ' ItUasak ',' Exchange ',' Points', 'Tired', 'Buy', 'Package', 'Unlimited', 'Hair']")</f>
        <v>['signal', 'Telkomsel', 'bad', 'cook', 'buy', 'package', 'omg', 'for', 'open', 'application', 'Telkomsel', 'ngak', ' ItUasak ',' Exchange ',' Points', 'Tired', 'Buy', 'Package', 'Unlimited', 'Hair']</v>
      </c>
      <c r="D3174" s="3">
        <v>1.0</v>
      </c>
    </row>
    <row r="3175" ht="15.75" customHeight="1">
      <c r="A3175" s="1">
        <v>3173.0</v>
      </c>
      <c r="B3175" s="3" t="s">
        <v>3175</v>
      </c>
      <c r="C3175" s="3" t="str">
        <f>IFERROR(__xludf.DUMMYFUNCTION("GOOGLETRANSLATE(B3175,""id"",""en"")"),"['Telkomsel', 'please', 'price', 'internet', 'donating', 'expensive', 'expensive', 'people', 'richest', 'stay', 'remote', 'city', ' dreams', 'trouble', 'try', 'card', 'prime', 'rich', 'smart', 'frent', 'emtree', 'it', 'bonus',' cheap ',' price ' , 'Wear',"&amp;" 'card', 'difficult', 'signal', 'signal', 'Telkomsel', 'only', 'expensive', 'people', 'poor', 'Meras',' bag ',' Number ',' Promo ',' ']")</f>
        <v>['Telkomsel', 'please', 'price', 'internet', 'donating', 'expensive', 'expensive', 'people', 'richest', 'stay', 'remote', 'city', ' dreams', 'trouble', 'try', 'card', 'prime', 'rich', 'smart', 'frent', 'emtree', 'it', 'bonus',' cheap ',' price ' , 'Wear', 'card', 'difficult', 'signal', 'signal', 'Telkomsel', 'only', 'expensive', 'people', 'poor', 'Meras',' bag ',' Number ',' Promo ',' ']</v>
      </c>
      <c r="D3175" s="3">
        <v>3.0</v>
      </c>
    </row>
    <row r="3176" ht="15.75" customHeight="1">
      <c r="A3176" s="1">
        <v>3174.0</v>
      </c>
      <c r="B3176" s="3" t="s">
        <v>3176</v>
      </c>
      <c r="C3176" s="3" t="str">
        <f>IFERROR(__xludf.DUMMYFUNCTION("GOOGLETRANSLATE(B3176,""id"",""en"")"),"['Please', 'Sousal', 'Stabilized', 'Increase', 'Down', 'Performance', ""]")</f>
        <v>['Please', 'Sousal', 'Stabilized', 'Increase', 'Down', 'Performance', "]</v>
      </c>
      <c r="D3176" s="3">
        <v>1.0</v>
      </c>
    </row>
    <row r="3177" ht="15.75" customHeight="1">
      <c r="A3177" s="1">
        <v>3175.0</v>
      </c>
      <c r="B3177" s="3" t="s">
        <v>3177</v>
      </c>
      <c r="C3177" s="3" t="str">
        <f>IFERROR(__xludf.DUMMYFUNCTION("GOOGLETRANSLATE(B3177,""id"",""en"")"),"['Package', 'purchase', 'internet', 'buy', 'paid', 'times', 'transact', 'times', ""]")</f>
        <v>['Package', 'purchase', 'internet', 'buy', 'paid', 'times', 'transact', 'times', "]</v>
      </c>
      <c r="D3177" s="3">
        <v>1.0</v>
      </c>
    </row>
    <row r="3178" ht="15.75" customHeight="1">
      <c r="A3178" s="1">
        <v>3176.0</v>
      </c>
      <c r="B3178" s="3" t="s">
        <v>3178</v>
      </c>
      <c r="C3178" s="3" t="str">
        <f>IFERROR(__xludf.DUMMYFUNCTION("GOOGLETRANSLATE(B3178,""id"",""en"")"),"['appreciating', 'Telkomsel', 'acknowledged', 'Satisfied', 'Trust', 'Telkomsel', 'Decline', 'Yesterday', 'Bid', 'Card', 'Emimiced', 'Subscribe', ' Quota ',' Automatic ',' Agrees', 'Willing', 'Waiting', 'Week', 'Notification', 'Try', 'Hub', 'Card', 'Emimic"&amp;"ed', 'There', 'Disappointment' , 'appears', 'week', 'throw', 'wait', ""]")</f>
        <v>['appreciating', 'Telkomsel', 'acknowledged', 'Satisfied', 'Trust', 'Telkomsel', 'Decline', 'Yesterday', 'Bid', 'Card', 'Emimiced', 'Subscribe', ' Quota ',' Automatic ',' Agrees', 'Willing', 'Waiting', 'Week', 'Notification', 'Try', 'Hub', 'Card', 'Emimiced', 'There', 'Disappointment' , 'appears', 'week', 'throw', 'wait', "]</v>
      </c>
      <c r="D3178" s="3">
        <v>1.0</v>
      </c>
    </row>
    <row r="3179" ht="15.75" customHeight="1">
      <c r="A3179" s="1">
        <v>3177.0</v>
      </c>
      <c r="B3179" s="3" t="s">
        <v>3179</v>
      </c>
      <c r="C3179" s="3" t="str">
        <f>IFERROR(__xludf.DUMMYFUNCTION("GOOGLETRANSLATE(B3179,""id"",""en"")"),"['signal', 'ugly', 'package', 'expensive', 'price', 'basically', 'please', 'repaired', 'admin', 'basics',' Telkomsel ',' ugly ',' Really ',' signal ',' ']")</f>
        <v>['signal', 'ugly', 'package', 'expensive', 'price', 'basically', 'please', 'repaired', 'admin', 'basics',' Telkomsel ',' ugly ',' Really ',' signal ',' ']</v>
      </c>
      <c r="D3179" s="3">
        <v>1.0</v>
      </c>
    </row>
    <row r="3180" ht="15.75" customHeight="1">
      <c r="A3180" s="1">
        <v>3178.0</v>
      </c>
      <c r="B3180" s="3" t="s">
        <v>3180</v>
      </c>
      <c r="C3180" s="3" t="str">
        <f>IFERROR(__xludf.DUMMYFUNCTION("GOOGLETRANSLATE(B3180,""id"",""en"")"),"['Provider', 'Kaga', 'Price', 'Expensive', 'Quality', 'Cheap', 'Untung', 'Switch', '']")</f>
        <v>['Provider', 'Kaga', 'Price', 'Expensive', 'Quality', 'Cheap', 'Untung', 'Switch', '']</v>
      </c>
      <c r="D3180" s="3">
        <v>1.0</v>
      </c>
    </row>
    <row r="3181" ht="15.75" customHeight="1">
      <c r="A3181" s="1">
        <v>3179.0</v>
      </c>
      <c r="B3181" s="3" t="s">
        <v>3181</v>
      </c>
      <c r="C3181" s="3" t="str">
        <f>IFERROR(__xludf.DUMMYFUNCTION("GOOGLETRANSLATE(B3181,""id"",""en"")"),"['Hi', 'Telkomsel', 'knpa', 'slow', 'pdhal', 'awl', 'lncar', 'bgtss',' skrg ',' knpa ',' slow ',' okes', ' Quota ',' Msih ',' BYK ',' MSA ',' AKTV ',' quota ',' Msih ',' LMA ',' TPI ',' KNPA ',' slow ',' bwt ',' nnton ' , 'sosmed', 'loading', 'muter', 'bk"&amp;"in', 'comfortable', 'please', 'donk', 'telkomsel', 'solution', 'consumer', 'blur', 'mkasih', ' ']")</f>
        <v>['Hi', 'Telkomsel', 'knpa', 'slow', 'pdhal', 'awl', 'lncar', 'bgtss',' skrg ',' knpa ',' slow ',' okes', ' Quota ',' Msih ',' BYK ',' MSA ',' AKTV ',' quota ',' Msih ',' LMA ',' TPI ',' KNPA ',' slow ',' bwt ',' nnton ' , 'sosmed', 'loading', 'muter', 'bkin', 'comfortable', 'please', 'donk', 'telkomsel', 'solution', 'consumer', 'blur', 'mkasih', ' ']</v>
      </c>
      <c r="D3181" s="3">
        <v>3.0</v>
      </c>
    </row>
    <row r="3182" ht="15.75" customHeight="1">
      <c r="A3182" s="1">
        <v>3180.0</v>
      </c>
      <c r="B3182" s="3" t="s">
        <v>3182</v>
      </c>
      <c r="C3182" s="3" t="str">
        <f>IFERROR(__xludf.DUMMYFUNCTION("GOOGLETRANSLATE(B3182,""id"",""en"")"),"['Points', 'Exchange', 'Kli', 'per month', 'Points', 'already', 'Points']")</f>
        <v>['Points', 'Exchange', 'Kli', 'per month', 'Points', 'already', 'Points']</v>
      </c>
      <c r="D3182" s="3">
        <v>1.0</v>
      </c>
    </row>
    <row r="3183" ht="15.75" customHeight="1">
      <c r="A3183" s="1">
        <v>3181.0</v>
      </c>
      <c r="B3183" s="3" t="s">
        <v>3183</v>
      </c>
      <c r="C3183" s="3" t="str">
        <f>IFERROR(__xludf.DUMMYFUNCTION("GOOGLETRANSLATE(B3183,""id"",""en"")"),"['package', 'internet', 'leftover', 'pulse', 'reduced', 'leftover', 'pulse', 'a week', 'out', 'krg', 'professional', 'operator', ' Telkomsel ',' ']")</f>
        <v>['package', 'internet', 'leftover', 'pulse', 'reduced', 'leftover', 'pulse', 'a week', 'out', 'krg', 'professional', 'operator', ' Telkomsel ',' ']</v>
      </c>
      <c r="D3183" s="3">
        <v>1.0</v>
      </c>
    </row>
    <row r="3184" ht="15.75" customHeight="1">
      <c r="A3184" s="1">
        <v>3182.0</v>
      </c>
      <c r="B3184" s="3" t="s">
        <v>3184</v>
      </c>
      <c r="C3184" s="3" t="str">
        <f>IFERROR(__xludf.DUMMYFUNCTION("GOOGLETRANSLATE(B3184,""id"",""en"")"),"['Please', 'Sorry', 'Disappointed', 'Network', 'Telkomsel', 'Disruption', 'Connect', 'Stable', 'Bad', 'Sampe', 'Telkomsel', 'Providers',' Offers', 'Price', 'Telkomsel', 'Network', 'Stable', 'Wonder', 'Moving', 'Providers']")</f>
        <v>['Please', 'Sorry', 'Disappointed', 'Network', 'Telkomsel', 'Disruption', 'Connect', 'Stable', 'Bad', 'Sampe', 'Telkomsel', 'Providers',' Offers', 'Price', 'Telkomsel', 'Network', 'Stable', 'Wonder', 'Moving', 'Providers']</v>
      </c>
      <c r="D3184" s="3">
        <v>1.0</v>
      </c>
    </row>
    <row r="3185" ht="15.75" customHeight="1">
      <c r="A3185" s="1">
        <v>3183.0</v>
      </c>
      <c r="B3185" s="3" t="s">
        <v>3185</v>
      </c>
      <c r="C3185" s="3" t="str">
        <f>IFERROR(__xludf.DUMMYFUNCTION("GOOGLETRANSLATE(B3185,""id"",""en"")"),"['Paketan', 'expensive', 'signal', 'slow', 'must', 'backup', 'card', 'provider', ""]")</f>
        <v>['Paketan', 'expensive', 'signal', 'slow', 'must', 'backup', 'card', 'provider', "]</v>
      </c>
      <c r="D3185" s="3">
        <v>1.0</v>
      </c>
    </row>
    <row r="3186" ht="15.75" customHeight="1">
      <c r="A3186" s="1">
        <v>3184.0</v>
      </c>
      <c r="B3186" s="3" t="s">
        <v>3186</v>
      </c>
      <c r="C3186" s="3" t="str">
        <f>IFERROR(__xludf.DUMMYFUNCTION("GOOGLETRANSLATE(B3186,""id"",""en"")"),"['Lottery', 'Telkomsel', 'Point', 'Bneran', 'No', 'Get', 'Points', 'Retite', 'Points', ""]")</f>
        <v>['Lottery', 'Telkomsel', 'Point', 'Bneran', 'No', 'Get', 'Points', 'Retite', 'Points', "]</v>
      </c>
      <c r="D3186" s="3">
        <v>1.0</v>
      </c>
    </row>
    <row r="3187" ht="15.75" customHeight="1">
      <c r="A3187" s="1">
        <v>3185.0</v>
      </c>
      <c r="B3187" s="3" t="s">
        <v>3187</v>
      </c>
      <c r="C3187" s="3" t="str">
        <f>IFERROR(__xludf.DUMMYFUNCTION("GOOGLETRANSLATE(B3187,""id"",""en"")"),"['Apps',' Most good ',' complete ',' dear ',' here ',' stability ',' internet ',' bad ',' Please ',' noticed ',' connection ',' stable ',' Telkomsel ',' Salah ',' Provider ',' Deepest ',' Biggest ',' Indonesia ',' Lose ',' Provider ',' Young ',' Cheap ', "&amp;"""]")</f>
        <v>['Apps',' Most good ',' complete ',' dear ',' here ',' stability ',' internet ',' bad ',' Please ',' noticed ',' connection ',' stable ',' Telkomsel ',' Salah ',' Provider ',' Deepest ',' Biggest ',' Indonesia ',' Lose ',' Provider ',' Young ',' Cheap ', "]</v>
      </c>
      <c r="D3187" s="3">
        <v>3.0</v>
      </c>
    </row>
    <row r="3188" ht="15.75" customHeight="1">
      <c r="A3188" s="1">
        <v>3186.0</v>
      </c>
      <c r="B3188" s="3" t="s">
        <v>3188</v>
      </c>
      <c r="C3188" s="3" t="str">
        <f>IFERROR(__xludf.DUMMYFUNCTION("GOOGLETRANSLATE(B3188,""id"",""en"")"),"['grouping', 'package', 'quota', 'Different', 'number', 'Different', 'treatment', 'meaning', 'consistent', 'segment', 'different', 'customer', ' Furnished ',' People ',' Use ',' Telkomsel ',' Paketan ',' Provide ',' Different ',' Business', 'KOQ', 'DIFT',"&amp;" 'Relihood', 'Network', 'Lemot' , 'upload', 'comparable', 'download', 'strange', 'Telkomsel', 'grouping', 'bgin', 'proud of', 'provider', 'BUMN', 'understand', '']")</f>
        <v>['grouping', 'package', 'quota', 'Different', 'number', 'Different', 'treatment', 'meaning', 'consistent', 'segment', 'different', 'customer', ' Furnished ',' People ',' Use ',' Telkomsel ',' Paketan ',' Provide ',' Different ',' Business', 'KOQ', 'DIFT', 'Relihood', 'Network', 'Lemot' , 'upload', 'comparable', 'download', 'strange', 'Telkomsel', 'grouping', 'bgin', 'proud of', 'provider', 'BUMN', 'understand', '']</v>
      </c>
      <c r="D3188" s="3">
        <v>2.0</v>
      </c>
    </row>
    <row r="3189" ht="15.75" customHeight="1">
      <c r="A3189" s="1">
        <v>3187.0</v>
      </c>
      <c r="B3189" s="3" t="s">
        <v>3189</v>
      </c>
      <c r="C3189" s="3" t="str">
        <f>IFERROR(__xludf.DUMMYFUNCTION("GOOGLETRANSLATE(B3189,""id"",""en"")"),"['Beginner', 'Star', 'Uda', 'Tool', 'Contents', 'Application', 'Good', 'Kasi', 'Full', 'Star', ""]")</f>
        <v>['Beginner', 'Star', 'Uda', 'Tool', 'Contents', 'Application', 'Good', 'Kasi', 'Full', 'Star', "]</v>
      </c>
      <c r="D3189" s="3">
        <v>1.0</v>
      </c>
    </row>
    <row r="3190" ht="15.75" customHeight="1">
      <c r="A3190" s="1">
        <v>3188.0</v>
      </c>
      <c r="B3190" s="3" t="s">
        <v>3190</v>
      </c>
      <c r="C3190" s="3" t="str">
        <f>IFERROR(__xludf.DUMMYFUNCTION("GOOGLETRANSLATE(B3190,""id"",""en"")"),"['yeah', 'amiin', 'hope', 'Telkomsel', 'best', 'user']")</f>
        <v>['yeah', 'amiin', 'hope', 'Telkomsel', 'best', 'user']</v>
      </c>
      <c r="D3190" s="3">
        <v>5.0</v>
      </c>
    </row>
    <row r="3191" ht="15.75" customHeight="1">
      <c r="A3191" s="1">
        <v>3189.0</v>
      </c>
      <c r="B3191" s="3" t="s">
        <v>3191</v>
      </c>
      <c r="C3191" s="3" t="str">
        <f>IFERROR(__xludf.DUMMYFUNCTION("GOOGLETRANSLATE(B3191,""id"",""en"")"),"['', 'buy', 'credit', 'call', 'buy', 'package', 'quota', 'pulse', 'run out', 'pulse', 'rampok', ""]")</f>
        <v>['', 'buy', 'credit', 'call', 'buy', 'package', 'quota', 'pulse', 'run out', 'pulse', 'rampok', "]</v>
      </c>
      <c r="D3191" s="3">
        <v>3.0</v>
      </c>
    </row>
    <row r="3192" ht="15.75" customHeight="1">
      <c r="A3192" s="1">
        <v>3190.0</v>
      </c>
      <c r="B3192" s="3" t="s">
        <v>3192</v>
      </c>
      <c r="C3192" s="3" t="str">
        <f>IFERROR(__xludf.DUMMYFUNCTION("GOOGLETRANSLATE(B3192,""id"",""en"")"),"['already', 'Telkomsel', 'good', 'ngeukunjak', 'quota', 'pulse', 'dipake', 'network', 'lag', 'pulse', 'sumps', ""]")</f>
        <v>['already', 'Telkomsel', 'good', 'ngeukunjak', 'quota', 'pulse', 'dipake', 'network', 'lag', 'pulse', 'sumps', "]</v>
      </c>
      <c r="D3192" s="3">
        <v>1.0</v>
      </c>
    </row>
    <row r="3193" ht="15.75" customHeight="1">
      <c r="A3193" s="1">
        <v>3191.0</v>
      </c>
      <c r="B3193" s="3" t="s">
        <v>3193</v>
      </c>
      <c r="C3193" s="3" t="str">
        <f>IFERROR(__xludf.DUMMYFUNCTION("GOOGLETRANSLATE(B3193,""id"",""en"")"),"['Sya', 'Happy', 'Pakek', 'Telkomsel', 'Please', 'Level', 'Signal', 'Karna', 'Signal', 'Region', 'Sya', 'Lemot', ' Thank you']")</f>
        <v>['Sya', 'Happy', 'Pakek', 'Telkomsel', 'Please', 'Level', 'Signal', 'Karna', 'Signal', 'Region', 'Sya', 'Lemot', ' Thank you']</v>
      </c>
      <c r="D3193" s="3">
        <v>5.0</v>
      </c>
    </row>
    <row r="3194" ht="15.75" customHeight="1">
      <c r="A3194" s="1">
        <v>3192.0</v>
      </c>
      <c r="B3194" s="3" t="s">
        <v>3194</v>
      </c>
      <c r="C3194" s="3" t="str">
        <f>IFERROR(__xludf.DUMMYFUNCTION("GOOGLETRANSLATE(B3194,""id"",""en"")"),"['Network', 'garbage', 'city', 'rich', 'Kebon', 'Benerin', 'connection', 'near', 'rail', 'kedaton', 'Bandar', 'Lampung', ' Cave ',' Change ',' Bintang ',' ']")</f>
        <v>['Network', 'garbage', 'city', 'rich', 'Kebon', 'Benerin', 'connection', 'near', 'rail', 'kedaton', 'Bandar', 'Lampung', ' Cave ',' Change ',' Bintang ',' ']</v>
      </c>
      <c r="D3194" s="3">
        <v>1.0</v>
      </c>
    </row>
    <row r="3195" ht="15.75" customHeight="1">
      <c r="A3195" s="1">
        <v>3193.0</v>
      </c>
      <c r="B3195" s="3" t="s">
        <v>3195</v>
      </c>
      <c r="C3195" s="3" t="str">
        <f>IFERROR(__xludf.DUMMYFUNCTION("GOOGLETRANSLATE(B3195,""id"",""en"")"),"['Alhamdulillah', 'Join', 'Hopefully', 'Prizes', 'Aamiin', 'Rabb', ""]")</f>
        <v>['Alhamdulillah', 'Join', 'Hopefully', 'Prizes', 'Aamiin', 'Rabb', "]</v>
      </c>
      <c r="D3195" s="3">
        <v>5.0</v>
      </c>
    </row>
    <row r="3196" ht="15.75" customHeight="1">
      <c r="A3196" s="1">
        <v>3194.0</v>
      </c>
      <c r="B3196" s="3" t="s">
        <v>3196</v>
      </c>
      <c r="C3196" s="3" t="str">
        <f>IFERROR(__xludf.DUMMYFUNCTION("GOOGLETRANSLATE(B3196,""id"",""en"")"),"['customer', 'disappointed', 'expensive', 'buy', 'package', 'used', 'satisfied', 'because', 'network', 'internet', 'disorder', 'please', ' Providers', 'pay attention', 'satisfaction', 'customers',' thank you ']")</f>
        <v>['customer', 'disappointed', 'expensive', 'buy', 'package', 'used', 'satisfied', 'because', 'network', 'internet', 'disorder', 'please', ' Providers', 'pay attention', 'satisfaction', 'customers',' thank you ']</v>
      </c>
      <c r="D3196" s="3">
        <v>1.0</v>
      </c>
    </row>
    <row r="3197" ht="15.75" customHeight="1">
      <c r="A3197" s="1">
        <v>3195.0</v>
      </c>
      <c r="B3197" s="3" t="s">
        <v>3197</v>
      </c>
      <c r="C3197" s="3" t="str">
        <f>IFERROR(__xludf.DUMMYFUNCTION("GOOGLETRANSLATE(B3197,""id"",""en"")"),"['Good', 'like', 'Telkomsel', 'promo', 'choice', 'net', 'good', ""]")</f>
        <v>['Good', 'like', 'Telkomsel', 'promo', 'choice', 'net', 'good', "]</v>
      </c>
      <c r="D3197" s="3">
        <v>5.0</v>
      </c>
    </row>
    <row r="3198" ht="15.75" customHeight="1">
      <c r="A3198" s="1">
        <v>3196.0</v>
      </c>
      <c r="B3198" s="3" t="s">
        <v>3198</v>
      </c>
      <c r="C3198" s="3" t="str">
        <f>IFERROR(__xludf.DUMMYFUNCTION("GOOGLETRANSLATE(B3198,""id"",""en"")"),"['make you', 'comment', 'read', 'essence', 'complaints', 'may', 'hope', 'recover', 'thank you']")</f>
        <v>['make you', 'comment', 'read', 'essence', 'complaints', 'may', 'hope', 'recover', 'thank you']</v>
      </c>
      <c r="D3198" s="3">
        <v>1.0</v>
      </c>
    </row>
    <row r="3199" ht="15.75" customHeight="1">
      <c r="A3199" s="1">
        <v>3197.0</v>
      </c>
      <c r="B3199" s="3" t="s">
        <v>3199</v>
      </c>
      <c r="C3199" s="3" t="str">
        <f>IFERROR(__xludf.DUMMYFUNCTION("GOOGLETRANSLATE(B3199,""id"",""en"")"),"['Notif', 'Notif', 'application', 'contents',' promo ',' MyTelkomsel ',' right ',' open ',' empty ',' package ',' available ',' ngawak ',' how ',' notification ',' rare ',' GPP ',' appears', 'right', 'opened', 'zonk', 'severe', 'rich', '']")</f>
        <v>['Notif', 'Notif', 'application', 'contents',' promo ',' MyTelkomsel ',' right ',' open ',' empty ',' package ',' available ',' ngawak ',' how ',' notification ',' rare ',' GPP ',' appears', 'right', 'opened', 'zonk', 'severe', 'rich', '']</v>
      </c>
      <c r="D3199" s="3">
        <v>1.0</v>
      </c>
    </row>
    <row r="3200" ht="15.75" customHeight="1">
      <c r="A3200" s="1">
        <v>3198.0</v>
      </c>
      <c r="B3200" s="3" t="s">
        <v>3200</v>
      </c>
      <c r="C3200" s="3" t="str">
        <f>IFERROR(__xludf.DUMMYFUNCTION("GOOGLETRANSLATE(B3200,""id"",""en"")"),"['Sorry', 'love', 'star', 'Telkomsel', 'Most', 'ganguan', 'please', 'fix', 'as soon as possible,' customers ',' loyal ',' Telkomsel ',' blur ',' operator ']")</f>
        <v>['Sorry', 'love', 'star', 'Telkomsel', 'Most', 'ganguan', 'please', 'fix', 'as soon as possible,' customers ',' loyal ',' Telkomsel ',' blur ',' operator ']</v>
      </c>
      <c r="D3200" s="3">
        <v>1.0</v>
      </c>
    </row>
    <row r="3201" ht="15.75" customHeight="1">
      <c r="A3201" s="1">
        <v>3199.0</v>
      </c>
      <c r="B3201" s="3" t="s">
        <v>3201</v>
      </c>
      <c r="C3201" s="3" t="str">
        <f>IFERROR(__xludf.DUMMYFUNCTION("GOOGLETRANSLATE(B3201,""id"",""en"")"),"['rating', 'ugly', 'really', 'kirain', 'loss',' use ',' app ',' person ',' feel ',' already ',' counted ',' pulses', ' sucked ',' run out ',' already ',' run out ',' donfokan ',' lesson ',' times', 'beg', 'heart', 'pulse', 'use', 'shopping', 'kek' , 'The "&amp;"result', 'was left', 'Ntar', 'Sumpot']")</f>
        <v>['rating', 'ugly', 'really', 'kirain', 'loss',' use ',' app ',' person ',' feel ',' already ',' counted ',' pulses', ' sucked ',' run out ',' already ',' run out ',' donfokan ',' lesson ',' times', 'beg', 'heart', 'pulse', 'use', 'shopping', 'kek' , 'The result', 'was left', 'Ntar', 'Sumpot']</v>
      </c>
      <c r="D3201" s="3">
        <v>1.0</v>
      </c>
    </row>
    <row r="3202" ht="15.75" customHeight="1">
      <c r="A3202" s="1">
        <v>3200.0</v>
      </c>
      <c r="B3202" s="3" t="s">
        <v>3202</v>
      </c>
      <c r="C3202" s="3" t="str">
        <f>IFERROR(__xludf.DUMMYFUNCTION("GOOGLETRANSLATE(B3202,""id"",""en"")"),"['Satisfied', 'Service', 'Telkomsel', 'Network', 'Slow', 'Season']")</f>
        <v>['Satisfied', 'Service', 'Telkomsel', 'Network', 'Slow', 'Season']</v>
      </c>
      <c r="D3202" s="3">
        <v>1.0</v>
      </c>
    </row>
    <row r="3203" ht="15.75" customHeight="1">
      <c r="A3203" s="1">
        <v>3201.0</v>
      </c>
      <c r="B3203" s="3" t="s">
        <v>3203</v>
      </c>
      <c r="C3203" s="3" t="str">
        <f>IFERROR(__xludf.DUMMYFUNCTION("GOOGLETRANSLATE(B3203,""id"",""en"")"),"['Disappointed', 'Stopped', 'Subscribe', 'Desney', 'Hostar', 'Buy', 'Credit', 'Direct', 'Automatic', 'Subscribe', 'Try', 'Unreg']")</f>
        <v>['Disappointed', 'Stopped', 'Subscribe', 'Desney', 'Hostar', 'Buy', 'Credit', 'Direct', 'Automatic', 'Subscribe', 'Try', 'Unreg']</v>
      </c>
      <c r="D3203" s="3">
        <v>1.0</v>
      </c>
    </row>
    <row r="3204" ht="15.75" customHeight="1">
      <c r="A3204" s="1">
        <v>3202.0</v>
      </c>
      <c r="B3204" s="3" t="s">
        <v>3204</v>
      </c>
      <c r="C3204" s="3" t="str">
        <f>IFERROR(__xludf.DUMMYFUNCTION("GOOGLETRANSLATE(B3204,""id"",""en"")"),"['', 'trading', 'keliing', 'market', 'village', 'village', 'remote', 'use', 'sim', 'provider', 'disappointed', 'already', 'entered ',' village ',' remote ',' network ',' available ',' available ',' full ',' sympathy ',' worry ',' constrained ',' signal ',"&amp;"' call ',' called ', 'customer']")</f>
        <v>['', 'trading', 'keliing', 'market', 'village', 'village', 'remote', 'use', 'sim', 'provider', 'disappointed', 'already', 'entered ',' village ',' remote ',' network ',' available ',' available ',' full ',' sympathy ',' worry ',' constrained ',' signal ',' call ',' called ', 'customer']</v>
      </c>
      <c r="D3204" s="3">
        <v>5.0</v>
      </c>
    </row>
    <row r="3205" ht="15.75" customHeight="1">
      <c r="A3205" s="1">
        <v>3203.0</v>
      </c>
      <c r="B3205" s="3" t="s">
        <v>3205</v>
      </c>
      <c r="C3205" s="3" t="str">
        <f>IFERROR(__xludf.DUMMYFUNCTION("GOOGLETRANSLATE(B3205,""id"",""en"")"),"['Good', 'good', 'free', 'quota', 'contents', 'pulse', 'tetep', 'quota', 'learn', 'darling', 'quota', 'free']")</f>
        <v>['Good', 'good', 'free', 'quota', 'contents', 'pulse', 'tetep', 'quota', 'learn', 'darling', 'quota', 'free']</v>
      </c>
      <c r="D3205" s="3">
        <v>2.0</v>
      </c>
    </row>
    <row r="3206" ht="15.75" customHeight="1">
      <c r="A3206" s="1">
        <v>3204.0</v>
      </c>
      <c r="B3206" s="3" t="s">
        <v>3206</v>
      </c>
      <c r="C3206" s="3" t="str">
        <f>IFERROR(__xludf.DUMMYFUNCTION("GOOGLETRANSLATE(B3206,""id"",""en"")"),"['Please', 'Min', 'Network', 'Dead', 'Lights', 'Signal', 'Error', 'Please', 'Expert', ""]")</f>
        <v>['Please', 'Min', 'Network', 'Dead', 'Lights', 'Signal', 'Error', 'Please', 'Expert', "]</v>
      </c>
      <c r="D3206" s="3">
        <v>5.0</v>
      </c>
    </row>
    <row r="3207" ht="15.75" customHeight="1">
      <c r="A3207" s="1">
        <v>3205.0</v>
      </c>
      <c r="B3207" s="3" t="s">
        <v>3207</v>
      </c>
      <c r="C3207" s="3" t="str">
        <f>IFERROR(__xludf.DUMMYFUNCTION("GOOGLETRANSLATE(B3207,""id"",""en"")"),"['quota', 'fast', 'run out', 'signal', 'kayak', 'conch', 'expensive', 'good', 'lol', 'area', 'Bojong', 'Gede', ' Bad ',' signal ',' Telkomsel ',' use ',' provider ',' change ',' card ']")</f>
        <v>['quota', 'fast', 'run out', 'signal', 'kayak', 'conch', 'expensive', 'good', 'lol', 'area', 'Bojong', 'Gede', ' Bad ',' signal ',' Telkomsel ',' use ',' provider ',' change ',' card ']</v>
      </c>
      <c r="D3207" s="3">
        <v>1.0</v>
      </c>
    </row>
    <row r="3208" ht="15.75" customHeight="1">
      <c r="A3208" s="1">
        <v>3206.0</v>
      </c>
      <c r="B3208" s="3" t="s">
        <v>3208</v>
      </c>
      <c r="C3208" s="3" t="str">
        <f>IFERROR(__xludf.DUMMYFUNCTION("GOOGLETRANSLATE(B3208,""id"",""en"")"),"['admin', 'Telkomsel', 'please', 'really', 'signal', 'good', 'because' disturbing ',' activity ']")</f>
        <v>['admin', 'Telkomsel', 'please', 'really', 'signal', 'good', 'because' disturbing ',' activity ']</v>
      </c>
      <c r="D3208" s="3">
        <v>1.0</v>
      </c>
    </row>
    <row r="3209" ht="15.75" customHeight="1">
      <c r="A3209" s="1">
        <v>3207.0</v>
      </c>
      <c r="B3209" s="3" t="s">
        <v>3209</v>
      </c>
      <c r="C3209" s="3" t="str">
        <f>IFERROR(__xludf.DUMMYFUNCTION("GOOGLETRANSLATE(B3209,""id"",""en"")"),"['Honest', 'disappointed', 'package', 'unlimited', 'comfortable', 'wear', 'pket', 'limit', 'speed', 'kbps',' please ',' jadiin ',' Rich ',' limit ',' wajr ',' ']")</f>
        <v>['Honest', 'disappointed', 'package', 'unlimited', 'comfortable', 'wear', 'pket', 'limit', 'speed', 'kbps',' please ',' jadiin ',' Rich ',' limit ',' wajr ',' ']</v>
      </c>
      <c r="D3209" s="3">
        <v>2.0</v>
      </c>
    </row>
    <row r="3210" ht="15.75" customHeight="1">
      <c r="A3210" s="1">
        <v>3208.0</v>
      </c>
      <c r="B3210" s="3" t="s">
        <v>3210</v>
      </c>
      <c r="C3210" s="3" t="str">
        <f>IFERROR(__xludf.DUMMYFUNCTION("GOOGLETRANSLATE(B3210,""id"",""en"")"),"['Telkomsel', 'Unternet', 'Engaged', 'Fast', 'at the same time', 'Send', 'Report', 'Abandoned', 'Karna', 'Leet', 'Loading', 'Sinyal', ' downhill ',' smapai ',' slow ', ""]")</f>
        <v>['Telkomsel', 'Unternet', 'Engaged', 'Fast', 'at the same time', 'Send', 'Report', 'Abandoned', 'Karna', 'Leet', 'Loading', 'Sinyal', ' downhill ',' smapai ',' slow ', "]</v>
      </c>
      <c r="D3210" s="3">
        <v>4.0</v>
      </c>
    </row>
    <row r="3211" ht="15.75" customHeight="1">
      <c r="A3211" s="1">
        <v>3209.0</v>
      </c>
      <c r="B3211" s="3" t="s">
        <v>3211</v>
      </c>
      <c r="C3211" s="3" t="str">
        <f>IFERROR(__xludf.DUMMYFUNCTION("GOOGLETRANSLATE(B3211,""id"",""en"")"),"['Credit', 'contents',' TB ',' missing ',' right ',' buy ',' package ',' writing ',' error ',' pulse ',' tue ',' try ',' 'time,' message ',' purchase ',' package ',' failure ',' quota ',' zero ',' pulse ',' reduced ',' yes', 'error', 'repair', 'service' ,"&amp;" 'subscribe', 'anything', 'related', 'payment', 'via', 'pulse', 'safe', 'application', ""]")</f>
        <v>['Credit', 'contents',' TB ',' missing ',' right ',' buy ',' package ',' writing ',' error ',' pulse ',' tue ',' try ',' 'time,' message ',' purchase ',' package ',' failure ',' quota ',' zero ',' pulse ',' reduced ',' yes', 'error', 'repair', 'service' , 'subscribe', 'anything', 'related', 'payment', 'via', 'pulse', 'safe', 'application', "]</v>
      </c>
      <c r="D3211" s="3">
        <v>1.0</v>
      </c>
    </row>
    <row r="3212" ht="15.75" customHeight="1">
      <c r="A3212" s="1">
        <v>3210.0</v>
      </c>
      <c r="B3212" s="3" t="s">
        <v>3212</v>
      </c>
      <c r="C3212" s="3" t="str">
        <f>IFERROR(__xludf.DUMMYFUNCTION("GOOGLETRANSLATE(B3212,""id"",""en"")"),"['Please', 'fix', 'signal', 'Telkomsel', 'area', 'a month', 'smooth', 'smooth', 'change', 'slow', 'download', 'really']")</f>
        <v>['Please', 'fix', 'signal', 'Telkomsel', 'area', 'a month', 'smooth', 'smooth', 'change', 'slow', 'download', 'really']</v>
      </c>
      <c r="D3212" s="3">
        <v>1.0</v>
      </c>
    </row>
    <row r="3213" ht="15.75" customHeight="1">
      <c r="A3213" s="1">
        <v>3211.0</v>
      </c>
      <c r="B3213" s="3" t="s">
        <v>3213</v>
      </c>
      <c r="C3213" s="3" t="str">
        <f>IFERROR(__xludf.DUMMYFUNCTION("GOOGLETRANSLATE(B3213,""id"",""en"")"),"['here', 'here', 'Telkomsel', 'Network', 'Internet', 'Severe', 'Bangeut', 'signal', 'manteng', 'internet', 'slow', 'Bangeut', ' ']")</f>
        <v>['here', 'here', 'Telkomsel', 'Network', 'Internet', 'Severe', 'Bangeut', 'signal', 'manteng', 'internet', 'slow', 'Bangeut', ' ']</v>
      </c>
      <c r="D3213" s="3">
        <v>1.0</v>
      </c>
    </row>
    <row r="3214" ht="15.75" customHeight="1">
      <c r="A3214" s="1">
        <v>3212.0</v>
      </c>
      <c r="B3214" s="3" t="s">
        <v>3214</v>
      </c>
      <c r="C3214" s="3" t="str">
        <f>IFERROR(__xludf.DUMMYFUNCTION("GOOGLETRANSLATE(B3214,""id"",""en"")"),"['Fix', 'Network', 'Good', 'Change', 'Logo', 'Update', 'Update', 'APL', 'Cool', 'Thousands',' Customer ',' Complains', ' quality ',' network ',' Telkomsel ',' bad ',' update ',' logo ']")</f>
        <v>['Fix', 'Network', 'Good', 'Change', 'Logo', 'Update', 'Update', 'APL', 'Cool', 'Thousands',' Customer ',' Complains', ' quality ',' network ',' Telkomsel ',' bad ',' update ',' logo ']</v>
      </c>
      <c r="D3214" s="3">
        <v>1.0</v>
      </c>
    </row>
    <row r="3215" ht="15.75" customHeight="1">
      <c r="A3215" s="1">
        <v>3213.0</v>
      </c>
      <c r="B3215" s="3" t="s">
        <v>3215</v>
      </c>
      <c r="C3215" s="3" t="str">
        <f>IFERROR(__xludf.DUMMYFUNCTION("GOOGLETRANSLATE(B3215,""id"",""en"")"),"['apk', 'Telkomsel', 'free', 'package', 'internet', 'telephone', 'card', 'card', 'magnitude', 'distinguity', 'apk', 'promo', ' Success', 'Telkomsel', '']")</f>
        <v>['apk', 'Telkomsel', 'free', 'package', 'internet', 'telephone', 'card', 'card', 'magnitude', 'distinguity', 'apk', 'promo', ' Success', 'Telkomsel', '']</v>
      </c>
      <c r="D3215" s="3">
        <v>5.0</v>
      </c>
    </row>
    <row r="3216" ht="15.75" customHeight="1">
      <c r="A3216" s="1">
        <v>3214.0</v>
      </c>
      <c r="B3216" s="3" t="s">
        <v>3216</v>
      </c>
      <c r="C3216" s="3" t="str">
        <f>IFERROR(__xludf.DUMMYFUNCTION("GOOGLETRANSLATE(B3216,""id"",""en"")"),"['Help', 'price', 'quota', 'cheap', 'package', 'internet', 'max', 'package', 'internet', 'max']")</f>
        <v>['Help', 'price', 'quota', 'cheap', 'package', 'internet', 'max', 'package', 'internet', 'max']</v>
      </c>
      <c r="D3216" s="3">
        <v>2.0</v>
      </c>
    </row>
    <row r="3217" ht="15.75" customHeight="1">
      <c r="A3217" s="1">
        <v>3215.0</v>
      </c>
      <c r="B3217" s="3" t="s">
        <v>3217</v>
      </c>
      <c r="C3217" s="3" t="str">
        <f>IFERROR(__xludf.DUMMYFUNCTION("GOOGLETRANSLATE(B3217,""id"",""en"")"),"['good', 'right', 'buy', 'pulse', 'package', 'buy', 'senacies', '']")</f>
        <v>['good', 'right', 'buy', 'pulse', 'package', 'buy', 'senacies', '']</v>
      </c>
      <c r="D3217" s="3">
        <v>1.0</v>
      </c>
    </row>
    <row r="3218" ht="15.75" customHeight="1">
      <c r="A3218" s="1">
        <v>3216.0</v>
      </c>
      <c r="B3218" s="3" t="s">
        <v>3218</v>
      </c>
      <c r="C3218" s="3" t="str">
        <f>IFERROR(__xludf.DUMMYFUNCTION("GOOGLETRANSLATE(B3218,""id"",""en"")"),"['', 'system', 'Telkomsel', 'design', 'intentionally', 'cheats',' customer ',' mimin ',' check ',' number ',' brother ',' dated ',' WIB ',' Loan ',' package ',' emergency ',' use ',' according to ',' kak ',' date ',' purchase ',' package ',' combo ',' hou"&amp;"r ',' purchase ', 'Package', 'combo', 'cut', 'repayance', 'package', 'emergency', 'date', 'active', 'package', 'emergency', '']")</f>
        <v>['', 'system', 'Telkomsel', 'design', 'intentionally', 'cheats',' customer ',' mimin ',' check ',' number ',' brother ',' dated ',' WIB ',' Loan ',' package ',' emergency ',' use ',' according to ',' kak ',' date ',' purchase ',' package ',' combo ',' hour ',' purchase ', 'Package', 'combo', 'cut', 'repayance', 'package', 'emergency', 'date', 'active', 'package', 'emergency', '']</v>
      </c>
      <c r="D3218" s="3">
        <v>1.0</v>
      </c>
    </row>
    <row r="3219" ht="15.75" customHeight="1">
      <c r="A3219" s="1">
        <v>3217.0</v>
      </c>
      <c r="B3219" s="3" t="s">
        <v>3219</v>
      </c>
      <c r="C3219" s="3" t="str">
        <f>IFERROR(__xludf.DUMMYFUNCTION("GOOGLETRANSLATE(B3219,""id"",""en"")"),"['Hello', 'Min', 'BSA', 'Login', 'Slalu', 'FAILURE', 'The Reasons',' Network ',' Telkomsel ',' Card ',' Telkomsel ',' Changing ',' Network ',' Indosat ',' GMNA ',' Service ',' ']")</f>
        <v>['Hello', 'Min', 'BSA', 'Login', 'Slalu', 'FAILURE', 'The Reasons',' Network ',' Telkomsel ',' Card ',' Telkomsel ',' Changing ',' Network ',' Indosat ',' GMNA ',' Service ',' ']</v>
      </c>
      <c r="D3219" s="3">
        <v>1.0</v>
      </c>
    </row>
    <row r="3220" ht="15.75" customHeight="1">
      <c r="A3220" s="1">
        <v>3218.0</v>
      </c>
      <c r="B3220" s="3" t="s">
        <v>3220</v>
      </c>
      <c r="C3220" s="3" t="str">
        <f>IFERROR(__xludf.DUMMYFUNCTION("GOOGLETRANSLATE(B3220,""id"",""en"")"),"['Fix', 'network', 'love', 'price', 'expensive', 'network', 'ugly', 'price', 'expensive', 'mending', 'operator', 'ribett', ' ']")</f>
        <v>['Fix', 'network', 'love', 'price', 'expensive', 'network', 'ugly', 'price', 'expensive', 'mending', 'operator', 'ribett', ' ']</v>
      </c>
      <c r="D3220" s="3">
        <v>1.0</v>
      </c>
    </row>
    <row r="3221" ht="15.75" customHeight="1">
      <c r="A3221" s="1">
        <v>3219.0</v>
      </c>
      <c r="B3221" s="3" t="s">
        <v>3221</v>
      </c>
      <c r="C3221" s="3" t="str">
        <f>IFERROR(__xludf.DUMMYFUNCTION("GOOGLETRANSLATE(B3221,""id"",""en"")"),"['Not bad', 'signal', 'fire', 'gallery', 'pekanbaru', 'okay', 'skrg', '']")</f>
        <v>['Not bad', 'signal', 'fire', 'gallery', 'pekanbaru', 'okay', 'skrg', '']</v>
      </c>
      <c r="D3221" s="3">
        <v>4.0</v>
      </c>
    </row>
    <row r="3222" ht="15.75" customHeight="1">
      <c r="A3222" s="1">
        <v>3220.0</v>
      </c>
      <c r="B3222" s="3" t="s">
        <v>3222</v>
      </c>
      <c r="C3222" s="3" t="str">
        <f>IFERROR(__xludf.DUMMYFUNCTION("GOOGLETRANSLATE(B3222,""id"",""en"")"),"['Update', 'Application', 'Telkomsel', 'Choice', 'Package', 'Data', 'Direct', 'Change', 'Package', 'Internet', 'OMG', 'Choice', ' price ',' really ',' disappointing ',' following ',' instruction ',' change ',' ']")</f>
        <v>['Update', 'Application', 'Telkomsel', 'Choice', 'Package', 'Data', 'Direct', 'Change', 'Package', 'Internet', 'OMG', 'Choice', ' price ',' really ',' disappointing ',' following ',' instruction ',' change ',' ']</v>
      </c>
      <c r="D3222" s="3">
        <v>1.0</v>
      </c>
    </row>
    <row r="3223" ht="15.75" customHeight="1">
      <c r="A3223" s="1">
        <v>3221.0</v>
      </c>
      <c r="B3223" s="3" t="s">
        <v>3223</v>
      </c>
      <c r="C3223" s="3" t="str">
        <f>IFERROR(__xludf.DUMMYFUNCTION("GOOGLETRANSLATE(B3223,""id"",""en"")"),"['Package', 'Unlimited', 'Kuuuu', 'Ouch', 'GMN', 'Buy', 'Quota', 'Package', 'Unlimited', 'KOQ', 'Missing', ""]")</f>
        <v>['Package', 'Unlimited', 'Kuuuu', 'Ouch', 'GMN', 'Buy', 'Quota', 'Package', 'Unlimited', 'KOQ', 'Missing', "]</v>
      </c>
      <c r="D3223" s="3">
        <v>5.0</v>
      </c>
    </row>
    <row r="3224" ht="15.75" customHeight="1">
      <c r="A3224" s="1">
        <v>3222.0</v>
      </c>
      <c r="B3224" s="3" t="s">
        <v>3224</v>
      </c>
      <c r="C3224" s="3" t="str">
        <f>IFERROR(__xludf.DUMMYFUNCTION("GOOGLETRANSLATE(B3224,""id"",""en"")"),"['Corruption', 'cave', 'fill in', 'pulse', 'thousand', 'missing', 'thousand', 'sms',' enter ',' congratulations', 'pulse', ' thousand ',' cave ',' owe ',' pulses', '']")</f>
        <v>['Corruption', 'cave', 'fill in', 'pulse', 'thousand', 'missing', 'thousand', 'sms',' enter ',' congratulations', 'pulse', ' thousand ',' cave ',' owe ',' pulses', '']</v>
      </c>
      <c r="D3224" s="3">
        <v>1.0</v>
      </c>
    </row>
    <row r="3225" ht="15.75" customHeight="1">
      <c r="A3225" s="1">
        <v>3223.0</v>
      </c>
      <c r="B3225" s="3" t="s">
        <v>3225</v>
      </c>
      <c r="C3225" s="3" t="str">
        <f>IFERROR(__xludf.DUMMYFUNCTION("GOOGLETRANSLATE(B3225,""id"",""en"")"),"['MyTelkomsel', 'Network', 'WiFi', 'Application', 'Error', 'Need', 'Connection', 'Internet', 'Quota', 'Out']")</f>
        <v>['MyTelkomsel', 'Network', 'WiFi', 'Application', 'Error', 'Need', 'Connection', 'Internet', 'Quota', 'Out']</v>
      </c>
      <c r="D3225" s="3">
        <v>1.0</v>
      </c>
    </row>
    <row r="3226" ht="15.75" customHeight="1">
      <c r="A3226" s="1">
        <v>3224.0</v>
      </c>
      <c r="B3226" s="3" t="s">
        <v>3226</v>
      </c>
      <c r="C3226" s="3" t="str">
        <f>IFERROR(__xludf.DUMMYFUNCTION("GOOGLETRANSLATE(B3226,""id"",""en"")"),"['', 'bro', 'intention', 'open', 'provider', 'closed', 'buy', 'package', 'unlimax', 'price', 'tender', 'blom', 'already ',' funny ',' bro ',' org ',' spent ',' duid ',' believe ',' ama ',' love ',' ukl ',' doang ',' unli ',' ama ', 'Apps',' times', 'write"&amp;"', 'Bener', 'bro', 'price', 'pay', 'worth', 'ride', 'price', 'think', 'duid', 'spent ',' Provider ',' the story ',' Diprank ',' how ',' UNLI ',' MAX ',' Bro ',' You ',' kidding ', ""]")</f>
        <v>['', 'bro', 'intention', 'open', 'provider', 'closed', 'buy', 'package', 'unlimax', 'price', 'tender', 'blom', 'already ',' funny ',' bro ',' org ',' spent ',' duid ',' believe ',' ama ',' love ',' ukl ',' doang ',' unli ',' ama ', 'Apps',' times', 'write', 'Bener', 'bro', 'price', 'pay', 'worth', 'ride', 'price', 'think', 'duid', 'spent ',' Provider ',' the story ',' Diprank ',' how ',' UNLI ',' MAX ',' Bro ',' You ',' kidding ', "]</v>
      </c>
      <c r="D3226" s="3">
        <v>1.0</v>
      </c>
    </row>
    <row r="3227" ht="15.75" customHeight="1">
      <c r="A3227" s="1">
        <v>3225.0</v>
      </c>
      <c r="B3227" s="3" t="s">
        <v>3227</v>
      </c>
      <c r="C3227" s="3" t="str">
        <f>IFERROR(__xludf.DUMMYFUNCTION("GOOGLETRANSLATE(B3227,""id"",""en"")"),"['Telkomsel', 'Please', 'Cut', 'Pulse', 'On', 'Quota', 'Out', 'Quota', 'Out', 'Do', 'Save', 'Credit', ' help']")</f>
        <v>['Telkomsel', 'Please', 'Cut', 'Pulse', 'On', 'Quota', 'Out', 'Quota', 'Out', 'Do', 'Save', 'Credit', ' help']</v>
      </c>
      <c r="D3227" s="3">
        <v>1.0</v>
      </c>
    </row>
    <row r="3228" ht="15.75" customHeight="1">
      <c r="A3228" s="1">
        <v>3226.0</v>
      </c>
      <c r="B3228" s="3" t="s">
        <v>3228</v>
      </c>
      <c r="C3228" s="3" t="str">
        <f>IFERROR(__xludf.DUMMYFUNCTION("GOOGLETRANSLATE(B3228,""id"",""en"")"),"['likes', 'hate', 'package', 'emergency', 'list', 'package', 'emergency', 'stop']")</f>
        <v>['likes', 'hate', 'package', 'emergency', 'list', 'package', 'emergency', 'stop']</v>
      </c>
      <c r="D3228" s="3">
        <v>5.0</v>
      </c>
    </row>
    <row r="3229" ht="15.75" customHeight="1">
      <c r="A3229" s="1">
        <v>3227.0</v>
      </c>
      <c r="B3229" s="3" t="s">
        <v>3229</v>
      </c>
      <c r="C3229" s="3" t="str">
        <f>IFERROR(__xludf.DUMMYFUNCTION("GOOGLETRANSLATE(B3229,""id"",""en"")"),"['friend', 'difficult', 'open', 'application', 'Telkomsel', 'network', 'Telkomsel', 'try', 'the application', 'open', 'provider', 'smooth', ' Jaya ',' Hahahah ',' Switch ',' Network ',' Super ',' Leet ',' ']")</f>
        <v>['friend', 'difficult', 'open', 'application', 'Telkomsel', 'network', 'Telkomsel', 'try', 'the application', 'open', 'provider', 'smooth', ' Jaya ',' Hahahah ',' Switch ',' Network ',' Super ',' Leet ',' ']</v>
      </c>
      <c r="D3229" s="3">
        <v>1.0</v>
      </c>
    </row>
    <row r="3230" ht="15.75" customHeight="1">
      <c r="A3230" s="1">
        <v>3228.0</v>
      </c>
      <c r="B3230" s="3" t="s">
        <v>3230</v>
      </c>
      <c r="C3230" s="3" t="str">
        <f>IFERROR(__xludf.DUMMYFUNCTION("GOOGLETRANSLATE(B3230,""id"",""en"")"),"['disappointing', 'really', 'network', 'internet', 'slow', 'really', '']")</f>
        <v>['disappointing', 'really', 'network', 'internet', 'slow', 'really', '']</v>
      </c>
      <c r="D3230" s="3">
        <v>5.0</v>
      </c>
    </row>
    <row r="3231" ht="15.75" customHeight="1">
      <c r="A3231" s="1">
        <v>3229.0</v>
      </c>
      <c r="B3231" s="3" t="s">
        <v>3231</v>
      </c>
      <c r="C3231" s="3" t="str">
        <f>IFERROR(__xludf.DUMMYFUNCTION("GOOGLETRANSLATE(B3231,""id"",""en"")"),"['', 'Telkomsel', 'already', 'good', 'regretting', 'pulse', 'truncated', 'contents',' pulse ',' run out ',' please ',' key ',' credit ',' truncated ']")</f>
        <v>['', 'Telkomsel', 'already', 'good', 'regretting', 'pulse', 'truncated', 'contents',' pulse ',' run out ',' please ',' key ',' credit ',' truncated ']</v>
      </c>
      <c r="D3231" s="3">
        <v>1.0</v>
      </c>
    </row>
    <row r="3232" ht="15.75" customHeight="1">
      <c r="A3232" s="1">
        <v>3230.0</v>
      </c>
      <c r="B3232" s="3" t="s">
        <v>3232</v>
      </c>
      <c r="C3232" s="3" t="str">
        <f>IFERROR(__xludf.DUMMYFUNCTION("GOOGLETRANSLATE(B3232,""id"",""en"")"),"['Please', 'Sorry', 'Credit', 'Reduced', 'Quota', 'Fill', 'Credit', 'Direct', 'Abis',' Pulses', 'Ngak', 'Solution', ' critical', '']")</f>
        <v>['Please', 'Sorry', 'Credit', 'Reduced', 'Quota', 'Fill', 'Credit', 'Direct', 'Abis',' Pulses', 'Ngak', 'Solution', ' critical', '']</v>
      </c>
      <c r="D3232" s="3">
        <v>1.0</v>
      </c>
    </row>
    <row r="3233" ht="15.75" customHeight="1">
      <c r="A3233" s="1">
        <v>3231.0</v>
      </c>
      <c r="B3233" s="3" t="s">
        <v>3233</v>
      </c>
      <c r="C3233" s="3" t="str">
        <f>IFERROR(__xludf.DUMMYFUNCTION("GOOGLETRANSLATE(B3233,""id"",""en"")"),"['Good', 'Increase', 'Service', 'Plus', 'Network', 'Data']")</f>
        <v>['Good', 'Increase', 'Service', 'Plus', 'Network', 'Data']</v>
      </c>
      <c r="D3233" s="3">
        <v>5.0</v>
      </c>
    </row>
    <row r="3234" ht="15.75" customHeight="1">
      <c r="A3234" s="1">
        <v>3232.0</v>
      </c>
      <c r="B3234" s="3" t="s">
        <v>3234</v>
      </c>
      <c r="C3234" s="3" t="str">
        <f>IFERROR(__xludf.DUMMYFUNCTION("GOOGLETRANSLATE(B3234,""id"",""en"")"),"['', 'Gini', 'pulse', 'knp', 'right', 'NLP', 'ket', 'credit', 'have', 'try', 'Please', 'fix']")</f>
        <v>['', 'Gini', 'pulse', 'knp', 'right', 'NLP', 'ket', 'credit', 'have', 'try', 'Please', 'fix']</v>
      </c>
      <c r="D3234" s="3">
        <v>1.0</v>
      </c>
    </row>
    <row r="3235" ht="15.75" customHeight="1">
      <c r="A3235" s="1">
        <v>3233.0</v>
      </c>
      <c r="B3235" s="3" t="s">
        <v>3235</v>
      </c>
      <c r="C3235" s="3" t="str">
        <f>IFERROR(__xludf.DUMMYFUNCTION("GOOGLETRANSLATE(B3235,""id"",""en"")"),"['Applikas', 'difficult', 'open', 'told', 'enter', 'number', 'broken', 'application']")</f>
        <v>['Applikas', 'difficult', 'open', 'told', 'enter', 'number', 'broken', 'application']</v>
      </c>
      <c r="D3235" s="3">
        <v>5.0</v>
      </c>
    </row>
    <row r="3236" ht="15.75" customHeight="1">
      <c r="A3236" s="1">
        <v>3234.0</v>
      </c>
      <c r="B3236" s="3" t="s">
        <v>3236</v>
      </c>
      <c r="C3236" s="3" t="str">
        <f>IFERROR(__xludf.DUMMYFUNCTION("GOOGLETRANSLATE(B3236,""id"",""en"")"),"['thank', 'love', 'buy', 'package', 'quota', 'internet', 'price', 'affordable', 'package', 'cheap', 'compared', 'package', ' Help ',' Hopefully ',' Package ',' Cheap ',' ']")</f>
        <v>['thank', 'love', 'buy', 'package', 'quota', 'internet', 'price', 'affordable', 'package', 'cheap', 'compared', 'package', ' Help ',' Hopefully ',' Package ',' Cheap ',' ']</v>
      </c>
      <c r="D3236" s="3">
        <v>5.0</v>
      </c>
    </row>
    <row r="3237" ht="15.75" customHeight="1">
      <c r="A3237" s="1">
        <v>3235.0</v>
      </c>
      <c r="B3237" s="3" t="s">
        <v>3237</v>
      </c>
      <c r="C3237" s="3" t="str">
        <f>IFERROR(__xludf.DUMMYFUNCTION("GOOGLETRANSLATE(B3237,""id"",""en"")"),"['thank', 'love', 'Telkomsel', 'card', 'prime', 'help', 'front', 'expand', 'network', 'remote', 'rural', 'special', ' region ',' Kalimantan ',' West ',' rural ',' have ',' network ',' anything ']")</f>
        <v>['thank', 'love', 'Telkomsel', 'card', 'prime', 'help', 'front', 'expand', 'network', 'remote', 'rural', 'special', ' region ',' Kalimantan ',' West ',' rural ',' have ',' network ',' anything ']</v>
      </c>
      <c r="D3237" s="3">
        <v>5.0</v>
      </c>
    </row>
    <row r="3238" ht="15.75" customHeight="1">
      <c r="A3238" s="1">
        <v>3236.0</v>
      </c>
      <c r="B3238" s="3" t="s">
        <v>3238</v>
      </c>
      <c r="C3238" s="3" t="str">
        <f>IFERROR(__xludf.DUMMYFUNCTION("GOOGLETRANSLATE(B3238,""id"",""en"")"),"['network', 'internet', 'comfortable', 'stable', 'beg', 'service', 'data', 'down', 'signal', 'kecipalnn', 'stop', 'cutting', ' pulse ',' package ',' data ',' active ',' network ',' wifi ',' attention ',' repaired ',' thank ',' love ']")</f>
        <v>['network', 'internet', 'comfortable', 'stable', 'beg', 'service', 'data', 'down', 'signal', 'kecipalnn', 'stop', 'cutting', ' pulse ',' package ',' data ',' active ',' network ',' wifi ',' attention ',' repaired ',' thank ',' love ']</v>
      </c>
      <c r="D3238" s="3">
        <v>3.0</v>
      </c>
    </row>
    <row r="3239" ht="15.75" customHeight="1">
      <c r="A3239" s="1">
        <v>3237.0</v>
      </c>
      <c r="B3239" s="3" t="s">
        <v>3239</v>
      </c>
      <c r="C3239" s="3" t="str">
        <f>IFERROR(__xludf.DUMMYFUNCTION("GOOGLETRANSLATE(B3239,""id"",""en"")"),"['Package', 'Internet', 'On', 'SMS', 'Enter', 'Notification', 'Access',' Internet ',' Rates', 'Non', 'Package', 'Name', ' Theft ',' pulses', 'disappointed', 'heavy', 'rich', 'gini', 'then', '']")</f>
        <v>['Package', 'Internet', 'On', 'SMS', 'Enter', 'Notification', 'Access',' Internet ',' Rates', 'Non', 'Package', 'Name', ' Theft ',' pulses', 'disappointed', 'heavy', 'rich', 'gini', 'then', '']</v>
      </c>
      <c r="D3239" s="3">
        <v>1.0</v>
      </c>
    </row>
    <row r="3240" ht="15.75" customHeight="1">
      <c r="A3240" s="1">
        <v>3238.0</v>
      </c>
      <c r="B3240" s="3" t="s">
        <v>3240</v>
      </c>
      <c r="C3240" s="3" t="str">
        <f>IFERROR(__xludf.DUMMYFUNCTION("GOOGLETRANSLATE(B3240,""id"",""en"")"),"['Credit', 'Reduced', 'Paketan', '']")</f>
        <v>['Credit', 'Reduced', 'Paketan', '']</v>
      </c>
      <c r="D3240" s="3">
        <v>3.0</v>
      </c>
    </row>
    <row r="3241" ht="15.75" customHeight="1">
      <c r="A3241" s="1">
        <v>3239.0</v>
      </c>
      <c r="B3241" s="3" t="s">
        <v>3241</v>
      </c>
      <c r="C3241" s="3" t="str">
        <f>IFERROR(__xludf.DUMMYFUNCTION("GOOGLETRANSLATE(B3241,""id"",""en"")"),"['expensive', 'expensive', 'package', 'signal', 'slow', 'please', 'repaired', 'above', 'like', 'your heart', ""]")</f>
        <v>['expensive', 'expensive', 'package', 'signal', 'slow', 'please', 'repaired', 'above', 'like', 'your heart', "]</v>
      </c>
      <c r="D3241" s="3">
        <v>1.0</v>
      </c>
    </row>
    <row r="3242" ht="15.75" customHeight="1">
      <c r="A3242" s="1">
        <v>3240.0</v>
      </c>
      <c r="B3242" s="3" t="s">
        <v>3242</v>
      </c>
      <c r="C3242" s="3" t="str">
        <f>IFERROR(__xludf.DUMMYFUNCTION("GOOGLETRANSLATE(B3242,""id"",""en"")"),"['user', 'card', 'Hello', 'disappointed', 'network', 'Telkomsel', 'skarang', 'stable', 'play', 'application', 'heavy', 'sprt', ' zoom ',' times ',' network ',' direct ',' when ',', 'Please', 'level', 'kam', 'cheap', 'quota', 'like', 'provider' , 'adjacent"&amp;"']")</f>
        <v>['user', 'card', 'Hello', 'disappointed', 'network', 'Telkomsel', 'skarang', 'stable', 'play', 'application', 'heavy', 'sprt', ' zoom ',' times ',' network ',' direct ',' when ',', 'Please', 'level', 'kam', 'cheap', 'quota', 'like', 'provider' , 'adjacent']</v>
      </c>
      <c r="D3242" s="3">
        <v>3.0</v>
      </c>
    </row>
    <row r="3243" ht="15.75" customHeight="1">
      <c r="A3243" s="1">
        <v>3241.0</v>
      </c>
      <c r="B3243" s="3" t="s">
        <v>3243</v>
      </c>
      <c r="C3243" s="3" t="str">
        <f>IFERROR(__xludf.DUMMYFUNCTION("GOOGLETRANSLATE(B3243,""id"",""en"")"),"['Please', 'Sorry', 'Taman', 'company', 'telecommunications',' card ',' sympathy ',' dlu ',' price ',' package ',' signal ',' decent ',' good ',' dlu ',' yaaaa ',' note ',' price ',' package ',' crazy ',' price ',' signal ',' lost ',' situ ',' aga ',' dis"&amp;"appointed ' , 'Switch', 'Indosat', 'Internet', 'Indosat', 'Price', 'Paketan', 'Cheap', 'Bonus',' Package ',' Karna ',' Suit ',' Bajed ',' ']")</f>
        <v>['Please', 'Sorry', 'Taman', 'company', 'telecommunications',' card ',' sympathy ',' dlu ',' price ',' package ',' signal ',' decent ',' good ',' dlu ',' yaaaa ',' note ',' price ',' package ',' crazy ',' price ',' signal ',' lost ',' situ ',' aga ',' disappointed ' , 'Switch', 'Indosat', 'Internet', 'Indosat', 'Price', 'Paketan', 'Cheap', 'Bonus',' Package ',' Karna ',' Suit ',' Bajed ',' ']</v>
      </c>
      <c r="D3243" s="3">
        <v>2.0</v>
      </c>
    </row>
    <row r="3244" ht="15.75" customHeight="1">
      <c r="A3244" s="1">
        <v>3242.0</v>
      </c>
      <c r="B3244" s="3" t="s">
        <v>3244</v>
      </c>
      <c r="C3244" s="3" t="str">
        <f>IFERROR(__xludf.DUMMYFUNCTION("GOOGLETRANSLATE(B3244,""id"",""en"")"),"['Package', 'Unlimited', 'Turbo', 'Disappointed', 'Really', 'Disappointed', 'Kmine', 'Lock', 'Package', 'Unlimited', 'Turbo', 'Skrang', ' Unlimited ',' Max ',' Unlimited ',' Package ',' Abis', 'Disappointed', 'Disappointed', '']")</f>
        <v>['Package', 'Unlimited', 'Turbo', 'Disappointed', 'Really', 'Disappointed', 'Kmine', 'Lock', 'Package', 'Unlimited', 'Turbo', 'Skrang', ' Unlimited ',' Max ',' Unlimited ',' Package ',' Abis', 'Disappointed', 'Disappointed', '']</v>
      </c>
      <c r="D3244" s="3">
        <v>1.0</v>
      </c>
    </row>
    <row r="3245" ht="15.75" customHeight="1">
      <c r="A3245" s="1">
        <v>3243.0</v>
      </c>
      <c r="B3245" s="3" t="s">
        <v>3245</v>
      </c>
      <c r="C3245" s="3" t="str">
        <f>IFERROR(__xludf.DUMMYFUNCTION("GOOGLETRANSLATE(B3245,""id"",""en"")"),"['Since', 'update', 'gauge', 'buy', 'package', 'smooth', 'update', 'here', 'garbage']")</f>
        <v>['Since', 'update', 'gauge', 'buy', 'package', 'smooth', 'update', 'here', 'garbage']</v>
      </c>
      <c r="D3245" s="3">
        <v>1.0</v>
      </c>
    </row>
    <row r="3246" ht="15.75" customHeight="1">
      <c r="A3246" s="1">
        <v>3244.0</v>
      </c>
      <c r="B3246" s="3" t="s">
        <v>3246</v>
      </c>
      <c r="C3246" s="3" t="str">
        <f>IFERROR(__xludf.DUMMYFUNCTION("GOOGLETRANSLATE(B3246,""id"",""en"")"),"['Service', 'Telkomsel', 'bad', 'responds', 'complained', 'Kisah', 'Customer', 'profitable', 'company']")</f>
        <v>['Service', 'Telkomsel', 'bad', 'responds', 'complained', 'Kisah', 'Customer', 'profitable', 'company']</v>
      </c>
      <c r="D3246" s="3">
        <v>1.0</v>
      </c>
    </row>
    <row r="3247" ht="15.75" customHeight="1">
      <c r="A3247" s="1">
        <v>3245.0</v>
      </c>
      <c r="B3247" s="3" t="s">
        <v>3247</v>
      </c>
      <c r="C3247" s="3" t="str">
        <f>IFERROR(__xludf.DUMMYFUNCTION("GOOGLETRANSLATE(B3247,""id"",""en"")"),"['Sushes',' Telkomsel ',' Please ',' Allow ',' Switch ',' Points', 'Credit', 'Kouta', 'Internet', 'Karna', 'Have', 'Funds',' buy ',' Kouta ',' pulse ',' trimakasih ',' telkomsel ',' slalu ',' heart ']")</f>
        <v>['Sushes',' Telkomsel ',' Please ',' Allow ',' Switch ',' Points', 'Credit', 'Kouta', 'Internet', 'Karna', 'Have', 'Funds',' buy ',' Kouta ',' pulse ',' trimakasih ',' telkomsel ',' slalu ',' heart ']</v>
      </c>
      <c r="D3247" s="3">
        <v>5.0</v>
      </c>
    </row>
    <row r="3248" ht="15.75" customHeight="1">
      <c r="A3248" s="1">
        <v>3246.0</v>
      </c>
      <c r="B3248" s="3" t="s">
        <v>3248</v>
      </c>
      <c r="C3248" s="3" t="str">
        <f>IFERROR(__xludf.DUMMYFUNCTION("GOOGLETRANSLATE(B3248,""id"",""en"")"),"['network', 'Telkomsel', 'slow', 'really', 'what', 'Please', 'instructions', ""]")</f>
        <v>['network', 'Telkomsel', 'slow', 'really', 'what', 'Please', 'instructions', "]</v>
      </c>
      <c r="D3248" s="3">
        <v>5.0</v>
      </c>
    </row>
    <row r="3249" ht="15.75" customHeight="1">
      <c r="A3249" s="1">
        <v>3247.0</v>
      </c>
      <c r="B3249" s="3" t="s">
        <v>3249</v>
      </c>
      <c r="C3249" s="3" t="str">
        <f>IFERROR(__xludf.DUMMYFUNCTION("GOOGLETRANSLATE(B3249,""id"",""en"")"),"['Application', 'Performing', 'Enter', 'Login', 'Login', 'Repeated', 'Times',' Login ',' Login ',' Signal ',' Stable ',' Night ',' Update ',' application ',' open ',' love ',' convenience ',' user ',' donk ', ""]")</f>
        <v>['Application', 'Performing', 'Enter', 'Login', 'Login', 'Repeated', 'Times',' Login ',' Login ',' Signal ',' Stable ',' Night ',' Update ',' application ',' open ',' love ',' convenience ',' user ',' donk ', "]</v>
      </c>
      <c r="D3249" s="3">
        <v>1.0</v>
      </c>
    </row>
    <row r="3250" ht="15.75" customHeight="1">
      <c r="A3250" s="1">
        <v>3248.0</v>
      </c>
      <c r="B3250" s="3" t="s">
        <v>3250</v>
      </c>
      <c r="C3250" s="3" t="str">
        <f>IFERROR(__xludf.DUMMYFUNCTION("GOOGLETRANSLATE(B3250,""id"",""en"")"),"['aprocokes', 'complicated', 'logo', 'easy', 'list', 'difficult', '']")</f>
        <v>['aprocokes', 'complicated', 'logo', 'easy', 'list', 'difficult', '']</v>
      </c>
      <c r="D3250" s="3">
        <v>1.0</v>
      </c>
    </row>
    <row r="3251" ht="15.75" customHeight="1">
      <c r="A3251" s="1">
        <v>3249.0</v>
      </c>
      <c r="B3251" s="3" t="s">
        <v>3251</v>
      </c>
      <c r="C3251" s="3" t="str">
        <f>IFERROR(__xludf.DUMMYFUNCTION("GOOGLETRANSLATE(B3251,""id"",""en"")"),"['Knp', 'buy', 'package', 'internet', 'Blum', 'processed', 'Thanks',' Telkomsel ',' UDH ',' PKET ',' Internet ',' Cerlition ',' Tlong ',' ksih ',' promo ',' internet ',' cheap ',' bgi ',' customers', 'udh', 'many years',' Makai ',' card ', ""]")</f>
        <v>['Knp', 'buy', 'package', 'internet', 'Blum', 'processed', 'Thanks',' Telkomsel ',' UDH ',' PKET ',' Internet ',' Cerlition ',' Tlong ',' ksih ',' promo ',' internet ',' cheap ',' bgi ',' customers', 'udh', 'many years',' Makai ',' card ', "]</v>
      </c>
      <c r="D3251" s="3">
        <v>5.0</v>
      </c>
    </row>
    <row r="3252" ht="15.75" customHeight="1">
      <c r="A3252" s="1">
        <v>3250.0</v>
      </c>
      <c r="B3252" s="3" t="s">
        <v>3252</v>
      </c>
      <c r="C3252" s="3" t="str">
        <f>IFERROR(__xludf.DUMMYFUNCTION("GOOGLETRANSLATE(B3252,""id"",""en"")"),"['Customer', 'loyal', 'Telkomsel', 'Satisfied', 'Sunday', 'Please', 'Network', 'Level', 'Special', 'Region', 'Sumatra', 'Riau']")</f>
        <v>['Customer', 'loyal', 'Telkomsel', 'Satisfied', 'Sunday', 'Please', 'Network', 'Level', 'Special', 'Region', 'Sumatra', 'Riau']</v>
      </c>
      <c r="D3252" s="3">
        <v>4.0</v>
      </c>
    </row>
    <row r="3253" ht="15.75" customHeight="1">
      <c r="A3253" s="1">
        <v>3251.0</v>
      </c>
      <c r="B3253" s="3" t="s">
        <v>3253</v>
      </c>
      <c r="C3253" s="3" t="str">
        <f>IFERROR(__xludf.DUMMYFUNCTION("GOOGLETRANSLATE(B3253,""id"",""en"")"),"['bonus',' quota ',' unlimited ',' speed ',' reduced ',' kbps', 'promo', 'kill', 'sell', 'hundreds',' voucher ',' Telkomsel ',' counter ',' tomorrow ',' migration ',' customer ',' change ',' competitors', 'real', 'quota', 'benefits',' customers', 'expensi"&amp;"ve', 'style', 'pulak' ]")</f>
        <v>['bonus',' quota ',' unlimited ',' speed ',' reduced ',' kbps', 'promo', 'kill', 'sell', 'hundreds',' voucher ',' Telkomsel ',' counter ',' tomorrow ',' migration ',' customer ',' change ',' competitors', 'real', 'quota', 'benefits',' customers', 'expensive', 'style', 'pulak' ]</v>
      </c>
      <c r="D3253" s="3">
        <v>1.0</v>
      </c>
    </row>
    <row r="3254" ht="15.75" customHeight="1">
      <c r="A3254" s="1">
        <v>3252.0</v>
      </c>
      <c r="B3254" s="3" t="s">
        <v>3254</v>
      </c>
      <c r="C3254" s="3" t="str">
        <f>IFERROR(__xludf.DUMMYFUNCTION("GOOGLETRANSLATE(B3254,""id"",""en"")"),"['Exchange', 'Points', 'Package', 'Data', 'Balesan', 'System', 'Busy', 'Mulu', 'Hmmmm']")</f>
        <v>['Exchange', 'Points', 'Package', 'Data', 'Balesan', 'System', 'Busy', 'Mulu', 'Hmmmm']</v>
      </c>
      <c r="D3254" s="3">
        <v>5.0</v>
      </c>
    </row>
    <row r="3255" ht="15.75" customHeight="1">
      <c r="A3255" s="1">
        <v>3253.0</v>
      </c>
      <c r="B3255" s="3" t="s">
        <v>3255</v>
      </c>
      <c r="C3255" s="3" t="str">
        <f>IFERROR(__xludf.DUMMYFUNCTION("GOOGLETRANSLATE(B3255,""id"",""en"")"),"['Package', 'Combo', 'Sakti', 'Lost', 'Package', 'Internet', 'Telkomsel', 'Expensive', 'Even', 'Sousal', 'Good', 'Plus',' Package ',' Nurrities', 'Lost', 'Telkomsel', 'Joking', 'Pingin', 'Customer', 'Move', 'Provider', ""]")</f>
        <v>['Package', 'Combo', 'Sakti', 'Lost', 'Package', 'Internet', 'Telkomsel', 'Expensive', 'Even', 'Sousal', 'Good', 'Plus',' Package ',' Nurrities', 'Lost', 'Telkomsel', 'Joking', 'Pingin', 'Customer', 'Move', 'Provider', "]</v>
      </c>
      <c r="D3255" s="3">
        <v>1.0</v>
      </c>
    </row>
    <row r="3256" ht="15.75" customHeight="1">
      <c r="A3256" s="1">
        <v>3254.0</v>
      </c>
      <c r="B3256" s="3" t="s">
        <v>3256</v>
      </c>
      <c r="C3256" s="3" t="str">
        <f>IFERROR(__xludf.DUMMYFUNCTION("GOOGLETRANSLATE(B3256,""id"",""en"")"),"['Min', 'already', 'package', 'internet', 'expensive', '']")</f>
        <v>['Min', 'already', 'package', 'internet', 'expensive', '']</v>
      </c>
      <c r="D3256" s="3">
        <v>3.0</v>
      </c>
    </row>
    <row r="3257" ht="15.75" customHeight="1">
      <c r="A3257" s="1">
        <v>3255.0</v>
      </c>
      <c r="B3257" s="3" t="s">
        <v>3257</v>
      </c>
      <c r="C3257" s="3" t="str">
        <f>IFERROR(__xludf.DUMMYFUNCTION("GOOGLETRANSLATE(B3257,""id"",""en"")"),"['Open', 'apps', 'apps', 'move', 'operator', '']")</f>
        <v>['Open', 'apps', 'apps', 'move', 'operator', '']</v>
      </c>
      <c r="D3257" s="3">
        <v>1.0</v>
      </c>
    </row>
    <row r="3258" ht="15.75" customHeight="1">
      <c r="A3258" s="1">
        <v>3256.0</v>
      </c>
      <c r="B3258" s="3" t="s">
        <v>3258</v>
      </c>
      <c r="C3258" s="3" t="str">
        <f>IFERROR(__xludf.DUMMYFUNCTION("GOOGLETRANSLATE(B3258,""id"",""en"")"),"['Package', 'run out', 'right', 'clock', 'eat', 'pulse', 'forgetful', 'trs',' suck ',' pulse ',' waste ',' loss', ' card ',' tri ',' play ',' suck ',' pulse ',' quota ',' run out ']")</f>
        <v>['Package', 'run out', 'right', 'clock', 'eat', 'pulse', 'forgetful', 'trs',' suck ',' pulse ',' waste ',' loss', ' card ',' tri ',' play ',' suck ',' pulse ',' quota ',' run out ']</v>
      </c>
      <c r="D3258" s="3">
        <v>2.0</v>
      </c>
    </row>
    <row r="3259" ht="15.75" customHeight="1">
      <c r="A3259" s="1">
        <v>3257.0</v>
      </c>
      <c r="B3259" s="3" t="s">
        <v>3259</v>
      </c>
      <c r="C3259" s="3" t="str">
        <f>IFERROR(__xludf.DUMMYFUNCTION("GOOGLETRANSLATE(B3259,""id"",""en"")"),"['Pinter', 'really', 'cheating', 'consumers',' free ',' sosmed ',' combo ',' Sakti ',' speed ',' kayak ',' snail ',' slow ',' Snails', 'Kaslas',' Kasi ',' Bonus', 'Mending', 'Ad', 'Sweet', 'Sweet', 'Deh', 'Kayak', 'Candidate', ""]")</f>
        <v>['Pinter', 'really', 'cheating', 'consumers',' free ',' sosmed ',' combo ',' Sakti ',' speed ',' kayak ',' snail ',' slow ',' Snails', 'Kaslas',' Kasi ',' Bonus', 'Mending', 'Ad', 'Sweet', 'Sweet', 'Deh', 'Kayak', 'Candidate', "]</v>
      </c>
      <c r="D3259" s="3">
        <v>1.0</v>
      </c>
    </row>
    <row r="3260" ht="15.75" customHeight="1">
      <c r="A3260" s="1">
        <v>3258.0</v>
      </c>
      <c r="B3260" s="3" t="s">
        <v>3260</v>
      </c>
      <c r="C3260" s="3" t="str">
        <f>IFERROR(__xludf.DUMMYFUNCTION("GOOGLETRANSLATE(B3260,""id"",""en"")"),"['price', 'package', 'expensive', 'network', 'bad', 'gaada', 'improvement', 'territory', '']")</f>
        <v>['price', 'package', 'expensive', 'network', 'bad', 'gaada', 'improvement', 'territory', '']</v>
      </c>
      <c r="D3260" s="3">
        <v>1.0</v>
      </c>
    </row>
    <row r="3261" ht="15.75" customHeight="1">
      <c r="A3261" s="1">
        <v>3259.0</v>
      </c>
      <c r="B3261" s="3" t="s">
        <v>3261</v>
      </c>
      <c r="C3261" s="3" t="str">
        <f>IFERROR(__xludf.DUMMYFUNCTION("GOOGLETRANSLATE(B3261,""id"",""en"")"),"['Telkomsel', 'here', 'gajelas', 'bar', 'slow', 'provider', 'best', 'quality', 'bad', 'routine', 'experiencing', 'difficult' Used ',' needed ',' Lecture ',' Etc. ',' hope ',' Telkomsel ',' watch ',' Cape ',' Email ',' Telkomsel ', ""]")</f>
        <v>['Telkomsel', 'here', 'gajelas', 'bar', 'slow', 'provider', 'best', 'quality', 'bad', 'routine', 'experiencing', 'difficult' Used ',' needed ',' Lecture ',' Etc. ',' hope ',' Telkomsel ',' watch ',' Cape ',' Email ',' Telkomsel ', "]</v>
      </c>
      <c r="D3261" s="3">
        <v>1.0</v>
      </c>
    </row>
    <row r="3262" ht="15.75" customHeight="1">
      <c r="A3262" s="1">
        <v>3260.0</v>
      </c>
      <c r="B3262" s="3" t="s">
        <v>3262</v>
      </c>
      <c r="C3262" s="3" t="str">
        <f>IFERROR(__xludf.DUMMYFUNCTION("GOOGLETRANSLATE(B3262,""id"",""en"")"),"['PLIS', 'Lahh', 'Want', 'Ngatur', 'Package', 'Dipake', 'Package', 'Buy', 'Dateng', 'Quota', 'Kemdikbud', 'trs',' Used ',' sosmed ',' Cenah ',' Euweuh ',' Entertainment ',' Refressing ',' NII ',' quota ',' Kemdikbud ',' took precedence ',' comfortable ','"&amp;" Pakenya ', ""]")</f>
        <v>['PLIS', 'Lahh', 'Want', 'Ngatur', 'Package', 'Dipake', 'Package', 'Buy', 'Dateng', 'Quota', 'Kemdikbud', 'trs',' Used ',' sosmed ',' Cenah ',' Euweuh ',' Entertainment ',' Refressing ',' NII ',' quota ',' Kemdikbud ',' took precedence ',' comfortable ',' Pakenya ', "]</v>
      </c>
      <c r="D3262" s="3">
        <v>2.0</v>
      </c>
    </row>
    <row r="3263" ht="15.75" customHeight="1">
      <c r="A3263" s="1">
        <v>3261.0</v>
      </c>
      <c r="B3263" s="3" t="s">
        <v>3263</v>
      </c>
      <c r="C3263" s="3" t="str">
        <f>IFERROR(__xludf.DUMMYFUNCTION("GOOGLETRANSLATE(B3263,""id"",""en"")"),"['Kouta', 'cheap', 'GB', 'RB', 'Kouta', 'expensive', 'expensive', 'forgiveness',' Daah ',' Telkomsel ',' kouta ',' cheap ',' ']")</f>
        <v>['Kouta', 'cheap', 'GB', 'RB', 'Kouta', 'expensive', 'expensive', 'forgiveness',' Daah ',' Telkomsel ',' kouta ',' cheap ',' ']</v>
      </c>
      <c r="D3263" s="3">
        <v>1.0</v>
      </c>
    </row>
    <row r="3264" ht="15.75" customHeight="1">
      <c r="A3264" s="1">
        <v>3262.0</v>
      </c>
      <c r="B3264" s="3" t="s">
        <v>3264</v>
      </c>
      <c r="C3264" s="3" t="str">
        <f>IFERROR(__xludf.DUMMYFUNCTION("GOOGLETRANSLATE(B3264,""id"",""en"")"),"['Disappointed', 'Telkomsel', 'Buy', 'Package', 'Pay', 'Via', 'Ovo', 'Buy', 'Package', 'Active', 'Ovo', 'Reverse', ' Disappointed ',' Heart ',' Heart ',' Buy ',' Package ',' Telkomsel ',' Via ',' Ovo ',' Veronica ',' System ',' Busy ']")</f>
        <v>['Disappointed', 'Telkomsel', 'Buy', 'Package', 'Pay', 'Via', 'Ovo', 'Buy', 'Package', 'Active', 'Ovo', 'Reverse', ' Disappointed ',' Heart ',' Heart ',' Buy ',' Package ',' Telkomsel ',' Via ',' Ovo ',' Veronica ',' System ',' Busy ']</v>
      </c>
      <c r="D3264" s="3">
        <v>1.0</v>
      </c>
    </row>
    <row r="3265" ht="15.75" customHeight="1">
      <c r="A3265" s="1">
        <v>3263.0</v>
      </c>
      <c r="B3265" s="3" t="s">
        <v>3265</v>
      </c>
      <c r="C3265" s="3" t="str">
        <f>IFERROR(__xludf.DUMMYFUNCTION("GOOGLETRANSLATE(B3265,""id"",""en"")"),"['Uda', 'Telkomsel', 'uda', 'good', 'Ajha', 'like', 'network', 'maybe', 'slow', 'right', 'finished', 'rain', ' The wind ',' Season ',' really ',' Please ',' Fix ',' Mksi ', ""]")</f>
        <v>['Uda', 'Telkomsel', 'uda', 'good', 'Ajha', 'like', 'network', 'maybe', 'slow', 'right', 'finished', 'rain', ' The wind ',' Season ',' really ',' Please ',' Fix ',' Mksi ', "]</v>
      </c>
      <c r="D3265" s="3">
        <v>4.0</v>
      </c>
    </row>
    <row r="3266" ht="15.75" customHeight="1">
      <c r="A3266" s="1">
        <v>3264.0</v>
      </c>
      <c r="B3266" s="3" t="s">
        <v>3266</v>
      </c>
      <c r="C3266" s="3" t="str">
        <f>IFERROR(__xludf.DUMMYFUNCTION("GOOGLETRANSLATE(B3266,""id"",""en"")"),"['APP', 'good', 'apply', 'package', 'pulse', 'to', 'suggestion', 'suggest', 'extend', 'minimize', 'data', 'sometimes',' Litj ',' application ',' heavy ',' bug ',' like ',' appears', 'CMA', 'Review', 'Kores',' Telkom ',' hehehe ']")</f>
        <v>['APP', 'good', 'apply', 'package', 'pulse', 'to', 'suggestion', 'suggest', 'extend', 'minimize', 'data', 'sometimes',' Litj ',' application ',' heavy ',' bug ',' like ',' appears', 'CMA', 'Review', 'Kores',' Telkom ',' hehehe ']</v>
      </c>
      <c r="D3266" s="3">
        <v>5.0</v>
      </c>
    </row>
    <row r="3267" ht="15.75" customHeight="1">
      <c r="A3267" s="1">
        <v>3265.0</v>
      </c>
      <c r="B3267" s="3" t="s">
        <v>3267</v>
      </c>
      <c r="C3267" s="3" t="str">
        <f>IFERROR(__xludf.DUMMYFUNCTION("GOOGLETRANSLATE(B3267,""id"",""en"")"),"['Disappointed', 'Telkomsel', 'network', 'ugly', 'network', 'telephone', 'network', 'internet', 'please', 'fix', 'donk', 'the network', ' people ',' moved ',' card ',' jelekk ',' jelekkkkk ',' jelekkkkk ',' pigiiiiiii ',' anjingggggg ',' Telkomsel ',' ugl"&amp;"y ', ""]")</f>
        <v>['Disappointed', 'Telkomsel', 'network', 'ugly', 'network', 'telephone', 'network', 'internet', 'please', 'fix', 'donk', 'the network', ' people ',' moved ',' card ',' jelekk ',' jelekkkkk ',' jelekkkkk ',' pigiiiiiii ',' anjingggggg ',' Telkomsel ',' ugly ', "]</v>
      </c>
      <c r="D3267" s="3">
        <v>1.0</v>
      </c>
    </row>
    <row r="3268" ht="15.75" customHeight="1">
      <c r="A3268" s="1">
        <v>3266.0</v>
      </c>
      <c r="B3268" s="3" t="s">
        <v>3268</v>
      </c>
      <c r="C3268" s="3" t="str">
        <f>IFERROR(__xludf.DUMMYFUNCTION("GOOGLETRANSLATE(B3268,""id"",""en"")"),"['Network', 'bgs',' disappointed ',' forgetful ',' package ',' run out ',' direct ',' cut ',' pulse ',' forgetful ',' minutes', 'pulses',' Reduced ',' please ',' fix ',' system ']")</f>
        <v>['Network', 'bgs',' disappointed ',' forgetful ',' package ',' run out ',' direct ',' cut ',' pulse ',' forgetful ',' minutes', 'pulses',' Reduced ',' please ',' fix ',' system ']</v>
      </c>
      <c r="D3268" s="3">
        <v>4.0</v>
      </c>
    </row>
    <row r="3269" ht="15.75" customHeight="1">
      <c r="A3269" s="1">
        <v>3267.0</v>
      </c>
      <c r="B3269" s="3" t="s">
        <v>3269</v>
      </c>
      <c r="C3269" s="3" t="str">
        <f>IFERROR(__xludf.DUMMYFUNCTION("GOOGLETRANSLATE(B3269,""id"",""en"")"),"['already', 'buy', 'package', 'internet', 'famous',' expensive ',' should ',' kelen ',' give ',' signal ',' good ',' signal ',' Telkomsel ',' ugly ',' provider ',' kelen ',' subtract ',' price ',' package ',' internet ',' kelen ']")</f>
        <v>['already', 'buy', 'package', 'internet', 'famous',' expensive ',' should ',' kelen ',' give ',' signal ',' good ',' signal ',' Telkomsel ',' ugly ',' provider ',' kelen ',' subtract ',' price ',' package ',' internet ',' kelen ']</v>
      </c>
      <c r="D3269" s="3">
        <v>1.0</v>
      </c>
    </row>
    <row r="3270" ht="15.75" customHeight="1">
      <c r="A3270" s="1">
        <v>3268.0</v>
      </c>
      <c r="B3270" s="3" t="s">
        <v>3270</v>
      </c>
      <c r="C3270" s="3" t="str">
        <f>IFERROR(__xludf.DUMMYFUNCTION("GOOGLETRANSLATE(B3270,""id"",""en"")"),"['Disappointed', 'Network', 'Telkomsel', 'stable', 'in', 'outside', 'room', 'price', 'expensive', 'quality', 'squat', 'really', ' ']")</f>
        <v>['Disappointed', 'Network', 'Telkomsel', 'stable', 'in', 'outside', 'room', 'price', 'expensive', 'quality', 'squat', 'really', ' ']</v>
      </c>
      <c r="D3270" s="3">
        <v>2.0</v>
      </c>
    </row>
    <row r="3271" ht="15.75" customHeight="1">
      <c r="A3271" s="1">
        <v>3269.0</v>
      </c>
      <c r="B3271" s="3" t="s">
        <v>3271</v>
      </c>
      <c r="C3271" s="3" t="str">
        <f>IFERROR(__xludf.DUMMYFUNCTION("GOOGLETRANSLATE(B3271,""id"",""en"")"),"['Wear', 'Telkomsel', 'obstacles', 'anything', 'communication', 'telephone', 'network', 'internet']")</f>
        <v>['Wear', 'Telkomsel', 'obstacles', 'anything', 'communication', 'telephone', 'network', 'internet']</v>
      </c>
      <c r="D3271" s="3">
        <v>5.0</v>
      </c>
    </row>
    <row r="3272" ht="15.75" customHeight="1">
      <c r="A3272" s="1">
        <v>3270.0</v>
      </c>
      <c r="B3272" s="3" t="s">
        <v>3272</v>
      </c>
      <c r="C3272" s="3" t="str">
        <f>IFERROR(__xludf.DUMMYFUNCTION("GOOGLETRANSLATE(B3272,""id"",""en"")"),"['Buy', 'Package', 'Data', 'Select', 'Method', 'Payment', 'Stuck', 'There', 'Ajah', 'Description', 'BGitu', 'Transaction', ' Use ',' Method ',' Buy ',' Package ',' Data ',' Severe ',' Severe ',' Severe ',' ']")</f>
        <v>['Buy', 'Package', 'Data', 'Select', 'Method', 'Payment', 'Stuck', 'There', 'Ajah', 'Description', 'BGitu', 'Transaction', ' Use ',' Method ',' Buy ',' Package ',' Data ',' Severe ',' Severe ',' Severe ',' ']</v>
      </c>
      <c r="D3272" s="3">
        <v>1.0</v>
      </c>
    </row>
    <row r="3273" ht="15.75" customHeight="1">
      <c r="A3273" s="1">
        <v>3271.0</v>
      </c>
      <c r="B3273" s="3" t="s">
        <v>3273</v>
      </c>
      <c r="C3273" s="3" t="str">
        <f>IFERROR(__xludf.DUMMYFUNCTION("GOOGLETRANSLATE(B3273,""id"",""en"")"),"['Wait', 'boot', 'sleep', 'coffee', 'mindo', 'signal', 'tepok', 'jidad', 'signal', 'abis',' ujan ',' want ',' replace ',' provider ',' price ',' package ',' matched ',' complaints', 'so', 'thank', 'love', 'wassalam']")</f>
        <v>['Wait', 'boot', 'sleep', 'coffee', 'mindo', 'signal', 'tepok', 'jidad', 'signal', 'abis',' ujan ',' want ',' replace ',' provider ',' price ',' package ',' matched ',' complaints', 'so', 'thank', 'love', 'wassalam']</v>
      </c>
      <c r="D3273" s="3">
        <v>2.0</v>
      </c>
    </row>
    <row r="3274" ht="15.75" customHeight="1">
      <c r="A3274" s="1">
        <v>3272.0</v>
      </c>
      <c r="B3274" s="3" t="s">
        <v>3274</v>
      </c>
      <c r="C3274" s="3" t="str">
        <f>IFERROR(__xludf.DUMMYFUNCTION("GOOGLETRANSLATE(B3274,""id"",""en"")"),"['Congratulations',' Live ',' Telkomsel ',' Udh ',' Thn ',' With You ',' Paketanmu ',' Nambah ',' Ngeselin ',' Movin ',' Quota ',' Quota ',' Tiktok ',' quota ',' malem ',' etc. ',' sdgkn ',' quota ',' main ',' little ',' according to ',' price ',' card ',"&amp;"' hello ',' udh ' , 'Disable', 'now' waste ',' sdgkn ',' wife ',' told ',' make ',' make ',' Telkomsel ',' deactivates ',' card ',' Helso ',' Move ',' Open ',' populat ',' understanding ',' ']")</f>
        <v>['Congratulations',' Live ',' Telkomsel ',' Udh ',' Thn ',' With You ',' Paketanmu ',' Nambah ',' Ngeselin ',' Movin ',' Quota ',' Quota ',' Tiktok ',' quota ',' malem ',' etc. ',' sdgkn ',' quota ',' main ',' little ',' according to ',' price ',' card ',' hello ',' udh ' , 'Disable', 'now' waste ',' sdgkn ',' wife ',' told ',' make ',' make ',' Telkomsel ',' deactivates ',' card ',' Helso ',' Move ',' Open ',' populat ',' understanding ',' ']</v>
      </c>
      <c r="D3274" s="3">
        <v>1.0</v>
      </c>
    </row>
    <row r="3275" ht="15.75" customHeight="1">
      <c r="A3275" s="1">
        <v>3273.0</v>
      </c>
      <c r="B3275" s="3" t="s">
        <v>3275</v>
      </c>
      <c r="C3275" s="3" t="str">
        <f>IFERROR(__xludf.DUMMYFUNCTION("GOOGLETRANSLATE(B3275,""id"",""en"")"),"['Help', 'Dating', 'Log', 'reset', 'Link', 'activation', 'no', 'used', 'PDHL', 'Telkomsel', 'installed', ""]")</f>
        <v>['Help', 'Dating', 'Log', 'reset', 'Link', 'activation', 'no', 'used', 'PDHL', 'Telkomsel', 'installed', "]</v>
      </c>
      <c r="D3275" s="3">
        <v>2.0</v>
      </c>
    </row>
    <row r="3276" ht="15.75" customHeight="1">
      <c r="A3276" s="1">
        <v>3274.0</v>
      </c>
      <c r="B3276" s="3" t="s">
        <v>3276</v>
      </c>
      <c r="C3276" s="3" t="str">
        <f>IFERROR(__xludf.DUMMYFUNCTION("GOOGLETRANSLATE(B3276,""id"",""en"")"),"['signal', 'good', 'TPI', 'Rain', 'ilang', 'Exchange', 'Points', 'Telkomsel', 'Check', 'Waiting', 'Luck', ""]")</f>
        <v>['signal', 'good', 'TPI', 'Rain', 'ilang', 'Exchange', 'Points', 'Telkomsel', 'Check', 'Waiting', 'Luck', "]</v>
      </c>
      <c r="D3276" s="3">
        <v>5.0</v>
      </c>
    </row>
    <row r="3277" ht="15.75" customHeight="1">
      <c r="A3277" s="1">
        <v>3275.0</v>
      </c>
      <c r="B3277" s="3" t="s">
        <v>3277</v>
      </c>
      <c r="C3277" s="3" t="str">
        <f>IFERROR(__xludf.DUMMYFUNCTION("GOOGLETRANSLATE(B3277,""id"",""en"")"),"['Network', 'Telkomsel', 'Severe', 'Please', 'Notice', '']")</f>
        <v>['Network', 'Telkomsel', 'Severe', 'Please', 'Notice', '']</v>
      </c>
      <c r="D3277" s="3">
        <v>1.0</v>
      </c>
    </row>
    <row r="3278" ht="15.75" customHeight="1">
      <c r="A3278" s="1">
        <v>3276.0</v>
      </c>
      <c r="B3278" s="3" t="s">
        <v>3278</v>
      </c>
      <c r="C3278" s="3" t="str">
        <f>IFERROR(__xludf.DUMMYFUNCTION("GOOGLETRANSLATE(B3278,""id"",""en"")"),"['Price', 'Package', 'Internetny', 'Naturally', 'Package', 'Offered', 'Sometimes',' Sometimes', 'ilang', 'Kayak', 'Package', 'GB', ' Need ',' appears', 'need', 'bought', 'told', 'check', 'connection', 'pandemic', 'gini', 'really', 'quota', 'big', 'activit"&amp;"y' , 'quota', 'watch', 'film', 'Gede', '']")</f>
        <v>['Price', 'Package', 'Internetny', 'Naturally', 'Package', 'Offered', 'Sometimes',' Sometimes', 'ilang', 'Kayak', 'Package', 'GB', ' Need ',' appears', 'need', 'bought', 'told', 'check', 'connection', 'pandemic', 'gini', 'really', 'quota', 'big', 'activity' , 'quota', 'watch', 'film', 'Gede', '']</v>
      </c>
      <c r="D3278" s="3">
        <v>1.0</v>
      </c>
    </row>
    <row r="3279" ht="15.75" customHeight="1">
      <c r="A3279" s="1">
        <v>3277.0</v>
      </c>
      <c r="B3279" s="3" t="s">
        <v>3279</v>
      </c>
      <c r="C3279" s="3" t="str">
        <f>IFERROR(__xludf.DUMMYFUNCTION("GOOGLETRANSLATE(B3279,""id"",""en"")"),"['Taik', 'promo', 'all', 'extra', 'unlimited', 'mah', 'promo', 'quality', 'preeettt']")</f>
        <v>['Taik', 'promo', 'all', 'extra', 'unlimited', 'mah', 'promo', 'quality', 'preeettt']</v>
      </c>
      <c r="D3279" s="3">
        <v>1.0</v>
      </c>
    </row>
    <row r="3280" ht="15.75" customHeight="1">
      <c r="A3280" s="1">
        <v>3278.0</v>
      </c>
      <c r="B3280" s="3" t="s">
        <v>3280</v>
      </c>
      <c r="C3280" s="3" t="str">
        <f>IFERROR(__xludf.DUMMYFUNCTION("GOOGLETRANSLATE(B3280,""id"",""en"")"),"['Ngadain', 'Package', 'Game', 'TPI', 'Kekeke', 'Relog', 'here', 'Quality', 'Network', 'Bad', 'Expensive', 'yes']")</f>
        <v>['Ngadain', 'Package', 'Game', 'TPI', 'Kekeke', 'Relog', 'here', 'Quality', 'Network', 'Bad', 'Expensive', 'yes']</v>
      </c>
      <c r="D3280" s="3">
        <v>1.0</v>
      </c>
    </row>
    <row r="3281" ht="15.75" customHeight="1">
      <c r="A3281" s="1">
        <v>3279.0</v>
      </c>
      <c r="B3281" s="3" t="s">
        <v>3281</v>
      </c>
      <c r="C3281" s="3" t="str">
        <f>IFERROR(__xludf.DUMMYFUNCTION("GOOGLETRANSLATE(B3281,""id"",""en"")"),"['Please', 'repaired', 'signal', 'dotu', 'area', 'trenggalek', 'obstacle', 'price', 'package', 'expensive', 'fix', 'quality', ' Best ',' quality ',' ugly ']")</f>
        <v>['Please', 'repaired', 'signal', 'dotu', 'area', 'trenggalek', 'obstacle', 'price', 'package', 'expensive', 'fix', 'quality', ' Best ',' quality ',' ugly ']</v>
      </c>
      <c r="D3281" s="3">
        <v>1.0</v>
      </c>
    </row>
    <row r="3282" ht="15.75" customHeight="1">
      <c r="A3282" s="1">
        <v>3280.0</v>
      </c>
      <c r="B3282" s="3" t="s">
        <v>3282</v>
      </c>
      <c r="C3282" s="3" t="str">
        <f>IFERROR(__xludf.DUMMYFUNCTION("GOOGLETRANSLATE(B3282,""id"",""en"")"),"['users',' Telkomsel ',' Satisfied ',' Performance ',' Card ',' Region ',' Area ',' Reach ',' Signal ',' Sometimes', 'Disruption', 'Price', ' quota ',' fair ',' expensive ',' sometimes', 'enjoy', 'bonus',' bonus', 'core', 'provider', 'lack', 'advantages',"&amp;"' appreciate ',' hope ' , 'complain', 'price', 'expensive', 'signal', 'good', 'resolved', 'enjoy', 'service', 'satisfying', '']")</f>
        <v>['users',' Telkomsel ',' Satisfied ',' Performance ',' Card ',' Region ',' Area ',' Reach ',' Signal ',' Sometimes', 'Disruption', 'Price', ' quota ',' fair ',' expensive ',' sometimes', 'enjoy', 'bonus',' bonus', 'core', 'provider', 'lack', 'advantages',' appreciate ',' hope ' , 'complain', 'price', 'expensive', 'signal', 'good', 'resolved', 'enjoy', 'service', 'satisfying', '']</v>
      </c>
      <c r="D3282" s="3">
        <v>4.0</v>
      </c>
    </row>
    <row r="3283" ht="15.75" customHeight="1">
      <c r="A3283" s="1">
        <v>3281.0</v>
      </c>
      <c r="B3283" s="3" t="s">
        <v>3283</v>
      </c>
      <c r="C3283" s="3" t="str">
        <f>IFERROR(__xludf.DUMMYFUNCTION("GOOGLETRANSLATE(B3283,""id"",""en"")"),"['happy', 'application', 'exchanges', 'Points', 'Switch', 'Package', 'Internet', 'Credit', 'so', 'thank']")</f>
        <v>['happy', 'application', 'exchanges', 'Points', 'Switch', 'Package', 'Internet', 'Credit', 'so', 'thank']</v>
      </c>
      <c r="D3283" s="3">
        <v>5.0</v>
      </c>
    </row>
    <row r="3284" ht="15.75" customHeight="1">
      <c r="A3284" s="1">
        <v>3282.0</v>
      </c>
      <c r="B3284" s="3" t="s">
        <v>3284</v>
      </c>
      <c r="C3284" s="3" t="str">
        <f>IFERROR(__xludf.DUMMYFUNCTION("GOOGLETRANSLATE(B3284,""id"",""en"")"),"['friend', 'ojol', 'signal', 'rotten', 'really', 'ngojol', 'difficult', 'really', 'loading', 'mulu', 'please', 'donk', ' The server ',' repaired ']")</f>
        <v>['friend', 'ojol', 'signal', 'rotten', 'really', 'ngojol', 'difficult', 'really', 'loading', 'mulu', 'please', 'donk', ' The server ',' repaired ']</v>
      </c>
      <c r="D3284" s="3">
        <v>2.0</v>
      </c>
    </row>
    <row r="3285" ht="15.75" customHeight="1">
      <c r="A3285" s="1">
        <v>3283.0</v>
      </c>
      <c r="B3285" s="3" t="s">
        <v>3285</v>
      </c>
      <c r="C3285" s="3" t="str">
        <f>IFERROR(__xludf.DUMMYFUNCTION("GOOGLETRANSLATE(B3285,""id"",""en"")"),"['Network', 'Please', 'Fix', 'Jngan', 'Like', 'Lost', 'Connect', 'Night', 'Use', 'Price', 'Expensive', 'Complaint', ' Quality ',' guarded ',' customers', 'dozens',' Telkomsel ',' disappointed ']")</f>
        <v>['Network', 'Please', 'Fix', 'Jngan', 'Like', 'Lost', 'Connect', 'Night', 'Use', 'Price', 'Expensive', 'Complaint', ' Quality ',' guarded ',' customers', 'dozens',' Telkomsel ',' disappointed ']</v>
      </c>
      <c r="D3285" s="3">
        <v>1.0</v>
      </c>
    </row>
    <row r="3286" ht="15.75" customHeight="1">
      <c r="A3286" s="1">
        <v>3284.0</v>
      </c>
      <c r="B3286" s="3" t="s">
        <v>3286</v>
      </c>
      <c r="C3286" s="3" t="str">
        <f>IFERROR(__xludf.DUMMYFUNCTION("GOOGLETRANSLATE(B3286,""id"",""en"")"),"['signal', 'stable', 'in the city', 'Madya', 'provider', 'price', 'quota', 'internet', 'high', 'forgiveness',' mending ',' closed ',' Kekovi ',' Fix ',' enter ',' ']")</f>
        <v>['signal', 'stable', 'in the city', 'Madya', 'provider', 'price', 'quota', 'internet', 'high', 'forgiveness',' mending ',' closed ',' Kekovi ',' Fix ',' enter ',' ']</v>
      </c>
      <c r="D3286" s="3">
        <v>1.0</v>
      </c>
    </row>
    <row r="3287" ht="15.75" customHeight="1">
      <c r="A3287" s="1">
        <v>3285.0</v>
      </c>
      <c r="B3287" s="3" t="s">
        <v>3287</v>
      </c>
      <c r="C3287" s="3" t="str">
        <f>IFERROR(__xludf.DUMMYFUNCTION("GOOGLETRANSLATE(B3287,""id"",""en"")"),"['network', 'Telkomsel', 'kek', 'pig', 'data', 'gara', 'network', 'ugly', 'network', '']")</f>
        <v>['network', 'Telkomsel', 'kek', 'pig', 'data', 'gara', 'network', 'ugly', 'network', '']</v>
      </c>
      <c r="D3287" s="3">
        <v>1.0</v>
      </c>
    </row>
    <row r="3288" ht="15.75" customHeight="1">
      <c r="A3288" s="1">
        <v>3286.0</v>
      </c>
      <c r="B3288" s="3" t="s">
        <v>3288</v>
      </c>
      <c r="C3288" s="3" t="str">
        <f>IFERROR(__xludf.DUMMYFUNCTION("GOOGLETRANSLATE(B3288,""id"",""en"")"),"['His name', 'Change', 'MyBegadang', 'Network', 'Good', 'right', 'night', ""]")</f>
        <v>['His name', 'Change', 'MyBegadang', 'Network', 'Good', 'right', 'night', "]</v>
      </c>
      <c r="D3288" s="3">
        <v>5.0</v>
      </c>
    </row>
    <row r="3289" ht="15.75" customHeight="1">
      <c r="A3289" s="1">
        <v>3287.0</v>
      </c>
      <c r="B3289" s="3" t="s">
        <v>3289</v>
      </c>
      <c r="C3289" s="3" t="str">
        <f>IFERROR(__xludf.DUMMYFUNCTION("GOOGLETRANSLATE(B3289,""id"",""en"")"),"['Telkomselbjancoook', 'Pekok', 'buy', 'package', 'credit', 'active', 'update', 'as a result', 'active', 'a day', 'a month', 'package', ' expensive ',' kek ',' pig ']")</f>
        <v>['Telkomselbjancoook', 'Pekok', 'buy', 'package', 'credit', 'active', 'update', 'as a result', 'active', 'a day', 'a month', 'package', ' expensive ',' kek ',' pig ']</v>
      </c>
      <c r="D3289" s="3">
        <v>1.0</v>
      </c>
    </row>
    <row r="3290" ht="15.75" customHeight="1">
      <c r="A3290" s="1">
        <v>3288.0</v>
      </c>
      <c r="B3290" s="3" t="s">
        <v>3290</v>
      </c>
      <c r="C3290" s="3" t="str">
        <f>IFERROR(__xludf.DUMMYFUNCTION("GOOGLETRANSLATE(B3290,""id"",""en"")"),"['', 'Sampe', 'signal', 'Region', 'Telkomsel', 'Disruption', 'Hour', 'Malem', 'Sampe', 'Hour', 'Morning', 'Direct', 'ilang ',' UDH ',' Telkomsel ',' disorder ',' area ',' please ',' response ', ""]")</f>
        <v>['', 'Sampe', 'signal', 'Region', 'Telkomsel', 'Disruption', 'Hour', 'Malem', 'Sampe', 'Hour', 'Morning', 'Direct', 'ilang ',' UDH ',' Telkomsel ',' disorder ',' area ',' please ',' response ', "]</v>
      </c>
      <c r="D3290" s="3">
        <v>1.0</v>
      </c>
    </row>
    <row r="3291" ht="15.75" customHeight="1">
      <c r="A3291" s="1">
        <v>3289.0</v>
      </c>
      <c r="B3291" s="3" t="s">
        <v>3291</v>
      </c>
      <c r="C3291" s="3" t="str">
        <f>IFERROR(__xludf.DUMMYFUNCTION("GOOGLETRANSLATE(B3291,""id"",""en"")"),"['expensive', 'doang', 'signal', 'ugly', 'telephone', 'sound', 'ilang', 'number', 'picture', 'broken', 'broken', 'play', ' MOBA ',' Pink ',' Low ',' Disappointed ',' Heavy ',' Telkomsel ',' Thnks', ""]")</f>
        <v>['expensive', 'doang', 'signal', 'ugly', 'telephone', 'sound', 'ilang', 'number', 'picture', 'broken', 'broken', 'play', ' MOBA ',' Pink ',' Low ',' Disappointed ',' Heavy ',' Telkomsel ',' Thnks', "]</v>
      </c>
      <c r="D3291" s="3">
        <v>1.0</v>
      </c>
    </row>
    <row r="3292" ht="15.75" customHeight="1">
      <c r="A3292" s="1">
        <v>3290.0</v>
      </c>
      <c r="B3292" s="3" t="s">
        <v>3292</v>
      </c>
      <c r="C3292" s="3" t="str">
        <f>IFERROR(__xludf.DUMMYFUNCTION("GOOGLETRANSLATE(B3292,""id"",""en"")"),"['MEN', 'Download', 'apk', 'Telkomsel', 'pulse', 'rb', 'used', 'pulse', 'main', 'ends',' left ',' please ',' Min ',' fraudsters', 'people', 'poor', 'hope', 'bonus',' pulses', 'cheats',' ']")</f>
        <v>['MEN', 'Download', 'apk', 'Telkomsel', 'pulse', 'rb', 'used', 'pulse', 'main', 'ends',' left ',' please ',' Min ',' fraudsters', 'people', 'poor', 'hope', 'bonus',' pulses', 'cheats',' ']</v>
      </c>
      <c r="D3292" s="3">
        <v>1.0</v>
      </c>
    </row>
    <row r="3293" ht="15.75" customHeight="1">
      <c r="A3293" s="1">
        <v>3291.0</v>
      </c>
      <c r="B3293" s="3" t="s">
        <v>3293</v>
      </c>
      <c r="C3293" s="3" t="str">
        <f>IFERROR(__xludf.DUMMYFUNCTION("GOOGLETRANSLATE(B3293,""id"",""en"")"),"['Telkomsel', 'Choice', 'Combo', 'Sakti', 'Help']")</f>
        <v>['Telkomsel', 'Choice', 'Combo', 'Sakti', 'Help']</v>
      </c>
      <c r="D3293" s="3">
        <v>1.0</v>
      </c>
    </row>
    <row r="3294" ht="15.75" customHeight="1">
      <c r="A3294" s="1">
        <v>3292.0</v>
      </c>
      <c r="B3294" s="3" t="s">
        <v>3294</v>
      </c>
      <c r="C3294" s="3" t="str">
        <f>IFERROR(__xludf.DUMMYFUNCTION("GOOGLETRANSLATE(B3294,""id"",""en"")"),"['Good', 'Telkomsel', 'easy', 'buy', 'quota', 'check', 'quota']")</f>
        <v>['Good', 'Telkomsel', 'easy', 'buy', 'quota', 'check', 'quota']</v>
      </c>
      <c r="D3294" s="3">
        <v>5.0</v>
      </c>
    </row>
    <row r="3295" ht="15.75" customHeight="1">
      <c r="A3295" s="1">
        <v>3293.0</v>
      </c>
      <c r="B3295" s="3" t="s">
        <v>3295</v>
      </c>
      <c r="C3295" s="3" t="str">
        <f>IFERROR(__xludf.DUMMYFUNCTION("GOOGLETRANSLATE(B3295,""id"",""en"")"),"['Telkomsel', 'choose', 'love', 'price', 'package', 'number', 'Different', 'UDH', 'Telkomsel', 'th', 'price', 'package', ' internet ',' expensive ',' quality ',' network ',' no ',' comparable ',' price ',' honest ',' disappointed ',' rich ',' gini ',' mah"&amp;" ',' ntar ' , 'PDA', 'Move', 'Provider']")</f>
        <v>['Telkomsel', 'choose', 'love', 'price', 'package', 'number', 'Different', 'UDH', 'Telkomsel', 'th', 'price', 'package', ' internet ',' expensive ',' quality ',' network ',' no ',' comparable ',' price ',' honest ',' disappointed ',' rich ',' gini ',' mah ',' ntar ' , 'PDA', 'Move', 'Provider']</v>
      </c>
      <c r="D3295" s="3">
        <v>1.0</v>
      </c>
    </row>
    <row r="3296" ht="15.75" customHeight="1">
      <c r="A3296" s="1">
        <v>3294.0</v>
      </c>
      <c r="B3296" s="3" t="s">
        <v>3296</v>
      </c>
      <c r="C3296" s="3" t="str">
        <f>IFERROR(__xludf.DUMMYFUNCTION("GOOGLETRANSLATE(B3296,""id"",""en"")"),"['Ngga', 'Susai', 'Dngan', 'Price', 'Expensive', 'Network', 'Bagus', 'Russsakk', 'Mulu', 'Night', ""]")</f>
        <v>['Ngga', 'Susai', 'Dngan', 'Price', 'Expensive', 'Network', 'Bagus', 'Russsakk', 'Mulu', 'Night', "]</v>
      </c>
      <c r="D3296" s="3">
        <v>1.0</v>
      </c>
    </row>
    <row r="3297" ht="15.75" customHeight="1">
      <c r="A3297" s="1">
        <v>3295.0</v>
      </c>
      <c r="B3297" s="3" t="s">
        <v>3297</v>
      </c>
      <c r="C3297" s="3" t="str">
        <f>IFERROR(__xludf.DUMMYFUNCTION("GOOGLETRANSLATE(B3297,""id"",""en"")"),"['internet', 'Bener', 'Bener', 'garbage', 'little', 'little', 'discount', 'fix', 'ties',' promo ',' provider ',' buy ',' GB ',' KEK ',' Disappointing ',' Discard ',' Discard ',' Money ', ""]")</f>
        <v>['internet', 'Bener', 'Bener', 'garbage', 'little', 'little', 'discount', 'fix', 'ties',' promo ',' provider ',' buy ',' GB ',' KEK ',' Disappointing ',' Discard ',' Discard ',' Money ', "]</v>
      </c>
      <c r="D3297" s="3">
        <v>1.0</v>
      </c>
    </row>
    <row r="3298" ht="15.75" customHeight="1">
      <c r="A3298" s="1">
        <v>3296.0</v>
      </c>
      <c r="B3298" s="3" t="s">
        <v>3298</v>
      </c>
      <c r="C3298" s="3" t="str">
        <f>IFERROR(__xludf.DUMMYFUNCTION("GOOGLETRANSLATE(B3298,""id"",""en"")"),"['quota', 'game', 'GB', 'use', 'what' do ',' hold ',' provider ',' lie ']")</f>
        <v>['quota', 'game', 'GB', 'use', 'what' do ',' hold ',' provider ',' lie ']</v>
      </c>
      <c r="D3298" s="3">
        <v>1.0</v>
      </c>
    </row>
    <row r="3299" ht="15.75" customHeight="1">
      <c r="A3299" s="1">
        <v>3297.0</v>
      </c>
      <c r="B3299" s="3" t="s">
        <v>3299</v>
      </c>
      <c r="C3299" s="3" t="str">
        <f>IFERROR(__xludf.DUMMYFUNCTION("GOOGLETRANSLATE(B3299,""id"",""en"")"),"['Paketan', 'expensive', 'signal', 'signal', 'lost', 'play', 'game', 'Nge', 'lag', 'forgiveness', ""]")</f>
        <v>['Paketan', 'expensive', 'signal', 'signal', 'lost', 'play', 'game', 'Nge', 'lag', 'forgiveness', "]</v>
      </c>
      <c r="D3299" s="3">
        <v>1.0</v>
      </c>
    </row>
    <row r="3300" ht="15.75" customHeight="1">
      <c r="A3300" s="1">
        <v>3298.0</v>
      </c>
      <c r="B3300" s="3" t="s">
        <v>3300</v>
      </c>
      <c r="C3300" s="3" t="str">
        <f>IFERROR(__xludf.DUMMYFUNCTION("GOOGLETRANSLATE(B3300,""id"",""en"")"),"['price', 'quota', 'expensive', 'ngadtak', 'kasi', 'price', 'search', 'money', 'difficult']")</f>
        <v>['price', 'quota', 'expensive', 'ngadtak', 'kasi', 'price', 'search', 'money', 'difficult']</v>
      </c>
      <c r="D3300" s="3">
        <v>1.0</v>
      </c>
    </row>
    <row r="3301" ht="15.75" customHeight="1">
      <c r="A3301" s="1">
        <v>3299.0</v>
      </c>
      <c r="B3301" s="3" t="s">
        <v>3301</v>
      </c>
      <c r="C3301" s="3" t="str">
        <f>IFERROR(__xludf.DUMMYFUNCTION("GOOGLETRANSLATE(B3301,""id"",""en"")"),"['Access',' MyTelkomsel ',' Area ',' KotawaringThimur ',' Kal ',' Teng ',' Not bad ',' Good ',' Smooth ',' The network ',' Lost ',' Embossed ',' Weather ',' Overcast ',' Fix ',' MyTelkomsel ',' ']")</f>
        <v>['Access',' MyTelkomsel ',' Area ',' KotawaringThimur ',' Kal ',' Teng ',' Not bad ',' Good ',' Smooth ',' The network ',' Lost ',' Embossed ',' Weather ',' Overcast ',' Fix ',' MyTelkomsel ',' ']</v>
      </c>
      <c r="D3301" s="3">
        <v>5.0</v>
      </c>
    </row>
    <row r="3302" ht="15.75" customHeight="1">
      <c r="A3302" s="1">
        <v>3300.0</v>
      </c>
      <c r="B3302" s="3" t="s">
        <v>3302</v>
      </c>
      <c r="C3302" s="3" t="str">
        <f>IFERROR(__xludf.DUMMYFUNCTION("GOOGLETRANSLATE(B3302,""id"",""en"")"),"['experience', 'quota', 'Telkomsel', 'Taikk', 'hahah', 'suggestion', 'I', 'Klau', 'quota', 'internet', 'network', 'SJA', ' Telkomsel ']")</f>
        <v>['experience', 'quota', 'Telkomsel', 'Taikk', 'hahah', 'suggestion', 'I', 'Klau', 'quota', 'internet', 'network', 'SJA', ' Telkomsel ']</v>
      </c>
      <c r="D3302" s="3">
        <v>1.0</v>
      </c>
    </row>
    <row r="3303" ht="15.75" customHeight="1">
      <c r="A3303" s="1">
        <v>3301.0</v>
      </c>
      <c r="B3303" s="3" t="s">
        <v>3303</v>
      </c>
      <c r="C3303" s="3" t="str">
        <f>IFERROR(__xludf.DUMMYFUNCTION("GOOGLETRANSLATE(B3303,""id"",""en"")"),"['shy', 'in', 'Telkomsel', 'provider', 'quality', 'network', 'tetep', 'slow', 'slow', 'quality', 'provider', 'quality', ' network ',' internet ',' msh ',' weak ']")</f>
        <v>['shy', 'in', 'Telkomsel', 'provider', 'quality', 'network', 'tetep', 'slow', 'slow', 'quality', 'provider', 'quality', ' network ',' internet ',' msh ',' weak ']</v>
      </c>
      <c r="D3303" s="3">
        <v>1.0</v>
      </c>
    </row>
    <row r="3304" ht="15.75" customHeight="1">
      <c r="A3304" s="1">
        <v>3302.0</v>
      </c>
      <c r="B3304" s="3" t="s">
        <v>3304</v>
      </c>
      <c r="C3304" s="3" t="str">
        <f>IFERROR(__xludf.DUMMYFUNCTION("GOOGLETRANSLATE(B3304,""id"",""en"")"),"['Contents', 'reset', 'pulses', 'many', 'times', 'Points', '']")</f>
        <v>['Contents', 'reset', 'pulses', 'many', 'times', 'Points', '']</v>
      </c>
      <c r="D3304" s="3">
        <v>1.0</v>
      </c>
    </row>
    <row r="3305" ht="15.75" customHeight="1">
      <c r="A3305" s="1">
        <v>3303.0</v>
      </c>
      <c r="B3305" s="3" t="s">
        <v>3305</v>
      </c>
      <c r="C3305" s="3" t="str">
        <f>IFERROR(__xludf.DUMMYFUNCTION("GOOGLETRANSLATE(B3305,""id"",""en"")"),"['', 'price', 'Naekk', 'internet', 'difficult', 'reach', 'price', 'good', 'price', 'cheap', 'festive', 'please', 'the price ',' Condition ',' ']")</f>
        <v>['', 'price', 'Naekk', 'internet', 'difficult', 'reach', 'price', 'good', 'price', 'cheap', 'festive', 'please', 'the price ',' Condition ',' ']</v>
      </c>
      <c r="D3305" s="3">
        <v>3.0</v>
      </c>
    </row>
    <row r="3306" ht="15.75" customHeight="1">
      <c r="A3306" s="1">
        <v>3304.0</v>
      </c>
      <c r="B3306" s="3" t="s">
        <v>3306</v>
      </c>
      <c r="C3306" s="3" t="str">
        <f>IFERROR(__xludf.DUMMYFUNCTION("GOOGLETRANSLATE(B3306,""id"",""en"")"),"['network', 'internet', 'slow', 'ngak', 'bukak', 'customer', 'loyal', 'disappointed', 'really']")</f>
        <v>['network', 'internet', 'slow', 'ngak', 'bukak', 'customer', 'loyal', 'disappointed', 'really']</v>
      </c>
      <c r="D3306" s="3">
        <v>1.0</v>
      </c>
    </row>
    <row r="3307" ht="15.75" customHeight="1">
      <c r="A3307" s="1">
        <v>3305.0</v>
      </c>
      <c r="B3307" s="3" t="s">
        <v>3307</v>
      </c>
      <c r="C3307" s="3" t="str">
        <f>IFERROR(__xludf.DUMMYFUNCTION("GOOGLETRANSLATE(B3307,""id"",""en"")"),"['already', 'good', 'sii', 'tapiiii', 'fit', 'quota', 'game', 'lag', 'really', 'woi', 'quota', 'game', ' night ',' beuh ',' lag ',' stingy ',' singal ',' night ',' clock ',' until ',' hour ',' singal ',' beuh ',' stem ',' play ' , 'game', 'bey', 'crazy', "&amp;"'really', 'lag']")</f>
        <v>['already', 'good', 'sii', 'tapiiii', 'fit', 'quota', 'game', 'lag', 'really', 'woi', 'quota', 'game', ' night ',' beuh ',' lag ',' stingy ',' singal ',' night ',' clock ',' until ',' hour ',' singal ',' beuh ',' stem ',' play ' , 'game', 'bey', 'crazy', 'really', 'lag']</v>
      </c>
      <c r="D3307" s="3">
        <v>1.0</v>
      </c>
    </row>
    <row r="3308" ht="15.75" customHeight="1">
      <c r="A3308" s="1">
        <v>3306.0</v>
      </c>
      <c r="B3308" s="3" t="s">
        <v>3308</v>
      </c>
      <c r="C3308" s="3" t="str">
        <f>IFERROR(__xludf.DUMMYFUNCTION("GOOGLETRANSLATE(B3308,""id"",""en"")"),"['Signal', 'Sometimes',' Sometimes', 'Line', 'Full', 'Signal', 'Friend', 'Use', 'Telkomsel', 'Disappointed', 'Pokonya', 'Times',' Response ',' response ',' repair ',' trs', 'junior high school', ""]")</f>
        <v>['Signal', 'Sometimes',' Sometimes', 'Line', 'Full', 'Signal', 'Friend', 'Use', 'Telkomsel', 'Disappointed', 'Pokonya', 'Times',' Response ',' response ',' repair ',' trs', 'junior high school', "]</v>
      </c>
      <c r="D3308" s="3">
        <v>1.0</v>
      </c>
    </row>
    <row r="3309" ht="15.75" customHeight="1">
      <c r="A3309" s="1">
        <v>3307.0</v>
      </c>
      <c r="B3309" s="3" t="s">
        <v>3309</v>
      </c>
      <c r="C3309" s="3" t="str">
        <f>IFERROR(__xludf.DUMMYFUNCTION("GOOGLETRANSLATE(B3309,""id"",""en"")"),"['Network', 'daily', 'network', 'Telkomsel', 'network', 'broad', 'orders', 'as a result', 'reply', 'chat', 'customer']")</f>
        <v>['Network', 'daily', 'network', 'Telkomsel', 'network', 'broad', 'orders', 'as a result', 'reply', 'chat', 'customer']</v>
      </c>
      <c r="D3309" s="3">
        <v>1.0</v>
      </c>
    </row>
    <row r="3310" ht="15.75" customHeight="1">
      <c r="A3310" s="1">
        <v>3308.0</v>
      </c>
      <c r="B3310" s="3" t="s">
        <v>3310</v>
      </c>
      <c r="C3310" s="3" t="str">
        <f>IFERROR(__xludf.DUMMYFUNCTION("GOOGLETRANSLATE(B3310,""id"",""en"")"),"['Mengutu', 'emergency', 'pulse', 'price', 'affordable', '']")</f>
        <v>['Mengutu', 'emergency', 'pulse', 'price', 'affordable', '']</v>
      </c>
      <c r="D3310" s="3">
        <v>5.0</v>
      </c>
    </row>
    <row r="3311" ht="15.75" customHeight="1">
      <c r="A3311" s="1">
        <v>3309.0</v>
      </c>
      <c r="B3311" s="3" t="s">
        <v>3311</v>
      </c>
      <c r="C3311" s="3" t="str">
        <f>IFERROR(__xludf.DUMMYFUNCTION("GOOGLETRANSLATE(B3311,""id"",""en"")"),"['The application', 'help', 'gausah', 'typing', 'typing', 'quota', 'cheap', 'compare', 'card']")</f>
        <v>['The application', 'help', 'gausah', 'typing', 'typing', 'quota', 'cheap', 'compare', 'card']</v>
      </c>
      <c r="D3311" s="3">
        <v>5.0</v>
      </c>
    </row>
    <row r="3312" ht="15.75" customHeight="1">
      <c r="A3312" s="1">
        <v>3310.0</v>
      </c>
      <c r="B3312" s="3" t="s">
        <v>3312</v>
      </c>
      <c r="C3312" s="3" t="str">
        <f>IFERROR(__xludf.DUMMYFUNCTION("GOOGLETRANSLATE(B3312,""id"",""en"")"),"['ber', 'reset', 'times',' buy ',' package ',' package ',' enter ',' tired ',' wait ',' loss', 'fill', 'pulse', ' Package ',' enter ',' ']")</f>
        <v>['ber', 'reset', 'times',' buy ',' package ',' package ',' enter ',' tired ',' wait ',' loss', 'fill', 'pulse', ' Package ',' enter ',' ']</v>
      </c>
      <c r="D3312" s="3">
        <v>1.0</v>
      </c>
    </row>
    <row r="3313" ht="15.75" customHeight="1">
      <c r="A3313" s="1">
        <v>3311.0</v>
      </c>
      <c r="B3313" s="3" t="s">
        <v>3313</v>
      </c>
      <c r="C3313" s="3" t="str">
        <f>IFERROR(__xludf.DUMMYFUNCTION("GOOGLETRANSLATE(B3313,""id"",""en"")"),"['quota', 'expensive', 'fast', 'bangey', 'sucked', 'data', 'zooman', 'clock', 'quota', 'zoom', 'slow', '']")</f>
        <v>['quota', 'expensive', 'fast', 'bangey', 'sucked', 'data', 'zooman', 'clock', 'quota', 'zoom', 'slow', '']</v>
      </c>
      <c r="D3313" s="3">
        <v>5.0</v>
      </c>
    </row>
    <row r="3314" ht="15.75" customHeight="1">
      <c r="A3314" s="1">
        <v>3312.0</v>
      </c>
      <c r="B3314" s="3" t="s">
        <v>3314</v>
      </c>
      <c r="C3314" s="3" t="str">
        <f>IFERROR(__xludf.DUMMYFUNCTION("GOOGLETRANSLATE(B3314,""id"",""en"")"),"['complaints',' just ',' natural ',' pulse ',' intention ',' buy ',' quota ',' unlimited ',' youtube ',' price ',' pulses', 'sufficient', ' ']")</f>
        <v>['complaints',' just ',' natural ',' pulse ',' intention ',' buy ',' quota ',' unlimited ',' youtube ',' price ',' pulses', 'sufficient', ' ']</v>
      </c>
      <c r="D3314" s="3">
        <v>4.0</v>
      </c>
    </row>
    <row r="3315" ht="15.75" customHeight="1">
      <c r="A3315" s="1">
        <v>3313.0</v>
      </c>
      <c r="B3315" s="3" t="s">
        <v>3315</v>
      </c>
      <c r="C3315" s="3" t="str">
        <f>IFERROR(__xludf.DUMMYFUNCTION("GOOGLETRANSLATE(B3315,""id"",""en"")"),"['pokonya', 'Telkomsel', 'best', 'until', 'sekrng', 'replace', 'package', 'internet', 'expensive', 'here', 'cheap', 'really', ' Just ',' RbU ',' already ',' got ',' GB ',' Thank you ',' Telkomsel ',' Hopefully ',' Success', '']")</f>
        <v>['pokonya', 'Telkomsel', 'best', 'until', 'sekrng', 'replace', 'package', 'internet', 'expensive', 'here', 'cheap', 'really', ' Just ',' RbU ',' already ',' got ',' GB ',' Thank you ',' Telkomsel ',' Hopefully ',' Success', '']</v>
      </c>
      <c r="D3315" s="3">
        <v>5.0</v>
      </c>
    </row>
    <row r="3316" ht="15.75" customHeight="1">
      <c r="A3316" s="1">
        <v>3314.0</v>
      </c>
      <c r="B3316" s="3" t="s">
        <v>3316</v>
      </c>
      <c r="C3316" s="3" t="str">
        <f>IFERROR(__xludf.DUMMYFUNCTION("GOOGLETRANSLATE(B3316,""id"",""en"")"),"['update', 'slow', 'really', 'app', 'open', 'that's', '']")</f>
        <v>['update', 'slow', 'really', 'app', 'open', 'that's', '']</v>
      </c>
      <c r="D3316" s="3">
        <v>3.0</v>
      </c>
    </row>
    <row r="3317" ht="15.75" customHeight="1">
      <c r="A3317" s="1">
        <v>3315.0</v>
      </c>
      <c r="B3317" s="3" t="s">
        <v>3317</v>
      </c>
      <c r="C3317" s="3" t="str">
        <f>IFERROR(__xludf.DUMMYFUNCTION("GOOGLETRANSLATE(B3317,""id"",""en"")"),"['Sumpahhh', 'Severe', 'Telkomsel', 'Fill', 'Credit', 'Enter', 'Network', 'ugly', 'duhhhh', ""]")</f>
        <v>['Sumpahhh', 'Severe', 'Telkomsel', 'Fill', 'Credit', 'Enter', 'Network', 'ugly', 'duhhhh', "]</v>
      </c>
      <c r="D3317" s="3">
        <v>1.0</v>
      </c>
    </row>
    <row r="3318" ht="15.75" customHeight="1">
      <c r="A3318" s="1">
        <v>3316.0</v>
      </c>
      <c r="B3318" s="3" t="s">
        <v>3318</v>
      </c>
      <c r="C3318" s="3" t="str">
        <f>IFERROR(__xludf.DUMMYFUNCTION("GOOGLETRANSLATE(B3318,""id"",""en"")"),"['Sorry', 'Telkomsel', 'Please', 'Fix', 'Network', 'Karna', 'Package', 'Expensive', 'Jaringa', 'Stable', 'Application', 'Update', ' ']")</f>
        <v>['Sorry', 'Telkomsel', 'Please', 'Fix', 'Network', 'Karna', 'Package', 'Expensive', 'Jaringa', 'Stable', 'Application', 'Update', ' ']</v>
      </c>
      <c r="D3318" s="3">
        <v>1.0</v>
      </c>
    </row>
    <row r="3319" ht="15.75" customHeight="1">
      <c r="A3319" s="1">
        <v>3317.0</v>
      </c>
      <c r="B3319" s="3" t="s">
        <v>3319</v>
      </c>
      <c r="C3319" s="3" t="str">
        <f>IFERROR(__xludf.DUMMYFUNCTION("GOOGLETRANSLATE(B3319,""id"",""en"")"),"['Want', 'Maki', 'Network', 'Telkomsel', 'Sometimes',' Network ',' Lost ',' Like ',' Leet ',' Please ',' Fix ',' as fast ',' JNGAN ',' price ',' expensive ',' quality ',' cheap ', ""]")</f>
        <v>['Want', 'Maki', 'Network', 'Telkomsel', 'Sometimes',' Network ',' Lost ',' Like ',' Leet ',' Please ',' Fix ',' as fast ',' JNGAN ',' price ',' expensive ',' quality ',' cheap ', "]</v>
      </c>
      <c r="D3319" s="3">
        <v>1.0</v>
      </c>
    </row>
    <row r="3320" ht="15.75" customHeight="1">
      <c r="A3320" s="1">
        <v>3318.0</v>
      </c>
      <c r="B3320" s="3" t="s">
        <v>3320</v>
      </c>
      <c r="C3320" s="3" t="str">
        <f>IFERROR(__xludf.DUMMYFUNCTION("GOOGLETRANSLATE(B3320,""id"",""en"")"),"['Morning', 'Until', 'Afternoon', 'Signal', 'Stable', 'UDH', 'Clock', 'Signal', 'Dead', 'Live', 'Dead', 'idup', ' Paketan ',' UDH ',' expensive ',' signal ',' malem ',' Gaberes', 'Ampunn', 'expensive', 'doang', 'quality', 'bad']")</f>
        <v>['Morning', 'Until', 'Afternoon', 'Signal', 'Stable', 'UDH', 'Clock', 'Signal', 'Dead', 'Live', 'Dead', 'idup', ' Paketan ',' UDH ',' expensive ',' signal ',' malem ',' Gaberes', 'Ampunn', 'expensive', 'doang', 'quality', 'bad']</v>
      </c>
      <c r="D3320" s="3">
        <v>1.0</v>
      </c>
    </row>
    <row r="3321" ht="15.75" customHeight="1">
      <c r="A3321" s="1">
        <v>3319.0</v>
      </c>
      <c r="B3321" s="3" t="s">
        <v>3321</v>
      </c>
      <c r="C3321" s="3" t="str">
        <f>IFERROR(__xludf.DUMMYFUNCTION("GOOGLETRANSLATE(B3321,""id"",""en"")"),"['Disappointed', 'Network', 'times', 'Location', 'Mao', 'Activate', 'Network', 'lag', 'Open', 'application', 'quota', 'nonstop']")</f>
        <v>['Disappointed', 'Network', 'times', 'Location', 'Mao', 'Activate', 'Network', 'lag', 'Open', 'application', 'quota', 'nonstop']</v>
      </c>
      <c r="D3321" s="3">
        <v>1.0</v>
      </c>
    </row>
    <row r="3322" ht="15.75" customHeight="1">
      <c r="A3322" s="1">
        <v>3320.0</v>
      </c>
      <c r="B3322" s="3" t="s">
        <v>3322</v>
      </c>
      <c r="C3322" s="3" t="str">
        <f>IFERROR(__xludf.DUMMYFUNCTION("GOOGLETRANSLATE(B3322,""id"",""en"")"),"['already', 'severe', 'Telkomsel', 'signal', 'nglag', 'location', 'mega', 'cloud']")</f>
        <v>['already', 'severe', 'Telkomsel', 'signal', 'nglag', 'location', 'mega', 'cloud']</v>
      </c>
      <c r="D3322" s="3">
        <v>1.0</v>
      </c>
    </row>
    <row r="3323" ht="15.75" customHeight="1">
      <c r="A3323" s="1">
        <v>3321.0</v>
      </c>
      <c r="B3323" s="3" t="s">
        <v>3323</v>
      </c>
      <c r="C3323" s="3" t="str">
        <f>IFERROR(__xludf.DUMMYFUNCTION("GOOGLETRANSLATE(B3323,""id"",""en"")"),"['Change', 'card', 'package', 'expensive', 'right', 'rain', 'network', 'slow', 'signal', 'sring', 'missing', 'fill', ' Credit ',' Slalu ',' suck ',' fill in ',' pulse ',' debt ',' package ',' emergency ',' contents', 'pulse', 'package', 'emergency', 'pay'"&amp;" , 'Direct', 'run out', 'Credit', 'Nipu', 'Thinking', 'PPKM', 'Search', 'Money', 'Difficult', 'Card', 'Good', 'Indonesia', ' mah ',' card ',' ugly ',' strange ',' Telkomsel ',' ']")</f>
        <v>['Change', 'card', 'package', 'expensive', 'right', 'rain', 'network', 'slow', 'signal', 'sring', 'missing', 'fill', ' Credit ',' Slalu ',' suck ',' fill in ',' pulse ',' debt ',' package ',' emergency ',' contents', 'pulse', 'package', 'emergency', 'pay' , 'Direct', 'run out', 'Credit', 'Nipu', 'Thinking', 'PPKM', 'Search', 'Money', 'Difficult', 'Card', 'Good', 'Indonesia', ' mah ',' card ',' ugly ',' strange ',' Telkomsel ',' ']</v>
      </c>
      <c r="D3323" s="3">
        <v>1.0</v>
      </c>
    </row>
    <row r="3324" ht="15.75" customHeight="1">
      <c r="A3324" s="1">
        <v>3322.0</v>
      </c>
      <c r="B3324" s="3" t="s">
        <v>3324</v>
      </c>
      <c r="C3324" s="3" t="str">
        <f>IFERROR(__xludf.DUMMYFUNCTION("GOOGLETRANSLATE(B3324,""id"",""en"")"),"['fill', 'pulse', 'thousand', 'buy', 'quota', 'unlimited', 'Instagram', 'pulse', 'used', 'package', 'buy', 'ada', ' Please, 'Telkomsel', 'Restore', 'Credit']")</f>
        <v>['fill', 'pulse', 'thousand', 'buy', 'quota', 'unlimited', 'Instagram', 'pulse', 'used', 'package', 'buy', 'ada', ' Please, 'Telkomsel', 'Restore', 'Credit']</v>
      </c>
      <c r="D3324" s="3">
        <v>1.0</v>
      </c>
    </row>
    <row r="3325" ht="15.75" customHeight="1">
      <c r="A3325" s="1">
        <v>3323.0</v>
      </c>
      <c r="B3325" s="3" t="s">
        <v>3325</v>
      </c>
      <c r="C3325" s="3" t="str">
        <f>IFERROR(__xludf.DUMMYFUNCTION("GOOGLETRANSLATE(B3325,""id"",""en"")"),"['Telkomsel', 'Network', 'Plosok', 'Region', 'Affordable', 'Network', 'Telkomsel', 'Lose', 'Provider']")</f>
        <v>['Telkomsel', 'Network', 'Plosok', 'Region', 'Affordable', 'Network', 'Telkomsel', 'Lose', 'Provider']</v>
      </c>
      <c r="D3325" s="3">
        <v>3.0</v>
      </c>
    </row>
    <row r="3326" ht="15.75" customHeight="1">
      <c r="A3326" s="1">
        <v>3324.0</v>
      </c>
      <c r="B3326" s="3" t="s">
        <v>3326</v>
      </c>
      <c r="C3326" s="3" t="str">
        <f>IFERROR(__xludf.DUMMYFUNCTION("GOOGLETRANSLATE(B3326,""id"",""en"")"),"['Method', 'PWMBlayaran', 'Linkaja', 'Lost', 'Telkomsel', 'Connect', 'Claim', 'Points',' Bonus', 'Balance', 'Enter', 'Knp', ' Method ',' Payment ',' Connected ',' ']")</f>
        <v>['Method', 'PWMBlayaran', 'Linkaja', 'Lost', 'Telkomsel', 'Connect', 'Claim', 'Points',' Bonus', 'Balance', 'Enter', 'Knp', ' Method ',' Payment ',' Connected ',' ']</v>
      </c>
      <c r="D3326" s="3">
        <v>4.0</v>
      </c>
    </row>
    <row r="3327" ht="15.75" customHeight="1">
      <c r="A3327" s="1">
        <v>3325.0</v>
      </c>
      <c r="B3327" s="3" t="s">
        <v>3327</v>
      </c>
      <c r="C3327" s="3" t="str">
        <f>IFERROR(__xludf.DUMMYFUNCTION("GOOGLETRANSLATE(B3327,""id"",""en"")"),"['Ngeselin', 'buy', 'Paketan', 'then', 'Teeth', 'Plus',' Money ',' TPI ',' Knape ',' slow ',' fast ',' Abis', ' quota ',' moved ',' smartfriend ',' unlimitiveness', 'slow', 'rich', 'Telkomsel']")</f>
        <v>['Ngeselin', 'buy', 'Paketan', 'then', 'Teeth', 'Plus',' Money ',' TPI ',' Knape ',' slow ',' fast ',' Abis', ' quota ',' moved ',' smartfriend ',' unlimitiveness', 'slow', 'rich', 'Telkomsel']</v>
      </c>
      <c r="D3327" s="3">
        <v>2.0</v>
      </c>
    </row>
    <row r="3328" ht="15.75" customHeight="1">
      <c r="A3328" s="1">
        <v>3326.0</v>
      </c>
      <c r="B3328" s="3" t="s">
        <v>3328</v>
      </c>
      <c r="C3328" s="3" t="str">
        <f>IFERROR(__xludf.DUMMYFUNCTION("GOOGLETRANSLATE(B3328,""id"",""en"")"),"['The applications',' heavy ',' usage ',' interesting ',' Simple ',' Different ',' card ',' Different ',' choice ',' Package ',' Telkomsel ',' promo ',' User ',' Telkomsel ',' ']")</f>
        <v>['The applications',' heavy ',' usage ',' interesting ',' Simple ',' Different ',' card ',' Different ',' choice ',' Package ',' Telkomsel ',' promo ',' User ',' Telkomsel ',' ']</v>
      </c>
      <c r="D3328" s="3">
        <v>2.0</v>
      </c>
    </row>
    <row r="3329" ht="15.75" customHeight="1">
      <c r="A3329" s="1">
        <v>3327.0</v>
      </c>
      <c r="B3329" s="3" t="s">
        <v>3329</v>
      </c>
      <c r="C3329" s="3" t="str">
        <f>IFERROR(__xludf.DUMMYFUNCTION("GOOGLETRANSLATE(B3329,""id"",""en"")"),"['love', 'star', 'love', 'please', 'mind', 'promo', 'package', 'internet', 'unlimited', 'pegen', 'price', 'expensive', ' a little ',' nggk ',' daddy ']")</f>
        <v>['love', 'star', 'love', 'please', 'mind', 'promo', 'package', 'internet', 'unlimited', 'pegen', 'price', 'expensive', ' a little ',' nggk ',' daddy ']</v>
      </c>
      <c r="D3329" s="3">
        <v>4.0</v>
      </c>
    </row>
    <row r="3330" ht="15.75" customHeight="1">
      <c r="A3330" s="1">
        <v>3328.0</v>
      </c>
      <c r="B3330" s="3" t="s">
        <v>3330</v>
      </c>
      <c r="C3330" s="3" t="str">
        <f>IFERROR(__xludf.DUMMYFUNCTION("GOOGLETRANSLATE(B3330,""id"",""en"")"),"['Njir', 'UDH', 'Points', 'then', 'Tukerin', 'Fail', 'Mulu', 'Please', 'Help', 'Donk']")</f>
        <v>['Njir', 'UDH', 'Points', 'then', 'Tukerin', 'Fail', 'Mulu', 'Please', 'Help', 'Donk']</v>
      </c>
      <c r="D3330" s="3">
        <v>1.0</v>
      </c>
    </row>
    <row r="3331" ht="15.75" customHeight="1">
      <c r="A3331" s="1">
        <v>3329.0</v>
      </c>
      <c r="B3331" s="3" t="s">
        <v>3331</v>
      </c>
      <c r="C3331" s="3" t="str">
        <f>IFERROR(__xludf.DUMMYFUNCTION("GOOGLETRANSLATE(B3331,""id"",""en"")"),"['HDH', 'price', 'expensive', 'nets',' slow ',' fraudsters', 'see', 'buy', 'package', 'expensive', 'network', 'good', ' Close ',' Jaringn ',' Telkom ',' ']")</f>
        <v>['HDH', 'price', 'expensive', 'nets',' slow ',' fraudsters', 'see', 'buy', 'package', 'expensive', 'network', 'good', ' Close ',' Jaringn ',' Telkom ',' ']</v>
      </c>
      <c r="D3331" s="3">
        <v>1.0</v>
      </c>
    </row>
    <row r="3332" ht="15.75" customHeight="1">
      <c r="A3332" s="1">
        <v>3330.0</v>
      </c>
      <c r="B3332" s="3" t="s">
        <v>3332</v>
      </c>
      <c r="C3332" s="3" t="str">
        <f>IFERROR(__xludf.DUMMYFUNCTION("GOOGLETRANSLATE(B3332,""id"",""en"")"),"['already', 'subscribe', 'card', 'Telkomsel', 'already', 'TPI', 'Telkomsel', 'network', 'ugly', ""]")</f>
        <v>['already', 'subscribe', 'card', 'Telkomsel', 'already', 'TPI', 'Telkomsel', 'network', 'ugly', "]</v>
      </c>
      <c r="D3332" s="3">
        <v>2.0</v>
      </c>
    </row>
    <row r="3333" ht="15.75" customHeight="1">
      <c r="A3333" s="1">
        <v>3331.0</v>
      </c>
      <c r="B3333" s="3" t="s">
        <v>3333</v>
      </c>
      <c r="C3333" s="3" t="str">
        <f>IFERROR(__xludf.DUMMYFUNCTION("GOOGLETRANSLATE(B3333,""id"",""en"")"),"['tlkomsel', 'skrg', 'complicated', 'ajaa', 'see', 'account', 'it's good', 'verification', 'wonder', 'ptesan', 'skrg', 'maybe', ' in demand ',' high school ',' psychoan ',' UDH ',' signal ',' JLEK ',' Kbnyakan ',' verification ',' hduhh ',' ribet ',' ohiy"&amp;"a ',' lgi ',' knapa ' , 'Skapan', 'rates',' data ',' plus', 'jdi', 'GB', 'good', 'ride', 'then', 'tariff', 'PDA', 'move', ' Oprator ',' next door ',' YGLAIN ',' race ',' JDI ',' may ',' cheap ',' mlh ',' jdi ',' may ',' expensive ',' signalpunjelek ',' al"&amp;"soaa ' , 'Mhonditanggapi', 'complaints', 'thx']")</f>
        <v>['tlkomsel', 'skrg', 'complicated', 'ajaa', 'see', 'account', 'it's good', 'verification', 'wonder', 'ptesan', 'skrg', 'maybe', ' in demand ',' high school ',' psychoan ',' UDH ',' signal ',' JLEK ',' Kbnyakan ',' verification ',' hduhh ',' ribet ',' ohiya ',' lgi ',' knapa ' , 'Skapan', 'rates',' data ',' plus', 'jdi', 'GB', 'good', 'ride', 'then', 'tariff', 'PDA', 'move', ' Oprator ',' next door ',' YGLAIN ',' race ',' JDI ',' may ',' cheap ',' mlh ',' jdi ',' may ',' expensive ',' signalpunjelek ',' alsoaa ' , 'Mhonditanggapi', 'complaints', 'thx']</v>
      </c>
      <c r="D3333" s="3">
        <v>1.0</v>
      </c>
    </row>
    <row r="3334" ht="15.75" customHeight="1">
      <c r="A3334" s="1">
        <v>3332.0</v>
      </c>
      <c r="B3334" s="3" t="s">
        <v>3334</v>
      </c>
      <c r="C3334" s="3" t="str">
        <f>IFERROR(__xludf.DUMMYFUNCTION("GOOGLETRANSLATE(B3334,""id"",""en"")"),"['application', 'run', 'normal', 'check', 'pulse', 'check', 'package', 'check', 'pulse']")</f>
        <v>['application', 'run', 'normal', 'check', 'pulse', 'check', 'package', 'check', 'pulse']</v>
      </c>
      <c r="D3334" s="3">
        <v>1.0</v>
      </c>
    </row>
    <row r="3335" ht="15.75" customHeight="1">
      <c r="A3335" s="1">
        <v>3333.0</v>
      </c>
      <c r="B3335" s="3" t="s">
        <v>3335</v>
      </c>
      <c r="C3335" s="3" t="str">
        <f>IFERROR(__xludf.DUMMYFUNCTION("GOOGLETRANSLATE(B3335,""id"",""en"")"),"['Telkomsel', 'No', 'appears',' screen ',' main ',' buy ',' Package ',' Play ',' Store ',' please ',' explanation ',' Sunday ',' Natural ',' download ',' ']")</f>
        <v>['Telkomsel', 'No', 'appears',' screen ',' main ',' buy ',' Package ',' Play ',' Store ',' please ',' explanation ',' Sunday ',' Natural ',' download ',' ']</v>
      </c>
      <c r="D3335" s="3">
        <v>5.0</v>
      </c>
    </row>
    <row r="3336" ht="15.75" customHeight="1">
      <c r="A3336" s="1">
        <v>3334.0</v>
      </c>
      <c r="B3336" s="3" t="s">
        <v>3336</v>
      </c>
      <c r="C3336" s="3" t="str">
        <f>IFERROR(__xludf.DUMMYFUNCTION("GOOGLETRANSLATE(B3336,""id"",""en"")"),"['happy', 'wear', 'Telkomsel', 'usage', 'Telkomsel', 'good', 'card', 'here', 'quota', 'expensive', 'user', 'a minute', ' erod ',' users', 'Telkomsel', 'price', 'expensive', 'plus',' network ',' disorder ',' different ',' Telkomsel ',' price ',' stable ','"&amp;" network ' , 'Good', 'Disruption', 'Severe', '']")</f>
        <v>['happy', 'wear', 'Telkomsel', 'usage', 'Telkomsel', 'good', 'card', 'here', 'quota', 'expensive', 'user', 'a minute', ' erod ',' users', 'Telkomsel', 'price', 'expensive', 'plus',' network ',' disorder ',' different ',' Telkomsel ',' price ',' stable ',' network ' , 'Good', 'Disruption', 'Severe', '']</v>
      </c>
      <c r="D3336" s="3">
        <v>1.0</v>
      </c>
    </row>
    <row r="3337" ht="15.75" customHeight="1">
      <c r="A3337" s="1">
        <v>3335.0</v>
      </c>
      <c r="B3337" s="3" t="s">
        <v>3337</v>
      </c>
      <c r="C3337" s="3" t="str">
        <f>IFERROR(__xludf.DUMMYFUNCTION("GOOGLETRANSLATE(B3337,""id"",""en"")"),"['buy', 'package', 'buy', 'pulse', 'can', 'package', 'combo', 'bln', 'pulse', 'package', 'combo', 'cma', ' The kt ',' pulses', 'sufficient', 'Akir', 'HRS', 'open', 'package', 'expensive', 'strange']")</f>
        <v>['buy', 'package', 'buy', 'pulse', 'can', 'package', 'combo', 'bln', 'pulse', 'package', 'combo', 'cma', ' The kt ',' pulses', 'sufficient', 'Akir', 'HRS', 'open', 'package', 'expensive', 'strange']</v>
      </c>
      <c r="D3337" s="3">
        <v>1.0</v>
      </c>
    </row>
    <row r="3338" ht="15.75" customHeight="1">
      <c r="A3338" s="1">
        <v>3336.0</v>
      </c>
      <c r="B3338" s="3" t="s">
        <v>3338</v>
      </c>
      <c r="C3338" s="3" t="str">
        <f>IFERROR(__xludf.DUMMYFUNCTION("GOOGLETRANSLATE(B3338,""id"",""en"")"),"['Hello', 'bang', 'buy', 'package', 'special', 'game', 'use', 'drained', 'package', 'national', 'bonus',' package ',' The game ',' drained ',' run out ',' please ',' fix ',' bang ']")</f>
        <v>['Hello', 'bang', 'buy', 'package', 'special', 'game', 'use', 'drained', 'package', 'national', 'bonus',' package ',' The game ',' drained ',' run out ',' please ',' fix ',' bang ']</v>
      </c>
      <c r="D3338" s="3">
        <v>1.0</v>
      </c>
    </row>
    <row r="3339" ht="15.75" customHeight="1">
      <c r="A3339" s="1">
        <v>3337.0</v>
      </c>
      <c r="B3339" s="3" t="s">
        <v>3339</v>
      </c>
      <c r="C3339" s="3" t="str">
        <f>IFERROR(__xludf.DUMMYFUNCTION("GOOGLETRANSLATE(B3339,""id"",""en"")"),"['Card', 'Package', 'Register', 'Padalan', 'Card', 'Package', 'Card', 'Phone', 'Network', 'Lost', 'What', 'Cell', ' The info ']")</f>
        <v>['Card', 'Package', 'Register', 'Padalan', 'Card', 'Package', 'Card', 'Phone', 'Network', 'Lost', 'What', 'Cell', ' The info ']</v>
      </c>
      <c r="D3339" s="3">
        <v>2.0</v>
      </c>
    </row>
    <row r="3340" ht="15.75" customHeight="1">
      <c r="A3340" s="1">
        <v>3338.0</v>
      </c>
      <c r="B3340" s="3" t="s">
        <v>3340</v>
      </c>
      <c r="C3340" s="3" t="str">
        <f>IFERROR(__xludf.DUMMYFUNCTION("GOOGLETRANSLATE(B3340,""id"",""en"")"),"['promo', 'card', 'tsel', 'customer', 'different', 'distinguish', '']")</f>
        <v>['promo', 'card', 'tsel', 'customer', 'different', 'distinguish', '']</v>
      </c>
      <c r="D3340" s="3">
        <v>3.0</v>
      </c>
    </row>
    <row r="3341" ht="15.75" customHeight="1">
      <c r="A3341" s="1">
        <v>3339.0</v>
      </c>
      <c r="B3341" s="3" t="s">
        <v>3341</v>
      </c>
      <c r="C3341" s="3" t="str">
        <f>IFERROR(__xludf.DUMMYFUNCTION("GOOGLETRANSLATE(B3341,""id"",""en"")"),"['application', 'Telkomsel', 'opened', 'screen', 'white', 'mulu', 'sometimes',' open ',' uninstall ',' install ',' reset ',' please ',' Fix ',' bug ',' ']")</f>
        <v>['application', 'Telkomsel', 'opened', 'screen', 'white', 'mulu', 'sometimes',' open ',' uninstall ',' install ',' reset ',' please ',' Fix ',' bug ',' ']</v>
      </c>
      <c r="D3341" s="3">
        <v>1.0</v>
      </c>
    </row>
    <row r="3342" ht="15.75" customHeight="1">
      <c r="A3342" s="1">
        <v>3340.0</v>
      </c>
      <c r="B3342" s="3" t="s">
        <v>3342</v>
      </c>
      <c r="C3342" s="3" t="str">
        <f>IFERROR(__xludf.DUMMYFUNCTION("GOOGLETRANSLATE(B3342,""id"",""en"")"),"['apk', 'help', 'dlm', 'immaterial']")</f>
        <v>['apk', 'help', 'dlm', 'immaterial']</v>
      </c>
      <c r="D3342" s="3">
        <v>5.0</v>
      </c>
    </row>
    <row r="3343" ht="15.75" customHeight="1">
      <c r="A3343" s="1">
        <v>3341.0</v>
      </c>
      <c r="B3343" s="3" t="s">
        <v>3343</v>
      </c>
      <c r="C3343" s="3" t="str">
        <f>IFERROR(__xludf.DUMMYFUNCTION("GOOGLETRANSLATE(B3343,""id"",""en"")"),"['Please', 'repaired', 'instructions', 'quota', 'quota', 'internet', 'omg', 'diginain', 'koq', 'explanation', 'practce', 'according to' ']")</f>
        <v>['Please', 'repaired', 'instructions', 'quota', 'quota', 'internet', 'omg', 'diginain', 'koq', 'explanation', 'practce', 'according to' ']</v>
      </c>
      <c r="D3343" s="3">
        <v>3.0</v>
      </c>
    </row>
    <row r="3344" ht="15.75" customHeight="1">
      <c r="A3344" s="1">
        <v>3342.0</v>
      </c>
      <c r="B3344" s="3" t="s">
        <v>3344</v>
      </c>
      <c r="C3344" s="3" t="str">
        <f>IFERROR(__xludf.DUMMYFUNCTION("GOOGLETRANSLATE(B3344,""id"",""en"")"),"['Login', 'check', 'package', 'call', 'already', 'list', 'pulse', 'already', 'suck', 'run out', 'call', 'check', ' How ',' Males', 'Pakek', 'Telkomsel', 'Karna', 'parents',' Pakek ',' Pakek ',' number ',' expensive ']")</f>
        <v>['Login', 'check', 'package', 'call', 'already', 'list', 'pulse', 'already', 'suck', 'run out', 'call', 'check', ' How ',' Males', 'Pakek', 'Telkomsel', 'Karna', 'parents',' Pakek ',' Pakek ',' number ',' expensive ']</v>
      </c>
      <c r="D3344" s="3">
        <v>2.0</v>
      </c>
    </row>
    <row r="3345" ht="15.75" customHeight="1">
      <c r="A3345" s="1">
        <v>3343.0</v>
      </c>
      <c r="B3345" s="3" t="s">
        <v>3345</v>
      </c>
      <c r="C3345" s="3" t="str">
        <f>IFERROR(__xludf.DUMMYFUNCTION("GOOGLETRANSLATE(B3345,""id"",""en"")"),"['buy', 'package', 'tsel', 'payment', 'via', 'shopeepay', 'enter', 'enter', 'say it', 'disorder', 'disorder', 'until' bln ',' development ',' complaint ']")</f>
        <v>['buy', 'package', 'tsel', 'payment', 'via', 'shopeepay', 'enter', 'enter', 'say it', 'disorder', 'disorder', 'until' bln ',' development ',' complaint ']</v>
      </c>
      <c r="D3345" s="3">
        <v>1.0</v>
      </c>
    </row>
    <row r="3346" ht="15.75" customHeight="1">
      <c r="A3346" s="1">
        <v>3344.0</v>
      </c>
      <c r="B3346" s="3" t="s">
        <v>3346</v>
      </c>
      <c r="C3346" s="3" t="str">
        <f>IFERROR(__xludf.DUMMYFUNCTION("GOOGLETRANSLATE(B3346,""id"",""en"")"),"['', 'Telkomsel', 'free', 'quota', 'contents',' pulse ',' buy ',' package ',' internet ',' pulse ',' uda ',' reduced ',' reload ',' Application ',' GMANA ',' Buy ',' Package ',' Internet ',' Example ',' Bima ']")</f>
        <v>['', 'Telkomsel', 'free', 'quota', 'contents',' pulse ',' buy ',' package ',' internet ',' pulse ',' uda ',' reduced ',' reload ',' Application ',' GMANA ',' Buy ',' Package ',' Internet ',' Example ',' Bima ']</v>
      </c>
      <c r="D3346" s="3">
        <v>1.0</v>
      </c>
    </row>
    <row r="3347" ht="15.75" customHeight="1">
      <c r="A3347" s="1">
        <v>3345.0</v>
      </c>
      <c r="B3347" s="3" t="s">
        <v>3347</v>
      </c>
      <c r="C3347" s="3" t="str">
        <f>IFERROR(__xludf.DUMMYFUNCTION("GOOGLETRANSLATE(B3347,""id"",""en"")"),"['Dear', 'admin', 'Telkomsel', 'signal', 'slow', 'buy', 'combo', 'GB', 'slow', 'intention', 'network', 'road', ' Road ',' Please ',' Fix ',' Signal ',' Customer ',' Diamond ',' Disappointed ',' ']")</f>
        <v>['Dear', 'admin', 'Telkomsel', 'signal', 'slow', 'buy', 'combo', 'GB', 'slow', 'intention', 'network', 'road', ' Road ',' Please ',' Fix ',' Signal ',' Customer ',' Diamond ',' Disappointed ',' ']</v>
      </c>
      <c r="D3347" s="3">
        <v>1.0</v>
      </c>
    </row>
    <row r="3348" ht="15.75" customHeight="1">
      <c r="A3348" s="1">
        <v>3346.0</v>
      </c>
      <c r="B3348" s="3" t="s">
        <v>3348</v>
      </c>
      <c r="C3348" s="3" t="str">
        <f>IFERROR(__xludf.DUMMYFUNCTION("GOOGLETRANSLATE(B3348,""id"",""en"")"),"['application', 'buy', 'package', 'gaem', 'free', 'frii', 'how', 'use']")</f>
        <v>['application', 'buy', 'package', 'gaem', 'free', 'frii', 'how', 'use']</v>
      </c>
      <c r="D3348" s="3">
        <v>1.0</v>
      </c>
    </row>
    <row r="3349" ht="15.75" customHeight="1">
      <c r="A3349" s="1">
        <v>3347.0</v>
      </c>
      <c r="B3349" s="3" t="s">
        <v>3349</v>
      </c>
      <c r="C3349" s="3" t="str">
        <f>IFERROR(__xludf.DUMMYFUNCTION("GOOGLETRANSLATE(B3349,""id"",""en"")"),"['happy', 'Telkomsel', 'hold', 'event', 'hopefully', 'chosen', 'win', 'henpon', 'sister', 'learn', 'aminnnn']")</f>
        <v>['happy', 'Telkomsel', 'hold', 'event', 'hopefully', 'chosen', 'win', 'henpon', 'sister', 'learn', 'aminnnn']</v>
      </c>
      <c r="D3349" s="3">
        <v>5.0</v>
      </c>
    </row>
    <row r="3350" ht="15.75" customHeight="1">
      <c r="A3350" s="1">
        <v>3348.0</v>
      </c>
      <c r="B3350" s="3" t="s">
        <v>3350</v>
      </c>
      <c r="C3350" s="3" t="str">
        <f>IFERROR(__xludf.DUMMYFUNCTION("GOOGLETRANSLATE(B3350,""id"",""en"")"),"['Network', 'good', 'then', 'bru', 'contents',' pulse ',' stay ',' suck ',' pulse ',' bnget ',' pdahal ',' bru ',' Package ',' package ',' internet ',' expensive ', ""]")</f>
        <v>['Network', 'good', 'then', 'bru', 'contents',' pulse ',' stay ',' suck ',' pulse ',' bnget ',' pdahal ',' bru ',' Package ',' package ',' internet ',' expensive ', "]</v>
      </c>
      <c r="D3350" s="3">
        <v>1.0</v>
      </c>
    </row>
    <row r="3351" ht="15.75" customHeight="1">
      <c r="A3351" s="1">
        <v>3349.0</v>
      </c>
      <c r="B3351" s="3" t="s">
        <v>3351</v>
      </c>
      <c r="C3351" s="3" t="str">
        <f>IFERROR(__xludf.DUMMYFUNCTION("GOOGLETRANSLATE(B3351,""id"",""en"")"),"['Anying', 'operator', 'contents', 'pulse', 'run out', 'list', 'call', 'Try', 'system', 'good', 'nydot', 'pulse']")</f>
        <v>['Anying', 'operator', 'contents', 'pulse', 'run out', 'list', 'call', 'Try', 'system', 'good', 'nydot', 'pulse']</v>
      </c>
      <c r="D3351" s="3">
        <v>1.0</v>
      </c>
    </row>
    <row r="3352" ht="15.75" customHeight="1">
      <c r="A3352" s="1">
        <v>3350.0</v>
      </c>
      <c r="B3352" s="3" t="s">
        <v>3352</v>
      </c>
      <c r="C3352" s="3" t="str">
        <f>IFERROR(__xludf.DUMMYFUNCTION("GOOGLETRANSLATE(B3352,""id"",""en"")"),"['price', 'quota', 'expensive', 'network', 'according to', 'price', 'network', 'bad', 'repair', ""]")</f>
        <v>['price', 'quota', 'expensive', 'network', 'according to', 'price', 'network', 'bad', 'repair', "]</v>
      </c>
      <c r="D3352" s="3">
        <v>1.0</v>
      </c>
    </row>
    <row r="3353" ht="15.75" customHeight="1">
      <c r="A3353" s="1">
        <v>3351.0</v>
      </c>
      <c r="B3353" s="3" t="s">
        <v>3353</v>
      </c>
      <c r="C3353" s="3" t="str">
        <f>IFERROR(__xludf.DUMMYFUNCTION("GOOGLETRANSLATE(B3353,""id"",""en"")"),"['Mantab', 'facilitates', 'information', 'card', 'Telkomsel', 'promotion', 'his draw', '']")</f>
        <v>['Mantab', 'facilitates', 'information', 'card', 'Telkomsel', 'promotion', 'his draw', '']</v>
      </c>
      <c r="D3353" s="3">
        <v>5.0</v>
      </c>
    </row>
    <row r="3354" ht="15.75" customHeight="1">
      <c r="A3354" s="1">
        <v>3352.0</v>
      </c>
      <c r="B3354" s="3" t="s">
        <v>3354</v>
      </c>
      <c r="C3354" s="3" t="str">
        <f>IFERROR(__xludf.DUMMYFUNCTION("GOOGLETRANSLATE(B3354,""id"",""en"")"),"['', 'network', 'error', 'application', 'warning', 'network', 'error', 'stable', 'Telkomsel', ""]")</f>
        <v>['', 'network', 'error', 'application', 'warning', 'network', 'error', 'stable', 'Telkomsel', "]</v>
      </c>
      <c r="D3354" s="3">
        <v>1.0</v>
      </c>
    </row>
    <row r="3355" ht="15.75" customHeight="1">
      <c r="A3355" s="1">
        <v>3353.0</v>
      </c>
      <c r="B3355" s="3" t="s">
        <v>3355</v>
      </c>
      <c r="C3355" s="3" t="str">
        <f>IFERROR(__xludf.DUMMYFUNCTION("GOOGLETRANSLATE(B3355,""id"",""en"")"),"['turuun', 'Telkomsel', 'annoyed', 'rain', 'difficult', 'jargan', 'expensive', 'bli', 'package', 'think', 'expensive', 'bli', ' Package ',' good ',' kids', 'Please', 'fix', '']")</f>
        <v>['turuun', 'Telkomsel', 'annoyed', 'rain', 'difficult', 'jargan', 'expensive', 'bli', 'package', 'think', 'expensive', 'bli', ' Package ',' good ',' kids', 'Please', 'fix', '']</v>
      </c>
      <c r="D3355" s="3">
        <v>1.0</v>
      </c>
    </row>
    <row r="3356" ht="15.75" customHeight="1">
      <c r="A3356" s="1">
        <v>3354.0</v>
      </c>
      <c r="B3356" s="3" t="s">
        <v>3356</v>
      </c>
      <c r="C3356" s="3" t="str">
        <f>IFERROR(__xludf.DUMMYFUNCTION("GOOGLETRANSLATE(B3356,""id"",""en"")"),"['network', 'internet', 'Telkomsel', 'slow', 'sometimes', 'network', 'internet', 'stable', 'Telkomsel', 'okay', 'network', 'full']")</f>
        <v>['network', 'internet', 'Telkomsel', 'slow', 'sometimes', 'network', 'internet', 'stable', 'Telkomsel', 'okay', 'network', 'full']</v>
      </c>
      <c r="D3356" s="3">
        <v>4.0</v>
      </c>
    </row>
    <row r="3357" ht="15.75" customHeight="1">
      <c r="A3357" s="1">
        <v>3355.0</v>
      </c>
      <c r="B3357" s="3" t="s">
        <v>3357</v>
      </c>
      <c r="C3357" s="3" t="str">
        <f>IFERROR(__xludf.DUMMYFUNCTION("GOOGLETRANSLATE(B3357,""id"",""en"")"),"['', 'Sampe', 'KPN', 'Network', 'Severe', 'Gini', 'Ngeluh', 'Already', 'Nomersin', 'Guide', 'Already', 'Alone', 'already ',' Tetep ',' Change ',' ']")</f>
        <v>['', 'Sampe', 'KPN', 'Network', 'Severe', 'Gini', 'Ngeluh', 'Already', 'Nomersin', 'Guide', 'Already', 'Alone', 'already ',' Tetep ',' Change ',' ']</v>
      </c>
      <c r="D3357" s="3">
        <v>1.0</v>
      </c>
    </row>
    <row r="3358" ht="15.75" customHeight="1">
      <c r="A3358" s="1">
        <v>3356.0</v>
      </c>
      <c r="B3358" s="3" t="s">
        <v>3358</v>
      </c>
      <c r="C3358" s="3" t="str">
        <f>IFERROR(__xludf.DUMMYFUNCTION("GOOGLETRANSLATE(B3358,""id"",""en"")"),"['Disappointed', 'really', 'swear', 'Telkomsel', 'super', 'duper', 'slow', 'stay', 'city', 'internet', 'super', 'duper', ' Leet ',' Emotion ',' Sumapah ',' Disappointed ',' ']")</f>
        <v>['Disappointed', 'really', 'swear', 'Telkomsel', 'super', 'duper', 'slow', 'stay', 'city', 'internet', 'super', 'duper', ' Leet ',' Emotion ',' Sumapah ',' Disappointed ',' ']</v>
      </c>
      <c r="D3358" s="3">
        <v>1.0</v>
      </c>
    </row>
    <row r="3359" ht="15.75" customHeight="1">
      <c r="A3359" s="1">
        <v>3357.0</v>
      </c>
      <c r="B3359" s="3" t="s">
        <v>3359</v>
      </c>
      <c r="C3359" s="3" t="str">
        <f>IFERROR(__xludf.DUMMYFUNCTION("GOOGLETRANSLATE(B3359,""id"",""en"")"),"['Sorry', 'love', 'star', 'UDH', 'enter', 'then', 'udh', 'I tried', 'Tetep', 'Tetep', 'Ajh', 'just', ' Please, 'Fix', '']")</f>
        <v>['Sorry', 'love', 'star', 'UDH', 'enter', 'then', 'udh', 'I tried', 'Tetep', 'Tetep', 'Ajh', 'just', ' Please, 'Fix', '']</v>
      </c>
      <c r="D3359" s="3">
        <v>1.0</v>
      </c>
    </row>
    <row r="3360" ht="15.75" customHeight="1">
      <c r="A3360" s="1">
        <v>3358.0</v>
      </c>
      <c r="B3360" s="3" t="s">
        <v>3360</v>
      </c>
      <c r="C3360" s="3" t="str">
        <f>IFERROR(__xludf.DUMMYFUNCTION("GOOGLETRANSLATE(B3360,""id"",""en"")"),"['Telkomsel', 'Events',' Tipu ',' Network ',' Stable ',' Region ',' Banda ',' Aceh ',' Area ',' Lung ',' Brick ',' Signal ',' Kayak ',' pig ',' BTS ',' area ',' Lung ',' brick ',' burn ',' damn ',' special ',' terminal ',' lung ',' brick ',' ad ' , 'Terun"&amp;"', 'continuous',' in ',' inbok ',' messenger ',' block ',' ad ',' comfortable ',' users', 'Telkomsel', 'active', 'data', ' Telkomsel ',' enter ',' enter ',' network ',' stop ',' press', 'YES', 'Cancel', ""]")</f>
        <v>['Telkomsel', 'Events',' Tipu ',' Network ',' Stable ',' Region ',' Banda ',' Aceh ',' Area ',' Lung ',' Brick ',' Signal ',' Kayak ',' pig ',' BTS ',' area ',' Lung ',' brick ',' burn ',' damn ',' special ',' terminal ',' lung ',' brick ',' ad ' , 'Terun', 'continuous',' in ',' inbok ',' messenger ',' block ',' ad ',' comfortable ',' users', 'Telkomsel', 'active', 'data', ' Telkomsel ',' enter ',' enter ',' network ',' stop ',' press', 'YES', 'Cancel', "]</v>
      </c>
      <c r="D3360" s="3">
        <v>2.0</v>
      </c>
    </row>
    <row r="3361" ht="15.75" customHeight="1">
      <c r="A3361" s="1">
        <v>3359.0</v>
      </c>
      <c r="B3361" s="3" t="s">
        <v>3361</v>
      </c>
      <c r="C3361" s="3" t="str">
        <f>IFERROR(__xludf.DUMMYFUNCTION("GOOGLETRANSLATE(B3361,""id"",""en"")"),"['happy', 'wear', 'card', 'Telkomsel', 'cellphone', 'card', 'Telkomsel', 'network', 'good', 'promo', 'thank', ' Telkomsel ',' ']")</f>
        <v>['happy', 'wear', 'card', 'Telkomsel', 'cellphone', 'card', 'Telkomsel', 'network', 'good', 'promo', 'thank', ' Telkomsel ',' ']</v>
      </c>
      <c r="D3361" s="3">
        <v>5.0</v>
      </c>
    </row>
    <row r="3362" ht="15.75" customHeight="1">
      <c r="A3362" s="1">
        <v>3360.0</v>
      </c>
      <c r="B3362" s="3" t="s">
        <v>3362</v>
      </c>
      <c r="C3362" s="3" t="str">
        <f>IFERROR(__xludf.DUMMYFUNCTION("GOOGLETRANSLATE(B3362,""id"",""en"")"),"['Telkomsel', 'knp', 'ugly', 'date', 'kmrin', 'run out', 'contents',' pulse ',' number ',' active ',' card ',' lecture ',' Online ',' Call ',' SMS ',' Open ',' Telkomsel ',' LGSUNG ',' Log ',' Out ',' Sndiri ',' PAS ',' Log ',' Credit ',' Udh ' , 'ilang',"&amp;" 'emang', 'gini', 'kek', 'tricks', 'name', 'hope', 'his service']")</f>
        <v>['Telkomsel', 'knp', 'ugly', 'date', 'kmrin', 'run out', 'contents',' pulse ',' number ',' active ',' card ',' lecture ',' Online ',' Call ',' SMS ',' Open ',' Telkomsel ',' LGSUNG ',' Log ',' Out ',' Sndiri ',' PAS ',' Log ',' Credit ',' Udh ' , 'ilang', 'emang', 'gini', 'kek', 'tricks', 'name', 'hope', 'his service']</v>
      </c>
      <c r="D3362" s="3">
        <v>3.0</v>
      </c>
    </row>
    <row r="3363" ht="15.75" customHeight="1">
      <c r="A3363" s="1">
        <v>3361.0</v>
      </c>
      <c r="B3363" s="3" t="s">
        <v>3363</v>
      </c>
      <c r="C3363" s="3" t="str">
        <f>IFERROR(__xludf.DUMMYFUNCTION("GOOGLETRANSLATE(B3363,""id"",""en"")"),"['Application', 'Actually', 'Good', 'wise', 'usage', 'patient', 'SUCCESS', 'SUCCESS', '']")</f>
        <v>['Application', 'Actually', 'Good', 'wise', 'usage', 'patient', 'SUCCESS', 'SUCCESS', '']</v>
      </c>
      <c r="D3363" s="3">
        <v>5.0</v>
      </c>
    </row>
    <row r="3364" ht="15.75" customHeight="1">
      <c r="A3364" s="1">
        <v>3362.0</v>
      </c>
      <c r="B3364" s="3" t="s">
        <v>3364</v>
      </c>
      <c r="C3364" s="3" t="str">
        <f>IFERROR(__xludf.DUMMYFUNCTION("GOOGLETRANSLATE(B3364,""id"",""en"")"),"['Season', 'quota', 'main', 'pulse', 'sumps', 'already', 'thousand', 'bother', 'really', 'network', 'slow', 'sometimes']")</f>
        <v>['Season', 'quota', 'main', 'pulse', 'sumps', 'already', 'thousand', 'bother', 'really', 'network', 'slow', 'sometimes']</v>
      </c>
      <c r="D3364" s="3">
        <v>1.0</v>
      </c>
    </row>
    <row r="3365" ht="15.75" customHeight="1">
      <c r="A3365" s="1">
        <v>3363.0</v>
      </c>
      <c r="B3365" s="3" t="s">
        <v>3365</v>
      </c>
      <c r="C3365" s="3" t="str">
        <f>IFERROR(__xludf.DUMMYFUNCTION("GOOGLETRANSLATE(B3365,""id"",""en"")"),"['deh', 'how', 'package', 'signal', 'okay', 'brosing', 'internet', 'open', 'youtube', 'game', 'already', 'telephone', ' Telkomsel ',' proof ',' loss', 'already', 'contents',' package ',' move ',' next door ',' ']")</f>
        <v>['deh', 'how', 'package', 'signal', 'okay', 'brosing', 'internet', 'open', 'youtube', 'game', 'already', 'telephone', ' Telkomsel ',' proof ',' loss', 'already', 'contents',' package ',' move ',' next door ',' ']</v>
      </c>
      <c r="D3365" s="3">
        <v>1.0</v>
      </c>
    </row>
    <row r="3366" ht="15.75" customHeight="1">
      <c r="A3366" s="1">
        <v>3364.0</v>
      </c>
      <c r="B3366" s="3" t="s">
        <v>3366</v>
      </c>
      <c r="C3366" s="3" t="str">
        <f>IFERROR(__xludf.DUMMYFUNCTION("GOOGLETRANSLATE(B3366,""id"",""en"")"),"['Dear', 'Telkom', 'Indonesia', 'sell', 'package', 'internet', 'expensive', 'network', 'stable', 'chaotic', 'customer', 'switch', ' Providers', 'innovation', 'lazy', 'buy', 'package', 'expensive', 'network', 'kayak', 'taik']")</f>
        <v>['Dear', 'Telkom', 'Indonesia', 'sell', 'package', 'internet', 'expensive', 'network', 'stable', 'chaotic', 'customer', 'switch', ' Providers', 'innovation', 'lazy', 'buy', 'package', 'expensive', 'network', 'kayak', 'taik']</v>
      </c>
      <c r="D3366" s="3">
        <v>1.0</v>
      </c>
    </row>
    <row r="3367" ht="15.75" customHeight="1">
      <c r="A3367" s="1">
        <v>3365.0</v>
      </c>
      <c r="B3367" s="3" t="s">
        <v>3367</v>
      </c>
      <c r="C3367" s="3" t="str">
        <f>IFERROR(__xludf.DUMMYFUNCTION("GOOGLETRANSLATE(B3367,""id"",""en"")"),"['MyTelkomsel', 'KULON', 'KKU', 'Search', 'Untung', 'Donk', 'Network', 'Internet', 'Increases',' ugly ',' Mending ',' Nga ',' use ',' deh ',' network ',' internet ',' symbol ',' ']")</f>
        <v>['MyTelkomsel', 'KULON', 'KKU', 'Search', 'Untung', 'Donk', 'Network', 'Internet', 'Increases',' ugly ',' Mending ',' Nga ',' use ',' deh ',' network ',' internet ',' symbol ',' ']</v>
      </c>
      <c r="D3367" s="3">
        <v>1.0</v>
      </c>
    </row>
    <row r="3368" ht="15.75" customHeight="1">
      <c r="A3368" s="1">
        <v>3366.0</v>
      </c>
      <c r="B3368" s="3" t="s">
        <v>3368</v>
      </c>
      <c r="C3368" s="3" t="str">
        <f>IFERROR(__xludf.DUMMYFUNCTION("GOOGLETRANSLATE(B3368,""id"",""en"")"),"['Telkomsel', 'products',' garbage ',' NGK ',' Wonder ',' BNYK ',' Switch ',' Provider ',' Telkomsel ',' skrng ',' Network ',' Super ',' ugly ',' Lost ',' Connection ',' hope ',' gammers', 'streammer', 'comfortable', 'use', 'Telkomsel', 'promo', 'CMA', 'p"&amp;"romo', 'Tipu' , 'NGK', 'promo', 'need', 'fix', 'network', ""]")</f>
        <v>['Telkomsel', 'products',' garbage ',' NGK ',' Wonder ',' BNYK ',' Switch ',' Provider ',' Telkomsel ',' skrng ',' Network ',' Super ',' ugly ',' Lost ',' Connection ',' hope ',' gammers', 'streammer', 'comfortable', 'use', 'Telkomsel', 'promo', 'CMA', 'promo', 'Tipu' , 'NGK', 'promo', 'need', 'fix', 'network', "]</v>
      </c>
      <c r="D3368" s="3">
        <v>1.0</v>
      </c>
    </row>
    <row r="3369" ht="15.75" customHeight="1">
      <c r="A3369" s="1">
        <v>3367.0</v>
      </c>
      <c r="B3369" s="3" t="s">
        <v>3369</v>
      </c>
      <c r="C3369" s="3" t="str">
        <f>IFERROR(__xludf.DUMMYFUNCTION("GOOGLETRANSLATE(B3369,""id"",""en"")"),"['Please', 'The network', 'repaired', 'lgi', 'driver', 'online', 'difficulty', 'accept', 'orders',' sometimes', 'orders',' nyampe ',' MLH ',' LMA ',' Acceptance ',' Please ',' Repaired ',' Star ',' Reduce ',' Udh ',' Nnt ',' Ride ',' Star ',' TRMA ',' KSH"&amp;" ' ]")</f>
        <v>['Please', 'The network', 'repaired', 'lgi', 'driver', 'online', 'difficulty', 'accept', 'orders',' sometimes', 'orders',' nyampe ',' MLH ',' LMA ',' Acceptance ',' Please ',' Repaired ',' Star ',' Reduce ',' Udh ',' Nnt ',' Ride ',' Star ',' TRMA ',' KSH ' ]</v>
      </c>
      <c r="D3369" s="3">
        <v>2.0</v>
      </c>
    </row>
    <row r="3370" ht="15.75" customHeight="1">
      <c r="A3370" s="1">
        <v>3368.0</v>
      </c>
      <c r="B3370" s="3" t="s">
        <v>3370</v>
      </c>
      <c r="C3370" s="3" t="str">
        <f>IFERROR(__xludf.DUMMYFUNCTION("GOOGLETRANSLATE(B3370,""id"",""en"")"),"['See', 'pulse', 'regular', 'collapse', 'package', 'eaten', 'jal', ""]")</f>
        <v>['See', 'pulse', 'regular', 'collapse', 'package', 'eaten', 'jal', "]</v>
      </c>
      <c r="D3370" s="3">
        <v>1.0</v>
      </c>
    </row>
    <row r="3371" ht="15.75" customHeight="1">
      <c r="A3371" s="1">
        <v>3369.0</v>
      </c>
      <c r="B3371" s="3" t="s">
        <v>3371</v>
      </c>
      <c r="C3371" s="3" t="str">
        <f>IFERROR(__xludf.DUMMYFUNCTION("GOOGLETRANSLATE(B3371,""id"",""en"")"),"['Please', 'APK', 'Telkomsel', 'Lock', 'Lock', 'Credit', 'APK', 'Next to', 'Use', 'Card', 'Telkomsel', 'Internet', ' Credit ',' sucked ',' quota ', ""]")</f>
        <v>['Please', 'APK', 'Telkomsel', 'Lock', 'Lock', 'Credit', 'APK', 'Next to', 'Use', 'Card', 'Telkomsel', 'Internet', ' Credit ',' sucked ',' quota ', "]</v>
      </c>
      <c r="D3371" s="3">
        <v>2.0</v>
      </c>
    </row>
    <row r="3372" ht="15.75" customHeight="1">
      <c r="A3372" s="1">
        <v>3370.0</v>
      </c>
      <c r="B3372" s="3" t="s">
        <v>3372</v>
      </c>
      <c r="C3372" s="3" t="str">
        <f>IFERROR(__xludf.DUMMYFUNCTION("GOOGLETRANSLATE(B3372,""id"",""en"")"),"['Use', 'Telkomsel', 'already', 'Alhamdulillah', 'Mantap', 'Telkomsel']")</f>
        <v>['Use', 'Telkomsel', 'already', 'Alhamdulillah', 'Mantap', 'Telkomsel']</v>
      </c>
      <c r="D3372" s="3">
        <v>5.0</v>
      </c>
    </row>
    <row r="3373" ht="15.75" customHeight="1">
      <c r="A3373" s="1">
        <v>3371.0</v>
      </c>
      <c r="B3373" s="3" t="s">
        <v>3373</v>
      </c>
      <c r="C3373" s="3" t="str">
        <f>IFERROR(__xludf.DUMMYFUNCTION("GOOGLETRANSLATE(B3373,""id"",""en"")"),"['operator', 'slow', 'signal', 'replace', 'operator', 'SDRA', 'signal', 'stable', 'Indosat', 'smartfren', 'etc.', 'satisfied']")</f>
        <v>['operator', 'slow', 'signal', 'replace', 'operator', 'SDRA', 'signal', 'stable', 'Indosat', 'smartfren', 'etc.', 'satisfied']</v>
      </c>
      <c r="D3373" s="3">
        <v>1.0</v>
      </c>
    </row>
    <row r="3374" ht="15.75" customHeight="1">
      <c r="A3374" s="1">
        <v>3372.0</v>
      </c>
      <c r="B3374" s="3" t="s">
        <v>3374</v>
      </c>
      <c r="C3374" s="3" t="str">
        <f>IFERROR(__xludf.DUMMYFUNCTION("GOOGLETRANSLATE(B3374,""id"",""en"")"),"['Like', 'really', 'card', 'Telkomsel', 'fast', 'bangett', 'network', 'school', 'online', 'tasty', 'Thankyou', 'Telkomsel', ' Application ',' Help ',' ']")</f>
        <v>['Like', 'really', 'card', 'Telkomsel', 'fast', 'bangett', 'network', 'school', 'online', 'tasty', 'Thankyou', 'Telkomsel', ' Application ',' Help ',' ']</v>
      </c>
      <c r="D3374" s="3">
        <v>5.0</v>
      </c>
    </row>
    <row r="3375" ht="15.75" customHeight="1">
      <c r="A3375" s="1">
        <v>3373.0</v>
      </c>
      <c r="B3375" s="3" t="s">
        <v>3375</v>
      </c>
      <c r="C3375" s="3" t="str">
        <f>IFERROR(__xludf.DUMMYFUNCTION("GOOGLETRANSLATE(B3375,""id"",""en"")"),"['ugly', 'Mahel', 'Borosss',' Mending ',' Liveon ',' kuotany ',' rollover ',' lngsung ',' sucked ',' pulse ',' right ',' quota ',' Abis', 'usury', 'falls',' getting ',' karma ',' building ',' Telkomsel ',' burning ',' skrg ',' signal ',' ugly ',' ngaca ',"&amp;"' gih ' , '']")</f>
        <v>['ugly', 'Mahel', 'Borosss',' Mending ',' Liveon ',' kuotany ',' rollover ',' lngsung ',' sucked ',' pulse ',' right ',' quota ',' Abis', 'usury', 'falls',' getting ',' karma ',' building ',' Telkomsel ',' burning ',' skrg ',' signal ',' ugly ',' ngaca ',' gih ' , '']</v>
      </c>
      <c r="D3375" s="3">
        <v>1.0</v>
      </c>
    </row>
    <row r="3376" ht="15.75" customHeight="1">
      <c r="A3376" s="1">
        <v>3374.0</v>
      </c>
      <c r="B3376" s="3" t="s">
        <v>3376</v>
      </c>
      <c r="C3376" s="3" t="str">
        <f>IFERROR(__xludf.DUMMYFUNCTION("GOOGLETRANSLATE(B3376,""id"",""en"")"),"['Telkomsel', 'promo', 'strange', 'buy', 'combo', 'Sakti', 'GB', 'GB', 'internet', 'GB', 'sosmed', 'open', ' quota ',' internet ',' cut ',' quota ',' sosmed ',' base ',' telkomsel ',' cunning ',' proud ',' use ',' sim ',' card ',' tri ' , 'Telkomsel', 'ca"&amp;"rd', 'tri', 'promo', 'strange', 'strange', 'buy', 'package', 'internet', 'GB', 'rb', 'divided', ' Rich ',' Package ',' Telkomsel ',' Suasta ',' Moving ',' Thinking ',' Plat ',' Red ',' People ',' Layai ',' Need ',' Dana ',' Live ' , 'TLP', 'Government', '"&amp;"injection', 'Fund', '']")</f>
        <v>['Telkomsel', 'promo', 'strange', 'buy', 'combo', 'Sakti', 'GB', 'GB', 'internet', 'GB', 'sosmed', 'open', ' quota ',' internet ',' cut ',' quota ',' sosmed ',' base ',' telkomsel ',' cunning ',' proud ',' use ',' sim ',' card ',' tri ' , 'Telkomsel', 'card', 'tri', 'promo', 'strange', 'strange', 'buy', 'package', 'internet', 'GB', 'rb', 'divided', ' Rich ',' Package ',' Telkomsel ',' Suasta ',' Moving ',' Thinking ',' Plat ',' Red ',' People ',' Layai ',' Need ',' Dana ',' Live ' , 'TLP', 'Government', 'injection', 'Fund', '']</v>
      </c>
      <c r="D3376" s="3">
        <v>1.0</v>
      </c>
    </row>
    <row r="3377" ht="15.75" customHeight="1">
      <c r="A3377" s="1">
        <v>3375.0</v>
      </c>
      <c r="B3377" s="3" t="s">
        <v>3377</v>
      </c>
      <c r="C3377" s="3" t="str">
        <f>IFERROR(__xludf.DUMMYFUNCTION("GOOGLETRANSLATE(B3377,""id"",""en"")"),"['Please', 'The network', 'Strengthen', 'break up', 'Disconnect', 'Team', 'Telkomsel', 'Make', 'Best', 'Customer', 'Setia', ""]")</f>
        <v>['Please', 'The network', 'Strengthen', 'break up', 'Disconnect', 'Team', 'Telkomsel', 'Make', 'Best', 'Customer', 'Setia', "]</v>
      </c>
      <c r="D3377" s="3">
        <v>4.0</v>
      </c>
    </row>
    <row r="3378" ht="15.75" customHeight="1">
      <c r="A3378" s="1">
        <v>3376.0</v>
      </c>
      <c r="B3378" s="3" t="s">
        <v>3378</v>
      </c>
      <c r="C3378" s="3" t="str">
        <f>IFERROR(__xludf.DUMMYFUNCTION("GOOGLETRANSLATE(B3378,""id"",""en"")"),"['Comfortable', 'Purchase', 'Data', 'Schedule', 'Accurate', 'Buy', 'Data', 'Kekeke', 'Clock', ""]")</f>
        <v>['Comfortable', 'Purchase', 'Data', 'Schedule', 'Accurate', 'Buy', 'Data', 'Kekeke', 'Clock', "]</v>
      </c>
      <c r="D3378" s="3">
        <v>3.0</v>
      </c>
    </row>
    <row r="3379" ht="15.75" customHeight="1">
      <c r="A3379" s="1">
        <v>3377.0</v>
      </c>
      <c r="B3379" s="3" t="s">
        <v>3379</v>
      </c>
      <c r="C3379" s="3" t="str">
        <f>IFERROR(__xludf.DUMMYFUNCTION("GOOGLETRANSLATE(B3379,""id"",""en"")"),"['assuming', 'use', 'Telkomsel', 'Unfortunately', 'quota', 'price', 'cheap']")</f>
        <v>['assuming', 'use', 'Telkomsel', 'Unfortunately', 'quota', 'price', 'cheap']</v>
      </c>
      <c r="D3379" s="3">
        <v>5.0</v>
      </c>
    </row>
    <row r="3380" ht="15.75" customHeight="1">
      <c r="A3380" s="1">
        <v>3378.0</v>
      </c>
      <c r="B3380" s="3" t="s">
        <v>3380</v>
      </c>
      <c r="C3380" s="3" t="str">
        <f>IFERROR(__xludf.DUMMYFUNCTION("GOOGLETRANSLATE(B3380,""id"",""en"")"),"['Make', 'Telkomsel', 'connection', 'kyk', 'garbage', 'gini', 'kyk', 'card', 'next door', 'package', 'gabisa', 'open', ' garbage ',' Bener ',' Original ']")</f>
        <v>['Make', 'Telkomsel', 'connection', 'kyk', 'garbage', 'gini', 'kyk', 'card', 'next door', 'package', 'gabisa', 'open', ' garbage ',' Bener ',' Original ']</v>
      </c>
      <c r="D3380" s="3">
        <v>1.0</v>
      </c>
    </row>
    <row r="3381" ht="15.75" customHeight="1">
      <c r="A3381" s="1">
        <v>3379.0</v>
      </c>
      <c r="B3381" s="3" t="s">
        <v>3381</v>
      </c>
      <c r="C3381" s="3" t="str">
        <f>IFERROR(__xludf.DUMMYFUNCTION("GOOGLETRANSLATE(B3381,""id"",""en"")"),"['Afternoon', 'Until', 'Malem', 'Network', 'Telkomsel', 'ugly', 'right', 'Rain', 'Please', 'Fix', 'Quality', 'The Network', ' ']")</f>
        <v>['Afternoon', 'Until', 'Malem', 'Network', 'Telkomsel', 'ugly', 'right', 'Rain', 'Please', 'Fix', 'Quality', 'The Network', ' ']</v>
      </c>
      <c r="D3381" s="3">
        <v>2.0</v>
      </c>
    </row>
    <row r="3382" ht="15.75" customHeight="1">
      <c r="A3382" s="1">
        <v>3380.0</v>
      </c>
      <c r="B3382" s="3" t="s">
        <v>3382</v>
      </c>
      <c r="C3382" s="3" t="str">
        <f>IFERROR(__xludf.DUMMYFUNCTION("GOOGLETRANSLATE(B3382,""id"",""en"")"),"['Out', 'think', 'Telkomsel', 'already', 'package', 'expensive', 'really', 'internet', 'kek', 'pig', 'buy', 'package', ' Yesterday ',' ehh ',' already ',' moved ',' operator ',' use ',' Telkomsel ',' Raying ', ""]")</f>
        <v>['Out', 'think', 'Telkomsel', 'already', 'package', 'expensive', 'really', 'internet', 'kek', 'pig', 'buy', 'package', ' Yesterday ',' ehh ',' already ',' moved ',' operator ',' use ',' Telkomsel ',' Raying ', "]</v>
      </c>
      <c r="D3382" s="3">
        <v>1.0</v>
      </c>
    </row>
    <row r="3383" ht="15.75" customHeight="1">
      <c r="A3383" s="1">
        <v>3381.0</v>
      </c>
      <c r="B3383" s="3" t="s">
        <v>3383</v>
      </c>
      <c r="C3383" s="3" t="str">
        <f>IFERROR(__xludf.DUMMYFUNCTION("GOOGLETRANSLATE(B3383,""id"",""en"")"),"['', 'SMS', 'cheap', 'prihal', 'package', 'real', 'difficult', 'access', 'liedure', 'service', 'class', 'Telkomsel']")</f>
        <v>['', 'SMS', 'cheap', 'prihal', 'package', 'real', 'difficult', 'access', 'liedure', 'service', 'class', 'Telkomsel']</v>
      </c>
      <c r="D3383" s="3">
        <v>1.0</v>
      </c>
    </row>
    <row r="3384" ht="15.75" customHeight="1">
      <c r="A3384" s="1">
        <v>3382.0</v>
      </c>
      <c r="B3384" s="3" t="s">
        <v>3384</v>
      </c>
      <c r="C3384" s="3" t="str">
        <f>IFERROR(__xludf.DUMMYFUNCTION("GOOGLETRANSLATE(B3384,""id"",""en"")"),"['package', 'cheap', 'udh', 'contents', 'promo', 'application', 'told', 'update', 'trs', 'kayak', 'malunya', '']")</f>
        <v>['package', 'cheap', 'udh', 'contents', 'promo', 'application', 'told', 'update', 'trs', 'kayak', 'malunya', '']</v>
      </c>
      <c r="D3384" s="3">
        <v>1.0</v>
      </c>
    </row>
    <row r="3385" ht="15.75" customHeight="1">
      <c r="A3385" s="1">
        <v>3383.0</v>
      </c>
      <c r="B3385" s="3" t="s">
        <v>3385</v>
      </c>
      <c r="C3385" s="3" t="str">
        <f>IFERROR(__xludf.DUMMYFUNCTION("GOOGLETRANSLATE(B3385,""id"",""en"")"),"['check', 'quota', 'complicated', 'apps', 'update', 'download', 'apps', 'diginain', 'page', 'web', 'login', 'must "",' Magic ',' Link ',' Link ',' Gabisa ',' Opened ',' Sia ',' Healthy ', ""]")</f>
        <v>['check', 'quota', 'complicated', 'apps', 'update', 'download', 'apps', 'diginain', 'page', 'web', 'login', 'must ",' Magic ',' Link ',' Link ',' Gabisa ',' Opened ',' Sia ',' Healthy ', "]</v>
      </c>
      <c r="D3385" s="3">
        <v>2.0</v>
      </c>
    </row>
    <row r="3386" ht="15.75" customHeight="1">
      <c r="A3386" s="1">
        <v>3384.0</v>
      </c>
      <c r="B3386" s="3" t="s">
        <v>3386</v>
      </c>
      <c r="C3386" s="3" t="str">
        <f>IFERROR(__xludf.DUMMYFUNCTION("GOOGLETRANSLATE(B3386,""id"",""en"")"),"['application', 'heavy', 'kekak', 'update', 'package', 'unlimited', 'limited', 'fup', 'package', 'sosmed', 'package', 'main', ' run out ',' network ',' good ',' times', 'kayak', 'card', '']")</f>
        <v>['application', 'heavy', 'kekak', 'update', 'package', 'unlimited', 'limited', 'fup', 'package', 'sosmed', 'package', 'main', ' run out ',' network ',' good ',' times', 'kayak', 'card', '']</v>
      </c>
      <c r="D3386" s="3">
        <v>1.0</v>
      </c>
    </row>
    <row r="3387" ht="15.75" customHeight="1">
      <c r="A3387" s="1">
        <v>3385.0</v>
      </c>
      <c r="B3387" s="3" t="s">
        <v>3387</v>
      </c>
      <c r="C3387" s="3" t="str">
        <f>IFERROR(__xludf.DUMMYFUNCTION("GOOGLETRANSLATE(B3387,""id"",""en"")"),"['how', 'application', 'Telkomsel', 'open', 'screen', 'just', 'color', 'white', ""]")</f>
        <v>['how', 'application', 'Telkomsel', 'open', 'screen', 'just', 'color', 'white', "]</v>
      </c>
      <c r="D3387" s="3">
        <v>1.0</v>
      </c>
    </row>
    <row r="3388" ht="15.75" customHeight="1">
      <c r="A3388" s="1">
        <v>3386.0</v>
      </c>
      <c r="B3388" s="3" t="s">
        <v>3388</v>
      </c>
      <c r="C3388" s="3" t="str">
        <f>IFERROR(__xludf.DUMMYFUNCTION("GOOGLETRANSLATE(B3388,""id"",""en"")"),"['Price', 'Good', 'Network', 'Leet', 'Please', 'Note', 'Service', 'Network']")</f>
        <v>['Price', 'Good', 'Network', 'Leet', 'Please', 'Note', 'Service', 'Network']</v>
      </c>
      <c r="D3388" s="3">
        <v>3.0</v>
      </c>
    </row>
    <row r="3389" ht="15.75" customHeight="1">
      <c r="A3389" s="1">
        <v>3387.0</v>
      </c>
      <c r="B3389" s="3" t="s">
        <v>3389</v>
      </c>
      <c r="C3389" s="3" t="str">
        <f>IFERROR(__xludf.DUMMYFUNCTION("GOOGLETRANSLATE(B3389,""id"",""en"")"),"['Honest', 'Disappointed', 'Features',' Set ',' Priority ',' Package ',' Quota ',' Balarjar ',' GB ',' Active ',' Live ',' Want ',' spend ',' used ',' quota ',' help ',' Kemdikbud ',' active ',' GB ',' quota ',' learn ',' leftover ',' as if ']")</f>
        <v>['Honest', 'Disappointed', 'Features',' Set ',' Priority ',' Package ',' Quota ',' Balarjar ',' GB ',' Active ',' Live ',' Want ',' spend ',' used ',' quota ',' help ',' Kemdikbud ',' active ',' GB ',' quota ',' learn ',' leftover ',' as if ']</v>
      </c>
      <c r="D3389" s="3">
        <v>3.0</v>
      </c>
    </row>
    <row r="3390" ht="15.75" customHeight="1">
      <c r="A3390" s="1">
        <v>3388.0</v>
      </c>
      <c r="B3390" s="3" t="s">
        <v>3390</v>
      </c>
      <c r="C3390" s="3" t="str">
        <f>IFERROR(__xludf.DUMMYFUNCTION("GOOGLETRANSLATE(B3390,""id"",""en"")"),"['Please', 'Distribution', 'Quota', 'Chat', 'Reduced', 'Ngebug', 'Please', 'Justified']")</f>
        <v>['Please', 'Distribution', 'Quota', 'Chat', 'Reduced', 'Ngebug', 'Please', 'Justified']</v>
      </c>
      <c r="D3390" s="3">
        <v>3.0</v>
      </c>
    </row>
    <row r="3391" ht="15.75" customHeight="1">
      <c r="A3391" s="1">
        <v>3389.0</v>
      </c>
      <c r="B3391" s="3" t="s">
        <v>3391</v>
      </c>
      <c r="C3391" s="3" t="str">
        <f>IFERROR(__xludf.DUMMYFUNCTION("GOOGLETRANSLATE(B3391,""id"",""en"")"),"['hope', 'signal', 'network', 'Telkomsel', 'use', 'subscribe', 'fast', 'effective']")</f>
        <v>['hope', 'signal', 'network', 'Telkomsel', 'use', 'subscribe', 'fast', 'effective']</v>
      </c>
      <c r="D3391" s="3">
        <v>3.0</v>
      </c>
    </row>
    <row r="3392" ht="15.75" customHeight="1">
      <c r="A3392" s="1">
        <v>3390.0</v>
      </c>
      <c r="B3392" s="3" t="s">
        <v>3392</v>
      </c>
      <c r="C3392" s="3" t="str">
        <f>IFERROR(__xludf.DUMMYFUNCTION("GOOGLETRANSLATE(B3392,""id"",""en"")"),"['application', 'good', 'makes it easy', 'check', 'package', 'telephone', 'internet', 'buy it', 'recommended']")</f>
        <v>['application', 'good', 'makes it easy', 'check', 'package', 'telephone', 'internet', 'buy it', 'recommended']</v>
      </c>
      <c r="D3392" s="3">
        <v>5.0</v>
      </c>
    </row>
    <row r="3393" ht="15.75" customHeight="1">
      <c r="A3393" s="1">
        <v>3391.0</v>
      </c>
      <c r="B3393" s="3" t="s">
        <v>3393</v>
      </c>
      <c r="C3393" s="3" t="str">
        <f>IFERROR(__xludf.DUMMYFUNCTION("GOOGLETRANSLATE(B3393,""id"",""en"")"),"['MyTelkomsel', 'full', 'hope', 'fake', 'already', 'mentang', 'BUMN', ""]")</f>
        <v>['MyTelkomsel', 'full', 'hope', 'fake', 'already', 'mentang', 'BUMN', "]</v>
      </c>
      <c r="D3393" s="3">
        <v>1.0</v>
      </c>
    </row>
    <row r="3394" ht="15.75" customHeight="1">
      <c r="A3394" s="1">
        <v>3392.0</v>
      </c>
      <c r="B3394" s="3" t="s">
        <v>3394</v>
      </c>
      <c r="C3394" s="3" t="str">
        <f>IFERROR(__xludf.DUMMYFUNCTION("GOOGLETRANSLATE(B3394,""id"",""en"")"),"['Help', 'Perkuota', 'Ribet', 'counter', 'buy', 'pulse', 'contents', 'quota', 'success', 'then', 'Telkomsel', ""]")</f>
        <v>['Help', 'Perkuota', 'Ribet', 'counter', 'buy', 'pulse', 'contents', 'quota', 'success', 'then', 'Telkomsel', "]</v>
      </c>
      <c r="D3394" s="3">
        <v>5.0</v>
      </c>
    </row>
    <row r="3395" ht="15.75" customHeight="1">
      <c r="A3395" s="1">
        <v>3393.0</v>
      </c>
      <c r="B3395" s="3" t="s">
        <v>3395</v>
      </c>
      <c r="C3395" s="3" t="str">
        <f>IFERROR(__xludf.DUMMYFUNCTION("GOOGLETRANSLATE(B3395,""id"",""en"")"),"['Exchange', 'Points',' quota ',' Kendaan ',' Sorry ',' System ',' Busy ',' Busy ',' then ',' Exchange ',' Points', 'Wait', ' The enactment ',' Out ',' GTU ',' Mending ',' PHP ',' People ', ""]")</f>
        <v>['Exchange', 'Points',' quota ',' Kendaan ',' Sorry ',' System ',' Busy ',' Busy ',' then ',' Exchange ',' Points', 'Wait', ' The enactment ',' Out ',' GTU ',' Mending ',' PHP ',' People ', "]</v>
      </c>
      <c r="D3395" s="3">
        <v>2.0</v>
      </c>
    </row>
    <row r="3396" ht="15.75" customHeight="1">
      <c r="A3396" s="1">
        <v>3394.0</v>
      </c>
      <c r="B3396" s="3" t="s">
        <v>3396</v>
      </c>
      <c r="C3396" s="3" t="str">
        <f>IFERROR(__xludf.DUMMYFUNCTION("GOOGLETRANSLATE(B3396,""id"",""en"")"),"['Open', 'Telkomsel', 'positioning', 'stop', 'Playstrore', 'stop', 'application', 'stop', ""]")</f>
        <v>['Open', 'Telkomsel', 'positioning', 'stop', 'Playstrore', 'stop', 'application', 'stop', "]</v>
      </c>
      <c r="D3396" s="3">
        <v>2.0</v>
      </c>
    </row>
    <row r="3397" ht="15.75" customHeight="1">
      <c r="A3397" s="1">
        <v>3395.0</v>
      </c>
      <c r="B3397" s="3" t="s">
        <v>3397</v>
      </c>
      <c r="C3397" s="3" t="str">
        <f>IFERROR(__xludf.DUMMYFUNCTION("GOOGLETRANSLATE(B3397,""id"",""en"")"),"['Hadih', 'interesting', 'Hayo', 'Change', 'card', 'card', 'Telkomsel', ""]")</f>
        <v>['Hadih', 'interesting', 'Hayo', 'Change', 'card', 'card', 'Telkomsel', "]</v>
      </c>
      <c r="D3397" s="3">
        <v>5.0</v>
      </c>
    </row>
    <row r="3398" ht="15.75" customHeight="1">
      <c r="A3398" s="1">
        <v>3396.0</v>
      </c>
      <c r="B3398" s="3" t="s">
        <v>3398</v>
      </c>
      <c r="C3398" s="3" t="str">
        <f>IFERROR(__xludf.DUMMYFUNCTION("GOOGLETRANSLATE(B3398,""id"",""en"")"),"['Min', 'cave', 'package', 'gamesmax', 'dipake', 'cave', 'open', 'game', 'kagak', '']")</f>
        <v>['Min', 'cave', 'package', 'gamesmax', 'dipake', 'cave', 'open', 'game', 'kagak', '']</v>
      </c>
      <c r="D3398" s="3">
        <v>1.0</v>
      </c>
    </row>
    <row r="3399" ht="15.75" customHeight="1">
      <c r="A3399" s="1">
        <v>3397.0</v>
      </c>
      <c r="B3399" s="3" t="s">
        <v>3399</v>
      </c>
      <c r="C3399" s="3" t="str">
        <f>IFERROR(__xludf.DUMMYFUNCTION("GOOGLETRANSLATE(B3399,""id"",""en"")"),"['woi', 'pulse', 'cut out', 'pulse', 'APK', '']")</f>
        <v>['woi', 'pulse', 'cut out', 'pulse', 'APK', '']</v>
      </c>
      <c r="D3399" s="3">
        <v>1.0</v>
      </c>
    </row>
    <row r="3400" ht="15.75" customHeight="1">
      <c r="A3400" s="1">
        <v>3398.0</v>
      </c>
      <c r="B3400" s="3" t="s">
        <v>3400</v>
      </c>
      <c r="C3400" s="3" t="str">
        <f>IFERROR(__xludf.DUMMYFUNCTION("GOOGLETRANSLATE(B3400,""id"",""en"")"),"['satisfied', 'quota', 'divided', 'interainmen', 'rare', 'sms', ""]")</f>
        <v>['satisfied', 'quota', 'divided', 'interainmen', 'rare', 'sms', "]</v>
      </c>
      <c r="D3400" s="3">
        <v>2.0</v>
      </c>
    </row>
    <row r="3401" ht="15.75" customHeight="1">
      <c r="A3401" s="1">
        <v>3399.0</v>
      </c>
      <c r="B3401" s="3" t="s">
        <v>3401</v>
      </c>
      <c r="C3401" s="3" t="str">
        <f>IFERROR(__xludf.DUMMYFUNCTION("GOOGLETRANSLATE(B3401,""id"",""en"")"),"['', 'Change', 'love', 'star', 'Danaku', 'already', 'bug', 'already', 'fix', 'story', 'gini', 'buy', 'package ',' Koutaa ',' MyTelkomsel ',' Pay ',' Shopeepay ',' Transaction ',' Success', 'Shopeepay', 'Saldo', 'already', 'Cut', 'my computer', 'No', 'ente"&amp;"r', 'mytelkomsel', 'no', 'change', 'thank you', 'hope']")</f>
        <v>['', 'Change', 'love', 'star', 'Danaku', 'already', 'bug', 'already', 'fix', 'story', 'gini', 'buy', 'package ',' Koutaa ',' MyTelkomsel ',' Pay ',' Shopeepay ',' Transaction ',' Success', 'Shopeepay', 'Saldo', 'already', 'Cut', 'my computer', 'No', 'enter', 'mytelkomsel', 'no', 'change', 'thank you', 'hope']</v>
      </c>
      <c r="D3401" s="3">
        <v>5.0</v>
      </c>
    </row>
    <row r="3402" ht="15.75" customHeight="1">
      <c r="A3402" s="1">
        <v>3400.0</v>
      </c>
      <c r="B3402" s="3" t="s">
        <v>3402</v>
      </c>
      <c r="C3402" s="3" t="str">
        <f>IFERROR(__xludf.DUMMYFUNCTION("GOOGLETRANSLATE(B3402,""id"",""en"")"),"['Come', 'Severe', 'Display', 'Fix', 'Reaching', 'Price', 'Package', 'Moon', 'Sad', 'Price', 'According to', 'Quality', ' Congratulations', 'multiply', 'complaints',' user ',' your settimes', 'day', '']")</f>
        <v>['Come', 'Severe', 'Display', 'Fix', 'Reaching', 'Price', 'Package', 'Moon', 'Sad', 'Price', 'According to', 'Quality', ' Congratulations', 'multiply', 'complaints',' user ',' your settimes', 'day', '']</v>
      </c>
      <c r="D3402" s="3">
        <v>1.0</v>
      </c>
    </row>
    <row r="3403" ht="15.75" customHeight="1">
      <c r="A3403" s="1">
        <v>3401.0</v>
      </c>
      <c r="B3403" s="3" t="s">
        <v>3403</v>
      </c>
      <c r="C3403" s="3" t="str">
        <f>IFERROR(__xludf.DUMMYFUNCTION("GOOGLETRANSLATE(B3403,""id"",""en"")"),"['signal', 'defeated', 'counters',' pulse ',' fast ',' really ',' hope ',' promo ',' interesting ',' apply ',' post ',' pay ',' Promo ',' Pre ',' Pay ',' interesting ']")</f>
        <v>['signal', 'defeated', 'counters',' pulse ',' fast ',' really ',' hope ',' promo ',' interesting ',' apply ',' post ',' pay ',' Promo ',' Pre ',' Pay ',' interesting ']</v>
      </c>
      <c r="D3403" s="3">
        <v>3.0</v>
      </c>
    </row>
    <row r="3404" ht="15.75" customHeight="1">
      <c r="A3404" s="1">
        <v>3402.0</v>
      </c>
      <c r="B3404" s="3" t="s">
        <v>3404</v>
      </c>
      <c r="C3404" s="3" t="str">
        <f>IFERROR(__xludf.DUMMYFUNCTION("GOOGLETRANSLATE(B3404,""id"",""en"")"),"['price', 'purchase', 'package', 'data', 'too', 'compared to', 'quality', 'decreases',' aspects', 'signal', 'application', 'times',' Credit ',' truncated ',' application ',' subscribe ',' Search ',' Fortiness', 'Fix', 'Quality', 'Disappointed', 'Telkomsel"&amp;"', 'User', 'Thday', 'Hopefully' , 'heard', 'repaired', 'quality', 'signal', 'the application', 'comfortable']")</f>
        <v>['price', 'purchase', 'package', 'data', 'too', 'compared to', 'quality', 'decreases',' aspects', 'signal', 'application', 'times',' Credit ',' truncated ',' application ',' subscribe ',' Search ',' Fortiness', 'Fix', 'Quality', 'Disappointed', 'Telkomsel', 'User', 'Thday', 'Hopefully' , 'heard', 'repaired', 'quality', 'signal', 'the application', 'comfortable']</v>
      </c>
      <c r="D3404" s="3">
        <v>1.0</v>
      </c>
    </row>
    <row r="3405" ht="15.75" customHeight="1">
      <c r="A3405" s="1">
        <v>3403.0</v>
      </c>
      <c r="B3405" s="3" t="s">
        <v>3405</v>
      </c>
      <c r="C3405" s="3" t="str">
        <f>IFERROR(__xludf.DUMMYFUNCTION("GOOGLETRANSLATE(B3405,""id"",""en"")"),"['TIPA', 'open', 'APK', 'update', 'udhh', 'package', 'sometimes', 'cheap', 'sometimes', 'expensive', ""]")</f>
        <v>['TIPA', 'open', 'APK', 'update', 'udhh', 'package', 'sometimes', 'cheap', 'sometimes', 'expensive', "]</v>
      </c>
      <c r="D3405" s="3">
        <v>1.0</v>
      </c>
    </row>
    <row r="3406" ht="15.75" customHeight="1">
      <c r="A3406" s="1">
        <v>3404.0</v>
      </c>
      <c r="B3406" s="3" t="s">
        <v>3406</v>
      </c>
      <c r="C3406" s="3" t="str">
        <f>IFERROR(__xludf.DUMMYFUNCTION("GOOGLETRANSLATE(B3406,""id"",""en"")"),"['Please', 'Region', 'Parung', 'Cibunar', 'Bogor', 'Javanese', 'West', 'Sousal', 'Reinforced', '']")</f>
        <v>['Please', 'Region', 'Parung', 'Cibunar', 'Bogor', 'Javanese', 'West', 'Sousal', 'Reinforced', '']</v>
      </c>
      <c r="D3406" s="3">
        <v>5.0</v>
      </c>
    </row>
    <row r="3407" ht="15.75" customHeight="1">
      <c r="A3407" s="1">
        <v>3405.0</v>
      </c>
      <c r="B3407" s="3" t="s">
        <v>3407</v>
      </c>
      <c r="C3407" s="3" t="str">
        <f>IFERROR(__xludf.DUMMYFUNCTION("GOOGLETRANSLATE(B3407,""id"",""en"")"),"['check', 'pulse', 'data', 'application', 'no', 'already', 'refresh', 'no', 'until', 'times',' Matiinn ',' Tetep ',' Doaaa ',' Dahh ', ""]")</f>
        <v>['check', 'pulse', 'data', 'application', 'no', 'already', 'refresh', 'no', 'until', 'times',' Matiinn ',' Tetep ',' Doaaa ',' Dahh ', "]</v>
      </c>
      <c r="D3407" s="3">
        <v>1.0</v>
      </c>
    </row>
    <row r="3408" ht="15.75" customHeight="1">
      <c r="A3408" s="1">
        <v>3406.0</v>
      </c>
      <c r="B3408" s="3" t="s">
        <v>3408</v>
      </c>
      <c r="C3408" s="3" t="str">
        <f>IFERROR(__xludf.DUMMYFUNCTION("GOOGLETRANSLATE(B3408,""id"",""en"")"),"['home', 'Tower', 'Telkomsel', 'The network', 'weak', 'Lift', 'APL', 'Tokopedia', 'Sell', 'Helped', 'Cuba', 'Provider', ' adjacent', '']")</f>
        <v>['home', 'Tower', 'Telkomsel', 'The network', 'weak', 'Lift', 'APL', 'Tokopedia', 'Sell', 'Helped', 'Cuba', 'Provider', ' adjacent', '']</v>
      </c>
      <c r="D3408" s="3">
        <v>3.0</v>
      </c>
    </row>
    <row r="3409" ht="15.75" customHeight="1">
      <c r="A3409" s="1">
        <v>3407.0</v>
      </c>
      <c r="B3409" s="3" t="s">
        <v>3409</v>
      </c>
      <c r="C3409" s="3" t="str">
        <f>IFERROR(__xludf.DUMMYFUNCTION("GOOGLETRANSLATE(B3409,""id"",""en"")"),"['Help', 'really', 'experience', 'payment', 'shopeepay', 'cashback', 'contents',' reset ',' thousand ',' package ',' package ',' choice ',' according to the needs', '']")</f>
        <v>['Help', 'really', 'experience', 'payment', 'shopeepay', 'cashback', 'contents',' reset ',' thousand ',' package ',' package ',' choice ',' according to the needs', '']</v>
      </c>
      <c r="D3409" s="3">
        <v>5.0</v>
      </c>
    </row>
    <row r="3410" ht="15.75" customHeight="1">
      <c r="A3410" s="1">
        <v>3408.0</v>
      </c>
      <c r="B3410" s="3" t="s">
        <v>3410</v>
      </c>
      <c r="C3410" s="3" t="str">
        <f>IFERROR(__xludf.DUMMYFUNCTION("GOOGLETRANSLATE(B3410,""id"",""en"")"),"['APK', 'owned', 'BUMN', 'ONLY', 'APPLY', 'OPEN', 'APK', 'LOOK', 'Try', 'Try', 'Try', 'Try', ' try', '']")</f>
        <v>['APK', 'owned', 'BUMN', 'ONLY', 'APPLY', 'OPEN', 'APK', 'LOOK', 'Try', 'Try', 'Try', 'Try', ' try', '']</v>
      </c>
      <c r="D3410" s="3">
        <v>5.0</v>
      </c>
    </row>
    <row r="3411" ht="15.75" customHeight="1">
      <c r="A3411" s="1">
        <v>3409.0</v>
      </c>
      <c r="B3411" s="3" t="s">
        <v>3411</v>
      </c>
      <c r="C3411" s="3" t="str">
        <f>IFERROR(__xludf.DUMMYFUNCTION("GOOGLETRANSLATE(B3411,""id"",""en"")"),"['Good', 'signal', 'relative', 'evenly', 'compared to', 'provider', 'tensed', 'data', 'down', 'significant', '']")</f>
        <v>['Good', 'signal', 'relative', 'evenly', 'compared to', 'provider', 'tensed', 'data', 'down', 'significant', '']</v>
      </c>
      <c r="D3411" s="3">
        <v>4.0</v>
      </c>
    </row>
    <row r="3412" ht="15.75" customHeight="1">
      <c r="A3412" s="1">
        <v>3410.0</v>
      </c>
      <c r="B3412" s="3" t="s">
        <v>3412</v>
      </c>
      <c r="C3412" s="3" t="str">
        <f>IFERROR(__xludf.DUMMYFUNCTION("GOOGLETRANSLATE(B3412,""id"",""en"")"),"['Package', 'Promo', 'GB', 'HR', 'Sometimes', 'Available', 'Application', 'Sometimes', 'right', 'annoyed', 'Log', ""]")</f>
        <v>['Package', 'Promo', 'GB', 'HR', 'Sometimes', 'Available', 'Application', 'Sometimes', 'right', 'annoyed', 'Log', "]</v>
      </c>
      <c r="D3412" s="3">
        <v>5.0</v>
      </c>
    </row>
    <row r="3413" ht="15.75" customHeight="1">
      <c r="A3413" s="1">
        <v>3411.0</v>
      </c>
      <c r="B3413" s="3" t="s">
        <v>3413</v>
      </c>
      <c r="C3413" s="3" t="str">
        <f>IFERROR(__xludf.DUMMYFUNCTION("GOOGLETRANSLATE(B3413,""id"",""en"")"),"['Wear', 'quota', 'emergency', 'GB', 'thousand', 'contents',' pulse ',' paid ',' contents', 'pulse', 'reduced', 'wear', ' package ',' emergency ',' notification ',' selatan ',' pay ',' bill ',' package ',' ']")</f>
        <v>['Wear', 'quota', 'emergency', 'GB', 'thousand', 'contents',' pulse ',' paid ',' contents', 'pulse', 'reduced', 'wear', ' package ',' emergency ',' notification ',' selatan ',' pay ',' bill ',' package ',' ']</v>
      </c>
      <c r="D3413" s="3">
        <v>1.0</v>
      </c>
    </row>
    <row r="3414" ht="15.75" customHeight="1">
      <c r="A3414" s="1">
        <v>3412.0</v>
      </c>
      <c r="B3414" s="3" t="s">
        <v>3414</v>
      </c>
      <c r="C3414" s="3" t="str">
        <f>IFERROR(__xludf.DUMMYFUNCTION("GOOGLETRANSLATE(B3414,""id"",""en"")"),"['pulse', 'missing', 'right', 'check', 'history', 'internet', 'quota', 'internet', 'severe', 'contact', 'right', 'gave', ' network ',' slow ',' lagh ',' right ',' maen ',' gane ',' broken ',' broken ',' mulu ']")</f>
        <v>['pulse', 'missing', 'right', 'check', 'history', 'internet', 'quota', 'internet', 'severe', 'contact', 'right', 'gave', ' network ',' slow ',' lagh ',' right ',' maen ',' gane ',' broken ',' broken ',' mulu ']</v>
      </c>
      <c r="D3414" s="3">
        <v>1.0</v>
      </c>
    </row>
    <row r="3415" ht="15.75" customHeight="1">
      <c r="A3415" s="1">
        <v>3413.0</v>
      </c>
      <c r="B3415" s="3" t="s">
        <v>3415</v>
      </c>
      <c r="C3415" s="3" t="str">
        <f>IFERROR(__xludf.DUMMYFUNCTION("GOOGLETRANSLATE(B3415,""id"",""en"")"),"['sympathy', 'card', 'according to', 'bags',' coolies', 'building', 'signal', 'strong', 'lover', 'sympathy', 'family', 'use', ' sympathy ',' hopefully ',' sympathy ',' Oelayanan ',' best ']")</f>
        <v>['sympathy', 'card', 'according to', 'bags',' coolies', 'building', 'signal', 'strong', 'lover', 'sympathy', 'family', 'use', ' sympathy ',' hopefully ',' sympathy ',' Oelayanan ',' best ']</v>
      </c>
      <c r="D3415" s="3">
        <v>5.0</v>
      </c>
    </row>
    <row r="3416" ht="15.75" customHeight="1">
      <c r="A3416" s="1">
        <v>3414.0</v>
      </c>
      <c r="B3416" s="3" t="s">
        <v>3416</v>
      </c>
      <c r="C3416" s="3" t="str">
        <f>IFERROR(__xludf.DUMMYFUNCTION("GOOGLETRANSLATE(B3416,""id"",""en"")"),"['transaction', 'buy', 'package', 'data', 'method', 'payment', 'ovo', 'transaction', 'times',' enter ',' my computer ',' ovo ',' Confirm ',' Group ',' Balance ',' Reduced ',' Telkomsel ',' Kouta ',' Enter ',' Please ',' Fix ',' Application ',' Sorry ',' I"&amp;"Brankin ',' Star ' , 'Package', 'buy', 'enter', 'confirm', 'Telkomsel', 'thank you', 'Telkomsel', '']")</f>
        <v>['transaction', 'buy', 'package', 'data', 'method', 'payment', 'ovo', 'transaction', 'times',' enter ',' my computer ',' ovo ',' Confirm ',' Group ',' Balance ',' Reduced ',' Telkomsel ',' Kouta ',' Enter ',' Please ',' Fix ',' Application ',' Sorry ',' IBrankin ',' Star ' , 'Package', 'buy', 'enter', 'confirm', 'Telkomsel', 'thank you', 'Telkomsel', '']</v>
      </c>
      <c r="D3416" s="3">
        <v>1.0</v>
      </c>
    </row>
    <row r="3417" ht="15.75" customHeight="1">
      <c r="A3417" s="1">
        <v>3415.0</v>
      </c>
      <c r="B3417" s="3" t="s">
        <v>3417</v>
      </c>
      <c r="C3417" s="3" t="str">
        <f>IFERROR(__xludf.DUMMYFUNCTION("GOOGLETRANSLATE(B3417,""id"",""en"")"),"['Good', 'dkrang', 'sring', 'error', 'diarrhea', 'check', 'data', 'use', 'jga', 'package', 'emergency', 'cut', ' Folding ',' Please ',' Ralat ',' ']")</f>
        <v>['Good', 'dkrang', 'sring', 'error', 'diarrhea', 'check', 'data', 'use', 'jga', 'package', 'emergency', 'cut', ' Folding ',' Please ',' Ralat ',' ']</v>
      </c>
      <c r="D3417" s="3">
        <v>5.0</v>
      </c>
    </row>
    <row r="3418" ht="15.75" customHeight="1">
      <c r="A3418" s="1">
        <v>3416.0</v>
      </c>
      <c r="B3418" s="3" t="s">
        <v>3418</v>
      </c>
      <c r="C3418" s="3" t="str">
        <f>IFERROR(__xludf.DUMMYFUNCTION("GOOGLETRANSLATE(B3418,""id"",""en"")"),"['Telkomsel', 'tariff', 'package', 'cheap', 'bnyk', 'promo', 'package', 'month', 'good', 'job', '']")</f>
        <v>['Telkomsel', 'tariff', 'package', 'cheap', 'bnyk', 'promo', 'package', 'month', 'good', 'job', '']</v>
      </c>
      <c r="D3418" s="3">
        <v>5.0</v>
      </c>
    </row>
    <row r="3419" ht="15.75" customHeight="1">
      <c r="A3419" s="1">
        <v>3417.0</v>
      </c>
      <c r="B3419" s="3" t="s">
        <v>3419</v>
      </c>
      <c r="C3419" s="3" t="str">
        <f>IFERROR(__xludf.DUMMYFUNCTION("GOOGLETRANSLATE(B3419,""id"",""en"")"),"['credit', 'ilang', 'plsa', 'package', 'internet', 'plsa', 'ilang', 'right', 'check', 'tue', 'biya', 'internet', ' package ',' Intrnet ',' please ',' fix ']")</f>
        <v>['credit', 'ilang', 'plsa', 'package', 'internet', 'plsa', 'ilang', 'right', 'check', 'tue', 'biya', 'internet', ' package ',' Intrnet ',' please ',' fix ']</v>
      </c>
      <c r="D3419" s="3">
        <v>3.0</v>
      </c>
    </row>
    <row r="3420" ht="15.75" customHeight="1">
      <c r="A3420" s="1">
        <v>3418.0</v>
      </c>
      <c r="B3420" s="3" t="s">
        <v>3420</v>
      </c>
      <c r="C3420" s="3" t="str">
        <f>IFERROR(__xludf.DUMMYFUNCTION("GOOGLETRANSLATE(B3420,""id"",""en"")"),"['Points', 'No.', 'Scorched', 'Lottery', 'Tipu', 'Tipu', 'Love', 'Bonus', 'Conflating', 'Belit', ""]")</f>
        <v>['Points', 'No.', 'Scorched', 'Lottery', 'Tipu', 'Tipu', 'Love', 'Bonus', 'Conflating', 'Belit', "]</v>
      </c>
      <c r="D3420" s="3">
        <v>1.0</v>
      </c>
    </row>
    <row r="3421" ht="15.75" customHeight="1">
      <c r="A3421" s="1">
        <v>3419.0</v>
      </c>
      <c r="B3421" s="3" t="s">
        <v>3421</v>
      </c>
      <c r="C3421" s="3" t="str">
        <f>IFERROR(__xludf.DUMMYFUNCTION("GOOGLETRANSLATE(B3421,""id"",""en"")"),"['Buy', 'Package', 'GB', 'YouTube', 'ICT', 'Tok', 'Facebook', 'WhatsApp', 'Loss', '']")</f>
        <v>['Buy', 'Package', 'GB', 'YouTube', 'ICT', 'Tok', 'Facebook', 'WhatsApp', 'Loss', '']</v>
      </c>
      <c r="D3421" s="3">
        <v>1.0</v>
      </c>
    </row>
    <row r="3422" ht="15.75" customHeight="1">
      <c r="A3422" s="1">
        <v>3420.0</v>
      </c>
      <c r="B3422" s="3" t="s">
        <v>3422</v>
      </c>
      <c r="C3422" s="3" t="str">
        <f>IFERROR(__xludf.DUMMYFUNCTION("GOOGLETRANSLATE(B3422,""id"",""en"")"),"['Solution', 'card', 'Telkomsel', 'SERBA', 'CHEAP', 'Biarin', 'card', 'run out', 'grace', 'love', 'Understand', 'Telkomsel', ' Operators', 'Cheap', 'Telkomsel', 'Scorched', 'Hopefully', 'Operators',' Settles', 'Priority']")</f>
        <v>['Solution', 'card', 'Telkomsel', 'SERBA', 'CHEAP', 'Biarin', 'card', 'run out', 'grace', 'love', 'Understand', 'Telkomsel', ' Operators', 'Cheap', 'Telkomsel', 'Scorched', 'Hopefully', 'Operators',' Settles', 'Priority']</v>
      </c>
      <c r="D3422" s="3">
        <v>1.0</v>
      </c>
    </row>
    <row r="3423" ht="15.75" customHeight="1">
      <c r="A3423" s="1">
        <v>3421.0</v>
      </c>
      <c r="B3423" s="3" t="s">
        <v>3423</v>
      </c>
      <c r="C3423" s="3" t="str">
        <f>IFERROR(__xludf.DUMMYFUNCTION("GOOGLETRANSLATE(B3423,""id"",""en"")"),"['Help', 'TPI', 'Darling', 'user', 'loyal', 'price', 'package', 'expensive', 'user', ""]")</f>
        <v>['Help', 'TPI', 'Darling', 'user', 'loyal', 'price', 'package', 'expensive', 'user', "]</v>
      </c>
      <c r="D3423" s="3">
        <v>4.0</v>
      </c>
    </row>
    <row r="3424" ht="15.75" customHeight="1">
      <c r="A3424" s="1">
        <v>3422.0</v>
      </c>
      <c r="B3424" s="3" t="s">
        <v>3424</v>
      </c>
      <c r="C3424" s="3" t="str">
        <f>IFERROR(__xludf.DUMMYFUNCTION("GOOGLETRANSLATE(B3424,""id"",""en"")"),"['Star', 'Package', 'Telkomsel', 'Too', 'Expensive', 'The Network', 'Stable', 'Sorry', ""]")</f>
        <v>['Star', 'Package', 'Telkomsel', 'Too', 'Expensive', 'The Network', 'Stable', 'Sorry', "]</v>
      </c>
      <c r="D3424" s="3">
        <v>3.0</v>
      </c>
    </row>
    <row r="3425" ht="15.75" customHeight="1">
      <c r="A3425" s="1">
        <v>3423.0</v>
      </c>
      <c r="B3425" s="3" t="s">
        <v>3425</v>
      </c>
      <c r="C3425" s="3" t="str">
        <f>IFERROR(__xludf.DUMMYFUNCTION("GOOGLETRANSLATE(B3425,""id"",""en"")"),"['out', 'quota', 'local', 'quota', 'multimedia', 'quota', 'local', 'run out', 'internet', 'use', 'quota', 'multimedia', ' signs', 'quota', 'jeles',' checked ',' mytelkomsel ',' quota ',' multimedia ',' sya ',' please ',' explanation ']")</f>
        <v>['out', 'quota', 'local', 'quota', 'multimedia', 'quota', 'local', 'run out', 'internet', 'use', 'quota', 'multimedia', ' signs', 'quota', 'jeles',' checked ',' mytelkomsel ',' quota ',' multimedia ',' sya ',' please ',' explanation ']</v>
      </c>
      <c r="D3425" s="3">
        <v>1.0</v>
      </c>
    </row>
    <row r="3426" ht="15.75" customHeight="1">
      <c r="A3426" s="1">
        <v>3424.0</v>
      </c>
      <c r="B3426" s="3" t="s">
        <v>3426</v>
      </c>
      <c r="C3426" s="3" t="str">
        <f>IFERROR(__xludf.DUMMYFUNCTION("GOOGLETRANSLATE(B3426,""id"",""en"")"),"['Satisfied', 'application', 'makes it easy', 'buy', 'quota', 'home', 'promo', 'every day', 'hari', 'price', 'cheap', 'Meriahh', ' Want ',' that's', 'pulse', 'quota', 'please', 'Telkomsel', 'package', 'emergency', 'customer', 'usual', 'useful', 'we' , 'th"&amp;"ank you', '']")</f>
        <v>['Satisfied', 'application', 'makes it easy', 'buy', 'quota', 'home', 'promo', 'every day', 'hari', 'price', 'cheap', 'Meriahh', ' Want ',' that's', 'pulse', 'quota', 'please', 'Telkomsel', 'package', 'emergency', 'customer', 'usual', 'useful', 'we' , 'thank you', '']</v>
      </c>
      <c r="D3426" s="3">
        <v>5.0</v>
      </c>
    </row>
    <row r="3427" ht="15.75" customHeight="1">
      <c r="A3427" s="1">
        <v>3425.0</v>
      </c>
      <c r="B3427" s="3" t="s">
        <v>3427</v>
      </c>
      <c r="C3427" s="3" t="str">
        <f>IFERROR(__xludf.DUMMYFUNCTION("GOOGLETRANSLATE(B3427,""id"",""en"")"),"['Recommendation', 'bln', 'abis', 'rb', 'times', 'accitivational', 'cheerful', 'gb', 'rb', 'thanks', 'telkomsel']")</f>
        <v>['Recommendation', 'bln', 'abis', 'rb', 'times', 'accitivational', 'cheerful', 'gb', 'rb', 'thanks', 'telkomsel']</v>
      </c>
      <c r="D3427" s="3">
        <v>5.0</v>
      </c>
    </row>
    <row r="3428" ht="15.75" customHeight="1">
      <c r="A3428" s="1">
        <v>3426.0</v>
      </c>
      <c r="B3428" s="3" t="s">
        <v>3428</v>
      </c>
      <c r="C3428" s="3" t="str">
        <f>IFERROR(__xludf.DUMMYFUNCTION("GOOGLETRANSLATE(B3428,""id"",""en"")"),"['already', 'signal', 'slow', 'already', 'bought', 'kgak', 'dipake', 'crazy', 'Telkomsel', ""]")</f>
        <v>['already', 'signal', 'slow', 'already', 'bought', 'kgak', 'dipake', 'crazy', 'Telkomsel', "]</v>
      </c>
      <c r="D3428" s="3">
        <v>1.0</v>
      </c>
    </row>
    <row r="3429" ht="15.75" customHeight="1">
      <c r="A3429" s="1">
        <v>3427.0</v>
      </c>
      <c r="B3429" s="3" t="s">
        <v>3429</v>
      </c>
      <c r="C3429" s="3" t="str">
        <f>IFERROR(__xludf.DUMMYFUNCTION("GOOGLETRANSLATE(B3429,""id"",""en"")"),"['hope', 'Discount', 'Package', 'Cheap', 'Karana', 'Pandemic', 'Karna', 'Help', 'Hope', 'Buy', 'Package', 'Cheap', ' Minimum ',' Price ',' ']")</f>
        <v>['hope', 'Discount', 'Package', 'Cheap', 'Karana', 'Pandemic', 'Karna', 'Help', 'Hope', 'Buy', 'Package', 'Cheap', ' Minimum ',' Price ',' ']</v>
      </c>
      <c r="D3429" s="3">
        <v>1.0</v>
      </c>
    </row>
    <row r="3430" ht="15.75" customHeight="1">
      <c r="A3430" s="1">
        <v>3428.0</v>
      </c>
      <c r="B3430" s="3" t="s">
        <v>3430</v>
      </c>
      <c r="C3430" s="3" t="str">
        <f>IFERROR(__xludf.DUMMYFUNCTION("GOOGLETRANSLATE(B3430,""id"",""en"")"),"['Service', 'bad', 'slow', 'help', 'chat', 'Duty', 'night', 'master', 'product', 'knowledge', 'clock', 'later', ' reply ',' reply ',' please ',' check ',' agent ',' worth ',' Please ',' training ',' reset ',' mastery ',' knowledge ', ""]")</f>
        <v>['Service', 'bad', 'slow', 'help', 'chat', 'Duty', 'night', 'master', 'product', 'knowledge', 'clock', 'later', ' reply ',' reply ',' please ',' check ',' agent ',' worth ',' Please ',' training ',' reset ',' mastery ',' knowledge ', "]</v>
      </c>
      <c r="D3430" s="3">
        <v>1.0</v>
      </c>
    </row>
    <row r="3431" ht="15.75" customHeight="1">
      <c r="A3431" s="1">
        <v>3429.0</v>
      </c>
      <c r="B3431" s="3" t="s">
        <v>3431</v>
      </c>
      <c r="C3431" s="3" t="str">
        <f>IFERROR(__xludf.DUMMYFUNCTION("GOOGLETRANSLATE(B3431,""id"",""en"")"),"['Hello', 'Sorry', 'Sya', 'Kasi', 'star', 'skrg', 'network', 'Telkomsel', 'Severe', 'Sya', 'Reasons',' responded ',' LEG ',' Telkomsel ',' Monthly ',' price ',' expensive ',' slow ',' MGKN ',' Telkomsel ',' fix ',' ckup ',' Telkomsel ',' times', 'disappoi"&amp;"nted' , 'work', 'involves', 'signal', 'strong', 'slow', 'experience', 'loss', 'Thankyou', 'Please', 'Wanted', 'Solution']")</f>
        <v>['Hello', 'Sorry', 'Sya', 'Kasi', 'star', 'skrg', 'network', 'Telkomsel', 'Severe', 'Sya', 'Reasons',' responded ',' LEG ',' Telkomsel ',' Monthly ',' price ',' expensive ',' slow ',' MGKN ',' Telkomsel ',' fix ',' ckup ',' Telkomsel ',' times', 'disappointed' , 'work', 'involves', 'signal', 'strong', 'slow', 'experience', 'loss', 'Thankyou', 'Please', 'Wanted', 'Solution']</v>
      </c>
      <c r="D3431" s="3">
        <v>1.0</v>
      </c>
    </row>
    <row r="3432" ht="15.75" customHeight="1">
      <c r="A3432" s="1">
        <v>3430.0</v>
      </c>
      <c r="B3432" s="3" t="s">
        <v>3432</v>
      </c>
      <c r="C3432" s="3" t="str">
        <f>IFERROR(__xludf.DUMMYFUNCTION("GOOGLETRANSLATE(B3432,""id"",""en"")"),"['Telkomsel', 'recommendation', 'really', 'deh', 'application', 'easy', 'transact']")</f>
        <v>['Telkomsel', 'recommendation', 'really', 'deh', 'application', 'easy', 'transact']</v>
      </c>
      <c r="D3432" s="3">
        <v>5.0</v>
      </c>
    </row>
    <row r="3433" ht="15.75" customHeight="1">
      <c r="A3433" s="1">
        <v>3431.0</v>
      </c>
      <c r="B3433" s="3" t="s">
        <v>3433</v>
      </c>
      <c r="C3433" s="3" t="str">
        <f>IFERROR(__xludf.DUMMYFUNCTION("GOOGLETRANSLATE(B3433,""id"",""en"")"),"['Sorry', 'Please', 'Network', 'Fix', 'Disturbed', 'Network', 'Accurate', 'Special', 'Player', 'Game', 'Believe', 'Telkomsel', ' Please, 'disappointed', 'already', 'pay', 'expensive', 'service', 'comfortable']")</f>
        <v>['Sorry', 'Please', 'Network', 'Fix', 'Disturbed', 'Network', 'Accurate', 'Special', 'Player', 'Game', 'Believe', 'Telkomsel', ' Please, 'disappointed', 'already', 'pay', 'expensive', 'service', 'comfortable']</v>
      </c>
      <c r="D3433" s="3">
        <v>3.0</v>
      </c>
    </row>
    <row r="3434" ht="15.75" customHeight="1">
      <c r="A3434" s="1">
        <v>3432.0</v>
      </c>
      <c r="B3434" s="3" t="s">
        <v>3434</v>
      </c>
      <c r="C3434" s="3" t="str">
        <f>IFERROR(__xludf.DUMMYFUNCTION("GOOGLETRANSLATE(B3434,""id"",""en"")"),"['Telkomsel', 'Package', 'Hargany', 'Excellent', 'Search', 'Benefit', 'Pandemic', 'Fix', 'Masalag', 'Network', 'Consistent', 'Lecture', ' online ',' right ',' meet ',' absent ',' sound ',' break up ',' broke ',' please ',' price ',' doang ',' expensive ',"&amp;"' quality ',' eyes' , 'gawy', 'see', 'advantage', 'pandemic', 'clay', 'quality', 'network', 'yaaaaaaaaaaaaaaaaaaaaaaaaaaaaa")</f>
        <v>['Telkomsel', 'Package', 'Hargany', 'Excellent', 'Search', 'Benefit', 'Pandemic', 'Fix', 'Masalag', 'Network', 'Consistent', 'Lecture', ' online ',' right ',' meet ',' absent ',' sound ',' break up ',' broke ',' please ',' price ',' doang ',' expensive ',' quality ',' eyes' , 'gawy', 'see', 'advantage', 'pandemic', 'clay', 'quality', 'network', 'yaaaaaaaaaaaaaaaaaaaaaaaaaaaaa</v>
      </c>
      <c r="D3434" s="3">
        <v>1.0</v>
      </c>
    </row>
    <row r="3435" ht="15.75" customHeight="1">
      <c r="A3435" s="1">
        <v>3433.0</v>
      </c>
      <c r="B3435" s="3" t="s">
        <v>3435</v>
      </c>
      <c r="C3435" s="3" t="str">
        <f>IFERROR(__xludf.DUMMYFUNCTION("GOOGLETRANSLATE(B3435,""id"",""en"")"),"['Service', 'Speed', 'Reach', 'Extensive', 'Compared', 'Provader']")</f>
        <v>['Service', 'Speed', 'Reach', 'Extensive', 'Compared', 'Provader']</v>
      </c>
      <c r="D3435" s="3">
        <v>5.0</v>
      </c>
    </row>
    <row r="3436" ht="15.75" customHeight="1">
      <c r="A3436" s="1">
        <v>3434.0</v>
      </c>
      <c r="B3436" s="3" t="s">
        <v>3436</v>
      </c>
      <c r="C3436" s="3" t="str">
        <f>IFERROR(__xludf.DUMMYFUNCTION("GOOGLETRANSLATE(B3436,""id"",""en"")"),"['Signal', 'Telkomsel', 'Severe', 'Good', 'Kayak', 'Drops',' Water ',' Outback ',' Change ',' Provider ',' Enjoy ',' Network ',' Okay ',' Come on ',' Telkomsel ',' Provider ',' biggest ',' knp ',' The network ',' contents', 'wallet', 'date', 'old', ""]")</f>
        <v>['Signal', 'Telkomsel', 'Severe', 'Good', 'Kayak', 'Drops',' Water ',' Outback ',' Change ',' Provider ',' Enjoy ',' Network ',' Okay ',' Come on ',' Telkomsel ',' Provider ',' biggest ',' knp ',' The network ',' contents', 'wallet', 'date', 'old', "]</v>
      </c>
      <c r="D3436" s="3">
        <v>1.0</v>
      </c>
    </row>
    <row r="3437" ht="15.75" customHeight="1">
      <c r="A3437" s="1">
        <v>3435.0</v>
      </c>
      <c r="B3437" s="3" t="s">
        <v>3437</v>
      </c>
      <c r="C3437" s="3" t="str">
        <f>IFERROR(__xludf.DUMMYFUNCTION("GOOGLETRANSLATE(B3437,""id"",""en"")"),"['Sedkit', 'Update', 'SDKIT', 'Update', 'Laload', 'Verification', 'SMS', 'Enter', 'Application', 'Ribet']")</f>
        <v>['Sedkit', 'Update', 'SDKIT', 'Update', 'Laload', 'Verification', 'SMS', 'Enter', 'Application', 'Ribet']</v>
      </c>
      <c r="D3437" s="3">
        <v>1.0</v>
      </c>
    </row>
    <row r="3438" ht="15.75" customHeight="1">
      <c r="A3438" s="1">
        <v>3436.0</v>
      </c>
      <c r="B3438" s="3" t="s">
        <v>3438</v>
      </c>
      <c r="C3438" s="3" t="str">
        <f>IFERROR(__xludf.DUMMYFUNCTION("GOOGLETRANSLATE(B3438,""id"",""en"")"),"['at home', 'ciseeng', 'kab', 'bogor', 'signal', 'connection', 'stable', 'speed', 'down', 'easy', 'suck', 'pulses',' Package ',' SGT ',' Disright ', ""]")</f>
        <v>['at home', 'ciseeng', 'kab', 'bogor', 'signal', 'connection', 'stable', 'speed', 'down', 'easy', 'suck', 'pulses',' Package ',' SGT ',' Disright ', "]</v>
      </c>
      <c r="D3438" s="3">
        <v>3.0</v>
      </c>
    </row>
    <row r="3439" ht="15.75" customHeight="1">
      <c r="A3439" s="1">
        <v>3437.0</v>
      </c>
      <c r="B3439" s="3" t="s">
        <v>3439</v>
      </c>
      <c r="C3439" s="3" t="str">
        <f>IFERROR(__xludf.DUMMYFUNCTION("GOOGLETRANSLATE(B3439,""id"",""en"")"),"['Telkomsel', 'slow', 'PDAH', 'quota', 'internet', 'Msih', 'please', 'repaired', 'Problemn', 'questions',' sudh ',' subscription ',' Telkomsel ',' times', 'disappointed', 'Krna', 'quota', 'have', 'slow', 'work', 'Haruh', 'prioritized', 'internet', 'bgin',"&amp;" 'then' , 'Switch', 'card', '']")</f>
        <v>['Telkomsel', 'slow', 'PDAH', 'quota', 'internet', 'Msih', 'please', 'repaired', 'Problemn', 'questions',' sudh ',' subscription ',' Telkomsel ',' times', 'disappointed', 'Krna', 'quota', 'have', 'slow', 'work', 'Haruh', 'prioritized', 'internet', 'bgin', 'then' , 'Switch', 'card', '']</v>
      </c>
      <c r="D3439" s="3">
        <v>1.0</v>
      </c>
    </row>
    <row r="3440" ht="15.75" customHeight="1">
      <c r="A3440" s="1">
        <v>3438.0</v>
      </c>
      <c r="B3440" s="3" t="s">
        <v>3440</v>
      </c>
      <c r="C3440" s="3" t="str">
        <f>IFERROR(__xludf.DUMMYFUNCTION("GOOGLETRANSLATE(B3440,""id"",""en"")"),"['ugly', 'apliactic', 'Telkomsel', 'run out', 'update', 'kmaren', 'check', 'MSA', 'apply', 'tgal', 'tomorrow', 'check', ' Telkomsel ',' Written ',' Out ',' SERES ',' SKRANG ',' PDUS ',' User ',' Telkomsel ',' TPI ',' Sekarng ',' Bad ',' like ',' Honey ' ,"&amp;" 'Credit', 'sucked', 'Gara', 'rich', 'gini', 'telkomsel', 'hbis',' paketash ',' check ',' bsok ',' date ',' confused ',' Fix ',' service ',' customers', 'satisfied', 'rich', 'gini', 'bnyak', 'customer', 'choose', 'move']")</f>
        <v>['ugly', 'apliactic', 'Telkomsel', 'run out', 'update', 'kmaren', 'check', 'MSA', 'apply', 'tgal', 'tomorrow', 'check', ' Telkomsel ',' Written ',' Out ',' SERES ',' SKRANG ',' PDUS ',' User ',' Telkomsel ',' TPI ',' Sekarng ',' Bad ',' like ',' Honey ' , 'Credit', 'sucked', 'Gara', 'rich', 'gini', 'telkomsel', 'hbis',' paketash ',' check ',' bsok ',' date ',' confused ',' Fix ',' service ',' customers', 'satisfied', 'rich', 'gini', 'bnyak', 'customer', 'choose', 'move']</v>
      </c>
      <c r="D3440" s="3">
        <v>1.0</v>
      </c>
    </row>
    <row r="3441" ht="15.75" customHeight="1">
      <c r="A3441" s="1">
        <v>3439.0</v>
      </c>
      <c r="B3441" s="3" t="s">
        <v>3441</v>
      </c>
      <c r="C3441" s="3" t="str">
        <f>IFERROR(__xludf.DUMMYFUNCTION("GOOGLETRANSLATE(B3441,""id"",""en"")"),"['Please', 'Telkomsel', 'improve', 'quality', 'network', 'price', 'package', 'exorbitant', 'quality', 'network', 'abal', 'network', ' Telkomsel ',' UDH ',' Move ',' cellular ']")</f>
        <v>['Please', 'Telkomsel', 'improve', 'quality', 'network', 'price', 'package', 'exorbitant', 'quality', 'network', 'abal', 'network', ' Telkomsel ',' UDH ',' Move ',' cellular ']</v>
      </c>
      <c r="D3441" s="3">
        <v>1.0</v>
      </c>
    </row>
    <row r="3442" ht="15.75" customHeight="1">
      <c r="A3442" s="1">
        <v>3440.0</v>
      </c>
      <c r="B3442" s="3" t="s">
        <v>3442</v>
      </c>
      <c r="C3442" s="3" t="str">
        <f>IFERROR(__xludf.DUMMYFUNCTION("GOOGLETRANSLATE(B3442,""id"",""en"")"),"['Please', 'repaired', 'Network', 'Season', 'Bangett', 'Main', 'Game', 'Online', 'Network', 'Stable', 'Gini', ""]")</f>
        <v>['Please', 'repaired', 'Network', 'Season', 'Bangett', 'Main', 'Game', 'Online', 'Network', 'Stable', 'Gini', "]</v>
      </c>
      <c r="D3442" s="3">
        <v>1.0</v>
      </c>
    </row>
    <row r="3443" ht="15.75" customHeight="1">
      <c r="A3443" s="1">
        <v>3441.0</v>
      </c>
      <c r="B3443" s="3" t="s">
        <v>3443</v>
      </c>
      <c r="C3443" s="3" t="str">
        <f>IFERROR(__xludf.DUMMYFUNCTION("GOOGLETRANSLATE(B3443,""id"",""en"")"),"['signal', 'parahhhh', 'Telkomsel', 'disappointing', 'user', 'youtube', 'okay', 'game', 'weakh', '']")</f>
        <v>['signal', 'parahhhh', 'Telkomsel', 'disappointing', 'user', 'youtube', 'okay', 'game', 'weakh', '']</v>
      </c>
      <c r="D3443" s="3">
        <v>1.0</v>
      </c>
    </row>
    <row r="3444" ht="15.75" customHeight="1">
      <c r="A3444" s="1">
        <v>3442.0</v>
      </c>
      <c r="B3444" s="3" t="s">
        <v>3444</v>
      </c>
      <c r="C3444" s="3" t="str">
        <f>IFERROR(__xludf.DUMMYFUNCTION("GOOGLETRANSLATE(B3444,""id"",""en"")"),"['Telkomsel', 'bodies',' effort ',' belongs', 'state', 'package', 'expensive', 'provider', 'the network', 'Lemott', 'really', 'in the city', ' Dipepay ',' Maklumi ',' Telkomsel ',' Paketannya ',' expensive ',' already ',' so ',' slow ',' sorry ',' talk ',"&amp;"' natural ']")</f>
        <v>['Telkomsel', 'bodies',' effort ',' belongs', 'state', 'package', 'expensive', 'provider', 'the network', 'Lemott', 'really', 'in the city', ' Dipepay ',' Maklumi ',' Telkomsel ',' Paketannya ',' expensive ',' already ',' so ',' slow ',' sorry ',' talk ',' natural ']</v>
      </c>
      <c r="D3444" s="3">
        <v>1.0</v>
      </c>
    </row>
    <row r="3445" ht="15.75" customHeight="1">
      <c r="A3445" s="1">
        <v>3443.0</v>
      </c>
      <c r="B3445" s="3" t="s">
        <v>3445</v>
      </c>
      <c r="C3445" s="3" t="str">
        <f>IFERROR(__xludf.DUMMYFUNCTION("GOOGLETRANSLATE(B3445,""id"",""en"")"),"['steady', 'signal', 'expensive', 'signal', 'no', 'kayak', 'next door', 'smf', 'price', 'telkom', 'signal', 'slow' Mending ',' Choose ',' Telkom ',' OWH ',' Telkom ',' Please ',' Make it ',' Package ',' Data ',' Range ',' Price ',' GB ',' GB ' , 'how']")</f>
        <v>['steady', 'signal', 'expensive', 'signal', 'no', 'kayak', 'next door', 'smf', 'price', 'telkom', 'signal', 'slow' Mending ',' Choose ',' Telkom ',' OWH ',' Telkom ',' Please ',' Make it ',' Package ',' Data ',' Range ',' Price ',' GB ',' GB ' , 'how']</v>
      </c>
      <c r="D3445" s="3">
        <v>5.0</v>
      </c>
    </row>
    <row r="3446" ht="15.75" customHeight="1">
      <c r="A3446" s="1">
        <v>3444.0</v>
      </c>
      <c r="B3446" s="3" t="s">
        <v>3446</v>
      </c>
      <c r="C3446" s="3" t="str">
        <f>IFERROR(__xludf.DUMMYFUNCTION("GOOGLETRANSLATE(B3446,""id"",""en"")"),"['Related', 'application', 'application', 'already', 'okay', 'kometetin', 'quota', 'unlimited', 'quota', 'main', 'multimedia', 'finished', ' right ',' open ',' youtube ',' slow ',' play ',' watch ',' mending ',' delete ',' promo ',' unlimited ',' boong ',"&amp;"' really ',' unlimeted ' , 'Tetep', 'Love', 'Star']")</f>
        <v>['Related', 'application', 'application', 'already', 'okay', 'kometetin', 'quota', 'unlimited', 'quota', 'main', 'multimedia', 'finished', ' right ',' open ',' youtube ',' slow ',' play ',' watch ',' mending ',' delete ',' promo ',' unlimited ',' boong ',' really ',' unlimeted ' , 'Tetep', 'Love', 'Star']</v>
      </c>
      <c r="D3446" s="3">
        <v>1.0</v>
      </c>
    </row>
    <row r="3447" ht="15.75" customHeight="1">
      <c r="A3447" s="1">
        <v>3445.0</v>
      </c>
      <c r="B3447" s="3" t="s">
        <v>3447</v>
      </c>
      <c r="C3447" s="3" t="str">
        <f>IFERROR(__xludf.DUMMYFUNCTION("GOOGLETRANSLATE(B3447,""id"",""en"")"),"['network', 'internet', 'bad', 'region', 'ulk', 'Jermun', 'kec', 'sirah', 'island', 'padang', 'kab', 'ogan', ' Komering ',' Ilir ',' Sumatran ',' South ',' please ',' Help ',' The network ',' Entar ',' Lose ',' Ama ',' Provider ']")</f>
        <v>['network', 'internet', 'bad', 'region', 'ulk', 'Jermun', 'kec', 'sirah', 'island', 'padang', 'kab', 'ogan', ' Komering ',' Ilir ',' Sumatran ',' South ',' please ',' Help ',' The network ',' Entar ',' Lose ',' Ama ',' Provider ']</v>
      </c>
      <c r="D3447" s="3">
        <v>1.0</v>
      </c>
    </row>
    <row r="3448" ht="15.75" customHeight="1">
      <c r="A3448" s="1">
        <v>3446.0</v>
      </c>
      <c r="B3448" s="3" t="s">
        <v>3448</v>
      </c>
      <c r="C3448" s="3" t="str">
        <f>IFERROR(__xludf.DUMMYFUNCTION("GOOGLETRANSLATE(B3448,""id"",""en"")"),"['wow', 'aphopikasih', 'good', 'please', 'improvement', 'bug', '']")</f>
        <v>['wow', 'aphopikasih', 'good', 'please', 'improvement', 'bug', '']</v>
      </c>
      <c r="D3448" s="3">
        <v>4.0</v>
      </c>
    </row>
    <row r="3449" ht="15.75" customHeight="1">
      <c r="A3449" s="1">
        <v>3447.0</v>
      </c>
      <c r="B3449" s="3" t="s">
        <v>3449</v>
      </c>
      <c r="C3449" s="3" t="str">
        <f>IFERROR(__xludf.DUMMYFUNCTION("GOOGLETRANSLATE(B3449,""id"",""en"")"),"['quota', 'multimedia', 'what', 'buy', 'package', 'quota', 'multimedia', 'sucked', 'there', 'written', 'use', 'chat', ' Music ',' Sosmed ',' YouTube ',' Open ',' Sosmed ',' Watch ',' Video ',' YouTube ',' Quota ',' Main ',' Sumpot ',' Quota ',' Multimedia"&amp;" ' , 'Sumpot', 'KB', 'Please', 'Enlightenment', 'Karna', 'Loss', 'Karna', 'Quota', 'Multimedia', 'Display', '']")</f>
        <v>['quota', 'multimedia', 'what', 'buy', 'package', 'quota', 'multimedia', 'sucked', 'there', 'written', 'use', 'chat', ' Music ',' Sosmed ',' YouTube ',' Open ',' Sosmed ',' Watch ',' Video ',' YouTube ',' Quota ',' Main ',' Sumpot ',' Quota ',' Multimedia ' , 'Sumpot', 'KB', 'Please', 'Enlightenment', 'Karna', 'Loss', 'Karna', 'Quota', 'Multimedia', 'Display', '']</v>
      </c>
      <c r="D3449" s="3">
        <v>1.0</v>
      </c>
    </row>
    <row r="3450" ht="15.75" customHeight="1">
      <c r="A3450" s="1">
        <v>3448.0</v>
      </c>
      <c r="B3450" s="3" t="s">
        <v>3450</v>
      </c>
      <c r="C3450" s="3" t="str">
        <f>IFERROR(__xludf.DUMMYFUNCTION("GOOGLETRANSLATE(B3450,""id"",""en"")"),"['complicated', 'application', 'sometimes', 'open', 'sometimes', 'open', 'uninstall', 'download', 'expends', 'quota', 'malhan']")</f>
        <v>['complicated', 'application', 'sometimes', 'open', 'sometimes', 'open', 'uninstall', 'download', 'expends', 'quota', 'malhan']</v>
      </c>
      <c r="D3450" s="3">
        <v>1.0</v>
      </c>
    </row>
    <row r="3451" ht="15.75" customHeight="1">
      <c r="A3451" s="1">
        <v>3449.0</v>
      </c>
      <c r="B3451" s="3" t="s">
        <v>3451</v>
      </c>
      <c r="C3451" s="3" t="str">
        <f>IFERROR(__xludf.DUMMYFUNCTION("GOOGLETRANSLATE(B3451,""id"",""en"")"),"['minus',' star ',' turn off ',' card ',' use ',' card ',' hello ',' dipake ',' ttp ',' installment ',' monthly ',' strange ',' Please ',' Telkomsel ',' Review ',' reset ',' TNTG ',' card ',' Hello ',' burden ',' lgsng ',' troublesome ',' card ',' turned "&amp;"off ',' GMW ' , 'system', 'prepaid', 'troubles',' offer ',' sweet ',' change ',' card ',' card ',' hello ',' dipake ',' swollen ',' pdhl ',' use ',' routine ',' use ',' get ',' network ',' bad ',' in ',' ']")</f>
        <v>['minus',' star ',' turn off ',' card ',' use ',' card ',' hello ',' dipake ',' ttp ',' installment ',' monthly ',' strange ',' Please ',' Telkomsel ',' Review ',' reset ',' TNTG ',' card ',' Hello ',' burden ',' lgsng ',' troublesome ',' card ',' turned off ',' GMW ' , 'system', 'prepaid', 'troubles',' offer ',' sweet ',' change ',' card ',' card ',' hello ',' dipake ',' swollen ',' pdhl ',' use ',' routine ',' use ',' get ',' network ',' bad ',' in ',' ']</v>
      </c>
      <c r="D3451" s="3">
        <v>3.0</v>
      </c>
    </row>
    <row r="3452" ht="15.75" customHeight="1">
      <c r="A3452" s="1">
        <v>3450.0</v>
      </c>
      <c r="B3452" s="3" t="s">
        <v>3452</v>
      </c>
      <c r="C3452" s="3" t="str">
        <f>IFERROR(__xludf.DUMMYFUNCTION("GOOGLETRANSLATE(B3452,""id"",""en"")"),"['Network', 'supports',' please ',' donk ',' price ',' package ',' hrgnya ',' say ',' pingin ',' subscription ',' that's', 'please', ' Considered ',' admin ',' thanks', ""]")</f>
        <v>['Network', 'supports',' please ',' donk ',' price ',' package ',' hrgnya ',' say ',' pingin ',' subscription ',' that's', 'please', ' Considered ',' admin ',' thanks', "]</v>
      </c>
      <c r="D3452" s="3">
        <v>5.0</v>
      </c>
    </row>
    <row r="3453" ht="15.75" customHeight="1">
      <c r="A3453" s="1">
        <v>3451.0</v>
      </c>
      <c r="B3453" s="3" t="s">
        <v>3453</v>
      </c>
      <c r="C3453" s="3" t="str">
        <f>IFERROR(__xludf.DUMMYFUNCTION("GOOGLETRANSLATE(B3453,""id"",""en"")"),"['Please', 'network', 'fix', 'money', 'already', 'package', 'expensive', 'expensive', 'network', 'slow', 'fix', 'please', ' Pulp ',' Telkomsel ',' ']")</f>
        <v>['Please', 'network', 'fix', 'money', 'already', 'package', 'expensive', 'expensive', 'network', 'slow', 'fix', 'please', ' Pulp ',' Telkomsel ',' ']</v>
      </c>
      <c r="D3453" s="3">
        <v>1.0</v>
      </c>
    </row>
    <row r="3454" ht="15.75" customHeight="1">
      <c r="A3454" s="1">
        <v>3452.0</v>
      </c>
      <c r="B3454" s="3" t="s">
        <v>3454</v>
      </c>
      <c r="C3454" s="3" t="str">
        <f>IFERROR(__xludf.DUMMYFUNCTION("GOOGLETRANSLATE(B3454,""id"",""en"")"),"['Network', 'bad', 'comfortable', 'play', 'game', 'online', 'quota', 'unlimitid', 'quota', 'main', 'please', 'fix', ' network ',' disappointing ']")</f>
        <v>['Network', 'bad', 'comfortable', 'play', 'game', 'online', 'quota', 'unlimitid', 'quota', 'main', 'please', 'fix', ' network ',' disappointing ']</v>
      </c>
      <c r="D3454" s="3">
        <v>1.0</v>
      </c>
    </row>
    <row r="3455" ht="15.75" customHeight="1">
      <c r="A3455" s="1">
        <v>3453.0</v>
      </c>
      <c r="B3455" s="3" t="s">
        <v>3455</v>
      </c>
      <c r="C3455" s="3" t="str">
        <f>IFERROR(__xludf.DUMMYFUNCTION("GOOGLETRANSLATE(B3455,""id"",""en"")"),"['Sinyl', 'Telkomsel', 'buy', 'package', 'expensive', 'quality', 'sinyl', 'bad', 'fix', 'gini', 'then', 'bnyk', ' Disappointed ',' High School ',' Provider ',' Gajeee ',' Annjjj ']")</f>
        <v>['Sinyl', 'Telkomsel', 'buy', 'package', 'expensive', 'quality', 'sinyl', 'bad', 'fix', 'gini', 'then', 'bnyk', ' Disappointed ',' High School ',' Provider ',' Gajeee ',' Annjjj ']</v>
      </c>
      <c r="D3455" s="3">
        <v>1.0</v>
      </c>
    </row>
    <row r="3456" ht="15.75" customHeight="1">
      <c r="A3456" s="1">
        <v>3454.0</v>
      </c>
      <c r="B3456" s="3" t="s">
        <v>3456</v>
      </c>
      <c r="C3456" s="3" t="str">
        <f>IFERROR(__xludf.DUMMYFUNCTION("GOOGLETRANSLATE(B3456,""id"",""en"")"),"['recommend', 'Card', 'Telkomsel', 'Person', 'Personal', 'Experience', 'Problem', 'Network', 'Reason', 'Recommend', 'Card', 'Telkomsel', ' People ',' Network ',' experience ',' Problem ',' Thank you ']")</f>
        <v>['recommend', 'Card', 'Telkomsel', 'Person', 'Personal', 'Experience', 'Problem', 'Network', 'Reason', 'Recommend', 'Card', 'Telkomsel', ' People ',' Network ',' experience ',' Problem ',' Thank you ']</v>
      </c>
      <c r="D3456" s="3">
        <v>1.0</v>
      </c>
    </row>
    <row r="3457" ht="15.75" customHeight="1">
      <c r="A3457" s="1">
        <v>3455.0</v>
      </c>
      <c r="B3457" s="3" t="s">
        <v>3457</v>
      </c>
      <c r="C3457" s="3" t="str">
        <f>IFERROR(__xludf.DUMMYFUNCTION("GOOGLETRANSLATE(B3457,""id"",""en"")"),"['buy', 'package', 'no', 'send', 'send', 'tapipulsa', 'already', 'suck', 'like', 'that's',' buy it ',' cigarettes', ' Money ',' ']")</f>
        <v>['buy', 'package', 'no', 'send', 'send', 'tapipulsa', 'already', 'suck', 'like', 'that's',' buy it ',' cigarettes', ' Money ',' ']</v>
      </c>
      <c r="D3457" s="3">
        <v>1.0</v>
      </c>
    </row>
    <row r="3458" ht="15.75" customHeight="1">
      <c r="A3458" s="1">
        <v>3456.0</v>
      </c>
      <c r="B3458" s="3" t="s">
        <v>3458</v>
      </c>
      <c r="C3458" s="3" t="str">
        <f>IFERROR(__xludf.DUMMYFUNCTION("GOOGLETRANSLATE(B3458,""id"",""en"")"),"['price', 'quota', 'internet', 'expensive', 'quota', 'run out', 'forget', 'turn off', 'internet', 'pulse', 'sucked', 'internet', ' package ',' telephone ',' expensive ',' regret ',' use ',' Telkomsel ',' forced ',' already ',' friend ',' save ',' number '"&amp;"]")</f>
        <v>['price', 'quota', 'internet', 'expensive', 'quota', 'run out', 'forget', 'turn off', 'internet', 'pulse', 'sucked', 'internet', ' package ',' telephone ',' expensive ',' regret ',' use ',' Telkomsel ',' forced ',' already ',' friend ',' save ',' number ']</v>
      </c>
      <c r="D3458" s="3">
        <v>1.0</v>
      </c>
    </row>
    <row r="3459" ht="15.75" customHeight="1">
      <c r="A3459" s="1">
        <v>3457.0</v>
      </c>
      <c r="B3459" s="3" t="s">
        <v>3459</v>
      </c>
      <c r="C3459" s="3" t="str">
        <f>IFERROR(__xludf.DUMMYFUNCTION("GOOGLETRANSLATE(B3459,""id"",""en"")"),"['dilapidated', 'fraud', 'quota', 'unlimited', 'checked', 'quota', 'sell', 'unlimited', 'mending', 'provider', 'quota', 'rot', ' ']")</f>
        <v>['dilapidated', 'fraud', 'quota', 'unlimited', 'checked', 'quota', 'sell', 'unlimited', 'mending', 'provider', 'quota', 'rot', ' ']</v>
      </c>
      <c r="D3459" s="3">
        <v>1.0</v>
      </c>
    </row>
    <row r="3460" ht="15.75" customHeight="1">
      <c r="A3460" s="1">
        <v>3458.0</v>
      </c>
      <c r="B3460" s="3" t="s">
        <v>3460</v>
      </c>
      <c r="C3460" s="3" t="str">
        <f>IFERROR(__xludf.DUMMYFUNCTION("GOOGLETRANSLATE(B3460,""id"",""en"")"),"['Assalamualaikum', 'Easy', 'Hopefully', 'Useful', 'Amin', 'Hopefully', 'Win', 'Lottery', 'Exchange', 'Points', 'Barokalallah', 'WSLM']")</f>
        <v>['Assalamualaikum', 'Easy', 'Hopefully', 'Useful', 'Amin', 'Hopefully', 'Win', 'Lottery', 'Exchange', 'Points', 'Barokalallah', 'WSLM']</v>
      </c>
      <c r="D3460" s="3">
        <v>5.0</v>
      </c>
    </row>
    <row r="3461" ht="15.75" customHeight="1">
      <c r="A3461" s="1">
        <v>3459.0</v>
      </c>
      <c r="B3461" s="3" t="s">
        <v>3461</v>
      </c>
      <c r="C3461" s="3" t="str">
        <f>IFERROR(__xludf.DUMMYFUNCTION("GOOGLETRANSLATE(B3461,""id"",""en"")"),"['waahhh', 'application', 'good', 'bangett', 'basically', 'download', 'yaa', ""]")</f>
        <v>['waahhh', 'application', 'good', 'bangett', 'basically', 'download', 'yaa', "]</v>
      </c>
      <c r="D3461" s="3">
        <v>5.0</v>
      </c>
    </row>
    <row r="3462" ht="15.75" customHeight="1">
      <c r="A3462" s="1">
        <v>3460.0</v>
      </c>
      <c r="B3462" s="3" t="s">
        <v>3462</v>
      </c>
      <c r="C3462" s="3" t="str">
        <f>IFERROR(__xludf.DUMMYFUNCTION("GOOGLETRANSLATE(B3462,""id"",""en"")"),"['draw', 'gift', 'Points', 'Undi', 'Real', 'aired', 'Live', 'Exchange', 'Points', 'None', 'Hmmmm', 'hmmmm']")</f>
        <v>['draw', 'gift', 'Points', 'Undi', 'Real', 'aired', 'Live', 'Exchange', 'Points', 'None', 'Hmmmm', 'hmmmm']</v>
      </c>
      <c r="D3462" s="3">
        <v>5.0</v>
      </c>
    </row>
    <row r="3463" ht="15.75" customHeight="1">
      <c r="A3463" s="1">
        <v>3461.0</v>
      </c>
      <c r="B3463" s="3" t="s">
        <v>3463</v>
      </c>
      <c r="C3463" s="3" t="str">
        <f>IFERROR(__xludf.DUMMYFUNCTION("GOOGLETRANSLATE(B3463,""id"",""en"")"),"['package', 'sosmedn', 'package', 'game', 'strange', 'Telkomsel', '']")</f>
        <v>['package', 'sosmedn', 'package', 'game', 'strange', 'Telkomsel', '']</v>
      </c>
      <c r="D3463" s="3">
        <v>3.0</v>
      </c>
    </row>
    <row r="3464" ht="15.75" customHeight="1">
      <c r="A3464" s="1">
        <v>3462.0</v>
      </c>
      <c r="B3464" s="3" t="s">
        <v>3464</v>
      </c>
      <c r="C3464" s="3" t="str">
        <f>IFERROR(__xludf.DUMMYFUNCTION("GOOGLETRANSLATE(B3464,""id"",""en"")"),"['Ngak', 'intention', 'what', 'network', 'slow', 'login', 'expired', 'already', 'ber', 'user', 'loyal', 'Telkomsel', ' disappointed ',' really ',' original ',' slow ',' ngak ',' haurs', 'buy', 'feeling', 'quality', 'see', 'a week', 'in the future', 'what'"&amp;" , 'slow', 'move', 'next door', 'cheap', 'network', 'stable', 'kakean', 'bacot', 'block', 'please', '']")</f>
        <v>['Ngak', 'intention', 'what', 'network', 'slow', 'login', 'expired', 'already', 'ber', 'user', 'loyal', 'Telkomsel', ' disappointed ',' really ',' original ',' slow ',' ngak ',' haurs', 'buy', 'feeling', 'quality', 'see', 'a week', 'in the future', 'what' , 'slow', 'move', 'next door', 'cheap', 'network', 'stable', 'kakean', 'bacot', 'block', 'please', '']</v>
      </c>
      <c r="D3464" s="3">
        <v>5.0</v>
      </c>
    </row>
    <row r="3465" ht="15.75" customHeight="1">
      <c r="A3465" s="1">
        <v>3463.0</v>
      </c>
      <c r="B3465" s="3" t="s">
        <v>3465</v>
      </c>
      <c r="C3465" s="3" t="str">
        <f>IFERROR(__xludf.DUMMYFUNCTION("GOOGLETRANSLATE(B3465,""id"",""en"")"),"['Telkomsel', 'Times',' Disappointed ',' Capital ',' Country ',' Republic ',' Indonesia ',' Network ',' Telkomsel ',' ugly ',' open ',' Wait ',' Minutes', 'loading', 'open', 'boring', '']")</f>
        <v>['Telkomsel', 'Times',' Disappointed ',' Capital ',' Country ',' Republic ',' Indonesia ',' Network ',' Telkomsel ',' ugly ',' open ',' Wait ',' Minutes', 'loading', 'open', 'boring', '']</v>
      </c>
      <c r="D3465" s="3">
        <v>1.0</v>
      </c>
    </row>
    <row r="3466" ht="15.75" customHeight="1">
      <c r="A3466" s="1">
        <v>3464.0</v>
      </c>
      <c r="B3466" s="3" t="s">
        <v>3466</v>
      </c>
      <c r="C3466" s="3" t="str">
        <f>IFERROR(__xludf.DUMMYFUNCTION("GOOGLETRANSLATE(B3466,""id"",""en"")"),"['ugly', 'really', 'like', 'nge', 'suck', 'pulse', 'no', 'subscribe', 'quota', 'suck', ""]")</f>
        <v>['ugly', 'really', 'like', 'nge', 'suck', 'pulse', 'no', 'subscribe', 'quota', 'suck', "]</v>
      </c>
      <c r="D3466" s="3">
        <v>3.0</v>
      </c>
    </row>
    <row r="3467" ht="15.75" customHeight="1">
      <c r="A3467" s="1">
        <v>3465.0</v>
      </c>
      <c r="B3467" s="3" t="s">
        <v>3467</v>
      </c>
      <c r="C3467" s="3" t="str">
        <f>IFERROR(__xludf.DUMMYFUNCTION("GOOGLETRANSLATE(B3467,""id"",""en"")"),"['application', 'ugly', 'bangetttttttt', 'check', 'quota', 'card', 'hello', 'date', 'minus',' September ',' date ',' date ',' Cut ',' Satuhari ',' Komsumen ',' World ',' Komsel ',' Fortune ',' Counts', 'Cheat', 'Turn', 'Call', 'Contact', 'The Replication'"&amp;", 'The Application' , 'Sometimes',' Error ',' Try ',' removed ',' Install ',' reset ',' Culas', 'bin', 'cheat', 'told', 'Delete', 'App', ' Have ',' donlot ',' idiot ',' komsel ']")</f>
        <v>['application', 'ugly', 'bangetttttttt', 'check', 'quota', 'card', 'hello', 'date', 'minus',' September ',' date ',' date ',' Cut ',' Satuhari ',' Komsumen ',' World ',' Komsel ',' Fortune ',' Counts', 'Cheat', 'Turn', 'Call', 'Contact', 'The Replication', 'The Application' , 'Sometimes',' Error ',' Try ',' removed ',' Install ',' reset ',' Culas', 'bin', 'cheat', 'told', 'Delete', 'App', ' Have ',' donlot ',' idiot ',' komsel ']</v>
      </c>
      <c r="D3467" s="3">
        <v>1.0</v>
      </c>
    </row>
    <row r="3468" ht="15.75" customHeight="1">
      <c r="A3468" s="1">
        <v>3466.0</v>
      </c>
      <c r="B3468" s="3" t="s">
        <v>3468</v>
      </c>
      <c r="C3468" s="3" t="str">
        <f>IFERROR(__xludf.DUMMYFUNCTION("GOOGLETRANSLATE(B3468,""id"",""en"")"),"['How', 'The story', 'Sia', 'Sia', 'buy', 'Package', 'Call', 'right', 'Call', 'Credit', 'Eaten', 'Gaje']")</f>
        <v>['How', 'The story', 'Sia', 'Sia', 'buy', 'Package', 'Call', 'right', 'Call', 'Credit', 'Eaten', 'Gaje']</v>
      </c>
      <c r="D3468" s="3">
        <v>1.0</v>
      </c>
    </row>
    <row r="3469" ht="15.75" customHeight="1">
      <c r="A3469" s="1">
        <v>3467.0</v>
      </c>
      <c r="B3469" s="3" t="s">
        <v>3469</v>
      </c>
      <c r="C3469" s="3" t="str">
        <f>IFERROR(__xludf.DUMMYFUNCTION("GOOGLETRANSLATE(B3469,""id"",""en"")"),"['Card', 'Telkomsel', 'Different', 'Price', 'Paketan', 'Card', 'Telkomsel', 'Sympathy', 'Etc.', 'Sampe', 'Try', 'Buy', ' "", 'card', 'Different', 'Different', 'Different', 'Different', 'Package', 'Combo', 'Sakti', 'Unlimited', 'already', 'expensive' , 'Ga"&amp;"bisa', 'YouTube', 'Yesterday', 'disappointing', '']")</f>
        <v>['Card', 'Telkomsel', 'Different', 'Price', 'Paketan', 'Card', 'Telkomsel', 'Sympathy', 'Etc.', 'Sampe', 'Try', 'Buy', ' ", 'card', 'Different', 'Different', 'Different', 'Different', 'Package', 'Combo', 'Sakti', 'Unlimited', 'already', 'expensive' , 'Gabisa', 'YouTube', 'Yesterday', 'disappointing', '']</v>
      </c>
      <c r="D3469" s="3">
        <v>1.0</v>
      </c>
    </row>
    <row r="3470" ht="15.75" customHeight="1">
      <c r="A3470" s="1">
        <v>3468.0</v>
      </c>
      <c r="B3470" s="3" t="s">
        <v>3470</v>
      </c>
      <c r="C3470" s="3" t="str">
        <f>IFERROR(__xludf.DUMMYFUNCTION("GOOGLETRANSLATE(B3470,""id"",""en"")"),"['Fast', 'stable', 'fast', 'lag', 'stable', 'ms', 'mending', 'closed', ""]")</f>
        <v>['Fast', 'stable', 'fast', 'lag', 'stable', 'ms', 'mending', 'closed', "]</v>
      </c>
      <c r="D3470" s="3">
        <v>1.0</v>
      </c>
    </row>
    <row r="3471" ht="15.75" customHeight="1">
      <c r="A3471" s="1">
        <v>3469.0</v>
      </c>
      <c r="B3471" s="3" t="s">
        <v>3471</v>
      </c>
      <c r="C3471" s="3" t="str">
        <f>IFERROR(__xludf.DUMMYFUNCTION("GOOGLETRANSLATE(B3471,""id"",""en"")"),"['confusing', 'fill', 'difficult', 'opened', 'the application', 'comfortable', 'makes it difficult']")</f>
        <v>['confusing', 'fill', 'difficult', 'opened', 'the application', 'comfortable', 'makes it difficult']</v>
      </c>
      <c r="D3471" s="3">
        <v>1.0</v>
      </c>
    </row>
    <row r="3472" ht="15.75" customHeight="1">
      <c r="A3472" s="1">
        <v>3470.0</v>
      </c>
      <c r="B3472" s="3" t="s">
        <v>3472</v>
      </c>
      <c r="C3472" s="3" t="str">
        <f>IFERROR(__xludf.DUMMYFUNCTION("GOOGLETRANSLATE(B3472,""id"",""en"")"),"['signal', 'Kura', 'CPTan', 'Kura', 'PDHAL', 'The capital', 'poor', ""]")</f>
        <v>['signal', 'Kura', 'CPTan', 'Kura', 'PDHAL', 'The capital', 'poor', "]</v>
      </c>
      <c r="D3472" s="3">
        <v>1.0</v>
      </c>
    </row>
    <row r="3473" ht="15.75" customHeight="1">
      <c r="A3473" s="1">
        <v>3471.0</v>
      </c>
      <c r="B3473" s="3" t="s">
        <v>3473</v>
      </c>
      <c r="C3473" s="3" t="str">
        <f>IFERROR(__xludf.DUMMYFUNCTION("GOOGLETRANSLATE(B3473,""id"",""en"")"),"['Package', 'Mahallll', 'signal', 'good', 'rare', 'bonus', 'buy', 'thousand', 'poor', 'Telkomsel']")</f>
        <v>['Package', 'Mahallll', 'signal', 'good', 'rare', 'bonus', 'buy', 'thousand', 'poor', 'Telkomsel']</v>
      </c>
      <c r="D3473" s="3">
        <v>1.0</v>
      </c>
    </row>
    <row r="3474" ht="15.75" customHeight="1">
      <c r="A3474" s="1">
        <v>3472.0</v>
      </c>
      <c r="B3474" s="3" t="s">
        <v>3474</v>
      </c>
      <c r="C3474" s="3" t="str">
        <f>IFERROR(__xludf.DUMMYFUNCTION("GOOGLETRANSLATE(B3474,""id"",""en"")"),"['Okay', 'really', 'fun', 'promo', 'wow', 'Thanks', 'for', 'Telkomsel']")</f>
        <v>['Okay', 'really', 'fun', 'promo', 'wow', 'Thanks', 'for', 'Telkomsel']</v>
      </c>
      <c r="D3474" s="3">
        <v>5.0</v>
      </c>
    </row>
    <row r="3475" ht="15.75" customHeight="1">
      <c r="A3475" s="1">
        <v>3473.0</v>
      </c>
      <c r="B3475" s="3" t="s">
        <v>3475</v>
      </c>
      <c r="C3475" s="3" t="str">
        <f>IFERROR(__xludf.DUMMYFUNCTION("GOOGLETRANSLATE(B3475,""id"",""en"")"),"['Please', 'admin', 'repaired', 'pulse', 'check', 'pulses', 'already', 'run out', 'use', ""]")</f>
        <v>['Please', 'admin', 'repaired', 'pulse', 'check', 'pulses', 'already', 'run out', 'use', "]</v>
      </c>
      <c r="D3475" s="3">
        <v>4.0</v>
      </c>
    </row>
    <row r="3476" ht="15.75" customHeight="1">
      <c r="A3476" s="1">
        <v>3474.0</v>
      </c>
      <c r="B3476" s="3" t="s">
        <v>3476</v>
      </c>
      <c r="C3476" s="3" t="str">
        <f>IFERROR(__xludf.DUMMYFUNCTION("GOOGLETRANSLATE(B3476,""id"",""en"")"),"['Sayangkan', 'package', 'expensive', 'signal', 'ilang', 'family', 'Telkomsel']")</f>
        <v>['Sayangkan', 'package', 'expensive', 'signal', 'ilang', 'family', 'Telkomsel']</v>
      </c>
      <c r="D3476" s="3">
        <v>3.0</v>
      </c>
    </row>
    <row r="3477" ht="15.75" customHeight="1">
      <c r="A3477" s="1">
        <v>3475.0</v>
      </c>
      <c r="B3477" s="3" t="s">
        <v>3477</v>
      </c>
      <c r="C3477" s="3" t="str">
        <f>IFERROR(__xludf.DUMMYFUNCTION("GOOGLETRANSLATE(B3477,""id"",""en"")"),"['Telkomsel', 'cheap', 'abis', 'please', 'note', 'network', 'village', 'wear', 'card', 'Telkomsel', 'diesa']")</f>
        <v>['Telkomsel', 'cheap', 'abis', 'please', 'note', 'network', 'village', 'wear', 'card', 'Telkomsel', 'diesa']</v>
      </c>
      <c r="D3477" s="3">
        <v>4.0</v>
      </c>
    </row>
    <row r="3478" ht="15.75" customHeight="1">
      <c r="A3478" s="1">
        <v>3476.0</v>
      </c>
      <c r="B3478" s="3" t="s">
        <v>3478</v>
      </c>
      <c r="C3478" s="3" t="str">
        <f>IFERROR(__xludf.DUMMYFUNCTION("GOOGLETRANSLATE(B3478,""id"",""en"")"),"['Network', 'Telkomsel', 'connection', 'TER', 'BAD', 'Network', 'March', 'March', 'Hour', 'Hour', 'Telkomsel', ' Warehouse ',' garbage ',' promotion ',' Advertising ',' Telkomsel ',' Cut ',' Credit ',' Sorry ',' Dikkomsel ',' Missksa ']")</f>
        <v>['Network', 'Telkomsel', 'connection', 'TER', 'BAD', 'Network', 'March', 'March', 'Hour', 'Hour', 'Telkomsel', ' Warehouse ',' garbage ',' promotion ',' Advertising ',' Telkomsel ',' Cut ',' Credit ',' Sorry ',' Dikkomsel ',' Missksa ']</v>
      </c>
      <c r="D3478" s="3">
        <v>1.0</v>
      </c>
    </row>
    <row r="3479" ht="15.75" customHeight="1">
      <c r="A3479" s="1">
        <v>3477.0</v>
      </c>
      <c r="B3479" s="3" t="s">
        <v>3479</v>
      </c>
      <c r="C3479" s="3" t="str">
        <f>IFERROR(__xludf.DUMMYFUNCTION("GOOGLETRANSLATE(B3479,""id"",""en"")"),"['Operator', 'damn', 'contents', 'pulse', 'already', 'angus', 'looks', 'money', 'right', 'devil', ""]")</f>
        <v>['Operator', 'damn', 'contents', 'pulse', 'already', 'angus', 'looks', 'money', 'right', 'devil', "]</v>
      </c>
      <c r="D3479" s="3">
        <v>1.0</v>
      </c>
    </row>
    <row r="3480" ht="15.75" customHeight="1">
      <c r="A3480" s="1">
        <v>3478.0</v>
      </c>
      <c r="B3480" s="3" t="s">
        <v>3480</v>
      </c>
      <c r="C3480" s="3" t="str">
        <f>IFERROR(__xludf.DUMMYFUNCTION("GOOGLETRANSLATE(B3480,""id"",""en"")"),"['Telkomsel', 'Kek', 'Djancok', 'Sousal', 'PDUS', 'cellphone', 'loyal', 'Telkomsel', 'expensive', 'TPI', 'connection', 'Djancok', ' ']")</f>
        <v>['Telkomsel', 'Kek', 'Djancok', 'Sousal', 'PDUS', 'cellphone', 'loyal', 'Telkomsel', 'expensive', 'TPI', 'connection', 'Djancok', ' ']</v>
      </c>
      <c r="D3480" s="3">
        <v>1.0</v>
      </c>
    </row>
    <row r="3481" ht="15.75" customHeight="1">
      <c r="A3481" s="1">
        <v>3479.0</v>
      </c>
      <c r="B3481" s="3" t="s">
        <v>3481</v>
      </c>
      <c r="C3481" s="3" t="str">
        <f>IFERROR(__xludf.DUMMYFUNCTION("GOOGLETRANSLATE(B3481,""id"",""en"")"),"['Use', 'Telkomsel', 'Price', 'Quality', 'TPI', 'Price', 'Expensive', 'Quality', 'BNI', 'Slow', 'Switch', ""]")</f>
        <v>['Use', 'Telkomsel', 'Price', 'Quality', 'TPI', 'Price', 'Expensive', 'Quality', 'BNI', 'Slow', 'Switch', "]</v>
      </c>
      <c r="D3481" s="3">
        <v>1.0</v>
      </c>
    </row>
    <row r="3482" ht="15.75" customHeight="1">
      <c r="A3482" s="1">
        <v>3480.0</v>
      </c>
      <c r="B3482" s="3" t="s">
        <v>3482</v>
      </c>
      <c r="C3482" s="3" t="str">
        <f>IFERROR(__xludf.DUMMYFUNCTION("GOOGLETRANSLATE(B3482,""id"",""en"")"),"['The application', 'broken', 'loading', 'buy', 'package', 'solution', 'ganri', 'ksrtu', 'bye', 'bye', 'garbage']")</f>
        <v>['The application', 'broken', 'loading', 'buy', 'package', 'solution', 'ganri', 'ksrtu', 'bye', 'bye', 'garbage']</v>
      </c>
      <c r="D3482" s="3">
        <v>1.0</v>
      </c>
    </row>
    <row r="3483" ht="15.75" customHeight="1">
      <c r="A3483" s="1">
        <v>3481.0</v>
      </c>
      <c r="B3483" s="3" t="s">
        <v>3483</v>
      </c>
      <c r="C3483" s="3" t="str">
        <f>IFERROR(__xludf.DUMMYFUNCTION("GOOGLETRANSLATE(B3483,""id"",""en"")"),"['application', 'easy', 'used', 'event', 'prize', 'absent', 'daily', 'thank', 'love', 'Telkomsel', 'plus',' gift ',' Event ',' quota ',' hope ',' Jaya ',' Barokah ',' hesitate ',' download ',' APK ',' friend ',' friend ',' useful ',' unfortunately ',' net"&amp;"work ' , 'Telkomsel', 'stable', '']")</f>
        <v>['application', 'easy', 'used', 'event', 'prize', 'absent', 'daily', 'thank', 'love', 'Telkomsel', 'plus',' gift ',' Event ',' quota ',' hope ',' Jaya ',' Barokah ',' hesitate ',' download ',' APK ',' friend ',' friend ',' useful ',' unfortunately ',' network ' , 'Telkomsel', 'stable', '']</v>
      </c>
      <c r="D3483" s="3">
        <v>5.0</v>
      </c>
    </row>
    <row r="3484" ht="15.75" customHeight="1">
      <c r="A3484" s="1">
        <v>3482.0</v>
      </c>
      <c r="B3484" s="3" t="s">
        <v>3484</v>
      </c>
      <c r="C3484" s="3" t="str">
        <f>IFERROR(__xludf.DUMMYFUNCTION("GOOGLETRANSLATE(B3484,""id"",""en"")"),"['complaining', 'package', 'data', 'Telkomsel', 'buy', 'KRTU', 'Telkomsel']")</f>
        <v>['complaining', 'package', 'data', 'Telkomsel', 'buy', 'KRTU', 'Telkomsel']</v>
      </c>
      <c r="D3484" s="3">
        <v>1.0</v>
      </c>
    </row>
    <row r="3485" ht="15.75" customHeight="1">
      <c r="A3485" s="1">
        <v>3483.0</v>
      </c>
      <c r="B3485" s="3" t="s">
        <v>3485</v>
      </c>
      <c r="C3485" s="3" t="str">
        <f>IFERROR(__xludf.DUMMYFUNCTION("GOOGLETRANSLATE(B3485,""id"",""en"")"),"['disappointing', 'buy', 'pulse', 'thousand', 'intention', 'buy', 'call', 'free', 'apply', ""]")</f>
        <v>['disappointing', 'buy', 'pulse', 'thousand', 'intention', 'buy', 'call', 'free', 'apply', "]</v>
      </c>
      <c r="D3485" s="3">
        <v>1.0</v>
      </c>
    </row>
    <row r="3486" ht="15.75" customHeight="1">
      <c r="A3486" s="1">
        <v>3484.0</v>
      </c>
      <c r="B3486" s="3" t="s">
        <v>3486</v>
      </c>
      <c r="C3486" s="3" t="str">
        <f>IFERROR(__xludf.DUMMYFUNCTION("GOOGLETRANSLATE(B3486,""id"",""en"")"),"['Application', 'Help', 'users', 'Telkomsel', 'Download', 'Application', 'Get', 'Ease', ""]")</f>
        <v>['Application', 'Help', 'users', 'Telkomsel', 'Download', 'Application', 'Get', 'Ease', "]</v>
      </c>
      <c r="D3486" s="3">
        <v>5.0</v>
      </c>
    </row>
    <row r="3487" ht="15.75" customHeight="1">
      <c r="A3487" s="1">
        <v>3485.0</v>
      </c>
      <c r="B3487" s="3" t="s">
        <v>3487</v>
      </c>
      <c r="C3487" s="3" t="str">
        <f>IFERROR(__xludf.DUMMYFUNCTION("GOOGLETRANSLATE(B3487,""id"",""en"")"),"['Features',' Skrensut ',' Must ',' Upload ',' Application ',' Loading ',' Failed ',' Menuh ',' Menuhin ',' Function ',' Noll ',' As appropriate ',' price']")</f>
        <v>['Features',' Skrensut ',' Must ',' Upload ',' Application ',' Loading ',' Failed ',' Menuh ',' Menuhin ',' Function ',' Noll ',' As appropriate ',' price']</v>
      </c>
      <c r="D3487" s="3">
        <v>5.0</v>
      </c>
    </row>
    <row r="3488" ht="15.75" customHeight="1">
      <c r="A3488" s="1">
        <v>3486.0</v>
      </c>
      <c r="B3488" s="3" t="s">
        <v>3488</v>
      </c>
      <c r="C3488" s="3" t="str">
        <f>IFERROR(__xludf.DUMMYFUNCTION("GOOGLETRANSLATE(B3488,""id"",""en"")"),"['star', 'right', 'play', 'game', 'network', 'Telkomsel', 'road', 'jammed', 'what's',' that's', 'data', 'MB', ' turn on ',' mode ',' plane ',' turn off ',' login ',' game ',' road ',' damaged ',' network ',' please ',' response ',' Thank you ' , '']")</f>
        <v>['star', 'right', 'play', 'game', 'network', 'Telkomsel', 'road', 'jammed', 'what's',' that's', 'data', 'MB', ' turn on ',' mode ',' plane ',' turn off ',' login ',' game ',' road ',' damaged ',' network ',' please ',' response ',' Thank you ' , '']</v>
      </c>
      <c r="D3488" s="3">
        <v>1.0</v>
      </c>
    </row>
    <row r="3489" ht="15.75" customHeight="1">
      <c r="A3489" s="1">
        <v>3487.0</v>
      </c>
      <c r="B3489" s="3" t="s">
        <v>3489</v>
      </c>
      <c r="C3489" s="3" t="str">
        <f>IFERROR(__xludf.DUMMYFUNCTION("GOOGLETRANSLATE(B3489,""id"",""en"")"),"['Display', 'Honest', 'Comfortable', 'Good', 'Upgrade', 'Paketan', 'Delicious',' Card ',' mah ',' expensive ',' buy ',' card ',' sympathy']")</f>
        <v>['Display', 'Honest', 'Comfortable', 'Good', 'Upgrade', 'Paketan', 'Delicious',' Card ',' mah ',' expensive ',' buy ',' card ',' sympathy']</v>
      </c>
      <c r="D3489" s="3">
        <v>2.0</v>
      </c>
    </row>
    <row r="3490" ht="15.75" customHeight="1">
      <c r="A3490" s="1">
        <v>3488.0</v>
      </c>
      <c r="B3490" s="3" t="s">
        <v>3490</v>
      </c>
      <c r="C3490" s="3" t="str">
        <f>IFERROR(__xludf.DUMMYFUNCTION("GOOGLETRANSLATE(B3490,""id"",""en"")"),"['Bonus',' quota ',' cheap ',' because ',' pulse ',' contents', 'according to', 'price', 'printed', 'right', 'already', 'contents',' right ',' Call ',' Sytem ',' busy ',' troubling ',' Sia ',' cave ',' contents', 'pulses']")</f>
        <v>['Bonus',' quota ',' cheap ',' because ',' pulse ',' contents', 'according to', 'price', 'printed', 'right', 'already', 'contents',' right ',' Call ',' Sytem ',' busy ',' troubling ',' Sia ',' cave ',' contents', 'pulses']</v>
      </c>
      <c r="D3490" s="3">
        <v>1.0</v>
      </c>
    </row>
    <row r="3491" ht="15.75" customHeight="1">
      <c r="A3491" s="1">
        <v>3489.0</v>
      </c>
      <c r="B3491" s="3" t="s">
        <v>3491</v>
      </c>
      <c r="C3491" s="3" t="str">
        <f>IFERROR(__xludf.DUMMYFUNCTION("GOOGLETRANSLATE(B3491,""id"",""en"")"),"['run out', 'pay', 'arrears',' katu ',' post "", 'pay', 'card', 'thank you', 'Telkomsel']")</f>
        <v>['run out', 'pay', 'arrears',' katu ',' post ", 'pay', 'card', 'thank you', 'Telkomsel']</v>
      </c>
      <c r="D3491" s="3">
        <v>1.0</v>
      </c>
    </row>
    <row r="3492" ht="15.75" customHeight="1">
      <c r="A3492" s="1">
        <v>3490.0</v>
      </c>
      <c r="B3492" s="3" t="s">
        <v>3492</v>
      </c>
      <c r="C3492" s="3" t="str">
        <f>IFERROR(__xludf.DUMMYFUNCTION("GOOGLETRANSLATE(B3492,""id"",""en"")"),"['package', 'cave', 'buy', 'lost', 'extra', 'unlimited', 'until', 'internet', 'Sakti', 'missing', 'package', 'whort', ' bought ',' in my opinion ',' please ',' cave ',' just ',' want ',' internet ',' magic ',' card ']")</f>
        <v>['package', 'cave', 'buy', 'lost', 'extra', 'unlimited', 'until', 'internet', 'Sakti', 'missing', 'package', 'whort', ' bought ',' in my opinion ',' please ',' cave ',' just ',' want ',' internet ',' magic ',' card ']</v>
      </c>
      <c r="D3492" s="3">
        <v>5.0</v>
      </c>
    </row>
    <row r="3493" ht="15.75" customHeight="1">
      <c r="A3493" s="1">
        <v>3491.0</v>
      </c>
      <c r="B3493" s="3" t="s">
        <v>3493</v>
      </c>
      <c r="C3493" s="3" t="str">
        <f>IFERROR(__xludf.DUMMYFUNCTION("GOOGLETRANSLATE(B3493,""id"",""en"")"),"['Woooy', 'Telkomsel', 'fix it', 'signal', 'temple', 'temple', ""]")</f>
        <v>['Woooy', 'Telkomsel', 'fix it', 'signal', 'temple', 'temple', "]</v>
      </c>
      <c r="D3493" s="3">
        <v>1.0</v>
      </c>
    </row>
    <row r="3494" ht="15.75" customHeight="1">
      <c r="A3494" s="1">
        <v>3492.0</v>
      </c>
      <c r="B3494" s="3" t="s">
        <v>3494</v>
      </c>
      <c r="C3494" s="3" t="str">
        <f>IFERROR(__xludf.DUMMYFUNCTION("GOOGLETRANSLATE(B3494,""id"",""en"")"),"['Please', 'Network', 'Light', 'Region', 'Lemot', 'Mulu']")</f>
        <v>['Please', 'Network', 'Light', 'Region', 'Lemot', 'Mulu']</v>
      </c>
      <c r="D3494" s="3">
        <v>5.0</v>
      </c>
    </row>
    <row r="3495" ht="15.75" customHeight="1">
      <c r="A3495" s="1">
        <v>3493.0</v>
      </c>
      <c r="B3495" s="3" t="s">
        <v>3495</v>
      </c>
      <c r="C3495" s="3" t="str">
        <f>IFERROR(__xludf.DUMMYFUNCTION("GOOGLETRANSLATE(B3495,""id"",""en"")"),"['comfort', 'convenience', 'buy', 'menstroll', 'like', 'gift', 'there', 'exchanged', 'package', 'internet', 'guaranteed']")</f>
        <v>['comfort', 'convenience', 'buy', 'menstroll', 'like', 'gift', 'there', 'exchanged', 'package', 'internet', 'guaranteed']</v>
      </c>
      <c r="D3495" s="3">
        <v>5.0</v>
      </c>
    </row>
    <row r="3496" ht="15.75" customHeight="1">
      <c r="A3496" s="1">
        <v>3494.0</v>
      </c>
      <c r="B3496" s="3" t="s">
        <v>3496</v>
      </c>
      <c r="C3496" s="3" t="str">
        <f>IFERROR(__xludf.DUMMYFUNCTION("GOOGLETRANSLATE(B3496,""id"",""en"")"),"['package', 'best', 'buy', 'then', 'internet', 'pulse', 'abis',' right ',' check ',' package ',' bought ',' bought ',' strange']")</f>
        <v>['package', 'best', 'buy', 'then', 'internet', 'pulse', 'abis',' right ',' check ',' package ',' bought ',' bought ',' strange']</v>
      </c>
      <c r="D3496" s="3">
        <v>1.0</v>
      </c>
    </row>
    <row r="3497" ht="15.75" customHeight="1">
      <c r="A3497" s="1">
        <v>3495.0</v>
      </c>
      <c r="B3497" s="3" t="s">
        <v>3497</v>
      </c>
      <c r="C3497" s="3" t="str">
        <f>IFERROR(__xludf.DUMMYFUNCTION("GOOGLETRANSLATE(B3497,""id"",""en"")"),"['Paketan', 'BLM', 'Enter', 'Payment', 'Gopay', 'Paketan', 'BLM', 'Enter']")</f>
        <v>['Paketan', 'BLM', 'Enter', 'Payment', 'Gopay', 'Paketan', 'BLM', 'Enter']</v>
      </c>
      <c r="D3497" s="3">
        <v>1.0</v>
      </c>
    </row>
    <row r="3498" ht="15.75" customHeight="1">
      <c r="A3498" s="1">
        <v>3496.0</v>
      </c>
      <c r="B3498" s="3" t="s">
        <v>3498</v>
      </c>
      <c r="C3498" s="3" t="str">
        <f>IFERROR(__xludf.DUMMYFUNCTION("GOOGLETRANSLATE(B3498,""id"",""en"")"),"['Alright', 'Nga', 'Talk', 'expect', 'Jngn', 'cheats', 'play', 'person', 'Jngn', 'expensive', 'package', ""]")</f>
        <v>['Alright', 'Nga', 'Talk', 'expect', 'Jngn', 'cheats', 'play', 'person', 'Jngn', 'expensive', 'package', "]</v>
      </c>
      <c r="D3498" s="3">
        <v>3.0</v>
      </c>
    </row>
    <row r="3499" ht="15.75" customHeight="1">
      <c r="A3499" s="1">
        <v>3497.0</v>
      </c>
      <c r="B3499" s="3" t="s">
        <v>3499</v>
      </c>
      <c r="C3499" s="3" t="str">
        <f>IFERROR(__xludf.DUMMYFUNCTION("GOOGLETRANSLATE(B3499,""id"",""en"")"),"['Comfortable', 'Hallo', 'Quality', 'Bad', 'Star', 'Down', 'Easy', 'Klw', 'Given', 'Star']")</f>
        <v>['Comfortable', 'Hallo', 'Quality', 'Bad', 'Star', 'Down', 'Easy', 'Klw', 'Given', 'Star']</v>
      </c>
      <c r="D3499" s="3">
        <v>1.0</v>
      </c>
    </row>
    <row r="3500" ht="15.75" customHeight="1">
      <c r="A3500" s="1">
        <v>3498.0</v>
      </c>
      <c r="B3500" s="3" t="s">
        <v>3500</v>
      </c>
      <c r="C3500" s="3" t="str">
        <f>IFERROR(__xludf.DUMMYFUNCTION("GOOGLETRANSLATE(B3500,""id"",""en"")"),"['according to', 'product', 'package', 'card', 'Telkomsel', 'buy', 'package', 'combo', 'magic', 'clock', 'service', 'thank', ' Telkomsel ',' disappointing ']")</f>
        <v>['according to', 'product', 'package', 'card', 'Telkomsel', 'buy', 'package', 'combo', 'magic', 'clock', 'service', 'thank', ' Telkomsel ',' disappointing ']</v>
      </c>
      <c r="D3500" s="3">
        <v>1.0</v>
      </c>
    </row>
    <row r="3501" ht="15.75" customHeight="1">
      <c r="A3501" s="1">
        <v>3499.0</v>
      </c>
      <c r="B3501" s="3" t="s">
        <v>3501</v>
      </c>
      <c r="C3501" s="3" t="str">
        <f>IFERROR(__xludf.DUMMYFUNCTION("GOOGLETRANSLATE(B3501,""id"",""en"")"),"['Difficult', 'really', 'logged', 'SDAH', 'PKE', 'Email', 'SMS', 'Google', 'entry', 'whatsih', 'padah', 'DFTRNX', ' Satisfied ',' TPI ',' turn ',' enter ',' please ',' fix ',' min ',' ']")</f>
        <v>['Difficult', 'really', 'logged', 'SDAH', 'PKE', 'Email', 'SMS', 'Google', 'entry', 'whatsih', 'padah', 'DFTRNX', ' Satisfied ',' TPI ',' turn ',' enter ',' please ',' fix ',' min ',' ']</v>
      </c>
      <c r="D3501" s="3">
        <v>1.0</v>
      </c>
    </row>
    <row r="3502" ht="15.75" customHeight="1">
      <c r="A3502" s="1">
        <v>3500.0</v>
      </c>
      <c r="B3502" s="3" t="s">
        <v>3502</v>
      </c>
      <c r="C3502" s="3" t="str">
        <f>IFERROR(__xludf.DUMMYFUNCTION("GOOGLETRANSLATE(B3502,""id"",""en"")"),"['Logic', 'MyTelkomsel', 'Easy', 'Looking', 'Information', '']")</f>
        <v>['Logic', 'MyTelkomsel', 'Easy', 'Looking', 'Information', '']</v>
      </c>
      <c r="D3502" s="3">
        <v>5.0</v>
      </c>
    </row>
    <row r="3503" ht="15.75" customHeight="1">
      <c r="A3503" s="1">
        <v>3501.0</v>
      </c>
      <c r="B3503" s="3" t="s">
        <v>3503</v>
      </c>
      <c r="C3503" s="3" t="str">
        <f>IFERROR(__xludf.DUMMYFUNCTION("GOOGLETRANSLATE(B3503,""id"",""en"")"),"['Severe', 'Non', 'Activate', 'Package', 'Extra', 'Quota', 'Package', 'Main', 'Follow', 'Non', 'Activate', 'Ngerni', ' The system ',' Mending ',' card ',' next to ',' service ',' Pay ',' expensive ',' service ',' rich ',' bad ',' disappointing ',' think '"&amp;",' use ' , 'Service', 'Recommend', '']")</f>
        <v>['Severe', 'Non', 'Activate', 'Package', 'Extra', 'Quota', 'Package', 'Main', 'Follow', 'Non', 'Activate', 'Ngerni', ' The system ',' Mending ',' card ',' next to ',' service ',' Pay ',' expensive ',' service ',' rich ',' bad ',' disappointing ',' think ',' use ' , 'Service', 'Recommend', '']</v>
      </c>
      <c r="D3503" s="3">
        <v>1.0</v>
      </c>
    </row>
    <row r="3504" ht="15.75" customHeight="1">
      <c r="A3504" s="1">
        <v>3502.0</v>
      </c>
      <c r="B3504" s="3" t="s">
        <v>3504</v>
      </c>
      <c r="C3504" s="3" t="str">
        <f>IFERROR(__xludf.DUMMYFUNCTION("GOOGLETRANSLATE(B3504,""id"",""en"")"),"['update', 'entry', 'account', 'customer', 'disappointed', 'thank', 'love', ""]")</f>
        <v>['update', 'entry', 'account', 'customer', 'disappointed', 'thank', 'love', "]</v>
      </c>
      <c r="D3504" s="3">
        <v>5.0</v>
      </c>
    </row>
    <row r="3505" ht="15.75" customHeight="1">
      <c r="A3505" s="1">
        <v>3503.0</v>
      </c>
      <c r="B3505" s="3" t="s">
        <v>3505</v>
      </c>
      <c r="C3505" s="3" t="str">
        <f>IFERROR(__xludf.DUMMYFUNCTION("GOOGLETRANSLATE(B3505,""id"",""en"")"),"['satisfying', 'app', 'update', 'strengthen', 'security', 'system', 'Telkomsel', 'Please', 'see', 'version', 'down', 'Most', ' Supports', 'App', '']")</f>
        <v>['satisfying', 'app', 'update', 'strengthen', 'security', 'system', 'Telkomsel', 'Please', 'see', 'version', 'down', 'Most', ' Supports', 'App', '']</v>
      </c>
      <c r="D3505" s="3">
        <v>5.0</v>
      </c>
    </row>
    <row r="3506" ht="15.75" customHeight="1">
      <c r="A3506" s="1">
        <v>3504.0</v>
      </c>
      <c r="B3506" s="3" t="s">
        <v>3506</v>
      </c>
      <c r="C3506" s="3" t="str">
        <f>IFERROR(__xludf.DUMMYFUNCTION("GOOGLETRANSLATE(B3506,""id"",""en"")"),"['Help', 'learn', 'online', 'package', 'cheap', 'bought', 'MyTelkomsel', '']")</f>
        <v>['Help', 'learn', 'online', 'package', 'cheap', 'bought', 'MyTelkomsel', '']</v>
      </c>
      <c r="D3506" s="3">
        <v>5.0</v>
      </c>
    </row>
    <row r="3507" ht="15.75" customHeight="1">
      <c r="A3507" s="1">
        <v>3505.0</v>
      </c>
      <c r="B3507" s="3" t="s">
        <v>3507</v>
      </c>
      <c r="C3507" s="3" t="str">
        <f>IFERROR(__xludf.DUMMYFUNCTION("GOOGLETRANSLATE(B3507,""id"",""en"")"),"['Update', 'already', 'byk', 'bug', 'fix', 'app', 'nye', 'check', 'package', 'difficult', '']")</f>
        <v>['Update', 'already', 'byk', 'bug', 'fix', 'app', 'nye', 'check', 'package', 'difficult', '']</v>
      </c>
      <c r="D3507" s="3">
        <v>1.0</v>
      </c>
    </row>
    <row r="3508" ht="15.75" customHeight="1">
      <c r="A3508" s="1">
        <v>3506.0</v>
      </c>
      <c r="B3508" s="3" t="s">
        <v>3508</v>
      </c>
      <c r="C3508" s="3" t="str">
        <f>IFERROR(__xludf.DUMMYFUNCTION("GOOGLETRANSLATE(B3508,""id"",""en"")"),"['Telkomsel', 'strange', 'contents',' pulse ',' notification ',' credit ',' enter ',' check ',' application ',' pulse ',' truncated ',' blum ',' use']")</f>
        <v>['Telkomsel', 'strange', 'contents',' pulse ',' notification ',' credit ',' enter ',' check ',' application ',' pulse ',' truncated ',' blum ',' use']</v>
      </c>
      <c r="D3508" s="3">
        <v>1.0</v>
      </c>
    </row>
    <row r="3509" ht="15.75" customHeight="1">
      <c r="A3509" s="1">
        <v>3507.0</v>
      </c>
      <c r="B3509" s="3" t="s">
        <v>3509</v>
      </c>
      <c r="C3509" s="3" t="str">
        <f>IFERROR(__xludf.DUMMYFUNCTION("GOOGLETRANSLATE(B3509,""id"",""en"")"),"['Application', 'Pelangement', 'Telkomsel', 'Difficult', 'Open', 'Application', 'Delete', 'Data', 'Saved', 'Application', 'Open', 'Application', ' Blank ',' application ',' Download ',' ']")</f>
        <v>['Application', 'Pelangement', 'Telkomsel', 'Difficult', 'Open', 'Application', 'Delete', 'Data', 'Saved', 'Application', 'Open', 'Application', ' Blank ',' application ',' Download ',' ']</v>
      </c>
      <c r="D3509" s="3">
        <v>1.0</v>
      </c>
    </row>
    <row r="3510" ht="15.75" customHeight="1">
      <c r="A3510" s="1">
        <v>3508.0</v>
      </c>
      <c r="B3510" s="3" t="s">
        <v>3510</v>
      </c>
      <c r="C3510" s="3" t="str">
        <f>IFERROR(__xludf.DUMMYFUNCTION("GOOGLETRANSLATE(B3510,""id"",""en"")"),"['Sometimes', 'right', 'open', 'my apk', 'pulses', 'sometimes', 'reduced', 'that's', 'kah', ""]")</f>
        <v>['Sometimes', 'right', 'open', 'my apk', 'pulses', 'sometimes', 'reduced', 'that's', 'kah', "]</v>
      </c>
      <c r="D3510" s="3">
        <v>1.0</v>
      </c>
    </row>
    <row r="3511" ht="15.75" customHeight="1">
      <c r="A3511" s="1">
        <v>3509.0</v>
      </c>
      <c r="B3511" s="3" t="s">
        <v>3511</v>
      </c>
      <c r="C3511" s="3" t="str">
        <f>IFERROR(__xludf.DUMMYFUNCTION("GOOGLETRANSLATE(B3511,""id"",""en"")"),"['Please', 'Sorry', 'Love', 'Star', 'Reasons',' Yesterday ',' Fill ',' Credit ',' New ',' Logout ',' Application ',' Telkomsel ',' Login ',' Credit ',' Scorched ',' Application ',' Telkomsel ',' Paid ',' Login ',' Genesis', 'Digigi', 'Credit', 'Company', "&amp;"'Pulse', 'Please' , 'explanation', '']")</f>
        <v>['Please', 'Sorry', 'Love', 'Star', 'Reasons',' Yesterday ',' Fill ',' Credit ',' New ',' Logout ',' Application ',' Telkomsel ',' Login ',' Credit ',' Scorched ',' Application ',' Telkomsel ',' Paid ',' Login ',' Genesis', 'Digigi', 'Credit', 'Company', 'Pulse', 'Please' , 'explanation', '']</v>
      </c>
      <c r="D3511" s="3">
        <v>1.0</v>
      </c>
    </row>
    <row r="3512" ht="15.75" customHeight="1">
      <c r="A3512" s="1">
        <v>3510.0</v>
      </c>
      <c r="B3512" s="3" t="s">
        <v>3512</v>
      </c>
      <c r="C3512" s="3" t="str">
        <f>IFERROR(__xludf.DUMMYFUNCTION("GOOGLETRANSLATE(B3512,""id"",""en"")"),"['Make', 'Telkomsel', 'times',' signal ',' internet ',' slow ',' disappointed ',' Telkomsel ',' please ',' repaired ',' search ',' profit ',' Facilities', 'minimal', '']")</f>
        <v>['Make', 'Telkomsel', 'times',' signal ',' internet ',' slow ',' disappointed ',' Telkomsel ',' please ',' repaired ',' search ',' profit ',' Facilities', 'minimal', '']</v>
      </c>
      <c r="D3512" s="3">
        <v>1.0</v>
      </c>
    </row>
    <row r="3513" ht="15.75" customHeight="1">
      <c r="A3513" s="1">
        <v>3511.0</v>
      </c>
      <c r="B3513" s="3" t="s">
        <v>3513</v>
      </c>
      <c r="C3513" s="3" t="str">
        <f>IFERROR(__xludf.DUMMYFUNCTION("GOOGLETRANSLATE(B3513,""id"",""en"")"),"['kouta', 'already', 'expensive', 'knp', 'network', 'like', 'error', 'beg', 'attention', 'suits',' Telkomsel ',' network ',' Good ',' Akir ',' Severe ',' Kali ',' Knp ',' ']")</f>
        <v>['kouta', 'already', 'expensive', 'knp', 'network', 'like', 'error', 'beg', 'attention', 'suits',' Telkomsel ',' network ',' Good ',' Akir ',' Severe ',' Kali ',' Knp ',' ']</v>
      </c>
      <c r="D3513" s="3">
        <v>5.0</v>
      </c>
    </row>
    <row r="3514" ht="15.75" customHeight="1">
      <c r="A3514" s="1">
        <v>3512.0</v>
      </c>
      <c r="B3514" s="3" t="s">
        <v>3514</v>
      </c>
      <c r="C3514" s="3" t="str">
        <f>IFERROR(__xludf.DUMMYFUNCTION("GOOGLETRANSLATE(B3514,""id"",""en"")"),"['Telkomsel', 'signal', 'disorder', 'strength', 'signal', 'internet', 'setabilia', 'emotion', 'sometimes']")</f>
        <v>['Telkomsel', 'signal', 'disorder', 'strength', 'signal', 'internet', 'setabilia', 'emotion', 'sometimes']</v>
      </c>
      <c r="D3514" s="3">
        <v>1.0</v>
      </c>
    </row>
    <row r="3515" ht="15.75" customHeight="1">
      <c r="A3515" s="1">
        <v>3513.0</v>
      </c>
      <c r="B3515" s="3" t="s">
        <v>3515</v>
      </c>
      <c r="C3515" s="3" t="str">
        <f>IFERROR(__xludf.DUMMYFUNCTION("GOOGLETRANSLATE(B3515,""id"",""en"")"),"['Like', 'strange', 'Telkomsel', 'Message', 'Congratulations',' credit ',' RB ',' check ',' APK ',' Bener ',' RB ',' History ',' right ',' buy ',' package ',' php ',' name ',' already ',' ngarep ',' sadboy ']")</f>
        <v>['Like', 'strange', 'Telkomsel', 'Message', 'Congratulations',' credit ',' RB ',' check ',' APK ',' Bener ',' RB ',' History ',' right ',' buy ',' package ',' php ',' name ',' already ',' ngarep ',' sadboy ']</v>
      </c>
      <c r="D3515" s="3">
        <v>1.0</v>
      </c>
    </row>
    <row r="3516" ht="15.75" customHeight="1">
      <c r="A3516" s="1">
        <v>3514.0</v>
      </c>
      <c r="B3516" s="3" t="s">
        <v>3516</v>
      </c>
      <c r="C3516" s="3" t="str">
        <f>IFERROR(__xludf.DUMMYFUNCTION("GOOGLETRANSLATE(B3516,""id"",""en"")"),"['quota', 'expensive', 'network', 'lost', 'price', 'until', 'squeezed']")</f>
        <v>['quota', 'expensive', 'network', 'lost', 'price', 'until', 'squeezed']</v>
      </c>
      <c r="D3516" s="3">
        <v>1.0</v>
      </c>
    </row>
    <row r="3517" ht="15.75" customHeight="1">
      <c r="A3517" s="1">
        <v>3515.0</v>
      </c>
      <c r="B3517" s="3" t="s">
        <v>3517</v>
      </c>
      <c r="C3517" s="3" t="str">
        <f>IFERROR(__xludf.DUMMYFUNCTION("GOOGLETRANSLATE(B3517,""id"",""en"")"),"['Just', 'buy', 'combo', 'Sakti', 'unlimited', 'MyTelkomsel', 'clock', 'enter', 'money', 'truncated', 'rb', 'what', ' Telkomsell ',' ']")</f>
        <v>['Just', 'buy', 'combo', 'Sakti', 'unlimited', 'MyTelkomsel', 'clock', 'enter', 'money', 'truncated', 'rb', 'what', ' Telkomsell ',' ']</v>
      </c>
      <c r="D3517" s="3">
        <v>1.0</v>
      </c>
    </row>
    <row r="3518" ht="15.75" customHeight="1">
      <c r="A3518" s="1">
        <v>3516.0</v>
      </c>
      <c r="B3518" s="3" t="s">
        <v>3518</v>
      </c>
      <c r="C3518" s="3" t="str">
        <f>IFERROR(__xludf.DUMMYFUNCTION("GOOGLETRANSLATE(B3518,""id"",""en"")"),"['SLLU', 'LIKE', 'Telkomsel', 'Best', 'Success', 'Telkomsel']")</f>
        <v>['SLLU', 'LIKE', 'Telkomsel', 'Best', 'Success', 'Telkomsel']</v>
      </c>
      <c r="D3518" s="3">
        <v>5.0</v>
      </c>
    </row>
    <row r="3519" ht="15.75" customHeight="1">
      <c r="A3519" s="1">
        <v>3517.0</v>
      </c>
      <c r="B3519" s="3" t="s">
        <v>3519</v>
      </c>
      <c r="C3519" s="3" t="str">
        <f>IFERROR(__xludf.DUMMYFUNCTION("GOOGLETRANSLATE(B3519,""id"",""en"")"),"['Amenities',' Daily ',' Check ',' Ngaco ',' Many ',' Times', 'Claims',' Gifts', 'Failed', 'Gifts',' Considered ',' Enter ',' ']")</f>
        <v>['Amenities',' Daily ',' Check ',' Ngaco ',' Many ',' Times', 'Claims',' Gifts', 'Failed', 'Gifts',' Considered ',' Enter ',' ']</v>
      </c>
      <c r="D3519" s="3">
        <v>1.0</v>
      </c>
    </row>
    <row r="3520" ht="15.75" customHeight="1">
      <c r="A3520" s="1">
        <v>3518.0</v>
      </c>
      <c r="B3520" s="3" t="s">
        <v>3520</v>
      </c>
      <c r="C3520" s="3" t="str">
        <f>IFERROR(__xludf.DUMMYFUNCTION("GOOGLETRANSLATE(B3520,""id"",""en"")"),"['quota', 'gamemax', 'me', 'pakek', 'sucked', 'quota', 'flash', 'waste', 'waste', 'money', 'base', 'kntle']")</f>
        <v>['quota', 'gamemax', 'me', 'pakek', 'sucked', 'quota', 'flash', 'waste', 'waste', 'money', 'base', 'kntle']</v>
      </c>
      <c r="D3520" s="3">
        <v>1.0</v>
      </c>
    </row>
    <row r="3521" ht="15.75" customHeight="1">
      <c r="A3521" s="1">
        <v>3519.0</v>
      </c>
      <c r="B3521" s="3" t="s">
        <v>3521</v>
      </c>
      <c r="C3521" s="3" t="str">
        <f>IFERROR(__xludf.DUMMYFUNCTION("GOOGLETRANSLATE(B3521,""id"",""en"")"),"['Please', 'Telkomsel', 'home', 'no' signal ',' broadband ',' widest ',' home ',' complex ',' housing ',' mount ',' fix ',' ']")</f>
        <v>['Please', 'Telkomsel', 'home', 'no' signal ',' broadband ',' widest ',' home ',' complex ',' housing ',' mount ',' fix ',' ']</v>
      </c>
      <c r="D3521" s="3">
        <v>1.0</v>
      </c>
    </row>
    <row r="3522" ht="15.75" customHeight="1">
      <c r="A3522" s="1">
        <v>3520.0</v>
      </c>
      <c r="B3522" s="3" t="s">
        <v>3522</v>
      </c>
      <c r="C3522" s="3" t="str">
        <f>IFERROR(__xludf.DUMMYFUNCTION("GOOGLETRANSLATE(B3522,""id"",""en"")"),"['App', 'good', 'sometimes', 'signal', 'ugly', 'use', 'Telkomsel', 'service', 'usage', 'best', 'provider', 'cellular']")</f>
        <v>['App', 'good', 'sometimes', 'signal', 'ugly', 'use', 'Telkomsel', 'service', 'usage', 'best', 'provider', 'cellular']</v>
      </c>
      <c r="D3522" s="3">
        <v>2.0</v>
      </c>
    </row>
    <row r="3523" ht="15.75" customHeight="1">
      <c r="A3523" s="1">
        <v>3521.0</v>
      </c>
      <c r="B3523" s="3" t="s">
        <v>3523</v>
      </c>
      <c r="C3523" s="3" t="str">
        <f>IFERROR(__xludf.DUMMYFUNCTION("GOOGLETRANSLATE(B3523,""id"",""en"")"),"['Element', 'fraud', 'reliefssel', 'price', 'palette', 'pulse', 'run out', 'quality', 'network', 'declined', '']")</f>
        <v>['Element', 'fraud', 'reliefssel', 'price', 'palette', 'pulse', 'run out', 'quality', 'network', 'declined', '']</v>
      </c>
      <c r="D3523" s="3">
        <v>1.0</v>
      </c>
    </row>
    <row r="3524" ht="15.75" customHeight="1">
      <c r="A3524" s="1">
        <v>3522.0</v>
      </c>
      <c r="B3524" s="3" t="s">
        <v>3524</v>
      </c>
      <c r="C3524" s="3" t="str">
        <f>IFERROR(__xludf.DUMMYFUNCTION("GOOGLETRANSLATE(B3524,""id"",""en"")"),"['buy', 'package', 'active', 'select', 'provider', 'expensive', 'smooth', 'Jaya', 'service', 'ugly', 'loss',' costs', ' Material ',' Laen ',' Dahlah ',' tired ',' Bener ',' service ',' Telkomsel ', ""]")</f>
        <v>['buy', 'package', 'active', 'select', 'provider', 'expensive', 'smooth', 'Jaya', 'service', 'ugly', 'loss',' costs', ' Material ',' Laen ',' Dahlah ',' tired ',' Bener ',' service ',' Telkomsel ', "]</v>
      </c>
      <c r="D3524" s="3">
        <v>1.0</v>
      </c>
    </row>
    <row r="3525" ht="15.75" customHeight="1">
      <c r="A3525" s="1">
        <v>3523.0</v>
      </c>
      <c r="B3525" s="3" t="s">
        <v>3525</v>
      </c>
      <c r="C3525" s="3" t="str">
        <f>IFERROR(__xludf.DUMMYFUNCTION("GOOGLETRANSLATE(B3525,""id"",""en"")"),"['Sorry', 'edit', 'star', 'disappointed', 'network', 'internet', 'slow', 'really', 'please', 'repaired', 'rating', 'star', ' ']")</f>
        <v>['Sorry', 'edit', 'star', 'disappointed', 'network', 'internet', 'slow', 'really', 'please', 'repaired', 'rating', 'star', ' ']</v>
      </c>
      <c r="D3525" s="3">
        <v>2.0</v>
      </c>
    </row>
    <row r="3526" ht="15.75" customHeight="1">
      <c r="A3526" s="1">
        <v>3524.0</v>
      </c>
      <c r="B3526" s="3" t="s">
        <v>3526</v>
      </c>
      <c r="C3526" s="3" t="str">
        <f>IFERROR(__xludf.DUMMYFUNCTION("GOOGLETRANSLATE(B3526,""id"",""en"")"),"['TELKOMSELL', 'The network', 'BERES', 'HBIS', 'bought', 'package', 'OJOLLL', 'The network', 'slow', 'mism', 'forgiveness',' buy ',' package ',' other ',' Hadehhh ',' fix ',' donkkk ',' jngan ',' lucky ',' doang ',' think ']")</f>
        <v>['TELKOMSELL', 'The network', 'BERES', 'HBIS', 'bought', 'package', 'OJOLLL', 'The network', 'slow', 'mism', 'forgiveness',' buy ',' package ',' other ',' Hadehhh ',' fix ',' donkkk ',' jngan ',' lucky ',' doang ',' think ']</v>
      </c>
      <c r="D3526" s="3">
        <v>1.0</v>
      </c>
    </row>
    <row r="3527" ht="15.75" customHeight="1">
      <c r="A3527" s="1">
        <v>3525.0</v>
      </c>
      <c r="B3527" s="3" t="s">
        <v>3527</v>
      </c>
      <c r="C3527" s="3" t="str">
        <f>IFERROR(__xludf.DUMMYFUNCTION("GOOGLETRANSLATE(B3527,""id"",""en"")"),"['Telkomsel', 'disappointing', 'quota', 'main', 'play', 'game', 'no', 'see', 'youtube', 'smooth', 'turn', 'play', ' Game ',' Loading ',' Mulu ',' Quota ',' Expensive ',' Speed ​​',' Lost ', ""]")</f>
        <v>['Telkomsel', 'disappointing', 'quota', 'main', 'play', 'game', 'no', 'see', 'youtube', 'smooth', 'turn', 'play', ' Game ',' Loading ',' Mulu ',' Quota ',' Expensive ',' Speed ​​',' Lost ', "]</v>
      </c>
      <c r="D3527" s="3">
        <v>1.0</v>
      </c>
    </row>
    <row r="3528" ht="15.75" customHeight="1">
      <c r="A3528" s="1">
        <v>3526.0</v>
      </c>
      <c r="B3528" s="3" t="s">
        <v>3528</v>
      </c>
      <c r="C3528" s="3" t="str">
        <f>IFERROR(__xludf.DUMMYFUNCTION("GOOGLETRANSLATE(B3528,""id"",""en"")"),"['Telkomsel', 'sucked', 'tuasa', 'contents',' pls', 'rb', 'morning', 'check', 'noon', 'stay', 'Rp', 'internet', ' Bel ',' SMS ',' Lazy ',' Tlkomsel ',' ']")</f>
        <v>['Telkomsel', 'sucked', 'tuasa', 'contents',' pls', 'rb', 'morning', 'check', 'noon', 'stay', 'Rp', 'internet', ' Bel ',' SMS ',' Lazy ',' Tlkomsel ',' ']</v>
      </c>
      <c r="D3528" s="3">
        <v>1.0</v>
      </c>
    </row>
    <row r="3529" ht="15.75" customHeight="1">
      <c r="A3529" s="1">
        <v>3527.0</v>
      </c>
      <c r="B3529" s="3" t="s">
        <v>3529</v>
      </c>
      <c r="C3529" s="3" t="str">
        <f>IFERROR(__xludf.DUMMYFUNCTION("GOOGLETRANSLATE(B3529,""id"",""en"")"),"['application', 'fraudsters',' points', 'exchange', 'package', 'internet', 'pulse', 'lie', 'anjink', 'promo', 'cheap', 'price', ' Expensive ',' Anyink ',' Application ',' Haram ',' Loe ',' Eat ',' Data ',' I ',' Admin ',' anjinkkkkk ']")</f>
        <v>['application', 'fraudsters',' points', 'exchange', 'package', 'internet', 'pulse', 'lie', 'anjink', 'promo', 'cheap', 'price', ' Expensive ',' Anyink ',' Application ',' Haram ',' Loe ',' Eat ',' Data ',' I ',' Admin ',' anjinkkkkk ']</v>
      </c>
      <c r="D3529" s="3">
        <v>1.0</v>
      </c>
    </row>
    <row r="3530" ht="15.75" customHeight="1">
      <c r="A3530" s="1">
        <v>3528.0</v>
      </c>
      <c r="B3530" s="3" t="s">
        <v>3530</v>
      </c>
      <c r="C3530" s="3" t="str">
        <f>IFERROR(__xludf.DUMMYFUNCTION("GOOGLETRANSLATE(B3530,""id"",""en"")"),"['', 'suggestions',' leftover ',' quota ',' period ',' scorched ',' accumulated ',' charging ',' quota ',' company ',' Telkomsel ',' blessing ',' quota ',' apps', 'cut', 'quota', 'main', 'cut', 'direct', 'quota', 'apps',' fair ',' customer ',' customer ',"&amp;"' privileges', 'Telkomsel', 'disappointed', ""]")</f>
        <v>['', 'suggestions',' leftover ',' quota ',' period ',' scorched ',' accumulated ',' charging ',' quota ',' company ',' Telkomsel ',' blessing ',' quota ',' apps', 'cut', 'quota', 'main', 'cut', 'direct', 'quota', 'apps',' fair ',' customer ',' customer ',' privileges', 'Telkomsel', 'disappointed', "]</v>
      </c>
      <c r="D3530" s="3">
        <v>1.0</v>
      </c>
    </row>
    <row r="3531" ht="15.75" customHeight="1">
      <c r="A3531" s="1">
        <v>3529.0</v>
      </c>
      <c r="B3531" s="3" t="s">
        <v>3531</v>
      </c>
      <c r="C3531" s="3" t="str">
        <f>IFERROR(__xludf.DUMMYFUNCTION("GOOGLETRANSLATE(B3531,""id"",""en"")"),"['Disappointed', 'use', 'data', 'quota', 'fast', 'endless', 'use', 'standard', 'signal', 'ngeeleg', 'stable', 'sometimes' Disconnect ',' Connect ',' Disconnect ',' Hopefully ',' Help ',' Improve ',' Service ']")</f>
        <v>['Disappointed', 'use', 'data', 'quota', 'fast', 'endless', 'use', 'standard', 'signal', 'ngeeleg', 'stable', 'sometimes' Disconnect ',' Connect ',' Disconnect ',' Hopefully ',' Help ',' Improve ',' Service ']</v>
      </c>
      <c r="D3531" s="3">
        <v>2.0</v>
      </c>
    </row>
    <row r="3532" ht="15.75" customHeight="1">
      <c r="A3532" s="1">
        <v>3530.0</v>
      </c>
      <c r="B3532" s="3" t="s">
        <v>3532</v>
      </c>
      <c r="C3532" s="3" t="str">
        <f>IFERROR(__xludf.DUMMYFUNCTION("GOOGLETRANSLATE(B3532,""id"",""en"")"),"['Free', 'Disney', 'Hotstar', 'Login', 'have', 'code', 'entry', 'Please', 'Help', 'Thank you']")</f>
        <v>['Free', 'Disney', 'Hotstar', 'Login', 'have', 'code', 'entry', 'Please', 'Help', 'Thank you']</v>
      </c>
      <c r="D3532" s="3">
        <v>3.0</v>
      </c>
    </row>
    <row r="3533" ht="15.75" customHeight="1">
      <c r="A3533" s="1">
        <v>3531.0</v>
      </c>
      <c r="B3533" s="3" t="s">
        <v>3533</v>
      </c>
      <c r="C3533" s="3" t="str">
        <f>IFERROR(__xludf.DUMMYFUNCTION("GOOGLETRANSLATE(B3533,""id"",""en"")"),"['disorder', 'signal', 'ugly', 'satisfied']")</f>
        <v>['disorder', 'signal', 'ugly', 'satisfied']</v>
      </c>
      <c r="D3533" s="3">
        <v>1.0</v>
      </c>
    </row>
    <row r="3534" ht="15.75" customHeight="1">
      <c r="A3534" s="1">
        <v>3532.0</v>
      </c>
      <c r="B3534" s="3" t="s">
        <v>3534</v>
      </c>
      <c r="C3534" s="3" t="str">
        <f>IFERROR(__xludf.DUMMYFUNCTION("GOOGLETRANSLATE(B3534,""id"",""en"")"),"['Telkomsel', 'homemade', 'price', 'doang', 'expensive', 'worth', 'quality', 'network', '']")</f>
        <v>['Telkomsel', 'homemade', 'price', 'doang', 'expensive', 'worth', 'quality', 'network', '']</v>
      </c>
      <c r="D3534" s="3">
        <v>1.0</v>
      </c>
    </row>
    <row r="3535" ht="15.75" customHeight="1">
      <c r="A3535" s="1">
        <v>3533.0</v>
      </c>
      <c r="B3535" s="3" t="s">
        <v>3535</v>
      </c>
      <c r="C3535" s="3" t="str">
        <f>IFERROR(__xludf.DUMMYFUNCTION("GOOGLETRANSLATE(B3535,""id"",""en"")"),"['Telkomsel', 'quality', 'decreases',' yaa ',' already ',' times', 'contents',' package ',' data ',' enter ',' network ',' slow ',' The package ',' price ',' expensive ',' quality ',' ugly ',' hopefully ',' Telkomsel ',' developed ',' good ',' in the futu"&amp;"re ',' Costumer ',' loyal ',' Telkomsel ' , 'Move', 'Provider', 'THX']")</f>
        <v>['Telkomsel', 'quality', 'decreases',' yaa ',' already ',' times', 'contents',' package ',' data ',' enter ',' network ',' slow ',' The package ',' price ',' expensive ',' quality ',' ugly ',' hopefully ',' Telkomsel ',' developed ',' good ',' in the future ',' Costumer ',' loyal ',' Telkomsel ' , 'Move', 'Provider', 'THX']</v>
      </c>
      <c r="D3535" s="3">
        <v>3.0</v>
      </c>
    </row>
    <row r="3536" ht="15.75" customHeight="1">
      <c r="A3536" s="1">
        <v>3534.0</v>
      </c>
      <c r="B3536" s="3" t="s">
        <v>3536</v>
      </c>
      <c r="C3536" s="3" t="str">
        <f>IFERROR(__xludf.DUMMYFUNCTION("GOOGLETRANSLATE(B3536,""id"",""en"")"),"['Place', 'village', 'page', 'network', 'tsel', 'ugly', 'signal', 'provider', 'try', 'senior', 'field', 'Tsel', ' Tenggok ',' PTAT ',' KATERAN ',' KUALA ',' KALTENG ',' Try ',' repay ', ""]")</f>
        <v>['Place', 'village', 'page', 'network', 'tsel', 'ugly', 'signal', 'provider', 'try', 'senior', 'field', 'Tsel', ' Tenggok ',' PTAT ',' KATERAN ',' KUALA ',' KALTENG ',' Try ',' repay ', "]</v>
      </c>
      <c r="D3536" s="3">
        <v>1.0</v>
      </c>
    </row>
    <row r="3537" ht="15.75" customHeight="1">
      <c r="A3537" s="1">
        <v>3535.0</v>
      </c>
      <c r="B3537" s="3" t="s">
        <v>3537</v>
      </c>
      <c r="C3537" s="3" t="str">
        <f>IFERROR(__xludf.DUMMYFUNCTION("GOOGLETRANSLATE(B3537,""id"",""en"")"),"['Please', 'help', 'package', 'combo', 'unlimited', 'thousand', 'GB', 'extra', 'unlimited', 'jail', 'help', 'please', ' Remove ',' Package ',' Min ',' ']")</f>
        <v>['Please', 'help', 'package', 'combo', 'unlimited', 'thousand', 'GB', 'extra', 'unlimited', 'jail', 'help', 'please', ' Remove ',' Package ',' Min ',' ']</v>
      </c>
      <c r="D3537" s="3">
        <v>4.0</v>
      </c>
    </row>
    <row r="3538" ht="15.75" customHeight="1">
      <c r="A3538" s="1">
        <v>3536.0</v>
      </c>
      <c r="B3538" s="3" t="s">
        <v>3538</v>
      </c>
      <c r="C3538" s="3" t="str">
        <f>IFERROR(__xludf.DUMMYFUNCTION("GOOGLETRANSLATE(B3538,""id"",""en"")"),"['quota', 'fast', 'run out', 'no', 'entry', 'sense', 'profider', 'Telkomsel', 'speed', 'quota', 'fast', 'suction', ' Giga ',' CMA ',' Ludes', 'Dlu', 'Giga', 'a month', 'Unyuk', 'Detinent', 'Giga', 'Where', 'Conscience', 'Telkomsel', 'Pandemic' , '']")</f>
        <v>['quota', 'fast', 'run out', 'no', 'entry', 'sense', 'profider', 'Telkomsel', 'speed', 'quota', 'fast', 'suction', ' Giga ',' CMA ',' Ludes', 'Dlu', 'Giga', 'a month', 'Unyuk', 'Detinent', 'Giga', 'Where', 'Conscience', 'Telkomsel', 'Pandemic' , '']</v>
      </c>
      <c r="D3538" s="3">
        <v>1.0</v>
      </c>
    </row>
    <row r="3539" ht="15.75" customHeight="1">
      <c r="A3539" s="1">
        <v>3537.0</v>
      </c>
      <c r="B3539" s="3" t="s">
        <v>3539</v>
      </c>
      <c r="C3539" s="3" t="str">
        <f>IFERROR(__xludf.DUMMYFUNCTION("GOOGLETRANSLATE(B3539,""id"",""en"")"),"['Package', 'Internet', 'expensive', 'expensive', 'user', 'cheap', 'cheap', 'cave', 'moved', '']")</f>
        <v>['Package', 'Internet', 'expensive', 'expensive', 'user', 'cheap', 'cheap', 'cave', 'moved', '']</v>
      </c>
      <c r="D3539" s="3">
        <v>1.0</v>
      </c>
    </row>
    <row r="3540" ht="15.75" customHeight="1">
      <c r="A3540" s="1">
        <v>3538.0</v>
      </c>
      <c r="B3540" s="3" t="s">
        <v>3540</v>
      </c>
      <c r="C3540" s="3" t="str">
        <f>IFERROR(__xludf.DUMMYFUNCTION("GOOGLETRANSLATE(B3540,""id"",""en"")"),"['Paketan', 'expensive', 'quality', 'koq', 'abal', 'little', 'loading', 'little', 'loading', 'very,' disappointing ',' leech ',' land ',' like ',' sucks', 'pulse', 'notification', 'bangse', 'times',' you ',' Telkomsel ',' ']")</f>
        <v>['Paketan', 'expensive', 'quality', 'koq', 'abal', 'little', 'loading', 'little', 'loading', 'very,' disappointing ',' leech ',' land ',' like ',' sucks', 'pulse', 'notification', 'bangse', 'times',' you ',' Telkomsel ',' ']</v>
      </c>
      <c r="D3540" s="3">
        <v>1.0</v>
      </c>
    </row>
    <row r="3541" ht="15.75" customHeight="1">
      <c r="A3541" s="1">
        <v>3539.0</v>
      </c>
      <c r="B3541" s="3" t="s">
        <v>3541</v>
      </c>
      <c r="C3541" s="3" t="str">
        <f>IFERROR(__xludf.DUMMYFUNCTION("GOOGLETRANSLATE(B3541,""id"",""en"")"),"['Information', 'pulse', 'package', 'data', 'promo', 'interesting', 'help']")</f>
        <v>['Information', 'pulse', 'package', 'data', 'promo', 'interesting', 'help']</v>
      </c>
      <c r="D3541" s="3">
        <v>5.0</v>
      </c>
    </row>
    <row r="3542" ht="15.75" customHeight="1">
      <c r="A3542" s="1">
        <v>3540.0</v>
      </c>
      <c r="B3542" s="3" t="s">
        <v>3542</v>
      </c>
      <c r="C3542" s="3" t="str">
        <f>IFERROR(__xludf.DUMMYFUNCTION("GOOGLETRANSLATE(B3542,""id"",""en"")"),"['pling', 'loyal', 'Telkomsel', 'Kanya', 'signal', 'boss', 'pdhal', 'quota', ""]")</f>
        <v>['pling', 'loyal', 'Telkomsel', 'Kanya', 'signal', 'boss', 'pdhal', 'quota', "]</v>
      </c>
      <c r="D3542" s="3">
        <v>1.0</v>
      </c>
    </row>
    <row r="3543" ht="15.75" customHeight="1">
      <c r="A3543" s="1">
        <v>3541.0</v>
      </c>
      <c r="B3543" s="3" t="s">
        <v>3543</v>
      </c>
      <c r="C3543" s="3" t="str">
        <f>IFERROR(__xludf.DUMMYFUNCTION("GOOGLETRANSLATE(B3543,""id"",""en"")"),"['Price', 'Changed', 'Buy', 'Package', 'Seban', 'Price', 'Price', 'Strange', 'Package', 'Healthy', 'Price', 'Crazy', ' Boss', '']")</f>
        <v>['Price', 'Changed', 'Buy', 'Package', 'Seban', 'Price', 'Price', 'Strange', 'Package', 'Healthy', 'Price', 'Crazy', ' Boss', '']</v>
      </c>
      <c r="D3543" s="3">
        <v>1.0</v>
      </c>
    </row>
    <row r="3544" ht="15.75" customHeight="1">
      <c r="A3544" s="1">
        <v>3542.0</v>
      </c>
      <c r="B3544" s="3" t="s">
        <v>3544</v>
      </c>
      <c r="C3544" s="3" t="str">
        <f>IFERROR(__xludf.DUMMYFUNCTION("GOOGLETRANSLATE(B3544,""id"",""en"")"),"['Ouch', 'GMNA', 'Telkom', 'I', 'Fill', 'Paketan', 'Gojek', 'Fill', 'RB', 'Remnant', 'Rb', 'knapa', ' Abis', 'drained', 'all', 'emng', 'wrong', 'I', 'Ampe', 'crushed', 'money', 'leftover', 'okay', 'laah', 'ane' , 'Take', 'Paketan', 'Debt', 'Cut', 'Remnant"&amp;"', 'Kmna', 'Run', 'Ane', 'Ampe', 'Confused', 'Ama', 'Telkom', ' Debt ',' Kaga ',' Money ',' Disappear ',' Please ',' Read ',' Thank ',' Love ',' Telkom ', ""]")</f>
        <v>['Ouch', 'GMNA', 'Telkom', 'I', 'Fill', 'Paketan', 'Gojek', 'Fill', 'RB', 'Remnant', 'Rb', 'knapa', ' Abis', 'drained', 'all', 'emng', 'wrong', 'I', 'Ampe', 'crushed', 'money', 'leftover', 'okay', 'laah', 'ane' , 'Take', 'Paketan', 'Debt', 'Cut', 'Remnant', 'Kmna', 'Run', 'Ane', 'Ampe', 'Confused', 'Ama', 'Telkom', ' Debt ',' Kaga ',' Money ',' Disappear ',' Please ',' Read ',' Thank ',' Love ',' Telkom ', "]</v>
      </c>
      <c r="D3544" s="3">
        <v>3.0</v>
      </c>
    </row>
    <row r="3545" ht="15.75" customHeight="1">
      <c r="A3545" s="1">
        <v>3543.0</v>
      </c>
      <c r="B3545" s="3" t="s">
        <v>3545</v>
      </c>
      <c r="C3545" s="3" t="str">
        <f>IFERROR(__xludf.DUMMYFUNCTION("GOOGLETRANSLATE(B3545,""id"",""en"")"),"['buy', 'quota', 'use', 'use', 'leftover', 'pulse', 'sumps',' buy ',' quota ',' gamemax ',' use ',' loss', ' ']")</f>
        <v>['buy', 'quota', 'use', 'use', 'leftover', 'pulse', 'sumps',' buy ',' quota ',' gamemax ',' use ',' loss', ' ']</v>
      </c>
      <c r="D3545" s="3">
        <v>1.0</v>
      </c>
    </row>
    <row r="3546" ht="15.75" customHeight="1">
      <c r="A3546" s="1">
        <v>3544.0</v>
      </c>
      <c r="B3546" s="3" t="s">
        <v>3546</v>
      </c>
      <c r="C3546" s="3" t="str">
        <f>IFERROR(__xludf.DUMMYFUNCTION("GOOGLETRANSLATE(B3546,""id"",""en"")"),"['The network', 'repaired', 'sometimes', 'his voice', 'missing', 'connect', 'reset', 'thank you', ""]")</f>
        <v>['The network', 'repaired', 'sometimes', 'his voice', 'missing', 'connect', 'reset', 'thank you', "]</v>
      </c>
      <c r="D3546" s="3">
        <v>4.0</v>
      </c>
    </row>
    <row r="3547" ht="15.75" customHeight="1">
      <c r="A3547" s="1">
        <v>3545.0</v>
      </c>
      <c r="B3547" s="3" t="s">
        <v>3547</v>
      </c>
      <c r="C3547" s="3" t="str">
        <f>IFERROR(__xludf.DUMMYFUNCTION("GOOGLETRANSLATE(B3547,""id"",""en"")"),"['Telkomsel', 'check', 'pulse', 'package', 'transaction', 'end', 'NGK', 'rich', 'muter', 'check', 'Telkomsel', 'my cellphone', ' especially ',' tlpn ',' old ',' numan ',' check ',' transaction ',' check ',' pulse ',' check ',' bonus', 'fast', 'direct', 'n"&amp;"gk' , 'Muter', 'rich', 'mala', 'suru', 'wait', 'sms',' my input ',' back ',' rich ',' easy ',' people ',' old ',' old school ',' oath ',' Telkomsel ',' okay ',' check ',' pulse ']")</f>
        <v>['Telkomsel', 'check', 'pulse', 'package', 'transaction', 'end', 'NGK', 'rich', 'muter', 'check', 'Telkomsel', 'my cellphone', ' especially ',' tlpn ',' old ',' numan ',' check ',' transaction ',' check ',' pulse ',' check ',' bonus', 'fast', 'direct', 'ngk' , 'Muter', 'rich', 'mala', 'suru', 'wait', 'sms',' my input ',' back ',' rich ',' easy ',' people ',' old ',' old school ',' oath ',' Telkomsel ',' okay ',' check ',' pulse ']</v>
      </c>
      <c r="D3547" s="3">
        <v>4.0</v>
      </c>
    </row>
    <row r="3548" ht="15.75" customHeight="1">
      <c r="A3548" s="1">
        <v>3546.0</v>
      </c>
      <c r="B3548" s="3" t="s">
        <v>3548</v>
      </c>
      <c r="C3548" s="3" t="str">
        <f>IFERROR(__xludf.DUMMYFUNCTION("GOOGLETRANSLATE(B3548,""id"",""en"")"),"['How', 'Sis',' Buy ',' Kouta ',' Internet ',' Enter ',' Kouta ',' Please ',' Fix ',' Kek ',' Gini ',' Out ',' pulse ',' loss', 'just', 'because', 'Kouta', 'loss']")</f>
        <v>['How', 'Sis',' Buy ',' Kouta ',' Internet ',' Enter ',' Kouta ',' Please ',' Fix ',' Kek ',' Gini ',' Out ',' pulse ',' loss', 'just', 'because', 'Kouta', 'loss']</v>
      </c>
      <c r="D3548" s="3">
        <v>1.0</v>
      </c>
    </row>
    <row r="3549" ht="15.75" customHeight="1">
      <c r="A3549" s="1">
        <v>3547.0</v>
      </c>
      <c r="B3549" s="3" t="s">
        <v>3549</v>
      </c>
      <c r="C3549" s="3" t="str">
        <f>IFERROR(__xludf.DUMMYFUNCTION("GOOGLETRANSLATE(B3549,""id"",""en"")"),"['ilang', 'Nilagan', 'signal', 'taste', 'buy', 'package', 'expensive', 'expensive', ""]")</f>
        <v>['ilang', 'Nilagan', 'signal', 'taste', 'buy', 'package', 'expensive', 'expensive', "]</v>
      </c>
      <c r="D3549" s="3">
        <v>1.0</v>
      </c>
    </row>
    <row r="3550" ht="15.75" customHeight="1">
      <c r="A3550" s="1">
        <v>3548.0</v>
      </c>
      <c r="B3550" s="3" t="s">
        <v>3550</v>
      </c>
      <c r="C3550" s="3" t="str">
        <f>IFERROR(__xludf.DUMMYFUNCTION("GOOGLETRANSLATE(B3550,""id"",""en"")"),"['Excuse', 'ask', 'quota', 'game', 'especially', 'Free', 'Fire', 'Kaga', 'Gunain', 'Login', 'Free', 'Fire', ' Kaga ',' love ',' star ',' dlu ',' thank ',' love ', ""]")</f>
        <v>['Excuse', 'ask', 'quota', 'game', 'especially', 'Free', 'Fire', 'Kaga', 'Gunain', 'Login', 'Free', 'Fire', ' Kaga ',' love ',' star ',' dlu ',' thank ',' love ', "]</v>
      </c>
      <c r="D3550" s="3">
        <v>3.0</v>
      </c>
    </row>
    <row r="3551" ht="15.75" customHeight="1">
      <c r="A3551" s="1">
        <v>3549.0</v>
      </c>
      <c r="B3551" s="3" t="s">
        <v>3551</v>
      </c>
      <c r="C3551" s="3" t="str">
        <f>IFERROR(__xludf.DUMMYFUNCTION("GOOGLETRANSLATE(B3551,""id"",""en"")"),"['know', 'Telkomsel', 'signal', 'speeding', 'skrng', 'udh', 'different', 'signal', 'slow', 'slow', 'game', 'broken', ' turn ',' price ',' package ',' expensive ',' trusss', 'turn', 'quality', 'signal', '']")</f>
        <v>['know', 'Telkomsel', 'signal', 'speeding', 'skrng', 'udh', 'different', 'signal', 'slow', 'slow', 'game', 'broken', ' turn ',' price ',' package ',' expensive ',' trusss', 'turn', 'quality', 'signal', '']</v>
      </c>
      <c r="D3551" s="3">
        <v>1.0</v>
      </c>
    </row>
    <row r="3552" ht="15.75" customHeight="1">
      <c r="A3552" s="1">
        <v>3550.0</v>
      </c>
      <c r="B3552" s="3" t="s">
        <v>3552</v>
      </c>
      <c r="C3552" s="3" t="str">
        <f>IFERROR(__xludf.DUMMYFUNCTION("GOOGLETRANSLATE(B3552,""id"",""en"")"),"['Telkomsel', 'here', 'price', 'skyrocketing', 'speed', 'reduced', '']")</f>
        <v>['Telkomsel', 'here', 'price', 'skyrocketing', 'speed', 'reduced', '']</v>
      </c>
      <c r="D3552" s="3">
        <v>1.0</v>
      </c>
    </row>
    <row r="3553" ht="15.75" customHeight="1">
      <c r="A3553" s="1">
        <v>3551.0</v>
      </c>
      <c r="B3553" s="3" t="s">
        <v>3553</v>
      </c>
      <c r="C3553" s="3" t="str">
        <f>IFERROR(__xludf.DUMMYFUNCTION("GOOGLETRANSLATE(B3553,""id"",""en"")"),"['application', 'buy', 'package', 'application', 'error', 'mulu', 'buy', 'update', 'the application', 'stupid', 'application', 'defective']")</f>
        <v>['application', 'buy', 'package', 'application', 'error', 'mulu', 'buy', 'update', 'the application', 'stupid', 'application', 'defective']</v>
      </c>
      <c r="D3553" s="3">
        <v>1.0</v>
      </c>
    </row>
    <row r="3554" ht="15.75" customHeight="1">
      <c r="A3554" s="1">
        <v>3552.0</v>
      </c>
      <c r="B3554" s="3" t="s">
        <v>3554</v>
      </c>
      <c r="C3554" s="3" t="str">
        <f>IFERROR(__xludf.DUMMYFUNCTION("GOOGLETRANSLATE(B3554,""id"",""en"")"),"['Yesterday', 'buy', 'package', 'then', 'package', 'run out', 'right', 'buy', 'Lalod', 'network', 'buset', 'already', ' expensive ',' Lalod ',' forgiveness', 'bet']")</f>
        <v>['Yesterday', 'buy', 'package', 'then', 'package', 'run out', 'right', 'buy', 'Lalod', 'network', 'buset', 'already', ' expensive ',' Lalod ',' forgiveness', 'bet']</v>
      </c>
      <c r="D3554" s="3">
        <v>1.0</v>
      </c>
    </row>
    <row r="3555" ht="15.75" customHeight="1">
      <c r="A3555" s="1">
        <v>3553.0</v>
      </c>
      <c r="B3555" s="3" t="s">
        <v>3555</v>
      </c>
      <c r="C3555" s="3" t="str">
        <f>IFERROR(__xludf.DUMMYFUNCTION("GOOGLETRANSLATE(B3555,""id"",""en"")"),"['Love', 'suggestion', 'Aza', 'Mhon', 'Sorry', 'Blum', 'Komplin', 'Nich', 'Telkomsel', 'Medsos',' Buy ',' Package ',' data ',' price ',' mhal ',' trs', 'signal', 'klau', 'rain', 'stable', 'lost', 'appears',' operator ',' Telkomsel ',' kya ' , 'Operator', "&amp;"'shop', 'online', 'bnyak', 'advertising', 'mhon', 'correction', 'pelola', ""]")</f>
        <v>['Love', 'suggestion', 'Aza', 'Mhon', 'Sorry', 'Blum', 'Komplin', 'Nich', 'Telkomsel', 'Medsos',' Buy ',' Package ',' data ',' price ',' mhal ',' trs', 'signal', 'klau', 'rain', 'stable', 'lost', 'appears',' operator ',' Telkomsel ',' kya ' , 'Operator', 'shop', 'online', 'bnyak', 'advertising', 'mhon', 'correction', 'pelola', "]</v>
      </c>
      <c r="D3555" s="3">
        <v>1.0</v>
      </c>
    </row>
    <row r="3556" ht="15.75" customHeight="1">
      <c r="A3556" s="1">
        <v>3554.0</v>
      </c>
      <c r="B3556" s="3" t="s">
        <v>3556</v>
      </c>
      <c r="C3556" s="3" t="str">
        <f>IFERROR(__xludf.DUMMYFUNCTION("GOOGLETRANSLATE(B3556,""id"",""en"")"),"['buy', 'pulse', 'nggk', 'entered', 'number', 'already', 'counter', 'already', 'success',' entry ',' alsoaaa ',' luck ',' cmn ',' rb ',' doang ',' let ',' telkomsel ',' spirit ',' hueeee ',' rb ',' kuuuu ',' cmn ',' rb ',' money ',' candy ' , '']")</f>
        <v>['buy', 'pulse', 'nggk', 'entered', 'number', 'already', 'counter', 'already', 'success',' entry ',' alsoaaa ',' luck ',' cmn ',' rb ',' doang ',' let ',' telkomsel ',' spirit ',' hueeee ',' rb ',' kuuuu ',' cmn ',' rb ',' money ',' candy ' , '']</v>
      </c>
      <c r="D3556" s="3">
        <v>4.0</v>
      </c>
    </row>
    <row r="3557" ht="15.75" customHeight="1">
      <c r="A3557" s="1">
        <v>3555.0</v>
      </c>
      <c r="B3557" s="3" t="s">
        <v>3557</v>
      </c>
      <c r="C3557" s="3" t="str">
        <f>IFERROR(__xludf.DUMMYFUNCTION("GOOGLETRANSLATE(B3557,""id"",""en"")"),"['network', 'Telkomsel', 'best', 'Indonesia', 'reality', 'face', 'bad', 'my apk', 'turtle', 'swift', 'response', 'please', ' professional']")</f>
        <v>['network', 'Telkomsel', 'best', 'Indonesia', 'reality', 'face', 'bad', 'my apk', 'turtle', 'swift', 'response', 'please', ' professional']</v>
      </c>
      <c r="D3557" s="3">
        <v>1.0</v>
      </c>
    </row>
    <row r="3558" ht="15.75" customHeight="1">
      <c r="A3558" s="1">
        <v>3556.0</v>
      </c>
      <c r="B3558" s="3" t="s">
        <v>3558</v>
      </c>
      <c r="C3558" s="3" t="str">
        <f>IFERROR(__xludf.DUMMYFUNCTION("GOOGLETRANSLATE(B3558,""id"",""en"")"),"['Hopefully', 'developed', 'signal', 'fix', 'thank you']")</f>
        <v>['Hopefully', 'developed', 'signal', 'fix', 'thank you']</v>
      </c>
      <c r="D3558" s="3">
        <v>5.0</v>
      </c>
    </row>
    <row r="3559" ht="15.75" customHeight="1">
      <c r="A3559" s="1">
        <v>3557.0</v>
      </c>
      <c r="B3559" s="3" t="s">
        <v>3559</v>
      </c>
      <c r="C3559" s="3" t="str">
        <f>IFERROR(__xludf.DUMMYFUNCTION("GOOGLETRANSLATE(B3559,""id"",""en"")"),"['Miekek', 'Hisa', 'told', 'updated', 'updated', 'muter', 'trs',' meek ',' lwt ',' trs', 'confused', 'check', ' Credit ',' must ',' kmn ', ""]")</f>
        <v>['Miekek', 'Hisa', 'told', 'updated', 'updated', 'muter', 'trs',' meek ',' lwt ',' trs', 'confused', 'check', ' Credit ',' must ',' kmn ', "]</v>
      </c>
      <c r="D3559" s="3">
        <v>1.0</v>
      </c>
    </row>
    <row r="3560" ht="15.75" customHeight="1">
      <c r="A3560" s="1">
        <v>3558.0</v>
      </c>
      <c r="B3560" s="3" t="s">
        <v>3560</v>
      </c>
      <c r="C3560" s="3" t="str">
        <f>IFERROR(__xludf.DUMMYFUNCTION("GOOGLETRANSLATE(B3560,""id"",""en"")"),"['like', 'service', 'Telkomsel', 'hope', 'in the future', 'network']")</f>
        <v>['like', 'service', 'Telkomsel', 'hope', 'in the future', 'network']</v>
      </c>
      <c r="D3560" s="3">
        <v>5.0</v>
      </c>
    </row>
    <row r="3561" ht="15.75" customHeight="1">
      <c r="A3561" s="1">
        <v>3559.0</v>
      </c>
      <c r="B3561" s="3" t="s">
        <v>3561</v>
      </c>
      <c r="C3561" s="3" t="str">
        <f>IFERROR(__xludf.DUMMYFUNCTION("GOOGLETRANSLATE(B3561,""id"",""en"")"),"['', 'Yesterday', 'BLI', 'Package', 'Internet', 'KOQ', 'BSA', 'Disruption', 'System', 'Fix', ""]")</f>
        <v>['', 'Yesterday', 'BLI', 'Package', 'Internet', 'KOQ', 'BSA', 'Disruption', 'System', 'Fix', "]</v>
      </c>
      <c r="D3561" s="3">
        <v>1.0</v>
      </c>
    </row>
    <row r="3562" ht="15.75" customHeight="1">
      <c r="A3562" s="1">
        <v>3560.0</v>
      </c>
      <c r="B3562" s="3" t="s">
        <v>3562</v>
      </c>
      <c r="C3562" s="3" t="str">
        <f>IFERROR(__xludf.DUMMYFUNCTION("GOOGLETRANSLATE(B3562,""id"",""en"")"),"['Sorry', 'ngak', 'gave', 'star', 'forced', 'expensive', 'times',' price ',' kuaota ',' it seems', 'lose', 'Jauuuuu', ' Deh ',' Ama ',' im ', ""]")</f>
        <v>['Sorry', 'ngak', 'gave', 'star', 'forced', 'expensive', 'times',' price ',' kuaota ',' it seems', 'lose', 'Jauuuuu', ' Deh ',' Ama ',' im ', "]</v>
      </c>
      <c r="D3562" s="3">
        <v>1.0</v>
      </c>
    </row>
    <row r="3563" ht="15.75" customHeight="1">
      <c r="A3563" s="1">
        <v>3561.0</v>
      </c>
      <c r="B3563" s="3" t="s">
        <v>3563</v>
      </c>
      <c r="C3563" s="3" t="str">
        <f>IFERROR(__xludf.DUMMYFUNCTION("GOOGLETRANSLATE(B3563,""id"",""en"")"),"['application', 'poor', 'already', 'enter', 'number', 'phone', 'then' link ',' verification ',' sent ',' sms ',' sms ',' Enter ',' in ',' already ',' Try ',' Many ',' times', 'Sent', 'SMS', 'Try', 'Enter', 'EMAIL', 'EMAIL', 'EMANG' , 'Application', 'log',"&amp;" 'complicated', 'poor', 'poor', 'love', 'rating', 'star', '']")</f>
        <v>['application', 'poor', 'already', 'enter', 'number', 'phone', 'then' link ',' verification ',' sent ',' sms ',' sms ',' Enter ',' in ',' already ',' Try ',' Many ',' times', 'Sent', 'SMS', 'Try', 'Enter', 'EMAIL', 'EMAIL', 'EMANG' , 'Application', 'log', 'complicated', 'poor', 'poor', 'love', 'rating', 'star', '']</v>
      </c>
      <c r="D3563" s="3">
        <v>1.0</v>
      </c>
    </row>
    <row r="3564" ht="15.75" customHeight="1">
      <c r="A3564" s="1">
        <v>3562.0</v>
      </c>
      <c r="B3564" s="3" t="s">
        <v>3564</v>
      </c>
      <c r="C3564" s="3" t="str">
        <f>IFERROR(__xludf.DUMMYFUNCTION("GOOGLETRANSLATE(B3564,""id"",""en"")"),"['Package', 'monthly', 'card', 'expensive', 'era', 'difficult', 'gais', 'atmosphere', 'covid', 'work', '']")</f>
        <v>['Package', 'monthly', 'card', 'expensive', 'era', 'difficult', 'gais', 'atmosphere', 'covid', 'work', '']</v>
      </c>
      <c r="D3564" s="3">
        <v>5.0</v>
      </c>
    </row>
    <row r="3565" ht="15.75" customHeight="1">
      <c r="A3565" s="1">
        <v>3563.0</v>
      </c>
      <c r="B3565" s="3" t="s">
        <v>3565</v>
      </c>
      <c r="C3565" s="3" t="str">
        <f>IFERROR(__xludf.DUMMYFUNCTION("GOOGLETRANSLATE(B3565,""id"",""en"")"),"['buy', 'quota', 'no', 'emng', 'severe', 'update', 'severe']")</f>
        <v>['buy', 'quota', 'no', 'emng', 'severe', 'update', 'severe']</v>
      </c>
      <c r="D3565" s="3">
        <v>1.0</v>
      </c>
    </row>
    <row r="3566" ht="15.75" customHeight="1">
      <c r="A3566" s="1">
        <v>3564.0</v>
      </c>
      <c r="B3566" s="3" t="s">
        <v>3566</v>
      </c>
      <c r="C3566" s="3" t="str">
        <f>IFERROR(__xludf.DUMMYFUNCTION("GOOGLETRANSLATE(B3566,""id"",""en"")"),"['Practical', 'Easy', 'Buy', 'Package', 'Available', '']")</f>
        <v>['Practical', 'Easy', 'Buy', 'Package', 'Available', '']</v>
      </c>
      <c r="D3566" s="3">
        <v>5.0</v>
      </c>
    </row>
    <row r="3567" ht="15.75" customHeight="1">
      <c r="A3567" s="1">
        <v>3565.0</v>
      </c>
      <c r="B3567" s="3" t="s">
        <v>3567</v>
      </c>
      <c r="C3567" s="3" t="str">
        <f>IFERROR(__xludf.DUMMYFUNCTION("GOOGLETRANSLATE(B3567,""id"",""en"")"),"['chaotic', 'niiiih', 'Telkomsel', 'quota', 'data', 'bnyak', 'cut', 'pulse', 'rates', 'rampok', '']")</f>
        <v>['chaotic', 'niiiih', 'Telkomsel', 'quota', 'data', 'bnyak', 'cut', 'pulse', 'rates', 'rampok', '']</v>
      </c>
      <c r="D3567" s="3">
        <v>1.0</v>
      </c>
    </row>
    <row r="3568" ht="15.75" customHeight="1">
      <c r="A3568" s="1">
        <v>3566.0</v>
      </c>
      <c r="B3568" s="3" t="s">
        <v>3568</v>
      </c>
      <c r="C3568" s="3" t="str">
        <f>IFERROR(__xludf.DUMMYFUNCTION("GOOGLETRANSLATE(B3568,""id"",""en"")"),"['Telkomsel', 'experience', 'loss',' network ',' comfortable ',' karen ',' play ',' game ',' signal ',' lost ',' lost ',' please ',' Fix ',' as soon as possible ',' Network ',' Telkomsel ',' ']")</f>
        <v>['Telkomsel', 'experience', 'loss',' network ',' comfortable ',' karen ',' play ',' game ',' signal ',' lost ',' lost ',' please ',' Fix ',' as soon as possible ',' Network ',' Telkomsel ',' ']</v>
      </c>
      <c r="D3568" s="3">
        <v>1.0</v>
      </c>
    </row>
    <row r="3569" ht="15.75" customHeight="1">
      <c r="A3569" s="1">
        <v>3567.0</v>
      </c>
      <c r="B3569" s="3" t="s">
        <v>3569</v>
      </c>
      <c r="C3569" s="3" t="str">
        <f>IFERROR(__xludf.DUMMYFUNCTION("GOOGLETRANSLATE(B3569,""id"",""en"")"),"['Love', 'star', 'TPI', 'slow', 'ketolongan', 'muter', 'folding', 'gorge', 'network', 'slow']")</f>
        <v>['Love', 'star', 'TPI', 'slow', 'ketolongan', 'muter', 'folding', 'gorge', 'network', 'slow']</v>
      </c>
      <c r="D3569" s="3">
        <v>1.0</v>
      </c>
    </row>
    <row r="3570" ht="15.75" customHeight="1">
      <c r="A3570" s="1">
        <v>3568.0</v>
      </c>
      <c r="B3570" s="3" t="s">
        <v>3570</v>
      </c>
      <c r="C3570" s="3" t="str">
        <f>IFERROR(__xludf.DUMMYFUNCTION("GOOGLETRANSLATE(B3570,""id"",""en"")"),"['Expensive', 'Different', 'number', 'Different', 'promo', 'no', 'disamain', 'samasama', 'user', 'Telkomsel']")</f>
        <v>['Expensive', 'Different', 'number', 'Different', 'promo', 'no', 'disamain', 'samasama', 'user', 'Telkomsel']</v>
      </c>
      <c r="D3570" s="3">
        <v>2.0</v>
      </c>
    </row>
    <row r="3571" ht="15.75" customHeight="1">
      <c r="A3571" s="1">
        <v>3569.0</v>
      </c>
      <c r="B3571" s="3" t="s">
        <v>3571</v>
      </c>
      <c r="C3571" s="3" t="str">
        <f>IFERROR(__xludf.DUMMYFUNCTION("GOOGLETRANSLATE(B3571,""id"",""en"")"),"['Signal', 'Internet', 'Kampung', 'Tonggoh', 'Citeureup', 'Bogor', 'Slow', 'Neighbors', 'Move', 'Operator', 'Karna', 'Leet']")</f>
        <v>['Signal', 'Internet', 'Kampung', 'Tonggoh', 'Citeureup', 'Bogor', 'Slow', 'Neighbors', 'Move', 'Operator', 'Karna', 'Leet']</v>
      </c>
      <c r="D3571" s="3">
        <v>5.0</v>
      </c>
    </row>
    <row r="3572" ht="15.75" customHeight="1">
      <c r="A3572" s="1">
        <v>3570.0</v>
      </c>
      <c r="B3572" s="3" t="s">
        <v>3572</v>
      </c>
      <c r="C3572" s="3" t="str">
        <f>IFERROR(__xludf.DUMMYFUNCTION("GOOGLETRANSLATE(B3572,""id"",""en"")"),"['package', 'internet', 'option', 'monthly', 'try', '']")</f>
        <v>['package', 'internet', 'option', 'monthly', 'try', '']</v>
      </c>
      <c r="D3572" s="3">
        <v>1.0</v>
      </c>
    </row>
    <row r="3573" ht="15.75" customHeight="1">
      <c r="A3573" s="1">
        <v>3571.0</v>
      </c>
      <c r="B3573" s="3" t="s">
        <v>3573</v>
      </c>
      <c r="C3573" s="3" t="str">
        <f>IFERROR(__xludf.DUMMYFUNCTION("GOOGLETRANSLATE(B3573,""id"",""en"")"),"['disappointing', 'package', 'run out', 'buy', 'package', 'check', 'package', 'sisah', 'pulse', 'sucked', 'package', 'network', ' network ',' disappointing ',' open ',' ']")</f>
        <v>['disappointing', 'package', 'run out', 'buy', 'package', 'check', 'package', 'sisah', 'pulse', 'sucked', 'package', 'network', ' network ',' disappointing ',' open ',' ']</v>
      </c>
      <c r="D3573" s="3">
        <v>1.0</v>
      </c>
    </row>
    <row r="3574" ht="15.75" customHeight="1">
      <c r="A3574" s="1">
        <v>3572.0</v>
      </c>
      <c r="B3574" s="3" t="s">
        <v>3574</v>
      </c>
      <c r="C3574" s="3" t="str">
        <f>IFERROR(__xludf.DUMMYFUNCTION("GOOGLETRANSLATE(B3574,""id"",""en"")"),"['recommend', 'community', 'Indonesia', 'Install', 'APK', 'APK', 'Telkomsel', 'Help']")</f>
        <v>['recommend', 'community', 'Indonesia', 'Install', 'APK', 'APK', 'Telkomsel', 'Help']</v>
      </c>
      <c r="D3574" s="3">
        <v>3.0</v>
      </c>
    </row>
    <row r="3575" ht="15.75" customHeight="1">
      <c r="A3575" s="1">
        <v>3573.0</v>
      </c>
      <c r="B3575" s="3" t="s">
        <v>3575</v>
      </c>
      <c r="C3575" s="3" t="str">
        <f>IFERROR(__xludf.DUMMYFUNCTION("GOOGLETRANSLATE(B3575,""id"",""en"")"),"['', 'Telkomsel', 'like', 'hopefully', 'lucky', 'gift', 'lottery', 'Telkomsel', 'customers', 'loyal', 'Telkomsel', 'tks']")</f>
        <v>['', 'Telkomsel', 'like', 'hopefully', 'lucky', 'gift', 'lottery', 'Telkomsel', 'customers', 'loyal', 'Telkomsel', 'tks']</v>
      </c>
      <c r="D3575" s="3">
        <v>5.0</v>
      </c>
    </row>
    <row r="3576" ht="15.75" customHeight="1">
      <c r="A3576" s="1">
        <v>3574.0</v>
      </c>
      <c r="B3576" s="3" t="s">
        <v>3576</v>
      </c>
      <c r="C3576" s="3" t="str">
        <f>IFERROR(__xludf.DUMMYFUNCTION("GOOGLETRANSLATE(B3576,""id"",""en"")"),"['buy', 'kouta', 'buy', 'failed', 'signal', 'gpp', 'kenceng', 'fit', 'entry', 'application', 'error', 'application', ' UDH ',' upgred ',' version ',' the latest ',' tetep ',' pulse ',' jga ']")</f>
        <v>['buy', 'kouta', 'buy', 'failed', 'signal', 'gpp', 'kenceng', 'fit', 'entry', 'application', 'error', 'application', ' UDH ',' upgred ',' version ',' the latest ',' tetep ',' pulse ',' jga ']</v>
      </c>
      <c r="D3576" s="3">
        <v>3.0</v>
      </c>
    </row>
    <row r="3577" ht="15.75" customHeight="1">
      <c r="A3577" s="1">
        <v>3575.0</v>
      </c>
      <c r="B3577" s="3" t="s">
        <v>3577</v>
      </c>
      <c r="C3577" s="3" t="str">
        <f>IFERROR(__xludf.DUMMYFUNCTION("GOOGLETRANSLATE(B3577,""id"",""en"")"),"['klu', 'people', 'already', 'registered', 'Nda', 'heway', 'people', 'login', 'Astagaa', 'Dihp', 'husband', ' Naudzubillah ',' NDA ',' Enter ',' Diverted ',' Operamini ',' HTTP ',' Inalillah ',' experience ',' On ',' Klu ',' prefix ',' trimmed ',' collaps"&amp;"e ' , 'iHhhh', 'malaasss', 'download', '']")</f>
        <v>['klu', 'people', 'already', 'registered', 'Nda', 'heway', 'people', 'login', 'Astagaa', 'Dihp', 'husband', ' Naudzubillah ',' NDA ',' Enter ',' Diverted ',' Operamini ',' HTTP ',' Inalillah ',' experience ',' On ',' Klu ',' prefix ',' trimmed ',' collapse ' , 'iHhhh', 'malaasss', 'download', '']</v>
      </c>
      <c r="D3577" s="3">
        <v>1.0</v>
      </c>
    </row>
    <row r="3578" ht="15.75" customHeight="1">
      <c r="A3578" s="1">
        <v>3576.0</v>
      </c>
      <c r="B3578" s="3" t="s">
        <v>3578</v>
      </c>
      <c r="C3578" s="3" t="str">
        <f>IFERROR(__xludf.DUMMYFUNCTION("GOOGLETRANSLATE(B3578,""id"",""en"")"),"['Good', 'adds',' features', 'makes it easy', 'gamers',' buy ',' money ',' game ',' find ',' feature ',' purchase ',' game ',' Call ',' Duty ',' Mobile ',' Over ',' Greetings', 'Warm', 'Papua', 'Thank', 'Love', ""]")</f>
        <v>['Good', 'adds',' features', 'makes it easy', 'gamers',' buy ',' money ',' game ',' find ',' feature ',' purchase ',' game ',' Call ',' Duty ',' Mobile ',' Over ',' Greetings', 'Warm', 'Papua', 'Thank', 'Love', "]</v>
      </c>
      <c r="D3578" s="3">
        <v>5.0</v>
      </c>
    </row>
    <row r="3579" ht="15.75" customHeight="1">
      <c r="A3579" s="1">
        <v>3577.0</v>
      </c>
      <c r="B3579" s="3" t="s">
        <v>3579</v>
      </c>
      <c r="C3579" s="3" t="str">
        <f>IFERROR(__xludf.DUMMYFUNCTION("GOOGLETRANSLATE(B3579,""id"",""en"")"),"['Please', 'signal', 'Strengthen', 'Region', 'Signal', 'Telkomsel', 'Stable', 'Changed', 'Turns', 'Data', ""]")</f>
        <v>['Please', 'signal', 'Strengthen', 'Region', 'Signal', 'Telkomsel', 'Stable', 'Changed', 'Turns', 'Data', "]</v>
      </c>
      <c r="D3579" s="3">
        <v>1.0</v>
      </c>
    </row>
    <row r="3580" ht="15.75" customHeight="1">
      <c r="A3580" s="1">
        <v>3578.0</v>
      </c>
      <c r="B3580" s="3" t="s">
        <v>3580</v>
      </c>
      <c r="C3580" s="3" t="str">
        <f>IFERROR(__xludf.DUMMYFUNCTION("GOOGLETRANSLATE(B3580,""id"",""en"")"),"['Service', 'Magic', 'Call', 'please', 'Package', 'Call', 'Catch', 'Doang', 'Silver', 'Package', 'Clock', 'Rupiah', ' That's', 'Customer', 'Telkomsel', 'Comfortable']")</f>
        <v>['Service', 'Magic', 'Call', 'please', 'Package', 'Call', 'Catch', 'Doang', 'Silver', 'Package', 'Clock', 'Rupiah', ' That's', 'Customer', 'Telkomsel', 'Comfortable']</v>
      </c>
      <c r="D3580" s="3">
        <v>1.0</v>
      </c>
    </row>
    <row r="3581" ht="15.75" customHeight="1">
      <c r="A3581" s="1">
        <v>3579.0</v>
      </c>
      <c r="B3581" s="3" t="s">
        <v>3581</v>
      </c>
      <c r="C3581" s="3" t="str">
        <f>IFERROR(__xludf.DUMMYFUNCTION("GOOGLETRANSLATE(B3581,""id"",""en"")"),"['Please', 'Promo', 'Alfamart', 'Indomaret', 'Karna', 'Hamppired', 'Detiap', 'Region', ""]")</f>
        <v>['Please', 'Promo', 'Alfamart', 'Indomaret', 'Karna', 'Hamppired', 'Detiap', 'Region', "]</v>
      </c>
      <c r="D3581" s="3">
        <v>5.0</v>
      </c>
    </row>
    <row r="3582" ht="15.75" customHeight="1">
      <c r="A3582" s="1">
        <v>3580.0</v>
      </c>
      <c r="B3582" s="3" t="s">
        <v>3582</v>
      </c>
      <c r="C3582" s="3" t="str">
        <f>IFERROR(__xludf.DUMMYFUNCTION("GOOGLETRANSLATE(B3582,""id"",""en"")"),"['signal', 'Telkomsel', 'deteriorating', 'signal', 'victim', 'buy', 'quota', 'stable', 'used', ""]")</f>
        <v>['signal', 'Telkomsel', 'deteriorating', 'signal', 'victim', 'buy', 'quota', 'stable', 'used', "]</v>
      </c>
      <c r="D3582" s="3">
        <v>1.0</v>
      </c>
    </row>
    <row r="3583" ht="15.75" customHeight="1">
      <c r="A3583" s="1">
        <v>3581.0</v>
      </c>
      <c r="B3583" s="3" t="s">
        <v>3583</v>
      </c>
      <c r="C3583" s="3" t="str">
        <f>IFERROR(__xludf.DUMMYFUNCTION("GOOGLETRANSLATE(B3583,""id"",""en"")"),"['just', 'pandemic', 'ends',' pity ',' org ',' outside ',' difficult ',' search ',' bite ',' rice ',' needs', 'his family', ' exam ',' Lord ',' Kayak ',' Government ',' Adjust ',' Hmm ',' Hmm ',' Poor ',' Country ',' Jajah ',' Government ']")</f>
        <v>['just', 'pandemic', 'ends',' pity ',' org ',' outside ',' difficult ',' search ',' bite ',' rice ',' needs', 'his family', ' exam ',' Lord ',' Kayak ',' Government ',' Adjust ',' Hmm ',' Hmm ',' Poor ',' Country ',' Jajah ',' Government ']</v>
      </c>
      <c r="D3583" s="3">
        <v>5.0</v>
      </c>
    </row>
    <row r="3584" ht="15.75" customHeight="1">
      <c r="A3584" s="1">
        <v>3582.0</v>
      </c>
      <c r="B3584" s="3" t="s">
        <v>3584</v>
      </c>
      <c r="C3584" s="3" t="str">
        <f>IFERROR(__xludf.DUMMYFUNCTION("GOOGLETRANSLATE(B3584,""id"",""en"")"),"['tex', 'tsel', 'promo', 'told', 'download', 'Telkomsel', 'log', 'nomerku', 'get', 'pulse', 'free', 'telf', ' SMS ',' Turn ',' already ',' downloaded ',' Log ',' SMS ',' Package ',' Credit ',' Rp ',' On ',' apply ',' date ',' PKL ' , 'WIB', 'Check', 'Stat"&amp;"us',' Stop ',' Subscribe ',' Telkomsel ',' Apps', 'Hub', 'Info', 'Turn', 'Try', 'Telf', ' no ',' sms', 'no', 'check', 'no', 'checked', 'pulse', 'tetep', 'please', 'maxutnya', 'what', '']")</f>
        <v>['tex', 'tsel', 'promo', 'told', 'download', 'Telkomsel', 'log', 'nomerku', 'get', 'pulse', 'free', 'telf', ' SMS ',' Turn ',' already ',' downloaded ',' Log ',' SMS ',' Package ',' Credit ',' Rp ',' On ',' apply ',' date ',' PKL ' , 'WIB', 'Check', 'Status',' Stop ',' Subscribe ',' Telkomsel ',' Apps', 'Hub', 'Info', 'Turn', 'Try', 'Telf', ' no ',' sms', 'no', 'check', 'no', 'checked', 'pulse', 'tetep', 'please', 'maxutnya', 'what', '']</v>
      </c>
      <c r="D3584" s="3">
        <v>1.0</v>
      </c>
    </row>
    <row r="3585" ht="15.75" customHeight="1">
      <c r="A3585" s="1">
        <v>3583.0</v>
      </c>
      <c r="B3585" s="3" t="s">
        <v>3585</v>
      </c>
      <c r="C3585" s="3" t="str">
        <f>IFERROR(__xludf.DUMMYFUNCTION("GOOGLETRANSLATE(B3585,""id"",""en"")"),"['area', 'Ketapang', 'BLM', 'Affordable', 'Telkomsel', 'go', 'mobile', 'KTP', 'Sometimes',' Harua ',' missing ',' signal ',' ']")</f>
        <v>['area', 'Ketapang', 'BLM', 'Affordable', 'Telkomsel', 'go', 'mobile', 'KTP', 'Sometimes',' Harua ',' missing ',' signal ',' ']</v>
      </c>
      <c r="D3585" s="3">
        <v>3.0</v>
      </c>
    </row>
    <row r="3586" ht="15.75" customHeight="1">
      <c r="A3586" s="1">
        <v>3584.0</v>
      </c>
      <c r="B3586" s="3" t="s">
        <v>3586</v>
      </c>
      <c r="C3586" s="3" t="str">
        <f>IFERROR(__xludf.DUMMYFUNCTION("GOOGLETRANSLATE(B3586,""id"",""en"")"),"['Customer', 'Telkomsel', 'Disappointed', 'Network', 'Bad', 'Bedara', 'City', 'Paketan', 'Buy', 'Rb', 'Please', 'repaired', ' Dinaikin ',' Price ',' Mulu ',' ']")</f>
        <v>['Customer', 'Telkomsel', 'Disappointed', 'Network', 'Bad', 'Bedara', 'City', 'Paketan', 'Buy', 'Rb', 'Please', 'repaired', ' Dinaikin ',' Price ',' Mulu ',' ']</v>
      </c>
      <c r="D3586" s="3">
        <v>1.0</v>
      </c>
    </row>
    <row r="3587" ht="15.75" customHeight="1">
      <c r="A3587" s="1">
        <v>3585.0</v>
      </c>
      <c r="B3587" s="3" t="s">
        <v>3587</v>
      </c>
      <c r="C3587" s="3" t="str">
        <f>IFERROR(__xludf.DUMMYFUNCTION("GOOGLETRANSLATE(B3587,""id"",""en"")"),"['has',' quota ',' internet ',' GB ',' quota ',' watch ',' knp ',' right ',' open ',' internet ',' use ',' pulse ',' Sumpot ',' active ',' please ',' knp ',' disappointing ']")</f>
        <v>['has',' quota ',' internet ',' GB ',' quota ',' watch ',' knp ',' right ',' open ',' internet ',' use ',' pulse ',' Sumpot ',' active ',' please ',' knp ',' disappointing ']</v>
      </c>
      <c r="D3587" s="3">
        <v>1.0</v>
      </c>
    </row>
    <row r="3588" ht="15.75" customHeight="1">
      <c r="A3588" s="1">
        <v>3586.0</v>
      </c>
      <c r="B3588" s="3" t="s">
        <v>3588</v>
      </c>
      <c r="C3588" s="3" t="str">
        <f>IFERROR(__xludf.DUMMYFUNCTION("GOOGLETRANSLATE(B3588,""id"",""en"")"),"['What', 'buy', 'package', 'paid', 'package', 'until', 'already', 'clock', 'please', 'repaired', 'system', 'harm "",' ']")</f>
        <v>['What', 'buy', 'package', 'paid', 'package', 'until', 'already', 'clock', 'please', 'repaired', 'system', 'harm ",' ']</v>
      </c>
      <c r="D3588" s="3">
        <v>1.0</v>
      </c>
    </row>
    <row r="3589" ht="15.75" customHeight="1">
      <c r="A3589" s="1">
        <v>3587.0</v>
      </c>
      <c r="B3589" s="3" t="s">
        <v>3589</v>
      </c>
      <c r="C3589" s="3" t="str">
        <f>IFERROR(__xludf.DUMMYFUNCTION("GOOGLETRANSLATE(B3589,""id"",""en"")"),"['Features', 'accumulation', 'quota', 'Telkomsel', 'Features', 'Harha', 'Package', 'expensive', 'Features']")</f>
        <v>['Features', 'accumulation', 'quota', 'Telkomsel', 'Features', 'Harha', 'Package', 'expensive', 'Features']</v>
      </c>
      <c r="D3589" s="3">
        <v>1.0</v>
      </c>
    </row>
    <row r="3590" ht="15.75" customHeight="1">
      <c r="A3590" s="1">
        <v>3588.0</v>
      </c>
      <c r="B3590" s="3" t="s">
        <v>3590</v>
      </c>
      <c r="C3590" s="3" t="str">
        <f>IFERROR(__xludf.DUMMYFUNCTION("GOOGLETRANSLATE(B3590,""id"",""en"")"),"['cave', 'just' just 'buy', 'package', 'unlimited', 'main', 'method', 'payment', 'gopay', 'udh', 'managed', 'payment', ' The GoPay ',' Package ',' Unlimited ',' Gajelas', 'Please', 'Perbakin', '']")</f>
        <v>['cave', 'just' just 'buy', 'package', 'unlimited', 'main', 'method', 'payment', 'gopay', 'udh', 'managed', 'payment', ' The GoPay ',' Package ',' Unlimited ',' Gajelas', 'Please', 'Perbakin', '']</v>
      </c>
      <c r="D3590" s="3">
        <v>1.0</v>
      </c>
    </row>
    <row r="3591" ht="15.75" customHeight="1">
      <c r="A3591" s="1">
        <v>3589.0</v>
      </c>
      <c r="B3591" s="3" t="s">
        <v>3591</v>
      </c>
      <c r="C3591" s="3" t="str">
        <f>IFERROR(__xludf.DUMMYFUNCTION("GOOGLETRANSLATE(B3591,""id"",""en"")"),"['pulse', 'missing', 'disappointed', 'Telkomsel', 'signal', 'bad', 'pulse', 'like', 'missing', 'subscribe', 'internet', 'anything', ' Students', 'buy', 'quota', 'buy', 'quota', 'power', 'online', 'use', 'use', 'centong', 'please', 'missing', 'pulse' , 'bu"&amp;"y', 'quota', 'GB', 'online', 'please', 'features', 'safety', 'pulses', ""]")</f>
        <v>['pulse', 'missing', 'disappointed', 'Telkomsel', 'signal', 'bad', 'pulse', 'like', 'missing', 'subscribe', 'internet', 'anything', ' Students', 'buy', 'quota', 'buy', 'quota', 'power', 'online', 'use', 'use', 'centong', 'please', 'missing', 'pulse' , 'buy', 'quota', 'GB', 'online', 'please', 'features', 'safety', 'pulses', "]</v>
      </c>
      <c r="D3591" s="3">
        <v>1.0</v>
      </c>
    </row>
    <row r="3592" ht="15.75" customHeight="1">
      <c r="A3592" s="1">
        <v>3590.0</v>
      </c>
      <c r="B3592" s="3" t="s">
        <v>3592</v>
      </c>
      <c r="C3592" s="3" t="str">
        <f>IFERROR(__xludf.DUMMYFUNCTION("GOOGLETRANSLATE(B3592,""id"",""en"")"),"['Telkomsel', 'expensive', 'please', 'price', 'quota', 'cheap', 'promo', 'multiply', 'signal', 'signal', 'ugly', 'full', ' YouTube ',' slow ',' please ',' operator ',' Segara ',' fix ',' thank ',' love ', ""]")</f>
        <v>['Telkomsel', 'expensive', 'please', 'price', 'quota', 'cheap', 'promo', 'multiply', 'signal', 'signal', 'ugly', 'full', ' YouTube ',' slow ',' please ',' operator ',' Segara ',' fix ',' thank ',' love ', "]</v>
      </c>
      <c r="D3592" s="3">
        <v>1.0</v>
      </c>
    </row>
    <row r="3593" ht="15.75" customHeight="1">
      <c r="A3593" s="1">
        <v>3591.0</v>
      </c>
      <c r="B3593" s="3" t="s">
        <v>3593</v>
      </c>
      <c r="C3593" s="3" t="str">
        <f>IFERROR(__xludf.DUMMYFUNCTION("GOOGLETRANSLATE(B3593,""id"",""en"")"),"['Mhon', 'noticed', 'Telkomsell', 'Credit', 'Sya', 'Lost', 'Sya', 'Buy', 'Package', 'Credit', 'Cut', 'Package', ' Enter ',' clock ',' night ',' brainlah ',' boss', 'drained', 'money', 'kunsumen', 'work', '']")</f>
        <v>['Mhon', 'noticed', 'Telkomsell', 'Credit', 'Sya', 'Lost', 'Sya', 'Buy', 'Package', 'Credit', 'Cut', 'Package', ' Enter ',' clock ',' night ',' brainlah ',' boss', 'drained', 'money', 'kunsumen', 'work', '']</v>
      </c>
      <c r="D3593" s="3">
        <v>1.0</v>
      </c>
    </row>
    <row r="3594" ht="15.75" customHeight="1">
      <c r="A3594" s="1">
        <v>3592.0</v>
      </c>
      <c r="B3594" s="3" t="s">
        <v>3594</v>
      </c>
      <c r="C3594" s="3" t="str">
        <f>IFERROR(__xludf.DUMMYFUNCTION("GOOGLETRANSLATE(B3594,""id"",""en"")"),"['Date', 'September', 'connection', 'internet', 'Telkomsel', 'problematic', 'open', 'application', 'game', 'please', 'fast', 'fix']")</f>
        <v>['Date', 'September', 'connection', 'internet', 'Telkomsel', 'problematic', 'open', 'application', 'game', 'please', 'fast', 'fix']</v>
      </c>
      <c r="D3594" s="3">
        <v>1.0</v>
      </c>
    </row>
    <row r="3595" ht="15.75" customHeight="1">
      <c r="A3595" s="1">
        <v>3593.0</v>
      </c>
      <c r="B3595" s="3" t="s">
        <v>3595</v>
      </c>
      <c r="C3595" s="3" t="str">
        <f>IFERROR(__xludf.DUMMYFUNCTION("GOOGLETRANSLATE(B3595,""id"",""en"")"),"['buy', 'package', 'internet', 'pay', 'package', 'enter', 'enter', 'sorry', 'love', 'star', 'already', 'entered', ' Love ',' Bintang ',' ']")</f>
        <v>['buy', 'package', 'internet', 'pay', 'package', 'enter', 'enter', 'sorry', 'love', 'star', 'already', 'entered', ' Love ',' Bintang ',' ']</v>
      </c>
      <c r="D3595" s="3">
        <v>1.0</v>
      </c>
    </row>
    <row r="3596" ht="15.75" customHeight="1">
      <c r="A3596" s="1">
        <v>3594.0</v>
      </c>
      <c r="B3596" s="3" t="s">
        <v>3596</v>
      </c>
      <c r="C3596" s="3" t="str">
        <f>IFERROR(__xludf.DUMMYFUNCTION("GOOGLETRANSLATE(B3596,""id"",""en"")"),"['Package', 'Data', 'expensive', 'acelan', 'good', 'Ngehenk', 'price', 'suits',' quality ',' signal ',' bnyk ',' error ',' ']")</f>
        <v>['Package', 'Data', 'expensive', 'acelan', 'good', 'Ngehenk', 'price', 'suits',' quality ',' signal ',' bnyk ',' error ',' ']</v>
      </c>
      <c r="D3596" s="3">
        <v>1.0</v>
      </c>
    </row>
    <row r="3597" ht="15.75" customHeight="1">
      <c r="A3597" s="1">
        <v>3595.0</v>
      </c>
      <c r="B3597" s="3" t="s">
        <v>3597</v>
      </c>
      <c r="C3597" s="3" t="str">
        <f>IFERROR(__xludf.DUMMYFUNCTION("GOOGLETRANSLATE(B3597,""id"",""en"")"),"['Error', 'right', 'package', 'expensive', 'card', 'live', 'data', 'for a second', 'pulse', 'run out', 'really', 'disappointed', ' Services', 'Telkomsel']")</f>
        <v>['Error', 'right', 'package', 'expensive', 'card', 'live', 'data', 'for a second', 'pulse', 'run out', 'really', 'disappointed', ' Services', 'Telkomsel']</v>
      </c>
      <c r="D3597" s="3">
        <v>1.0</v>
      </c>
    </row>
    <row r="3598" ht="15.75" customHeight="1">
      <c r="A3598" s="1">
        <v>3596.0</v>
      </c>
      <c r="B3598" s="3" t="s">
        <v>3598</v>
      </c>
      <c r="C3598" s="3" t="str">
        <f>IFERROR(__xludf.DUMMYFUNCTION("GOOGLETRANSLATE(B3598,""id"",""en"")"),"['Sorry', 'love', 'star', 'signal', 'home', 'good', 'features',' good ',' pay ',' use ',' pulses', 'right', ' Buy ',' Package ',' Night ',' Rb ',' Method ',' Payment ',' Try ',' Please ',' Repaired ',' Bug ']")</f>
        <v>['Sorry', 'love', 'star', 'signal', 'home', 'good', 'features',' good ',' pay ',' use ',' pulses', 'right', ' Buy ',' Package ',' Night ',' Rb ',' Method ',' Payment ',' Try ',' Please ',' Repaired ',' Bug ']</v>
      </c>
      <c r="D3598" s="3">
        <v>3.0</v>
      </c>
    </row>
    <row r="3599" ht="15.75" customHeight="1">
      <c r="A3599" s="1">
        <v>3597.0</v>
      </c>
      <c r="B3599" s="3" t="s">
        <v>3599</v>
      </c>
      <c r="C3599" s="3" t="str">
        <f>IFERROR(__xludf.DUMMYFUNCTION("GOOGLETRANSLATE(B3599,""id"",""en"")"),"['Disappointed', 'Telkomsel', 'Change', 'Sympathy', 'Hello', 'Validation', 'date', 'Sampe', 'AGTS', 'On', 'card', 'Kt', ' Direct ',' Dipake ',' PDHL ',' quota ',' leftover ',' sympathy ',' msh ',' GB ',' nelp ',' sms', 'or', 'phone', 'sms' , 'entry', 'num"&amp;"ber', 'active', 'please', 'Telkomsel', 'activated', 'card', 'I mean', 'Lieur', 'Sugan', 'bill', 'already', ' appear', '']")</f>
        <v>['Disappointed', 'Telkomsel', 'Change', 'Sympathy', 'Hello', 'Validation', 'date', 'Sampe', 'AGTS', 'On', 'card', 'Kt', ' Direct ',' Dipake ',' PDHL ',' quota ',' leftover ',' sympathy ',' msh ',' GB ',' nelp ',' sms', 'or', 'phone', 'sms' , 'entry', 'number', 'active', 'please', 'Telkomsel', 'activated', 'card', 'I mean', 'Lieur', 'Sugan', 'bill', 'already', ' appear', '']</v>
      </c>
      <c r="D3599" s="3">
        <v>1.0</v>
      </c>
    </row>
    <row r="3600" ht="15.75" customHeight="1">
      <c r="A3600" s="1">
        <v>3598.0</v>
      </c>
      <c r="B3600" s="3" t="s">
        <v>3600</v>
      </c>
      <c r="C3600" s="3" t="str">
        <f>IFERROR(__xludf.DUMMYFUNCTION("GOOGLETRANSLATE(B3600,""id"",""en"")"),"['Date', 'buy', 'Package', 'Combo', 'Sakti', 'MyTelkomsel', 'automatic', 'increases',' quota ',' smpe ',' skrng ',' blm ',' increase ',' quota ',' hub ',' info ',' wait ',' max ',' max ',' buy ',' quota ',' yeah ',' wait ',' beg ',' repair ' , 'mksh', 'by"&amp;"k']")</f>
        <v>['Date', 'buy', 'Package', 'Combo', 'Sakti', 'MyTelkomsel', 'automatic', 'increases',' quota ',' smpe ',' skrng ',' blm ',' increase ',' quota ',' hub ',' info ',' wait ',' max ',' max ',' buy ',' quota ',' yeah ',' wait ',' beg ',' repair ' , 'mksh', 'byk']</v>
      </c>
      <c r="D3600" s="3">
        <v>3.0</v>
      </c>
    </row>
    <row r="3601" ht="15.75" customHeight="1">
      <c r="A3601" s="1">
        <v>3599.0</v>
      </c>
      <c r="B3601" s="3" t="s">
        <v>3601</v>
      </c>
      <c r="C3601" s="3" t="str">
        <f>IFERROR(__xludf.DUMMYFUNCTION("GOOGLETRANSLATE(B3601,""id"",""en"")"),"['', 'use', 'application', 'good', 'easy', 'satisfying', 'history', 'charging', 'pulse', 'application', 'Look', 'menu', 'info ',' menu ',' inbox ',' TPI ',' inbox ',' information ',' need ',' told ',' update ',' the application ',' the latest ',' told ','"&amp;" forceclose ', 'remove', 'cache', 'result', 'see', 'history', 'charging', 'pulses', 'mhn', 'help', 'tks', ""]")</f>
        <v>['', 'use', 'application', 'good', 'easy', 'satisfying', 'history', 'charging', 'pulse', 'application', 'Look', 'menu', 'info ',' menu ',' inbox ',' TPI ',' inbox ',' information ',' need ',' told ',' update ',' the application ',' the latest ',' told ',' forceclose ', 'remove', 'cache', 'result', 'see', 'history', 'charging', 'pulses', 'mhn', 'help', 'tks', "]</v>
      </c>
      <c r="D3601" s="3">
        <v>3.0</v>
      </c>
    </row>
    <row r="3602" ht="15.75" customHeight="1">
      <c r="A3602" s="1">
        <v>3600.0</v>
      </c>
      <c r="B3602" s="3" t="s">
        <v>3602</v>
      </c>
      <c r="C3602" s="3" t="str">
        <f>IFERROR(__xludf.DUMMYFUNCTION("GOOGLETRANSLATE(B3602,""id"",""en"")"),"['Telkolmsel', 'Error', 'Kah', 'Buy', 'Package', 'Hadeh', ""]")</f>
        <v>['Telkolmsel', 'Error', 'Kah', 'Buy', 'Package', 'Hadeh', "]</v>
      </c>
      <c r="D3602" s="3">
        <v>1.0</v>
      </c>
    </row>
    <row r="3603" ht="15.75" customHeight="1">
      <c r="A3603" s="1">
        <v>3601.0</v>
      </c>
      <c r="B3603" s="3" t="s">
        <v>3603</v>
      </c>
      <c r="C3603" s="3" t="str">
        <f>IFERROR(__xludf.DUMMYFUNCTION("GOOGLETRANSLATE(B3603,""id"",""en"")"),"['difficult', 'gini', 'persistah', 'buy', 'kouta', 'quota', 'send', 'bodo', 'Ogah', 'email', ""]")</f>
        <v>['difficult', 'gini', 'persistah', 'buy', 'kouta', 'quota', 'send', 'bodo', 'Ogah', 'email', "]</v>
      </c>
      <c r="D3603" s="3">
        <v>1.0</v>
      </c>
    </row>
    <row r="3604" ht="15.75" customHeight="1">
      <c r="A3604" s="1">
        <v>3602.0</v>
      </c>
      <c r="B3604" s="3" t="s">
        <v>3604</v>
      </c>
      <c r="C3604" s="3" t="str">
        <f>IFERROR(__xludf.DUMMYFUNCTION("GOOGLETRANSLATE(B3604,""id"",""en"")"),"['intention', 'buy', 'package', 'via', 'MyTelkomsel', 'pulse', 'buy', 'package', 'Cut', 'Gara', 'access',' MyTelkomsel ',' Anying ',' Nyari ',' money ',' difficult ',' as easy ',' cheating ',' people ',' OK ',' work ',' Mending ',' ngundurin ',' add ',' s"&amp;"in ' , '']")</f>
        <v>['intention', 'buy', 'package', 'via', 'MyTelkomsel', 'pulse', 'buy', 'package', 'Cut', 'Gara', 'access',' MyTelkomsel ',' Anying ',' Nyari ',' money ',' difficult ',' as easy ',' cheating ',' people ',' OK ',' work ',' Mending ',' ngundurin ',' add ',' sin ' , '']</v>
      </c>
      <c r="D3604" s="3">
        <v>1.0</v>
      </c>
    </row>
    <row r="3605" ht="15.75" customHeight="1">
      <c r="A3605" s="1">
        <v>3603.0</v>
      </c>
      <c r="B3605" s="3" t="s">
        <v>3605</v>
      </c>
      <c r="C3605" s="3" t="str">
        <f>IFERROR(__xludf.DUMMYFUNCTION("GOOGLETRANSLATE(B3605,""id"",""en"")"),"['What', 'already', 'buy', 'package', 'pay', 'fund', 'package', 'quota', 'enter', ""]")</f>
        <v>['What', 'already', 'buy', 'package', 'pay', 'fund', 'package', 'quota', 'enter', "]</v>
      </c>
      <c r="D3605" s="3">
        <v>1.0</v>
      </c>
    </row>
    <row r="3606" ht="15.75" customHeight="1">
      <c r="A3606" s="1">
        <v>3604.0</v>
      </c>
      <c r="B3606" s="3" t="s">
        <v>3606</v>
      </c>
      <c r="C3606" s="3" t="str">
        <f>IFERROR(__xludf.DUMMYFUNCTION("GOOGLETRANSLATE(B3606,""id"",""en"")"),"['credit', 'card', 'Telkomsel', 'suck', 'truss',' subscription ',' pulse ',' run out ',' truss', 'ngelamin', 'user', 'card', ' Telkomsel ',' Out ',' Suck ',' Credit ',' Reasons', 'Subscriptions',' Subscriptions', 'Successful', 'Card', 'Telkomsel']")</f>
        <v>['credit', 'card', 'Telkomsel', 'suck', 'truss',' subscription ',' pulse ',' run out ',' truss', 'ngelamin', 'user', 'card', ' Telkomsel ',' Out ',' Suck ',' Credit ',' Reasons', 'Subscriptions',' Subscriptions', 'Successful', 'Card', 'Telkomsel']</v>
      </c>
      <c r="D3606" s="3">
        <v>1.0</v>
      </c>
    </row>
    <row r="3607" ht="15.75" customHeight="1">
      <c r="A3607" s="1">
        <v>3605.0</v>
      </c>
      <c r="B3607" s="3" t="s">
        <v>3607</v>
      </c>
      <c r="C3607" s="3" t="str">
        <f>IFERROR(__xludf.DUMMYFUNCTION("GOOGLETRANSLATE(B3607,""id"",""en"")"),"['Telkomnyet', 'take', 'package', 'difficult', 'oath', 'telkomnyet', 'already', 'difficult', 'network', 'take', 'package', 'error', ' Gini ',' Cave ',' Saranin ',' Change ',' Card ']")</f>
        <v>['Telkomnyet', 'take', 'package', 'difficult', 'oath', 'telkomnyet', 'already', 'difficult', 'network', 'take', 'package', 'error', ' Gini ',' Cave ',' Saranin ',' Change ',' Card ']</v>
      </c>
      <c r="D3607" s="3">
        <v>1.0</v>
      </c>
    </row>
    <row r="3608" ht="15.75" customHeight="1">
      <c r="A3608" s="1">
        <v>3606.0</v>
      </c>
      <c r="B3608" s="3" t="s">
        <v>3608</v>
      </c>
      <c r="C3608" s="3" t="str">
        <f>IFERROR(__xludf.DUMMYFUNCTION("GOOGLETRANSLATE(B3608,""id"",""en"")"),"['signal', 'like', 'missing', 'connection', 'stable', 'provider', 'level', 'go bankrupt', 'times',' gave ',' service ',' Severe ',' Pekahhhh ',' papayahhhh ']")</f>
        <v>['signal', 'like', 'missing', 'connection', 'stable', 'provider', 'level', 'go bankrupt', 'times',' gave ',' service ',' Severe ',' Pekahhhh ',' papayahhhh ']</v>
      </c>
      <c r="D3608" s="3">
        <v>1.0</v>
      </c>
    </row>
    <row r="3609" ht="15.75" customHeight="1">
      <c r="A3609" s="1">
        <v>3607.0</v>
      </c>
      <c r="B3609" s="3" t="s">
        <v>3609</v>
      </c>
      <c r="C3609" s="3" t="str">
        <f>IFERROR(__xludf.DUMMYFUNCTION("GOOGLETRANSLATE(B3609,""id"",""en"")"),"['Network', 'bad', 'right', 'dead', 'electricity', 'turn', 'electricity', 'flame', 'sudh', 'sudh', 'stirup', 'repair', ' Make ',' Telkom ']")</f>
        <v>['Network', 'bad', 'right', 'dead', 'electricity', 'turn', 'electricity', 'flame', 'sudh', 'sudh', 'stirup', 'repair', ' Make ',' Telkom ']</v>
      </c>
      <c r="D3609" s="3">
        <v>1.0</v>
      </c>
    </row>
    <row r="3610" ht="15.75" customHeight="1">
      <c r="A3610" s="1">
        <v>3608.0</v>
      </c>
      <c r="B3610" s="3" t="s">
        <v>3610</v>
      </c>
      <c r="C3610" s="3" t="str">
        <f>IFERROR(__xludf.DUMMYFUNCTION("GOOGLETRANSLATE(B3610,""id"",""en"")"),"['Display', 'already', 'okay', 'slow', 'perfect', 'eat', 'ram', 'creation', 'developer', 'comment', 'button', 'the list', ' Told ',' Register ',' Login ',' Account ',' Number ',' Available ',' ']")</f>
        <v>['Display', 'already', 'okay', 'slow', 'perfect', 'eat', 'ram', 'creation', 'developer', 'comment', 'button', 'the list', ' Told ',' Register ',' Login ',' Account ',' Number ',' Available ',' ']</v>
      </c>
      <c r="D3610" s="3">
        <v>1.0</v>
      </c>
    </row>
    <row r="3611" ht="15.75" customHeight="1">
      <c r="A3611" s="1">
        <v>3609.0</v>
      </c>
      <c r="B3611" s="3" t="s">
        <v>3611</v>
      </c>
      <c r="C3611" s="3" t="str">
        <f>IFERROR(__xludf.DUMMYFUNCTION("GOOGLETRANSLATE(B3611,""id"",""en"")"),"['Honest', 'Sunday', 'Disappointed', 'Telkomsel', 'signal', 'internet', 'Bener', 'Severe', 'Nga', 'entry', 'application', 'Telkomsel', ' Please, 'Donk', 'Help', 'Comfortable', 'Faithful', 'Sexos', 'Thank you']")</f>
        <v>['Honest', 'Sunday', 'Disappointed', 'Telkomsel', 'signal', 'internet', 'Bener', 'Severe', 'Nga', 'entry', 'application', 'Telkomsel', ' Please, 'Donk', 'Help', 'Comfortable', 'Faithful', 'Sexos', 'Thank you']</v>
      </c>
      <c r="D3611" s="3">
        <v>3.0</v>
      </c>
    </row>
    <row r="3612" ht="15.75" customHeight="1">
      <c r="A3612" s="1">
        <v>3610.0</v>
      </c>
      <c r="B3612" s="3" t="s">
        <v>3612</v>
      </c>
      <c r="C3612" s="3" t="str">
        <f>IFERROR(__xludf.DUMMYFUNCTION("GOOGLETRANSLATE(B3612,""id"",""en"")"),"['Forced', 'karto', 'Hello', 'priority', 'signal', 'difficult', 'really', 'stay', 'Serpong', 'city', 'home', 'can', ' signal ',' internet ',' home ',' increase ',' your network ',' ']")</f>
        <v>['Forced', 'karto', 'Hello', 'priority', 'signal', 'difficult', 'really', 'stay', 'Serpong', 'city', 'home', 'can', ' signal ',' internet ',' home ',' increase ',' your network ',' ']</v>
      </c>
      <c r="D3612" s="3">
        <v>1.0</v>
      </c>
    </row>
    <row r="3613" ht="15.75" customHeight="1">
      <c r="A3613" s="1">
        <v>3611.0</v>
      </c>
      <c r="B3613" s="3" t="s">
        <v>3613</v>
      </c>
      <c r="C3613" s="3" t="str">
        <f>IFERROR(__xludf.DUMMYFUNCTION("GOOGLETRANSLATE(B3613,""id"",""en"")"),"['Price', 'Package', 'internet', 'Mahaaaal', 'Different', 'card', 'Different', 'Different', 'Price', 'Package', 'Data', 'Customer', ' Faithful ',' Telkomsel ']")</f>
        <v>['Price', 'Package', 'internet', 'Mahaaaal', 'Different', 'card', 'Different', 'Different', 'Price', 'Package', 'Data', 'Customer', ' Faithful ',' Telkomsel ']</v>
      </c>
      <c r="D3613" s="3">
        <v>3.0</v>
      </c>
    </row>
    <row r="3614" ht="15.75" customHeight="1">
      <c r="A3614" s="1">
        <v>3612.0</v>
      </c>
      <c r="B3614" s="3" t="s">
        <v>3614</v>
      </c>
      <c r="C3614" s="3" t="str">
        <f>IFERROR(__xludf.DUMMYFUNCTION("GOOGLETRANSLATE(B3614,""id"",""en"")"),"['very', 'Bad', 'buy', 'Package', 'Credit', 'Direct', 'Cut', 'thousand', 'Disappointed', 'Sympathy', ""]")</f>
        <v>['very', 'Bad', 'buy', 'Package', 'Credit', 'Direct', 'Cut', 'thousand', 'Disappointed', 'Sympathy', "]</v>
      </c>
      <c r="D3614" s="3">
        <v>1.0</v>
      </c>
    </row>
    <row r="3615" ht="15.75" customHeight="1">
      <c r="A3615" s="1">
        <v>3613.0</v>
      </c>
      <c r="B3615" s="3" t="s">
        <v>3615</v>
      </c>
      <c r="C3615" s="3" t="str">
        <f>IFERROR(__xludf.DUMMYFUNCTION("GOOGLETRANSLATE(B3615,""id"",""en"")"),"['Satisfied', 'Service', 'Telkomsel', 'Sometimes',' Access', 'Network', 'Sometimes',' Disorders', 'Program', 'Card', 'Telkomsl', 'Telkomsel', ' Satisfied ',' Dangan ',' Program ',' ']")</f>
        <v>['Satisfied', 'Service', 'Telkomsel', 'Sometimes',' Access', 'Network', 'Sometimes',' Disorders', 'Program', 'Card', 'Telkomsl', 'Telkomsel', ' Satisfied ',' Dangan ',' Program ',' ']</v>
      </c>
      <c r="D3615" s="3">
        <v>5.0</v>
      </c>
    </row>
    <row r="3616" ht="15.75" customHeight="1">
      <c r="A3616" s="1">
        <v>3614.0</v>
      </c>
      <c r="B3616" s="3" t="s">
        <v>3616</v>
      </c>
      <c r="C3616" s="3" t="str">
        <f>IFERROR(__xludf.DUMMYFUNCTION("GOOGLETRANSLATE(B3616,""id"",""en"")"),"['Help', 'buy', 'quota', 'cheap', 'good', 'job']")</f>
        <v>['Help', 'buy', 'quota', 'cheap', 'good', 'job']</v>
      </c>
      <c r="D3616" s="3">
        <v>5.0</v>
      </c>
    </row>
    <row r="3617" ht="15.75" customHeight="1">
      <c r="A3617" s="1">
        <v>3615.0</v>
      </c>
      <c r="B3617" s="3" t="s">
        <v>3617</v>
      </c>
      <c r="C3617" s="3" t="str">
        <f>IFERROR(__xludf.DUMMYFUNCTION("GOOGLETRANSLATE(B3617,""id"",""en"")"),"['Kyk', 'Telkomsel', 'buy', 'Paketan', 'Nidak', 'BSA', 'DRI', 'KMREN', 'Network', 'Sruh', 'Try', 'Nidak', ' BSA ',' Sya ',' Delete ',' Application ',' Udh ',' Sya ',' Delete ',' Sya ',' Install ',' TTP ',' Kyk ', ""]")</f>
        <v>['Kyk', 'Telkomsel', 'buy', 'Paketan', 'Nidak', 'BSA', 'DRI', 'KMREN', 'Network', 'Sruh', 'Try', 'Nidak', ' BSA ',' Sya ',' Delete ',' Application ',' Udh ',' Sya ',' Delete ',' Sya ',' Install ',' TTP ',' Kyk ', "]</v>
      </c>
      <c r="D3617" s="3">
        <v>1.0</v>
      </c>
    </row>
    <row r="3618" ht="15.75" customHeight="1">
      <c r="A3618" s="1">
        <v>3616.0</v>
      </c>
      <c r="B3618" s="3" t="s">
        <v>3618</v>
      </c>
      <c r="C3618" s="3" t="str">
        <f>IFERROR(__xludf.DUMMYFUNCTION("GOOGLETRANSLATE(B3618,""id"",""en"")"),"['min', 'payment', 'wallet', 'missing', 'losing', 'consumer', 'please', 'repaired', 'as fast', 'star', 'kerena', 'payment', ' Wallet ',' Eliminated ',' Sangant ',' Disappointed ',' ']")</f>
        <v>['min', 'payment', 'wallet', 'missing', 'losing', 'consumer', 'please', 'repaired', 'as fast', 'star', 'kerena', 'payment', ' Wallet ',' Eliminated ',' Sangant ',' Disappointed ',' ']</v>
      </c>
      <c r="D3618" s="3">
        <v>1.0</v>
      </c>
    </row>
    <row r="3619" ht="15.75" customHeight="1">
      <c r="A3619" s="1">
        <v>3617.0</v>
      </c>
      <c r="B3619" s="3" t="s">
        <v>3619</v>
      </c>
      <c r="C3619" s="3" t="str">
        <f>IFERROR(__xludf.DUMMYFUNCTION("GOOGLETRANSLATE(B3619,""id"",""en"")"),"['', 'application', 'device', 'stop', 'google', 'stop', 'playstore', 'stop', 'positioning', 'stop', 'etc.', 'system', 'alternating ',' Stop ',' Open ',' Application ',' Black ',' Screen ',' Network ',' Lost ',' Change ',' Mode ',' Plane ',' Exchange ',' P"&amp;"oints', 'Lottery', 'Betulan', 'transaction', 'appears',' times', 'SMS', 'mailbox', 'application', 'similar', 'note', 'hrs',' held ',' proof ',' as', 'signs',' services', 'msh', 'function', 'buy', 'packetan', '']")</f>
        <v>['', 'application', 'device', 'stop', 'google', 'stop', 'playstore', 'stop', 'positioning', 'stop', 'etc.', 'system', 'alternating ',' Stop ',' Open ',' Application ',' Black ',' Screen ',' Network ',' Lost ',' Change ',' Mode ',' Plane ',' Exchange ',' Points', 'Lottery', 'Betulan', 'transaction', 'appears',' times', 'SMS', 'mailbox', 'application', 'similar', 'note', 'hrs',' held ',' proof ',' as', 'signs',' services', 'msh', 'function', 'buy', 'packetan', '']</v>
      </c>
      <c r="D3619" s="3">
        <v>2.0</v>
      </c>
    </row>
    <row r="3620" ht="15.75" customHeight="1">
      <c r="A3620" s="1">
        <v>3618.0</v>
      </c>
      <c r="B3620" s="3" t="s">
        <v>3620</v>
      </c>
      <c r="C3620" s="3" t="str">
        <f>IFERROR(__xludf.DUMMYFUNCTION("GOOGLETRANSLATE(B3620,""id"",""en"")"),"['min', 'method', 'payment', 'choice', 'shoppe', 'pay', '']")</f>
        <v>['min', 'method', 'payment', 'choice', 'shoppe', 'pay', '']</v>
      </c>
      <c r="D3620" s="3">
        <v>3.0</v>
      </c>
    </row>
    <row r="3621" ht="15.75" customHeight="1">
      <c r="A3621" s="1">
        <v>3619.0</v>
      </c>
      <c r="B3621" s="3" t="s">
        <v>3621</v>
      </c>
      <c r="C3621" s="3" t="str">
        <f>IFERROR(__xludf.DUMMYFUNCTION("GOOGLETRANSLATE(B3621,""id"",""en"")"),"['down', 'star', 'choice', 'method', 'payment', 'contents',' pulse ',' lost ',' buy ',' package ',' choice ',' payment ',' classmates ',' BUMN ',' package ',' expensive ',' play ',' not "", 'made', 'good', 'kayak', 'garbage']")</f>
        <v>['down', 'star', 'choice', 'method', 'payment', 'contents',' pulse ',' lost ',' buy ',' package ',' choice ',' payment ',' classmates ',' BUMN ',' package ',' expensive ',' play ',' not ", 'made', 'good', 'kayak', 'garbage']</v>
      </c>
      <c r="D3621" s="3">
        <v>1.0</v>
      </c>
    </row>
    <row r="3622" ht="15.75" customHeight="1">
      <c r="A3622" s="1">
        <v>3620.0</v>
      </c>
      <c r="B3622" s="3" t="s">
        <v>3622</v>
      </c>
      <c r="C3622" s="3" t="str">
        <f>IFERROR(__xludf.DUMMYFUNCTION("GOOGLETRANSLATE(B3622,""id"",""en"")"),"['kog', 'pay', 'pakek', 'credit', 'credivo', 'doang', 'what', 'already', 'bankrupt', ""]")</f>
        <v>['kog', 'pay', 'pakek', 'credit', 'credivo', 'doang', 'what', 'already', 'bankrupt', "]</v>
      </c>
      <c r="D3622" s="3">
        <v>1.0</v>
      </c>
    </row>
    <row r="3623" ht="15.75" customHeight="1">
      <c r="A3623" s="1">
        <v>3621.0</v>
      </c>
      <c r="B3623" s="3" t="s">
        <v>3623</v>
      </c>
      <c r="C3623" s="3" t="str">
        <f>IFERROR(__xludf.DUMMYFUNCTION("GOOGLETRANSLATE(B3623,""id"",""en"")"),"['cooperation', 'payment', 'credivo', 'the application', 'stupid', '']")</f>
        <v>['cooperation', 'payment', 'credivo', 'the application', 'stupid', '']</v>
      </c>
      <c r="D3623" s="3">
        <v>1.0</v>
      </c>
    </row>
    <row r="3624" ht="15.75" customHeight="1">
      <c r="A3624" s="1">
        <v>3622.0</v>
      </c>
      <c r="B3624" s="3" t="s">
        <v>3624</v>
      </c>
      <c r="C3624" s="3" t="str">
        <f>IFERROR(__xludf.DUMMYFUNCTION("GOOGLETRANSLATE(B3624,""id"",""en"")"),"['Telkomsel', 'signal', 'The', 'Best', 'deteriorating', 'access', 'game', 'Please', 'fix', 'thank you']")</f>
        <v>['Telkomsel', 'signal', 'The', 'Best', 'deteriorating', 'access', 'game', 'Please', 'fix', 'thank you']</v>
      </c>
      <c r="D3624" s="3">
        <v>4.0</v>
      </c>
    </row>
    <row r="3625" ht="15.75" customHeight="1">
      <c r="A3625" s="1">
        <v>3623.0</v>
      </c>
      <c r="B3625" s="3" t="s">
        <v>3625</v>
      </c>
      <c r="C3625" s="3" t="str">
        <f>IFERROR(__xludf.DUMMYFUNCTION("GOOGLETRANSLATE(B3625,""id"",""en"")"),"['Hello', 'Telkomsel', 'package', 'night', 'price', 'subscription', 'package', 'night', 'skrng', 'no', 'lgi', 'mending' Cards', 'cheap', 'Nggk', 'Embed', 'people', 'ilang', 'Telkomsel', 'good', 'bye']")</f>
        <v>['Hello', 'Telkomsel', 'package', 'night', 'price', 'subscription', 'package', 'night', 'skrng', 'no', 'lgi', 'mending' Cards', 'cheap', 'Nggk', 'Embed', 'people', 'ilang', 'Telkomsel', 'good', 'bye']</v>
      </c>
      <c r="D3625" s="3">
        <v>5.0</v>
      </c>
    </row>
    <row r="3626" ht="15.75" customHeight="1">
      <c r="A3626" s="1">
        <v>3624.0</v>
      </c>
      <c r="B3626" s="3" t="s">
        <v>3626</v>
      </c>
      <c r="C3626" s="3" t="str">
        <f>IFERROR(__xludf.DUMMYFUNCTION("GOOGLETRANSLATE(B3626,""id"",""en"")"),"['KNPA', 'Nida', 'Method', 'Payment', 'Shopee', 'Pay', 'Skarang', 'Cuman', 'Virtual', 'ACOUNT', 'PULSA', 'Kredivo']")</f>
        <v>['KNPA', 'Nida', 'Method', 'Payment', 'Shopee', 'Pay', 'Skarang', 'Cuman', 'Virtual', 'ACOUNT', 'PULSA', 'Kredivo']</v>
      </c>
      <c r="D3626" s="3">
        <v>1.0</v>
      </c>
    </row>
    <row r="3627" ht="15.75" customHeight="1">
      <c r="A3627" s="1">
        <v>3625.0</v>
      </c>
      <c r="B3627" s="3" t="s">
        <v>3627</v>
      </c>
      <c r="C3627" s="3" t="str">
        <f>IFERROR(__xludf.DUMMYFUNCTION("GOOGLETRANSLATE(B3627,""id"",""en"")"),"['TELKOMSLANK', 'Network', 'Region', 'Bandung', 'South', 'Propaidider', 'National', 'Crazy', 'Ajah', 'Gada', 'Change', ""]")</f>
        <v>['TELKOMSLANK', 'Network', 'Region', 'Bandung', 'South', 'Propaidider', 'National', 'Crazy', 'Ajah', 'Gada', 'Change', "]</v>
      </c>
      <c r="D3627" s="3">
        <v>1.0</v>
      </c>
    </row>
    <row r="3628" ht="15.75" customHeight="1">
      <c r="A3628" s="1">
        <v>3626.0</v>
      </c>
      <c r="B3628" s="3" t="s">
        <v>3628</v>
      </c>
      <c r="C3628" s="3" t="str">
        <f>IFERROR(__xludf.DUMMYFUNCTION("GOOGLETRANSLATE(B3628,""id"",""en"")"),"['Satisfied', 'service', 'application', 'exchanges',' Points', 'Meledem', 'Package', 'GB', 'Success',' Enter ',' Message ',' Sorry ',' system ',' busy ',' exchange ',' coin ',' beg ',' fix ', ""]")</f>
        <v>['Satisfied', 'service', 'application', 'exchanges',' Points', 'Meledem', 'Package', 'GB', 'Success',' Enter ',' Message ',' Sorry ',' system ',' busy ',' exchange ',' coin ',' beg ',' fix ', "]</v>
      </c>
      <c r="D3628" s="3">
        <v>2.0</v>
      </c>
    </row>
    <row r="3629" ht="15.75" customHeight="1">
      <c r="A3629" s="1">
        <v>3627.0</v>
      </c>
      <c r="B3629" s="3" t="s">
        <v>3629</v>
      </c>
      <c r="C3629" s="3" t="str">
        <f>IFERROR(__xludf.DUMMYFUNCTION("GOOGLETRANSLATE(B3629,""id"",""en"")"),"['Severe', 'signal', 'sympathy', 'can be', 'net', 'strong', 'tower', 'sell', 'switch', 'dahh']")</f>
        <v>['Severe', 'signal', 'sympathy', 'can be', 'net', 'strong', 'tower', 'sell', 'switch', 'dahh']</v>
      </c>
      <c r="D3629" s="3">
        <v>1.0</v>
      </c>
    </row>
    <row r="3630" ht="15.75" customHeight="1">
      <c r="A3630" s="1">
        <v>3628.0</v>
      </c>
      <c r="B3630" s="3" t="s">
        <v>3630</v>
      </c>
      <c r="C3630" s="3" t="str">
        <f>IFERROR(__xludf.DUMMYFUNCTION("GOOGLETRANSLATE(B3630,""id"",""en"")"),"['signal', 'Telkomsel', 'bad', 'Different', 'emotion', 'cool', 'see', 'disconect', 'try', 'check']")</f>
        <v>['signal', 'Telkomsel', 'bad', 'Different', 'emotion', 'cool', 'see', 'disconect', 'try', 'check']</v>
      </c>
      <c r="D3630" s="3">
        <v>1.0</v>
      </c>
    </row>
    <row r="3631" ht="15.75" customHeight="1">
      <c r="A3631" s="1">
        <v>3629.0</v>
      </c>
      <c r="B3631" s="3" t="s">
        <v>3631</v>
      </c>
      <c r="C3631" s="3" t="str">
        <f>IFERROR(__xludf.DUMMYFUNCTION("GOOGLETRANSLATE(B3631,""id"",""en"")"),"['Good', 'really', 'update', 'mulu']")</f>
        <v>['Good', 'really', 'update', 'mulu']</v>
      </c>
      <c r="D3631" s="3">
        <v>5.0</v>
      </c>
    </row>
    <row r="3632" ht="15.75" customHeight="1">
      <c r="A3632" s="1">
        <v>3630.0</v>
      </c>
      <c r="B3632" s="3" t="s">
        <v>3632</v>
      </c>
      <c r="C3632" s="3" t="str">
        <f>IFERROR(__xludf.DUMMYFUNCTION("GOOGLETRANSLATE(B3632,""id"",""en"")"),"['Credit', 'Cut', 'Package', 'Data', 'Genesis', 'Times', 'Data', 'Dead', 'Cut', 'Where', 'Tick', ""]")</f>
        <v>['Credit', 'Cut', 'Package', 'Data', 'Genesis', 'Times', 'Data', 'Dead', 'Cut', 'Where', 'Tick', "]</v>
      </c>
      <c r="D3632" s="3">
        <v>1.0</v>
      </c>
    </row>
    <row r="3633" ht="15.75" customHeight="1">
      <c r="A3633" s="1">
        <v>3631.0</v>
      </c>
      <c r="B3633" s="3" t="s">
        <v>3633</v>
      </c>
      <c r="C3633" s="3" t="str">
        <f>IFERROR(__xludf.DUMMYFUNCTION("GOOGLETRANSLATE(B3633,""id"",""en"")"),"['The application', 'Login', 'appears', 'screen', 'black', 'Hellowww', 'Telkomsel', 'lose', 'application', 'private', ""]")</f>
        <v>['The application', 'Login', 'appears', 'screen', 'black', 'Hellowww', 'Telkomsel', 'lose', 'application', 'private', "]</v>
      </c>
      <c r="D3633" s="3">
        <v>1.0</v>
      </c>
    </row>
    <row r="3634" ht="15.75" customHeight="1">
      <c r="A3634" s="1">
        <v>3632.0</v>
      </c>
      <c r="B3634" s="3" t="s">
        <v>3634</v>
      </c>
      <c r="C3634" s="3" t="str">
        <f>IFERROR(__xludf.DUMMYFUNCTION("GOOGLETRANSLATE(B3634,""id"",""en"")"),"['improvement', 'quality', 'network', 'tariff', 'expensive', 'bought', 'users', 'embarrassing', 'service', '']")</f>
        <v>['improvement', 'quality', 'network', 'tariff', 'expensive', 'bought', 'users', 'embarrassing', 'service', '']</v>
      </c>
      <c r="D3634" s="3">
        <v>1.0</v>
      </c>
    </row>
    <row r="3635" ht="15.75" customHeight="1">
      <c r="A3635" s="1">
        <v>3633.0</v>
      </c>
      <c r="B3635" s="3" t="s">
        <v>3635</v>
      </c>
      <c r="C3635" s="3" t="str">
        <f>IFERROR(__xludf.DUMMYFUNCTION("GOOGLETRANSLATE(B3635,""id"",""en"")"),"['Disappointed', 'Telkomsel', 'Package', 'here', 'expensive', 'right', 'buy', 'complicated', 'buy', 'pulse', 'Telkomsel', 'pay', ' Choice ',' method ',' payment ',' pay ',' method ',' payment ',' pay ',' love ',' star ', ""]")</f>
        <v>['Disappointed', 'Telkomsel', 'Package', 'here', 'expensive', 'right', 'buy', 'complicated', 'buy', 'pulse', 'Telkomsel', 'pay', ' Choice ',' method ',' payment ',' pay ',' method ',' payment ',' pay ',' love ',' star ', "]</v>
      </c>
      <c r="D3635" s="3">
        <v>1.0</v>
      </c>
    </row>
    <row r="3636" ht="15.75" customHeight="1">
      <c r="A3636" s="1">
        <v>3634.0</v>
      </c>
      <c r="B3636" s="3" t="s">
        <v>3636</v>
      </c>
      <c r="C3636" s="3" t="str">
        <f>IFERROR(__xludf.DUMMYFUNCTION("GOOGLETRANSLATE(B3636,""id"",""en"")"),"['', 'promo', 'offer', 'sosmed', 'unlimited', 'uninstall', '']")</f>
        <v>['', 'promo', 'offer', 'sosmed', 'unlimited', 'uninstall', '']</v>
      </c>
      <c r="D3636" s="3">
        <v>1.0</v>
      </c>
    </row>
    <row r="3637" ht="15.75" customHeight="1">
      <c r="A3637" s="1">
        <v>3635.0</v>
      </c>
      <c r="B3637" s="3" t="s">
        <v>3637</v>
      </c>
      <c r="C3637" s="3" t="str">
        <f>IFERROR(__xludf.DUMMYFUNCTION("GOOGLETRANSLATE(B3637,""id"",""en"")"),"['Points',' Ngak ',' Useful ',' Ngak ',' Love ',' Points', 'Ngak', 'Lbih', 'San', 'Points',' Ngak ',' Try ',' Exchange ',' pls', 'Good']")</f>
        <v>['Points',' Ngak ',' Useful ',' Ngak ',' Love ',' Points', 'Ngak', 'Lbih', 'San', 'Points',' Ngak ',' Try ',' Exchange ',' pls', 'Good']</v>
      </c>
      <c r="D3637" s="3">
        <v>1.0</v>
      </c>
    </row>
    <row r="3638" ht="15.75" customHeight="1">
      <c r="A3638" s="1">
        <v>3636.0</v>
      </c>
      <c r="B3638" s="3" t="s">
        <v>3638</v>
      </c>
      <c r="C3638" s="3" t="str">
        <f>IFERROR(__xludf.DUMMYFUNCTION("GOOGLETRANSLATE(B3638,""id"",""en"")"),"['satisfying', 'useful', 'all', 'bonus', 'kouta', 'package', 'package', 'cheap', 'application']")</f>
        <v>['satisfying', 'useful', 'all', 'bonus', 'kouta', 'package', 'package', 'cheap', 'application']</v>
      </c>
      <c r="D3638" s="3">
        <v>5.0</v>
      </c>
    </row>
    <row r="3639" ht="15.75" customHeight="1">
      <c r="A3639" s="1">
        <v>3637.0</v>
      </c>
      <c r="B3639" s="3" t="s">
        <v>3639</v>
      </c>
      <c r="C3639" s="3" t="str">
        <f>IFERROR(__xludf.DUMMYFUNCTION("GOOGLETRANSLATE(B3639,""id"",""en"")"),"['oath', 'times', 'Giga', 'quota', 'internet', 'nyampe', 'clock', 'run out', 'quota', 'telkomsel', 'card', 'call']")</f>
        <v>['oath', 'times', 'Giga', 'quota', 'internet', 'nyampe', 'clock', 'run out', 'quota', 'telkomsel', 'card', 'call']</v>
      </c>
      <c r="D3639" s="3">
        <v>1.0</v>
      </c>
    </row>
    <row r="3640" ht="15.75" customHeight="1">
      <c r="A3640" s="1">
        <v>3638.0</v>
      </c>
      <c r="B3640" s="3" t="s">
        <v>3640</v>
      </c>
      <c r="C3640" s="3" t="str">
        <f>IFERROR(__xludf.DUMMYFUNCTION("GOOGLETRANSLATE(B3640,""id"",""en"")"),"['buy', 'pulse', 'Pakek', 'Shope', 'Pay', 'The application', 'Yesterday', 'Yesterday', ""]")</f>
        <v>['buy', 'pulse', 'Pakek', 'Shope', 'Pay', 'The application', 'Yesterday', 'Yesterday', "]</v>
      </c>
      <c r="D3640" s="3">
        <v>2.0</v>
      </c>
    </row>
    <row r="3641" ht="15.75" customHeight="1">
      <c r="A3641" s="1">
        <v>3639.0</v>
      </c>
      <c r="B3641" s="3" t="s">
        <v>3641</v>
      </c>
      <c r="C3641" s="3" t="str">
        <f>IFERROR(__xludf.DUMMYFUNCTION("GOOGLETRANSLATE(B3641,""id"",""en"")"),"['network', 'Telkom', 'play', 'game', 'lag', 'strange', 'since' promo ',' change ',' lag ',' stable ',' buy ',' Mhal ',' Koutaa ',' Kayak ',' Gini ',' Skuy ',' Moving ',' Being ']")</f>
        <v>['network', 'Telkom', 'play', 'game', 'lag', 'strange', 'since' promo ',' change ',' lag ',' stable ',' buy ',' Mhal ',' Koutaa ',' Kayak ',' Gini ',' Skuy ',' Moving ',' Being ']</v>
      </c>
      <c r="D3641" s="3">
        <v>1.0</v>
      </c>
    </row>
    <row r="3642" ht="15.75" customHeight="1">
      <c r="A3642" s="1">
        <v>3640.0</v>
      </c>
      <c r="B3642" s="3" t="s">
        <v>3642</v>
      </c>
      <c r="C3642" s="3" t="str">
        <f>IFERROR(__xludf.DUMMYFUNCTION("GOOGLETRANSLATE(B3642,""id"",""en"")"),"['Please', 'love', 'promo', 'price', 'quota', 'min', 'karna', 'package', 'telkomsel', 'expensive', 'already', 'dapet', ' Promo ',' Love ',' Bintang ',' Min ',' ']")</f>
        <v>['Please', 'love', 'promo', 'price', 'quota', 'min', 'karna', 'package', 'telkomsel', 'expensive', 'already', 'dapet', ' Promo ',' Love ',' Bintang ',' Min ',' ']</v>
      </c>
      <c r="D3642" s="3">
        <v>2.0</v>
      </c>
    </row>
    <row r="3643" ht="15.75" customHeight="1">
      <c r="A3643" s="1">
        <v>3641.0</v>
      </c>
      <c r="B3643" s="3" t="s">
        <v>3643</v>
      </c>
      <c r="C3643" s="3" t="str">
        <f>IFERROR(__xludf.DUMMYFUNCTION("GOOGLETRANSLATE(B3643,""id"",""en"")"),"['Star', 'dlu', 'missing', 'network', 'internet', 'buy', 'quota', 'expensive', 'network', 'chaotic', 'disappointed']")</f>
        <v>['Star', 'dlu', 'missing', 'network', 'internet', 'buy', 'quota', 'expensive', 'network', 'chaotic', 'disappointed']</v>
      </c>
      <c r="D3643" s="3">
        <v>1.0</v>
      </c>
    </row>
    <row r="3644" ht="15.75" customHeight="1">
      <c r="A3644" s="1">
        <v>3642.0</v>
      </c>
      <c r="B3644" s="3" t="s">
        <v>3644</v>
      </c>
      <c r="C3644" s="3" t="str">
        <f>IFERROR(__xludf.DUMMYFUNCTION("GOOGLETRANSLATE(B3644,""id"",""en"")"),"['application', 'buy', 'pulse', 'card', 'credit', 'skarang', 'appears',' notif ',' card ',' bank ',' publisher ',' card ',' Credit ',' Lahh ',' Sampe ',' Card ',' Credit ',' On ',' Kah ',' Application ',' BUMN ',' Receives', 'Effective', 'Ngak', 'Relevant"&amp;"' , 'Telkomsel', 'Please', 'Read', 'Review', '']")</f>
        <v>['application', 'buy', 'pulse', 'card', 'credit', 'skarang', 'appears',' notif ',' card ',' bank ',' publisher ',' card ',' Credit ',' Lahh ',' Sampe ',' Card ',' Credit ',' On ',' Kah ',' Application ',' BUMN ',' Receives', 'Effective', 'Ngak', 'Relevant' , 'Telkomsel', 'Please', 'Read', 'Review', '']</v>
      </c>
      <c r="D3644" s="3">
        <v>1.0</v>
      </c>
    </row>
    <row r="3645" ht="15.75" customHeight="1">
      <c r="A3645" s="1">
        <v>3643.0</v>
      </c>
      <c r="B3645" s="3" t="s">
        <v>3645</v>
      </c>
      <c r="C3645" s="3" t="str">
        <f>IFERROR(__xludf.DUMMYFUNCTION("GOOGLETRANSLATE(B3645,""id"",""en"")"),"['Method', 'Payment', 'App', 'Fund', 'Method', 'Pulse', 'Pay', 'Later', 'Kredivo', 'What', 'Fund', 'Ovo', ' Gopay ',' ilang ',' strange ',' ']")</f>
        <v>['Method', 'Payment', 'App', 'Fund', 'Method', 'Pulse', 'Pay', 'Later', 'Kredivo', 'What', 'Fund', 'Ovo', ' Gopay ',' ilang ',' strange ',' ']</v>
      </c>
      <c r="D3645" s="3">
        <v>1.0</v>
      </c>
    </row>
    <row r="3646" ht="15.75" customHeight="1">
      <c r="A3646" s="1">
        <v>3644.0</v>
      </c>
      <c r="B3646" s="3" t="s">
        <v>3646</v>
      </c>
      <c r="C3646" s="3" t="str">
        <f>IFERROR(__xludf.DUMMYFUNCTION("GOOGLETRANSLATE(B3646,""id"",""en"")"),"['Package', 'Enterprise', 'Jek', 'appears',' Application ',' MyTelkomsel ',' Narik ',' Bosque ',' deliberate ',' buy ',' package ',' expensive ',' awokwkwkwk ',' star ',' sliding ',' edit ',' star ',' package ',' enterprise ',' mytelkomsel ']")</f>
        <v>['Package', 'Enterprise', 'Jek', 'appears',' Application ',' MyTelkomsel ',' Narik ',' Bosque ',' deliberate ',' buy ',' package ',' expensive ',' awokwkwkwk ',' star ',' sliding ',' edit ',' star ',' package ',' enterprise ',' mytelkomsel ']</v>
      </c>
      <c r="D3646" s="3">
        <v>1.0</v>
      </c>
    </row>
    <row r="3647" ht="15.75" customHeight="1">
      <c r="A3647" s="1">
        <v>3645.0</v>
      </c>
      <c r="B3647" s="3" t="s">
        <v>3647</v>
      </c>
      <c r="C3647" s="3" t="str">
        <f>IFERROR(__xludf.DUMMYFUNCTION("GOOGLETRANSLATE(B3647,""id"",""en"")"),"['times', 'Paketan', 'expensive', 'Network', 'Leet', 'Note', 'Min', 'Review', 'Critics', 'Please', 'Looked', ""]")</f>
        <v>['times', 'Paketan', 'expensive', 'Network', 'Leet', 'Note', 'Min', 'Review', 'Critics', 'Please', 'Looked', "]</v>
      </c>
      <c r="D3647" s="3">
        <v>1.0</v>
      </c>
    </row>
    <row r="3648" ht="15.75" customHeight="1">
      <c r="A3648" s="1">
        <v>3646.0</v>
      </c>
      <c r="B3648" s="3" t="s">
        <v>3648</v>
      </c>
      <c r="C3648" s="3" t="str">
        <f>IFERROR(__xludf.DUMMYFUNCTION("GOOGLETRANSLATE(B3648,""id"",""en"")"),"['please', 'Telkomsel', 'update', 'fix', 'system', 'user', 'loyal', 'Telkomsel', 'disturbed', 'bug', 'application', 'trima', ' love']")</f>
        <v>['please', 'Telkomsel', 'update', 'fix', 'system', 'user', 'loyal', 'Telkomsel', 'disturbed', 'bug', 'application', 'trima', ' love']</v>
      </c>
      <c r="D3648" s="3">
        <v>1.0</v>
      </c>
    </row>
    <row r="3649" ht="15.75" customHeight="1">
      <c r="A3649" s="1">
        <v>3647.0</v>
      </c>
      <c r="B3649" s="3" t="s">
        <v>3649</v>
      </c>
      <c r="C3649" s="3" t="str">
        <f>IFERROR(__xludf.DUMMYFUNCTION("GOOGLETRANSLATE(B3649,""id"",""en"")"),"['Price', 'according to', 'speed', 'internet', 'slow', 'slow', 'Aduhhh', 'Severe', 'Mending', 'use', 'Indosat', 'Super', ' fast']")</f>
        <v>['Price', 'according to', 'speed', 'internet', 'slow', 'slow', 'Aduhhh', 'Severe', 'Mending', 'use', 'Indosat', 'Super', ' fast']</v>
      </c>
      <c r="D3649" s="3">
        <v>1.0</v>
      </c>
    </row>
    <row r="3650" ht="15.75" customHeight="1">
      <c r="A3650" s="1">
        <v>3648.0</v>
      </c>
      <c r="B3650" s="3" t="s">
        <v>3650</v>
      </c>
      <c r="C3650" s="3" t="str">
        <f>IFERROR(__xludf.DUMMYFUNCTION("GOOGLETRANSLATE(B3650,""id"",""en"")"),"['Signal', 'Weak', 'Kelurahan', 'Sukatani', 'Kecamatan', 'Rajeg', 'Kab', 'Tangerang', 'Please', 'Noted', 'Critics',' Thank ',' love']")</f>
        <v>['Signal', 'Weak', 'Kelurahan', 'Sukatani', 'Kecamatan', 'Rajeg', 'Kab', 'Tangerang', 'Please', 'Noted', 'Critics',' Thank ',' love']</v>
      </c>
      <c r="D3650" s="3">
        <v>5.0</v>
      </c>
    </row>
    <row r="3651" ht="15.75" customHeight="1">
      <c r="A3651" s="1">
        <v>3649.0</v>
      </c>
      <c r="B3651" s="3" t="s">
        <v>3651</v>
      </c>
      <c r="C3651" s="3" t="str">
        <f>IFERROR(__xludf.DUMMYFUNCTION("GOOGLETRANSLATE(B3651,""id"",""en"")"),"['gabisa', 'Maen', 'game', 'network', 'quota', 'clock', 'malem', 'network', 'ugly', 'satabil', 'soanya', 'Telkomsel', ' buy ',' quota ',' money ',' leaves', 'idiot', 'fix', '']")</f>
        <v>['gabisa', 'Maen', 'game', 'network', 'quota', 'clock', 'malem', 'network', 'ugly', 'satabil', 'soanya', 'Telkomsel', ' buy ',' quota ',' money ',' leaves', 'idiot', 'fix', '']</v>
      </c>
      <c r="D3651" s="3">
        <v>1.0</v>
      </c>
    </row>
    <row r="3652" ht="15.75" customHeight="1">
      <c r="A3652" s="1">
        <v>3650.0</v>
      </c>
      <c r="B3652" s="3" t="s">
        <v>3652</v>
      </c>
      <c r="C3652" s="3" t="str">
        <f>IFERROR(__xludf.DUMMYFUNCTION("GOOGLETRANSLATE(B3652,""id"",""en"")"),"['admin', 'Telkom', 'please', 'network', 'village', 'bad', 'please', 'CPT', 'ATSI', 'authorized', 'hope', 'front', ' Success', 'Slalu', '']")</f>
        <v>['admin', 'Telkom', 'please', 'network', 'village', 'bad', 'please', 'CPT', 'ATSI', 'authorized', 'hope', 'front', ' Success', 'Slalu', '']</v>
      </c>
      <c r="D3652" s="3">
        <v>2.0</v>
      </c>
    </row>
    <row r="3653" ht="15.75" customHeight="1">
      <c r="A3653" s="1">
        <v>3651.0</v>
      </c>
      <c r="B3653" s="3" t="s">
        <v>3653</v>
      </c>
      <c r="C3653" s="3" t="str">
        <f>IFERROR(__xludf.DUMMYFUNCTION("GOOGLETRANSLATE(B3653,""id"",""en"")"),"['signal', 'slow', 'really', 'coy', 'package', 'expensive', 'signal', 'kayak', 'conch', 'was muted', 'slow', 'org', ' Need ',' work ',' etc. ',' ']")</f>
        <v>['signal', 'slow', 'really', 'coy', 'package', 'expensive', 'signal', 'kayak', 'conch', 'was muted', 'slow', 'org', ' Need ',' work ',' etc. ',' ']</v>
      </c>
      <c r="D3653" s="3">
        <v>1.0</v>
      </c>
    </row>
    <row r="3654" ht="15.75" customHeight="1">
      <c r="A3654" s="1">
        <v>3652.0</v>
      </c>
      <c r="B3654" s="3" t="s">
        <v>3654</v>
      </c>
      <c r="C3654" s="3" t="str">
        <f>IFERROR(__xludf.DUMMYFUNCTION("GOOGLETRANSLATE(B3654,""id"",""en"")"),"['Play', 'Store', 'buy', 'credit', 'package', 'buy', 'credit', 'get', 'APK', 'invite', 'mashed']")</f>
        <v>['Play', 'Store', 'buy', 'credit', 'package', 'buy', 'credit', 'get', 'APK', 'invite', 'mashed']</v>
      </c>
      <c r="D3654" s="3">
        <v>1.0</v>
      </c>
    </row>
    <row r="3655" ht="15.75" customHeight="1">
      <c r="A3655" s="1">
        <v>3653.0</v>
      </c>
      <c r="B3655" s="3" t="s">
        <v>3655</v>
      </c>
      <c r="C3655" s="3" t="str">
        <f>IFERROR(__xludf.DUMMYFUNCTION("GOOGLETRANSLATE(B3655,""id"",""en"")"),"['star', 'network', 'Telkomsel', 'ugly', 'please', 'fix', 'network', 'region', 'jngan', 'connect', 'connect', 'change', ' Change ',' card ',' internet ',' understand ',' yaaa ']")</f>
        <v>['star', 'network', 'Telkomsel', 'ugly', 'please', 'fix', 'network', 'region', 'jngan', 'connect', 'connect', 'change', ' Change ',' card ',' internet ',' understand ',' yaaa ']</v>
      </c>
      <c r="D3655" s="3">
        <v>1.0</v>
      </c>
    </row>
    <row r="3656" ht="15.75" customHeight="1">
      <c r="A3656" s="1">
        <v>3654.0</v>
      </c>
      <c r="B3656" s="3" t="s">
        <v>3656</v>
      </c>
      <c r="C3656" s="3" t="str">
        <f>IFERROR(__xludf.DUMMYFUNCTION("GOOGLETRANSLATE(B3656,""id"",""en"")"),"['package', 'quota', 'person', 'pandemic', 'package', 'ride', 'think', 'look for', 'money', 'difficult', 'buy', 'quota', ' Dinaikin ',' Disappointed ']")</f>
        <v>['package', 'quota', 'person', 'pandemic', 'package', 'ride', 'think', 'look for', 'money', 'difficult', 'buy', 'quota', ' Dinaikin ',' Disappointed ']</v>
      </c>
      <c r="D3656" s="3">
        <v>1.0</v>
      </c>
    </row>
    <row r="3657" ht="15.75" customHeight="1">
      <c r="A3657" s="1">
        <v>3655.0</v>
      </c>
      <c r="B3657" s="3" t="s">
        <v>3657</v>
      </c>
      <c r="C3657" s="3" t="str">
        <f>IFERROR(__xludf.DUMMYFUNCTION("GOOGLETRANSLATE(B3657,""id"",""en"")"),"['Mending', 'Move', 'Operator', 'Network', 'Setabil', 'Disappointing']")</f>
        <v>['Mending', 'Move', 'Operator', 'Network', 'Setabil', 'Disappointing']</v>
      </c>
      <c r="D3657" s="3">
        <v>1.0</v>
      </c>
    </row>
    <row r="3658" ht="15.75" customHeight="1">
      <c r="A3658" s="1">
        <v>3656.0</v>
      </c>
      <c r="B3658" s="3" t="s">
        <v>3658</v>
      </c>
      <c r="C3658" s="3" t="str">
        <f>IFERROR(__xludf.DUMMYFUNCTION("GOOGLETRANSLATE(B3658,""id"",""en"")"),"['Knp', 'Telkomsel', 'Ahir', 'ugly', 'network', 'game', 'online', 'internet', 'etc.', 'nge', 'lag', 'please', ' Fix ',' min ',' msalah ',' network ',' ']")</f>
        <v>['Knp', 'Telkomsel', 'Ahir', 'ugly', 'network', 'game', 'online', 'internet', 'etc.', 'nge', 'lag', 'please', ' Fix ',' min ',' msalah ',' network ',' ']</v>
      </c>
      <c r="D3658" s="3">
        <v>3.0</v>
      </c>
    </row>
    <row r="3659" ht="15.75" customHeight="1">
      <c r="A3659" s="1">
        <v>3657.0</v>
      </c>
      <c r="B3659" s="3" t="s">
        <v>3659</v>
      </c>
      <c r="C3659" s="3" t="str">
        <f>IFERROR(__xludf.DUMMYFUNCTION("GOOGLETRANSLATE(B3659,""id"",""en"")"),"['shetan', 'deleted', 'comment', 'responsibility', 'yng', 'pulse', 'lost', 'second']")</f>
        <v>['shetan', 'deleted', 'comment', 'responsibility', 'yng', 'pulse', 'lost', 'second']</v>
      </c>
      <c r="D3659" s="3">
        <v>1.0</v>
      </c>
    </row>
    <row r="3660" ht="15.75" customHeight="1">
      <c r="A3660" s="1">
        <v>3658.0</v>
      </c>
      <c r="B3660" s="3" t="s">
        <v>3660</v>
      </c>
      <c r="C3660" s="3" t="str">
        <f>IFERROR(__xludf.DUMMYFUNCTION("GOOGLETRANSLATE(B3660,""id"",""en"")"),"['Good', 'really', 'signal', 'play', 'game', 'until', 'color', 'signal', 'red', 'until', 'migrant', 'relapse', ' ']")</f>
        <v>['Good', 'really', 'signal', 'play', 'game', 'until', 'color', 'signal', 'red', 'until', 'migrant', 'relapse', ' ']</v>
      </c>
      <c r="D3660" s="3">
        <v>1.0</v>
      </c>
    </row>
    <row r="3661" ht="15.75" customHeight="1">
      <c r="A3661" s="1">
        <v>3659.0</v>
      </c>
      <c r="B3661" s="3" t="s">
        <v>3661</v>
      </c>
      <c r="C3661" s="3" t="str">
        <f>IFERROR(__xludf.DUMMYFUNCTION("GOOGLETRANSLATE(B3661,""id"",""en"")"),"['promo', 'package', 'data', 'thousand', 'fit', 'filled', 'pulse', 'promo', 'no', 'succeed', 'buy', 'pulse', ' Sumpot ',' then ',' Please ',' Help ',' Mind ',' ']")</f>
        <v>['promo', 'package', 'data', 'thousand', 'fit', 'filled', 'pulse', 'promo', 'no', 'succeed', 'buy', 'pulse', ' Sumpot ',' then ',' Please ',' Help ',' Mind ',' ']</v>
      </c>
      <c r="D3661" s="3">
        <v>1.0</v>
      </c>
    </row>
    <row r="3662" ht="15.75" customHeight="1">
      <c r="A3662" s="1">
        <v>3660.0</v>
      </c>
      <c r="B3662" s="3" t="s">
        <v>3662</v>
      </c>
      <c r="C3662" s="3" t="str">
        <f>IFERROR(__xludf.DUMMYFUNCTION("GOOGLETRANSLATE(B3662,""id"",""en"")"),"['quota', 'unlimited', 'quota', 'main', 'quota', 'multimedia', 'quota', 'main', 'leftover', 'GB', 'Lemod', 'buy', ' Quota ',' Multimedia ',' Alaih ',' Kepai ',' ']")</f>
        <v>['quota', 'unlimited', 'quota', 'main', 'quota', 'multimedia', 'quota', 'main', 'leftover', 'GB', 'Lemod', 'buy', ' Quota ',' Multimedia ',' Alaih ',' Kepai ',' ']</v>
      </c>
      <c r="D3662" s="3">
        <v>3.0</v>
      </c>
    </row>
    <row r="3663" ht="15.75" customHeight="1">
      <c r="A3663" s="1">
        <v>3661.0</v>
      </c>
      <c r="B3663" s="3" t="s">
        <v>3663</v>
      </c>
      <c r="C3663" s="3" t="str">
        <f>IFERROR(__xludf.DUMMYFUNCTION("GOOGLETRANSLATE(B3663,""id"",""en"")"),"['oath', 'Telkomsel', 'ngeselin', 'network', 'slow', 'pdhl', 'quota', 'byk', 'already', 'package', 'expensive', 'pulses',' expensive ',' gapapa ',' pulse ',' package ',' expensive ',' according to ',' network ',' good ',' slow ',' vibeang ',' teroosss', '"&amp;"signal', 'pdhl' , 'Live', 'in the city', 'stay', 'inland', 'times',' Please ',' fix ',' network ',' donk ',' customer ',' kapok ',' blur ',' ']")</f>
        <v>['oath', 'Telkomsel', 'ngeselin', 'network', 'slow', 'pdhl', 'quota', 'byk', 'already', 'package', 'expensive', 'pulses',' expensive ',' gapapa ',' pulse ',' package ',' expensive ',' according to ',' network ',' good ',' slow ',' vibeang ',' teroosss', 'signal', 'pdhl' , 'Live', 'in the city', 'stay', 'inland', 'times',' Please ',' fix ',' network ',' donk ',' customer ',' kapok ',' blur ',' ']</v>
      </c>
      <c r="D3663" s="3">
        <v>1.0</v>
      </c>
    </row>
    <row r="3664" ht="15.75" customHeight="1">
      <c r="A3664" s="1">
        <v>3662.0</v>
      </c>
      <c r="B3664" s="3" t="s">
        <v>3664</v>
      </c>
      <c r="C3664" s="3" t="str">
        <f>IFERROR(__xludf.DUMMYFUNCTION("GOOGLETRANSLATE(B3664,""id"",""en"")"),"['friend', 'as before', 'buy', 'package', 'lapse', 'try', 'check', 'pliers',' Telkomsel ',' cheat ',' buy ',' package ',' ',' daily ',' Rp ',' cutting ',' pulse ',' price ',' san ',' san ',' pulse ',' Rp ',' stlah ',' buy ',' left ' , 'Credit', 'Rp', 'Try"&amp;"', 'Test', '']")</f>
        <v>['friend', 'as before', 'buy', 'package', 'lapse', 'try', 'check', 'pliers',' Telkomsel ',' cheat ',' buy ',' package ',' ',' daily ',' Rp ',' cutting ',' pulse ',' price ',' san ',' san ',' pulse ',' Rp ',' stlah ',' buy ',' left ' , 'Credit', 'Rp', 'Try', 'Test', '']</v>
      </c>
      <c r="D3664" s="3">
        <v>1.0</v>
      </c>
    </row>
    <row r="3665" ht="15.75" customHeight="1">
      <c r="A3665" s="1">
        <v>3663.0</v>
      </c>
      <c r="B3665" s="3" t="s">
        <v>3665</v>
      </c>
      <c r="C3665" s="3" t="str">
        <f>IFERROR(__xludf.DUMMYFUNCTION("GOOGLETRANSLATE(B3665,""id"",""en"")"),"['gymna', 'buy', 'package', 'already', 'ngisih', 'rb', 'pulse', 'sucked', 'enter', 'apk', 'try', 'free', ' Kalaoh ',' Kek ',' Gini ',' Males', 'Buy', 'Package', 'Credit', 'Telkomsel', 'Already', 'Change', 'Ribet', ""]")</f>
        <v>['gymna', 'buy', 'package', 'already', 'ngisih', 'rb', 'pulse', 'sucked', 'enter', 'apk', 'try', 'free', ' Kalaoh ',' Kek ',' Gini ',' Males', 'Buy', 'Package', 'Credit', 'Telkomsel', 'Already', 'Change', 'Ribet', "]</v>
      </c>
      <c r="D3665" s="3">
        <v>1.0</v>
      </c>
    </row>
    <row r="3666" ht="15.75" customHeight="1">
      <c r="A3666" s="1">
        <v>3664.0</v>
      </c>
      <c r="B3666" s="3" t="s">
        <v>3666</v>
      </c>
      <c r="C3666" s="3" t="str">
        <f>IFERROR(__xludf.DUMMYFUNCTION("GOOGLETRANSLATE(B3666,""id"",""en"")"),"['Love', 'star', 'because', 'like', 'APK', 'APK', 'Good', 'like']")</f>
        <v>['Love', 'star', 'because', 'like', 'APK', 'APK', 'Good', 'like']</v>
      </c>
      <c r="D3666" s="3">
        <v>5.0</v>
      </c>
    </row>
    <row r="3667" ht="15.75" customHeight="1">
      <c r="A3667" s="1">
        <v>3665.0</v>
      </c>
      <c r="B3667" s="3" t="s">
        <v>3667</v>
      </c>
      <c r="C3667" s="3" t="str">
        <f>IFERROR(__xludf.DUMMYFUNCTION("GOOGLETRANSLATE(B3667,""id"",""en"")"),"['Feature', 'Gift', 'Share', 'Beneficial', 'BEFORE', 'Quota', 'Features',' Click ',' Page ',' Manager ',' Application ',' Have ',' Management ',' Bad ',' ']")</f>
        <v>['Feature', 'Gift', 'Share', 'Beneficial', 'BEFORE', 'Quota', 'Features',' Click ',' Page ',' Manager ',' Application ',' Have ',' Management ',' Bad ',' ']</v>
      </c>
      <c r="D3667" s="3">
        <v>1.0</v>
      </c>
    </row>
    <row r="3668" ht="15.75" customHeight="1">
      <c r="A3668" s="1">
        <v>3666.0</v>
      </c>
      <c r="B3668" s="3" t="s">
        <v>3668</v>
      </c>
      <c r="C3668" s="3" t="str">
        <f>IFERROR(__xludf.DUMMYFUNCTION("GOOGLETRANSLATE(B3668,""id"",""en"")"),"['Telkomsel', 'here', 'poor', 'net', 'mada', 'quota', 'network', 'busy', 'mulu', 'card', 'ngeleg', 'mulu', ' poor ']")</f>
        <v>['Telkomsel', 'here', 'poor', 'net', 'mada', 'quota', 'network', 'busy', 'mulu', 'card', 'ngeleg', 'mulu', ' poor ']</v>
      </c>
      <c r="D3668" s="3">
        <v>1.0</v>
      </c>
    </row>
    <row r="3669" ht="15.75" customHeight="1">
      <c r="A3669" s="1">
        <v>3667.0</v>
      </c>
      <c r="B3669" s="3" t="s">
        <v>3669</v>
      </c>
      <c r="C3669" s="3" t="str">
        <f>IFERROR(__xludf.DUMMYFUNCTION("GOOGLETRANSLATE(B3669,""id"",""en"")"),"['ugly', 'price', 'kouta', 'expensive', 'buy', 'package', 'data', 'slow', 'really', 'entry', '']")</f>
        <v>['ugly', 'price', 'kouta', 'expensive', 'buy', 'package', 'data', 'slow', 'really', 'entry', '']</v>
      </c>
      <c r="D3669" s="3">
        <v>1.0</v>
      </c>
    </row>
    <row r="3670" ht="15.75" customHeight="1">
      <c r="A3670" s="1">
        <v>3668.0</v>
      </c>
      <c r="B3670" s="3" t="s">
        <v>3670</v>
      </c>
      <c r="C3670" s="3" t="str">
        <f>IFERROR(__xludf.DUMMYFUNCTION("GOOGLETRANSLATE(B3670,""id"",""en"")"),"['Banyuasin', 'South Sumatra', 'Telkomsel', 'Signal', 'Ancur', 'Abis',' ilang ',' PDHAL ',' Weather ',' Good ',' Maen ',' Gemes', ' broken', '']")</f>
        <v>['Banyuasin', 'South Sumatra', 'Telkomsel', 'Signal', 'Ancur', 'Abis',' ilang ',' PDHAL ',' Weather ',' Good ',' Maen ',' Gemes', ' broken', '']</v>
      </c>
      <c r="D3670" s="3">
        <v>1.0</v>
      </c>
    </row>
    <row r="3671" ht="15.75" customHeight="1">
      <c r="A3671" s="1">
        <v>3669.0</v>
      </c>
      <c r="B3671" s="3" t="s">
        <v>3671</v>
      </c>
      <c r="C3671" s="3" t="str">
        <f>IFERROR(__xludf.DUMMYFUNCTION("GOOGLETRANSLATE(B3671,""id"",""en"")"),"['Telkomsel', 'Network', 'good', 'right', 'watch', 'bokep', 'download', 'upload', 'game', 'online', 'its network', 'rot', ' Use ',' card ']")</f>
        <v>['Telkomsel', 'Network', 'good', 'right', 'watch', 'bokep', 'download', 'upload', 'game', 'online', 'its network', 'rot', ' Use ',' card ']</v>
      </c>
      <c r="D3671" s="3">
        <v>1.0</v>
      </c>
    </row>
    <row r="3672" ht="15.75" customHeight="1">
      <c r="A3672" s="1">
        <v>3670.0</v>
      </c>
      <c r="B3672" s="3" t="s">
        <v>3672</v>
      </c>
      <c r="C3672" s="3" t="str">
        <f>IFERROR(__xludf.DUMMYFUNCTION("GOOGLETRANSLATE(B3672,""id"",""en"")"),"['Napo', 'buy', 'pulse', 'then', 'buy', 'package', 'data', 'then', 'check', 'koq', 'yield', 'empty', ' Knapa ',' ']")</f>
        <v>['Napo', 'buy', 'pulse', 'then', 'buy', 'package', 'data', 'then', 'check', 'koq', 'yield', 'empty', ' Knapa ',' ']</v>
      </c>
      <c r="D3672" s="3">
        <v>3.0</v>
      </c>
    </row>
    <row r="3673" ht="15.75" customHeight="1">
      <c r="A3673" s="1">
        <v>3671.0</v>
      </c>
      <c r="B3673" s="3" t="s">
        <v>3673</v>
      </c>
      <c r="C3673" s="3" t="str">
        <f>IFERROR(__xludf.DUMMYFUNCTION("GOOGLETRANSLATE(B3673,""id"",""en"")"),"['ugly', 'really', 'application', 'content', 'pulse', 'rb', 'direct', 'thousand', 'notification', 'anything', 'payment', 'cutting', ' balance ',' already ',' that's', 'buy', 'package', 'date', 'example', 'sampe', 'tamggal', 'here', 'help']")</f>
        <v>['ugly', 'really', 'application', 'content', 'pulse', 'rb', 'direct', 'thousand', 'notification', 'anything', 'payment', 'cutting', ' balance ',' already ',' that's', 'buy', 'package', 'date', 'example', 'sampe', 'tamggal', 'here', 'help']</v>
      </c>
      <c r="D3673" s="3">
        <v>1.0</v>
      </c>
    </row>
    <row r="3674" ht="15.75" customHeight="1">
      <c r="A3674" s="1">
        <v>3672.0</v>
      </c>
      <c r="B3674" s="3" t="s">
        <v>3674</v>
      </c>
      <c r="C3674" s="3" t="str">
        <f>IFERROR(__xludf.DUMMYFUNCTION("GOOGLETRANSLATE(B3674,""id"",""en"")"),"['KSNI', 'ugly', 'signal', 'Telkomsel', 'quota', 'expensive', 'network', 'Indonesia', 'like', 'users',' Telkomsel ',' disappointed ',' Please, 'Fix', 'Min', 'System', '']")</f>
        <v>['KSNI', 'ugly', 'signal', 'Telkomsel', 'quota', 'expensive', 'network', 'Indonesia', 'like', 'users',' Telkomsel ',' disappointed ',' Please, 'Fix', 'Min', 'System', '']</v>
      </c>
      <c r="D3674" s="3">
        <v>5.0</v>
      </c>
    </row>
    <row r="3675" ht="15.75" customHeight="1">
      <c r="A3675" s="1">
        <v>3673.0</v>
      </c>
      <c r="B3675" s="3" t="s">
        <v>3675</v>
      </c>
      <c r="C3675" s="3" t="str">
        <f>IFERROR(__xludf.DUMMYFUNCTION("GOOGLETRANSLATE(B3675,""id"",""en"")"),"['times',' buy ',' package ',' talk ',' enter ',' payment ',' use ',' shopee ',' pay ',' success', 'solution', 'application', ' Slow ',' Veronica ',' Robot ',' Solution ',' Discard ',' Solution ',' ']")</f>
        <v>['times',' buy ',' package ',' talk ',' enter ',' payment ',' use ',' shopee ',' pay ',' success', 'solution', 'application', ' Slow ',' Veronica ',' Robot ',' Solution ',' Discard ',' Solution ',' ']</v>
      </c>
      <c r="D3675" s="3">
        <v>1.0</v>
      </c>
    </row>
    <row r="3676" ht="15.75" customHeight="1">
      <c r="A3676" s="1">
        <v>3674.0</v>
      </c>
      <c r="B3676" s="3" t="s">
        <v>3676</v>
      </c>
      <c r="C3676" s="3" t="str">
        <f>IFERROR(__xludf.DUMMYFUNCTION("GOOGLETRANSLATE(B3676,""id"",""en"")"),"['KNPA', 'Network', 'Telkomsel', 'LEOL', 'LOLA', 'COMPETITION', 'Comfortable', 'Wear', 'Telkomsel', 'Karna', 'Network', 'Severe', ' KMI ',' Sumatran ',' North ',' Tanjung ',' Leidong ']")</f>
        <v>['KNPA', 'Network', 'Telkomsel', 'LEOL', 'LOLA', 'COMPETITION', 'Comfortable', 'Wear', 'Telkomsel', 'Karna', 'Network', 'Severe', ' KMI ',' Sumatran ',' North ',' Tanjung ',' Leidong ']</v>
      </c>
      <c r="D3676" s="3">
        <v>1.0</v>
      </c>
    </row>
    <row r="3677" ht="15.75" customHeight="1">
      <c r="A3677" s="1">
        <v>3675.0</v>
      </c>
      <c r="B3677" s="3" t="s">
        <v>3677</v>
      </c>
      <c r="C3677" s="3" t="str">
        <f>IFERROR(__xludf.DUMMYFUNCTION("GOOGLETRANSLATE(B3677,""id"",""en"")"),"['Telkomsel', 'Kayak', 'slow', 'forgiveness', 'please', 'repair']")</f>
        <v>['Telkomsel', 'Kayak', 'slow', 'forgiveness', 'please', 'repair']</v>
      </c>
      <c r="D3677" s="3">
        <v>1.0</v>
      </c>
    </row>
    <row r="3678" ht="15.75" customHeight="1">
      <c r="A3678" s="1">
        <v>3676.0</v>
      </c>
      <c r="B3678" s="3" t="s">
        <v>3678</v>
      </c>
      <c r="C3678" s="3" t="str">
        <f>IFERROR(__xludf.DUMMYFUNCTION("GOOGLETRANSLATE(B3678,""id"",""en"")"),"['signal', 'Telkomsel', 'ugly', 'play', 'try', 'fix', 'good', 'ugly', 'good', 'love', 'star', ""]")</f>
        <v>['signal', 'Telkomsel', 'ugly', 'play', 'try', 'fix', 'good', 'ugly', 'good', 'love', 'star', "]</v>
      </c>
      <c r="D3678" s="3">
        <v>1.0</v>
      </c>
    </row>
    <row r="3679" ht="15.75" customHeight="1">
      <c r="A3679" s="1">
        <v>3677.0</v>
      </c>
      <c r="B3679" s="3" t="s">
        <v>3679</v>
      </c>
      <c r="C3679" s="3" t="str">
        <f>IFERROR(__xludf.DUMMYFUNCTION("GOOGLETRANSLATE(B3679,""id"",""en"")"),"['right', 'opened', 'eeh', 'awaited', 'logo', 'rich', 'bro', 'logo', 'fast', 'open']")</f>
        <v>['right', 'opened', 'eeh', 'awaited', 'logo', 'rich', 'bro', 'logo', 'fast', 'open']</v>
      </c>
      <c r="D3679" s="3">
        <v>1.0</v>
      </c>
    </row>
    <row r="3680" ht="15.75" customHeight="1">
      <c r="A3680" s="1">
        <v>3678.0</v>
      </c>
      <c r="B3680" s="3" t="s">
        <v>3680</v>
      </c>
      <c r="C3680" s="3" t="str">
        <f>IFERROR(__xludf.DUMMYFUNCTION("GOOGLETRANSLATE(B3680,""id"",""en"")"),"['Telkomsel', 'bad', 'cave', 'ngk', 'fill', 'quota', 'voucher', 'ajg', 'please', 'response', ""]")</f>
        <v>['Telkomsel', 'bad', 'cave', 'ngk', 'fill', 'quota', 'voucher', 'ajg', 'please', 'response', "]</v>
      </c>
      <c r="D3680" s="3">
        <v>1.0</v>
      </c>
    </row>
    <row r="3681" ht="15.75" customHeight="1">
      <c r="A3681" s="1">
        <v>3679.0</v>
      </c>
      <c r="B3681" s="3" t="s">
        <v>3681</v>
      </c>
      <c r="C3681" s="3" t="str">
        <f>IFERROR(__xludf.DUMMYFUNCTION("GOOGLETRANSLATE(B3681,""id"",""en"")"),"['Network', 'slow', 'buy', 'quota', 'expensive', 'expensive', 'network', 'stable', 'bangett']")</f>
        <v>['Network', 'slow', 'buy', 'quota', 'expensive', 'expensive', 'network', 'stable', 'bangett']</v>
      </c>
      <c r="D3681" s="3">
        <v>1.0</v>
      </c>
    </row>
    <row r="3682" ht="15.75" customHeight="1">
      <c r="A3682" s="1">
        <v>3680.0</v>
      </c>
      <c r="B3682" s="3" t="s">
        <v>3682</v>
      </c>
      <c r="C3682" s="3" t="str">
        <f>IFERROR(__xludf.DUMMYFUNCTION("GOOGLETRANSLATE(B3682,""id"",""en"")"),"['application', 'plz', 'daughters',' use ',' kwan ',' kwan ',' first ',' enk ',' plz ',' sumps', 'jngn', 'deh', ' make ',' application ',' original ',' jngn ',' darling ',' use ',' plz ',' konsdot ']")</f>
        <v>['application', 'plz', 'daughters',' use ',' kwan ',' kwan ',' first ',' enk ',' plz ',' sumps', 'jngn', 'deh', ' make ',' application ',' original ',' jngn ',' darling ',' use ',' plz ',' konsdot ']</v>
      </c>
      <c r="D3682" s="3">
        <v>1.0</v>
      </c>
    </row>
    <row r="3683" ht="15.75" customHeight="1">
      <c r="A3683" s="1">
        <v>3681.0</v>
      </c>
      <c r="B3683" s="3" t="s">
        <v>3683</v>
      </c>
      <c r="C3683" s="3" t="str">
        <f>IFERROR(__xludf.DUMMYFUNCTION("GOOGLETRANSLATE(B3683,""id"",""en"")"),"['App', 'ugly', 'buy', 'package', 'noon', 'already', 'tens',' times', 'try', 'check', 'connection', 'check', ' connection ',' said ',' open ',' fine ',' buy ',' package ',' need ',' plump ',' really ',' service ',' gini ',' gini ',' sucked ' , 'Credit', '"&amp;"harm "",' profitable ',' consumers', 'Mending', 'draw', 'please', 'repaired', 'make', 'Telkomsel', 'retreat', 'simultaneous' Sangag ',' Disappointed ',' ']")</f>
        <v>['App', 'ugly', 'buy', 'package', 'noon', 'already', 'tens',' times', 'try', 'check', 'connection', 'check', ' connection ',' said ',' open ',' fine ',' buy ',' package ',' need ',' plump ',' really ',' service ',' gini ',' gini ',' sucked ' , 'Credit', 'harm ",' profitable ',' consumers', 'Mending', 'draw', 'please', 'repaired', 'make', 'Telkomsel', 'retreat', 'simultaneous' Sangag ',' Disappointed ',' ']</v>
      </c>
      <c r="D3683" s="3">
        <v>1.0</v>
      </c>
    </row>
    <row r="3684" ht="15.75" customHeight="1">
      <c r="A3684" s="1">
        <v>3682.0</v>
      </c>
      <c r="B3684" s="3" t="s">
        <v>3684</v>
      </c>
      <c r="C3684" s="3" t="str">
        <f>IFERROR(__xludf.DUMMYFUNCTION("GOOGLETRANSLATE(B3684,""id"",""en"")"),"['Nyesel', 'Moving', 'Card', 'Hello', 'Network', 'Priority', 'Lemot', 'No', 'Browsing', 'Card', 'Prepaid', 'Telkomsel', ' ']")</f>
        <v>['Nyesel', 'Moving', 'Card', 'Hello', 'Network', 'Priority', 'Lemot', 'No', 'Browsing', 'Card', 'Prepaid', 'Telkomsel', ' ']</v>
      </c>
      <c r="D3684" s="3">
        <v>2.0</v>
      </c>
    </row>
    <row r="3685" ht="15.75" customHeight="1">
      <c r="A3685" s="1">
        <v>3683.0</v>
      </c>
      <c r="B3685" s="3" t="s">
        <v>3685</v>
      </c>
      <c r="C3685" s="3" t="str">
        <f>IFERROR(__xludf.DUMMYFUNCTION("GOOGLETRANSLATE(B3685,""id"",""en"")"),"['apk', 'help', 'promo', 'promo', 'interesting', 'top', 'star']")</f>
        <v>['apk', 'help', 'promo', 'promo', 'interesting', 'top', 'star']</v>
      </c>
      <c r="D3685" s="3">
        <v>1.0</v>
      </c>
    </row>
    <row r="3686" ht="15.75" customHeight="1">
      <c r="A3686" s="1">
        <v>3684.0</v>
      </c>
      <c r="B3686" s="3" t="s">
        <v>3686</v>
      </c>
      <c r="C3686" s="3" t="str">
        <f>IFERROR(__xludf.DUMMYFUNCTION("GOOGLETRANSLATE(B3686,""id"",""en"")"),"['update', 'forced', 'forced', 'no', 'update', 'force', '']")</f>
        <v>['update', 'forced', 'forced', 'no', 'update', 'force', '']</v>
      </c>
      <c r="D3686" s="3">
        <v>1.0</v>
      </c>
    </row>
    <row r="3687" ht="15.75" customHeight="1">
      <c r="A3687" s="1">
        <v>3685.0</v>
      </c>
      <c r="B3687" s="3" t="s">
        <v>3687</v>
      </c>
      <c r="C3687" s="3" t="str">
        <f>IFERROR(__xludf.DUMMYFUNCTION("GOOGLETRANSLATE(B3687,""id"",""en"")"),"['disruption', 'right', 'update', 'version', 'application', 'buy', 'package', 'data', 'what', 'min', 'system', 'error', ' please ',' repeat ',' minutes', 'right', 'try', 'tetep']")</f>
        <v>['disruption', 'right', 'update', 'version', 'application', 'buy', 'package', 'data', 'what', 'min', 'system', 'error', ' please ',' repeat ',' minutes', 'right', 'try', 'tetep']</v>
      </c>
      <c r="D3687" s="3">
        <v>1.0</v>
      </c>
    </row>
    <row r="3688" ht="15.75" customHeight="1">
      <c r="A3688" s="1">
        <v>3686.0</v>
      </c>
      <c r="B3688" s="3" t="s">
        <v>3688</v>
      </c>
      <c r="C3688" s="3" t="str">
        <f>IFERROR(__xludf.DUMMYFUNCTION("GOOGLETRANSLATE(B3688,""id"",""en"")"),"['Please', 'Please', 'Increase', 'Network', 'Increase', 'Price', 'Expensive', 'Network', 'Poor']")</f>
        <v>['Please', 'Please', 'Increase', 'Network', 'Increase', 'Price', 'Expensive', 'Network', 'Poor']</v>
      </c>
      <c r="D3688" s="3">
        <v>3.0</v>
      </c>
    </row>
    <row r="3689" ht="15.75" customHeight="1">
      <c r="A3689" s="1">
        <v>3687.0</v>
      </c>
      <c r="B3689" s="3" t="s">
        <v>3689</v>
      </c>
      <c r="C3689" s="3" t="str">
        <f>IFERROR(__xludf.DUMMYFUNCTION("GOOGLETRANSLATE(B3689,""id"",""en"")"),"['please', 'Telkomsel', 'knp', 'network', 'ugly', 'package', 'expensive', 'network', 'worth', 'price', 'package', ""]")</f>
        <v>['please', 'Telkomsel', 'knp', 'network', 'ugly', 'package', 'expensive', 'network', 'worth', 'price', 'package', "]</v>
      </c>
      <c r="D3689" s="3">
        <v>1.0</v>
      </c>
    </row>
    <row r="3690" ht="15.75" customHeight="1">
      <c r="A3690" s="1">
        <v>3688.0</v>
      </c>
      <c r="B3690" s="3" t="s">
        <v>3690</v>
      </c>
      <c r="C3690" s="3" t="str">
        <f>IFERROR(__xludf.DUMMYFUNCTION("GOOGLETRANSLATE(B3690,""id"",""en"")"),"['His name', 'Telkomsel', 'company', 'BUMN', 'The network', 'Lost', 'Buriiiiiiik']")</f>
        <v>['His name', 'Telkomsel', 'company', 'BUMN', 'The network', 'Lost', 'Buriiiiiiik']</v>
      </c>
      <c r="D3690" s="3">
        <v>1.0</v>
      </c>
    </row>
    <row r="3691" ht="15.75" customHeight="1">
      <c r="A3691" s="1">
        <v>3689.0</v>
      </c>
      <c r="B3691" s="3" t="s">
        <v>3691</v>
      </c>
      <c r="C3691" s="3" t="str">
        <f>IFERROR(__xludf.DUMMYFUNCTION("GOOGLETRANSLATE(B3691,""id"",""en"")"),"['Network', 'Internet', 'Signal', 'Surabaya', 'North', 'ugly', 'Please', 'Noted', 'Trima', 'Love']")</f>
        <v>['Network', 'Internet', 'Signal', 'Surabaya', 'North', 'ugly', 'Please', 'Noted', 'Trima', 'Love']</v>
      </c>
      <c r="D3691" s="3">
        <v>5.0</v>
      </c>
    </row>
    <row r="3692" ht="15.75" customHeight="1">
      <c r="A3692" s="1">
        <v>3690.0</v>
      </c>
      <c r="B3692" s="3" t="s">
        <v>3692</v>
      </c>
      <c r="C3692" s="3" t="str">
        <f>IFERROR(__xludf.DUMMYFUNCTION("GOOGLETRANSLATE(B3692,""id"",""en"")"),"['Price', 'Package', 'Rentenir', 'Expensive', 'Fauce', 'Network', 'Ngadat', 'Trs',' Hadeeeh ',' Delicious', 'Ngadat', 'a little', ' just ',' package ',' cheap ',' festive ',' auto ',' delete ',' apk ',' replace ',' ']")</f>
        <v>['Price', 'Package', 'Rentenir', 'Expensive', 'Fauce', 'Network', 'Ngadat', 'Trs',' Hadeeeh ',' Delicious', 'Ngadat', 'a little', ' just ',' package ',' cheap ',' festive ',' auto ',' delete ',' apk ',' replace ',' ']</v>
      </c>
      <c r="D3692" s="3">
        <v>1.0</v>
      </c>
    </row>
    <row r="3693" ht="15.75" customHeight="1">
      <c r="A3693" s="1">
        <v>3691.0</v>
      </c>
      <c r="B3693" s="3" t="s">
        <v>3693</v>
      </c>
      <c r="C3693" s="3" t="str">
        <f>IFERROR(__xludf.DUMMYFUNCTION("GOOGLETRANSLATE(B3693,""id"",""en"")"),"['Telkomsel', 'linta', 'package', 'expensive', 'then', 'signal', 'Lola', ""]")</f>
        <v>['Telkomsel', 'linta', 'package', 'expensive', 'then', 'signal', 'Lola', "]</v>
      </c>
      <c r="D3693" s="3">
        <v>1.0</v>
      </c>
    </row>
    <row r="3694" ht="15.75" customHeight="1">
      <c r="A3694" s="1">
        <v>3692.0</v>
      </c>
      <c r="B3694" s="3" t="s">
        <v>3694</v>
      </c>
      <c r="C3694" s="3" t="str">
        <f>IFERROR(__xludf.DUMMYFUNCTION("GOOGLETRANSLATE(B3694,""id"",""en"")"),"['The application', 'Cool', 'really', 'makes it easy', 'users',' loyal ',' Telkomsel ',' buy ',' Package ',' pulse ',' data ',' promo ',' Cashback ',' Exchange ',' Points', 'Easy']")</f>
        <v>['The application', 'Cool', 'really', 'makes it easy', 'users',' loyal ',' Telkomsel ',' buy ',' Package ',' pulse ',' data ',' promo ',' Cashback ',' Exchange ',' Points', 'Easy']</v>
      </c>
      <c r="D3694" s="3">
        <v>5.0</v>
      </c>
    </row>
    <row r="3695" ht="15.75" customHeight="1">
      <c r="A3695" s="1">
        <v>3693.0</v>
      </c>
      <c r="B3695" s="3" t="s">
        <v>3695</v>
      </c>
      <c r="C3695" s="3" t="str">
        <f>IFERROR(__xludf.DUMMYFUNCTION("GOOGLETRANSLATE(B3695,""id"",""en"")"),"['promotionin', 'card', 'Hello', 'number', 'in the future', 'grace', 'repaired', 'told', 'at the' hello ',' pulses ',' people ',' Pay ',' Bill ',' Org ',' Call ',' Bentar ',' His family ',' Udh ',' Happy ',' told ',' Pay ',' Eat ',' Pay ',' Bill ' , 'Life"&amp;"', 'easy', 'difficult', '']")</f>
        <v>['promotionin', 'card', 'Hello', 'number', 'in the future', 'grace', 'repaired', 'told', 'at the' hello ',' pulses ',' people ',' Pay ',' Bill ',' Org ',' Call ',' Bentar ',' His family ',' Udh ',' Happy ',' told ',' Pay ',' Eat ',' Pay ',' Bill ' , 'Life', 'easy', 'difficult', '']</v>
      </c>
      <c r="D3695" s="3">
        <v>1.0</v>
      </c>
    </row>
    <row r="3696" ht="15.75" customHeight="1">
      <c r="A3696" s="1">
        <v>3694.0</v>
      </c>
      <c r="B3696" s="3" t="s">
        <v>3696</v>
      </c>
      <c r="C3696" s="3" t="str">
        <f>IFERROR(__xludf.DUMMYFUNCTION("GOOGLETRANSLATE(B3696,""id"",""en"")"),"['Please', 'Understand', 'Boss', 'Costs', 'Transaction', 'Credit', 'Yes', 'Credit', 'Costs', 'Nykek', ""]")</f>
        <v>['Please', 'Understand', 'Boss', 'Costs', 'Transaction', 'Credit', 'Yes', 'Credit', 'Costs', 'Nykek', "]</v>
      </c>
      <c r="D3696" s="3">
        <v>1.0</v>
      </c>
    </row>
    <row r="3697" ht="15.75" customHeight="1">
      <c r="A3697" s="1">
        <v>3695.0</v>
      </c>
      <c r="B3697" s="3" t="s">
        <v>3697</v>
      </c>
      <c r="C3697" s="3" t="str">
        <f>IFERROR(__xludf.DUMMYFUNCTION("GOOGLETRANSLATE(B3697,""id"",""en"")"),"['Funny', 'really', 'Telkomsel', 'user', 'price', 'purchase', 'data', 'APK', 'cheap', 'user', 'see', 'price', ' Shop ',' apk ',' brother ',' Different ',' really ',' strange ', ""]")</f>
        <v>['Funny', 'really', 'Telkomsel', 'user', 'price', 'purchase', 'data', 'APK', 'cheap', 'user', 'see', 'price', ' Shop ',' apk ',' brother ',' Different ',' really ',' strange ', "]</v>
      </c>
      <c r="D3697" s="3">
        <v>1.0</v>
      </c>
    </row>
    <row r="3698" ht="15.75" customHeight="1">
      <c r="A3698" s="1">
        <v>3696.0</v>
      </c>
      <c r="B3698" s="3" t="s">
        <v>3698</v>
      </c>
      <c r="C3698" s="3" t="str">
        <f>IFERROR(__xludf.DUMMYFUNCTION("GOOGLETRANSLATE(B3698,""id"",""en"")"),"['The application', 'good', 'really', 'helping', 'raises',' emotion ',' me ',' loading ',' Doang ',' no ',' nampilin ',' awaited ',' All day ',' error ',' system ',' dragging ',' no ',' overcome ',' ']")</f>
        <v>['The application', 'good', 'really', 'helping', 'raises',' emotion ',' me ',' loading ',' Doang ',' no ',' nampilin ',' awaited ',' All day ',' error ',' system ',' dragging ',' no ',' overcome ',' ']</v>
      </c>
      <c r="D3698" s="3">
        <v>1.0</v>
      </c>
    </row>
    <row r="3699" ht="15.75" customHeight="1">
      <c r="A3699" s="1">
        <v>3697.0</v>
      </c>
      <c r="B3699" s="3" t="s">
        <v>3699</v>
      </c>
      <c r="C3699" s="3" t="str">
        <f>IFERROR(__xludf.DUMMYFUNCTION("GOOGLETRANSLATE(B3699,""id"",""en"")"),"['pulse', 'Sumpot', 'right', 'blame', 'data', 'quota', 'Telkomsel', 'pulses',' sumps', 'disappointed', 'please', 'repaired', ' ']")</f>
        <v>['pulse', 'Sumpot', 'right', 'blame', 'data', 'quota', 'Telkomsel', 'pulses',' sumps', 'disappointed', 'please', 'repaired', ' ']</v>
      </c>
      <c r="D3699" s="3">
        <v>3.0</v>
      </c>
    </row>
    <row r="3700" ht="15.75" customHeight="1">
      <c r="A3700" s="1">
        <v>3698.0</v>
      </c>
      <c r="B3700" s="3" t="s">
        <v>3700</v>
      </c>
      <c r="C3700" s="3" t="str">
        <f>IFERROR(__xludf.DUMMYFUNCTION("GOOGLETRANSLATE(B3700,""id"",""en"")"),"['updated', 'Something', 'Went', 'Wrong', 'Update', 'Application', 'Signal', 'Streaming', 'Download', 'Main', 'Game', 'Social', ' Media ',' smooth ',' open ',' Application ',' MyTelkomsel ',' Speed ​​',' Network ',' Direct ',' Increases', 'KB', 'Quality',"&amp;" 'Maharaja', ""]")</f>
        <v>['updated', 'Something', 'Went', 'Wrong', 'Update', 'Application', 'Signal', 'Streaming', 'Download', 'Main', 'Game', 'Social', ' Media ',' smooth ',' open ',' Application ',' MyTelkomsel ',' Speed ​​',' Network ',' Direct ',' Increases', 'KB', 'Quality', 'Maharaja', "]</v>
      </c>
      <c r="D3700" s="3">
        <v>1.0</v>
      </c>
    </row>
    <row r="3701" ht="15.75" customHeight="1">
      <c r="A3701" s="1">
        <v>3699.0</v>
      </c>
      <c r="B3701" s="3" t="s">
        <v>3701</v>
      </c>
      <c r="C3701" s="3" t="str">
        <f>IFERROR(__xludf.DUMMYFUNCTION("GOOGLETRANSLATE(B3701,""id"",""en"")"),"['Hopefully', 'in the future', 'quality', 'price', 'signal', '']")</f>
        <v>['Hopefully', 'in the future', 'quality', 'price', 'signal', '']</v>
      </c>
      <c r="D3701" s="3">
        <v>3.0</v>
      </c>
    </row>
    <row r="3702" ht="15.75" customHeight="1">
      <c r="A3702" s="1">
        <v>3700.0</v>
      </c>
      <c r="B3702" s="3" t="s">
        <v>3702</v>
      </c>
      <c r="C3702" s="3" t="str">
        <f>IFERROR(__xludf.DUMMYFUNCTION("GOOGLETRANSLATE(B3702,""id"",""en"")"),"['application', 'MyTelkomsel', 'purchase', 'data', 'internet', 'easy', 'promo', 'life', 'Indonesia', 'live', 'Telkomsel', ""]")</f>
        <v>['application', 'MyTelkomsel', 'purchase', 'data', 'internet', 'easy', 'promo', 'life', 'Indonesia', 'live', 'Telkomsel', "]</v>
      </c>
      <c r="D3702" s="3">
        <v>5.0</v>
      </c>
    </row>
    <row r="3703" ht="15.75" customHeight="1">
      <c r="A3703" s="1">
        <v>3701.0</v>
      </c>
      <c r="B3703" s="3" t="s">
        <v>3703</v>
      </c>
      <c r="C3703" s="3" t="str">
        <f>IFERROR(__xludf.DUMMYFUNCTION("GOOGLETRANSLATE(B3703,""id"",""en"")"),"['sorry', 'love', 'star', 'package', 'internet', 'buy', 'play', 'game', 'online', 'buy', 'package', 'internet']")</f>
        <v>['sorry', 'love', 'star', 'package', 'internet', 'buy', 'play', 'game', 'online', 'buy', 'package', 'internet']</v>
      </c>
      <c r="D3703" s="3">
        <v>1.0</v>
      </c>
    </row>
    <row r="3704" ht="15.75" customHeight="1">
      <c r="A3704" s="1">
        <v>3702.0</v>
      </c>
      <c r="B3704" s="3" t="s">
        <v>3704</v>
      </c>
      <c r="C3704" s="3" t="str">
        <f>IFERROR(__xludf.DUMMYFUNCTION("GOOGLETRANSLATE(B3704,""id"",""en"")"),"['signal', 'like', 'missing', 'already', 'buy', 'package', 'expensive', 'disappointed', 'choose', 'Telkomsel', 'because', 'signal', ' Good ',' Appeal ',' Provider ']")</f>
        <v>['signal', 'like', 'missing', 'already', 'buy', 'package', 'expensive', 'disappointed', 'choose', 'Telkomsel', 'because', 'signal', ' Good ',' Appeal ',' Provider ']</v>
      </c>
      <c r="D3704" s="3">
        <v>1.0</v>
      </c>
    </row>
    <row r="3705" ht="15.75" customHeight="1">
      <c r="A3705" s="1">
        <v>3703.0</v>
      </c>
      <c r="B3705" s="3" t="s">
        <v>3705</v>
      </c>
      <c r="C3705" s="3" t="str">
        <f>IFERROR(__xludf.DUMMYFUNCTION("GOOGLETRANSLATE(B3705,""id"",""en"")"),"['Telkomsel', 'Network', 'deteriorating', 'buy', 'quota', 'network', 'bad', 'hopefully', 'tomorrow', 'improved', 'emotion', 'truss',' high school ',' network ']")</f>
        <v>['Telkomsel', 'Network', 'deteriorating', 'buy', 'quota', 'network', 'bad', 'hopefully', 'tomorrow', 'improved', 'emotion', 'truss',' high school ',' network ']</v>
      </c>
      <c r="D3705" s="3">
        <v>5.0</v>
      </c>
    </row>
    <row r="3706" ht="15.75" customHeight="1">
      <c r="A3706" s="1">
        <v>3704.0</v>
      </c>
      <c r="B3706" s="3" t="s">
        <v>3706</v>
      </c>
      <c r="C3706" s="3" t="str">
        <f>IFERROR(__xludf.DUMMYFUNCTION("GOOGLETRANSLATE(B3706,""id"",""en"")"),"['Gara', 'Gara', 'signal', 'ugly', 'I', 'got', 'bacot', 'friend', 'because' play ',' game ',' mobile ',' Legend ',' ugly ',' Please ',' Benerin ',' Signal ',' ']")</f>
        <v>['Gara', 'Gara', 'signal', 'ugly', 'I', 'got', 'bacot', 'friend', 'because' play ',' game ',' mobile ',' Legend ',' ugly ',' Please ',' Benerin ',' Signal ',' ']</v>
      </c>
      <c r="D3706" s="3">
        <v>1.0</v>
      </c>
    </row>
    <row r="3707" ht="15.75" customHeight="1">
      <c r="A3707" s="1">
        <v>3705.0</v>
      </c>
      <c r="B3707" s="3" t="s">
        <v>3707</v>
      </c>
      <c r="C3707" s="3" t="str">
        <f>IFERROR(__xludf.DUMMYFUNCTION("GOOGLETRANSLATE(B3707,""id"",""en"")"),"['buy', 'package', 'his writing', 'failed', 'activated', 'system', 'busy', 'pulse', 'sumps',' package ',' entry ',' gmna ',' times', 'lho']")</f>
        <v>['buy', 'package', 'his writing', 'failed', 'activated', 'system', 'busy', 'pulse', 'sumps',' package ',' entry ',' gmna ',' times', 'lho']</v>
      </c>
      <c r="D3707" s="3">
        <v>1.0</v>
      </c>
    </row>
    <row r="3708" ht="15.75" customHeight="1">
      <c r="A3708" s="1">
        <v>3706.0</v>
      </c>
      <c r="B3708" s="3" t="s">
        <v>3708</v>
      </c>
      <c r="C3708" s="3" t="str">
        <f>IFERROR(__xludf.DUMMYFUNCTION("GOOGLETRANSLATE(B3708,""id"",""en"")"),"['Hello', 'MyTelkomsel', 'KNP', 'PAS', 'Open', 'APK', 'Input', 'Number', 'Loading', 'Page', 'Sorry', 'System', ' please ',' yes', 'right', 'check', 'phone', 'typing', 'check', 'pulse', 'right', 'check', 'number', 'buy', 'package' , 'please']")</f>
        <v>['Hello', 'MyTelkomsel', 'KNP', 'PAS', 'Open', 'APK', 'Input', 'Number', 'Loading', 'Page', 'Sorry', 'System', ' please ',' yes', 'right', 'check', 'phone', 'typing', 'check', 'pulse', 'right', 'check', 'number', 'buy', 'package' , 'please']</v>
      </c>
      <c r="D3708" s="3">
        <v>2.0</v>
      </c>
    </row>
    <row r="3709" ht="15.75" customHeight="1">
      <c r="A3709" s="1">
        <v>3707.0</v>
      </c>
      <c r="B3709" s="3" t="s">
        <v>3709</v>
      </c>
      <c r="C3709" s="3" t="str">
        <f>IFERROR(__xludf.DUMMYFUNCTION("GOOGLETRANSLATE(B3709,""id"",""en"")"),"['Disappointed', 'ALIH', 'Telkomsel', 'Please', 'Install', 'Application', 'Package', 'Cheap', 'Cheap', 'Tamba', 'Expensive', ""]")</f>
        <v>['Disappointed', 'ALIH', 'Telkomsel', 'Please', 'Install', 'Application', 'Package', 'Cheap', 'Cheap', 'Tamba', 'Expensive', "]</v>
      </c>
      <c r="D3709" s="3">
        <v>1.0</v>
      </c>
    </row>
    <row r="3710" ht="15.75" customHeight="1">
      <c r="A3710" s="1">
        <v>3708.0</v>
      </c>
      <c r="B3710" s="3" t="s">
        <v>3710</v>
      </c>
      <c r="C3710" s="3" t="str">
        <f>IFERROR(__xludf.DUMMYFUNCTION("GOOGLETRANSLATE(B3710,""id"",""en"")"),"['buy', 'already', 'pay', 'balance', 'already', 'reduced', 'package', 'no', 'entry', 'Hadehhhhh', 'how', 'money', ' Gapapa ',' BLI ',' HADEHHHHH ']")</f>
        <v>['buy', 'already', 'pay', 'balance', 'already', 'reduced', 'package', 'no', 'entry', 'Hadehhhhh', 'how', 'money', ' Gapapa ',' BLI ',' HADEHHHHH ']</v>
      </c>
      <c r="D3710" s="3">
        <v>2.0</v>
      </c>
    </row>
    <row r="3711" ht="15.75" customHeight="1">
      <c r="A3711" s="1">
        <v>3709.0</v>
      </c>
      <c r="B3711" s="3" t="s">
        <v>3711</v>
      </c>
      <c r="C3711" s="3" t="str">
        <f>IFERROR(__xludf.DUMMYFUNCTION("GOOGLETRANSLATE(B3711,""id"",""en"")"),"['Season', 'really', 'disappointed', 'super', 'disappointed', 'buy', 'package', 'quota', 'paid', 'use', 'link', 'already', ' Success', 'Until', 'Quota', 'Enter', 'Enter', 'What', 'Sihhhh', 'Chat', 'Direct', 'Customer', 'Service', 'AHH', 'Disappointing' , "&amp;"'']")</f>
        <v>['Season', 'really', 'disappointed', 'super', 'disappointed', 'buy', 'package', 'quota', 'paid', 'use', 'link', 'already', ' Success', 'Until', 'Quota', 'Enter', 'Enter', 'What', 'Sihhhh', 'Chat', 'Direct', 'Customer', 'Service', 'AHH', 'Disappointing' , '']</v>
      </c>
      <c r="D3711" s="3">
        <v>1.0</v>
      </c>
    </row>
    <row r="3712" ht="15.75" customHeight="1">
      <c r="A3712" s="1">
        <v>3710.0</v>
      </c>
      <c r="B3712" s="3" t="s">
        <v>3712</v>
      </c>
      <c r="C3712" s="3" t="str">
        <f>IFERROR(__xludf.DUMMYFUNCTION("GOOGLETRANSLATE(B3712,""id"",""en"")"),"['regret', 'buy', 'Telkomsel', 'GB', 'Tiktok', 'Games',' sosmed ',' FUP ',' GB ',' Doang ',' Current ',' the rest ',' original ',' road ',' kab ',' unlimited ',' buy ',' smartfren ',' slow ',' gpp ',' road ',' nyesel ',' oath ',' buy ',' Telkomsel ' , 'Un"&amp;"limited', '']")</f>
        <v>['regret', 'buy', 'Telkomsel', 'GB', 'Tiktok', 'Games',' sosmed ',' FUP ',' GB ',' Doang ',' Current ',' the rest ',' original ',' road ',' kab ',' unlimited ',' buy ',' smartfren ',' slow ',' gpp ',' road ',' nyesel ',' oath ',' buy ',' Telkomsel ' , 'Unlimited', '']</v>
      </c>
      <c r="D3712" s="3">
        <v>1.0</v>
      </c>
    </row>
    <row r="3713" ht="15.75" customHeight="1">
      <c r="A3713" s="1">
        <v>3711.0</v>
      </c>
      <c r="B3713" s="3" t="s">
        <v>3713</v>
      </c>
      <c r="C3713" s="3" t="str">
        <f>IFERROR(__xludf.DUMMYFUNCTION("GOOGLETRANSLATE(B3713,""id"",""en"")"),"['contents',' balance ',' use ',' Telkomsel ',' pay ',' use ',' balance ',' shoope ',' package ',' data ',' active ',' balance ',' already ',' truncated ',' try ',' nanyin ',' customer ',' servicenya ',' service ',' disappointing ',' honest ',' user ',' d"&amp;"isappointed ',' really ',' customer ' , 'Service', 'Slow', 'response', 'Matiin', 'Chat', ""]")</f>
        <v>['contents',' balance ',' use ',' Telkomsel ',' pay ',' use ',' balance ',' shoope ',' package ',' data ',' active ',' balance ',' already ',' truncated ',' try ',' nanyin ',' customer ',' servicenya ',' service ',' disappointing ',' honest ',' user ',' disappointed ',' really ',' customer ' , 'Service', 'Slow', 'response', 'Matiin', 'Chat', "]</v>
      </c>
      <c r="D3713" s="3">
        <v>1.0</v>
      </c>
    </row>
    <row r="3714" ht="15.75" customHeight="1">
      <c r="A3714" s="1">
        <v>3712.0</v>
      </c>
      <c r="B3714" s="3" t="s">
        <v>3714</v>
      </c>
      <c r="C3714" s="3" t="str">
        <f>IFERROR(__xludf.DUMMYFUNCTION("GOOGLETRANSLATE(B3714,""id"",""en"")"),"['info', 'brief', 'bilamana', 'quota', 'price', 'cheap', '']")</f>
        <v>['info', 'brief', 'bilamana', 'quota', 'price', 'cheap', '']</v>
      </c>
      <c r="D3714" s="3">
        <v>5.0</v>
      </c>
    </row>
    <row r="3715" ht="15.75" customHeight="1">
      <c r="A3715" s="1">
        <v>3713.0</v>
      </c>
      <c r="B3715" s="3" t="s">
        <v>3715</v>
      </c>
      <c r="C3715" s="3" t="str">
        <f>IFERROR(__xludf.DUMMYFUNCTION("GOOGLETRANSLATE(B3715,""id"",""en"")"),"['Out', 'purchase', 'quota', 'internet', 'method', 'payment', 'pay', 'quota', 'enter', 'balance', 'reduced', 'how', ' accept', '']")</f>
        <v>['Out', 'purchase', 'quota', 'internet', 'method', 'payment', 'pay', 'quota', 'enter', 'balance', 'reduced', 'how', ' accept', '']</v>
      </c>
      <c r="D3715" s="3">
        <v>1.0</v>
      </c>
    </row>
    <row r="3716" ht="15.75" customHeight="1">
      <c r="A3716" s="1">
        <v>3714.0</v>
      </c>
      <c r="B3716" s="3" t="s">
        <v>3716</v>
      </c>
      <c r="C3716" s="3" t="str">
        <f>IFERROR(__xludf.DUMMYFUNCTION("GOOGLETRANSLATE(B3716,""id"",""en"")"),"['dead', 'lights', 'signal', 'ilang', 'please', 'fix', 'min', 'dead', 'lights', 'down', 'comfortable', 'tks']")</f>
        <v>['dead', 'lights', 'signal', 'ilang', 'please', 'fix', 'min', 'dead', 'lights', 'down', 'comfortable', 'tks']</v>
      </c>
      <c r="D3716" s="3">
        <v>2.0</v>
      </c>
    </row>
    <row r="3717" ht="15.75" customHeight="1">
      <c r="A3717" s="1">
        <v>3715.0</v>
      </c>
      <c r="B3717" s="3" t="s">
        <v>3717</v>
      </c>
      <c r="C3717" s="3" t="str">
        <f>IFERROR(__xludf.DUMMYFUNCTION("GOOGLETRANSLATE(B3717,""id"",""en"")"),"['Price', 'Package', 'Quality', 'Network', 'Come', 'Different', 'Panet', 'Price', 'Expensive', 'Quality', 'Network', 'Badk']")</f>
        <v>['Price', 'Package', 'Quality', 'Network', 'Come', 'Different', 'Panet', 'Price', 'Expensive', 'Quality', 'Network', 'Badk']</v>
      </c>
      <c r="D3717" s="3">
        <v>1.0</v>
      </c>
    </row>
    <row r="3718" ht="15.75" customHeight="1">
      <c r="A3718" s="1">
        <v>3716.0</v>
      </c>
      <c r="B3718" s="3" t="s">
        <v>3718</v>
      </c>
      <c r="C3718" s="3" t="str">
        <f>IFERROR(__xludf.DUMMYFUNCTION("GOOGLETRANSLATE(B3718,""id"",""en"")"),"['Display', 'leftover', 'quota', 'phone', 'etc.', 'practical', 'page', '']")</f>
        <v>['Display', 'leftover', 'quota', 'phone', 'etc.', 'practical', 'page', '']</v>
      </c>
      <c r="D3718" s="3">
        <v>3.0</v>
      </c>
    </row>
    <row r="3719" ht="15.75" customHeight="1">
      <c r="A3719" s="1">
        <v>3717.0</v>
      </c>
      <c r="B3719" s="3" t="s">
        <v>3719</v>
      </c>
      <c r="C3719" s="3" t="str">
        <f>IFERROR(__xludf.DUMMYFUNCTION("GOOGLETRANSLATE(B3719,""id"",""en"")"),"['Hello', 'users',' Telkomsel ',' confused ',' can ',' bonus', 'credit', 'buy', 'package', 'combo', 'sakti', 'bonus',' run out of phone credit']")</f>
        <v>['Hello', 'users',' Telkomsel ',' confused ',' can ',' bonus', 'credit', 'buy', 'package', 'combo', 'sakti', 'bonus',' run out of phone credit']</v>
      </c>
      <c r="D3719" s="3">
        <v>5.0</v>
      </c>
    </row>
    <row r="3720" ht="15.75" customHeight="1">
      <c r="A3720" s="1">
        <v>3718.0</v>
      </c>
      <c r="B3720" s="3" t="s">
        <v>3720</v>
      </c>
      <c r="C3720" s="3" t="str">
        <f>IFERROR(__xludf.DUMMYFUNCTION("GOOGLETRANSLATE(B3720,""id"",""en"")"),"['Dear', 'Team', 'Telkomsel', 'Network', 'Internet', 'Telkomsel', 'skarang', 'lag', 'lag', 'watch', 'youtube', 'play', ' Game ',' Online ',' SJA ',' lag ',' knapa ',' extension ',' kouta ',' kasian ',' bought ',' kouta ',' masi ',' my computer ',' apply '"&amp;" , 'run out', 'first', 'klau', 'apply', 'abis',' just ',' contents', 'kouta', 'udh', 'extend', 'klau', 'sya', ' choose ',' Sya ',' like ',' system ',' sorry ']")</f>
        <v>['Dear', 'Team', 'Telkomsel', 'Network', 'Internet', 'Telkomsel', 'skarang', 'lag', 'lag', 'watch', 'youtube', 'play', ' Game ',' Online ',' SJA ',' lag ',' knapa ',' extension ',' kouta ',' kasian ',' bought ',' kouta ',' masi ',' my computer ',' apply ' , 'run out', 'first', 'klau', 'apply', 'abis',' just ',' contents', 'kouta', 'udh', 'extend', 'klau', 'sya', ' choose ',' Sya ',' like ',' system ',' sorry ']</v>
      </c>
      <c r="D3720" s="3">
        <v>2.0</v>
      </c>
    </row>
    <row r="3721" ht="15.75" customHeight="1">
      <c r="A3721" s="1">
        <v>3719.0</v>
      </c>
      <c r="B3721" s="3" t="s">
        <v>3721</v>
      </c>
      <c r="C3721" s="3" t="str">
        <f>IFERROR(__xludf.DUMMYFUNCTION("GOOGLETRANSLATE(B3721,""id"",""en"")"),"['Asked', 'Condition', 'strength', 'stability', 'network', 'internet', 'hharga', 'package', 'quota', 'raise', 'customer', 'loyal', ' Telkomsel ',' complain ',' Switch ']")</f>
        <v>['Asked', 'Condition', 'strength', 'stability', 'network', 'internet', 'hharga', 'package', 'quota', 'raise', 'customer', 'loyal', ' Telkomsel ',' complain ',' Switch ']</v>
      </c>
      <c r="D3721" s="3">
        <v>5.0</v>
      </c>
    </row>
    <row r="3722" ht="15.75" customHeight="1">
      <c r="A3722" s="1">
        <v>3720.0</v>
      </c>
      <c r="B3722" s="3" t="s">
        <v>3722</v>
      </c>
      <c r="C3722" s="3" t="str">
        <f>IFERROR(__xludf.DUMMYFUNCTION("GOOGLETRANSLATE(B3722,""id"",""en"")"),"['Thanks', 'Telkomsel', 'staple', 'The', 'Best', 'love', 'promo', 'cheap', 'price', ""]")</f>
        <v>['Thanks', 'Telkomsel', 'staple', 'The', 'Best', 'love', 'promo', 'cheap', 'price', "]</v>
      </c>
      <c r="D3722" s="3">
        <v>5.0</v>
      </c>
    </row>
    <row r="3723" ht="15.75" customHeight="1">
      <c r="A3723" s="1">
        <v>3721.0</v>
      </c>
      <c r="B3723" s="3" t="s">
        <v>3723</v>
      </c>
      <c r="C3723" s="3" t="str">
        <f>IFERROR(__xludf.DUMMYFUNCTION("GOOGLETRANSLATE(B3723,""id"",""en"")"),"['already', 'Pay', 'RB', 'Hello', 'unlimited', 'point', 'as',' bonus', 'gmn', 'use', 'bonus',' tsb ',' Points', 'Oni', 'UDH', 'Brang', 'GMN', 'Pingin', 'Ngerni', 'Bonus',' Realized ', ""]")</f>
        <v>['already', 'Pay', 'RB', 'Hello', 'unlimited', 'point', 'as',' bonus', 'gmn', 'use', 'bonus',' tsb ',' Points', 'Oni', 'UDH', 'Brang', 'GMN', 'Pingin', 'Ngerni', 'Bonus',' Realized ', "]</v>
      </c>
      <c r="D3723" s="3">
        <v>5.0</v>
      </c>
    </row>
    <row r="3724" ht="15.75" customHeight="1">
      <c r="A3724" s="1">
        <v>3722.0</v>
      </c>
      <c r="B3724" s="3" t="s">
        <v>3724</v>
      </c>
      <c r="C3724" s="3" t="str">
        <f>IFERROR(__xludf.DUMMYFUNCTION("GOOGLETRANSLATE(B3724,""id"",""en"")"),"['Telkomsel', 'Maling', 'date', 'contents',' package ',' ssequence ',' clock ',' package ',' run out ',' need ',' package ',' search ',' Order ',' Ojol ',' Report ',' Response ',' Related ',' Report ',' Check ',' Use ',' Data ',' Used ',' The rest ',' Whe"&amp;"re ',' Maling ' , 'His name', 'Maling', 'People', 'Maling', 'Credit', 'Corruptor', 'Proof', 'Data']")</f>
        <v>['Telkomsel', 'Maling', 'date', 'contents',' package ',' ssequence ',' clock ',' package ',' run out ',' need ',' package ',' search ',' Order ',' Ojol ',' Report ',' Response ',' Related ',' Report ',' Check ',' Use ',' Data ',' Used ',' The rest ',' Where ',' Maling ' , 'His name', 'Maling', 'People', 'Maling', 'Credit', 'Corruptor', 'Proof', 'Data']</v>
      </c>
      <c r="D3724" s="3">
        <v>1.0</v>
      </c>
    </row>
    <row r="3725" ht="15.75" customHeight="1">
      <c r="A3725" s="1">
        <v>3723.0</v>
      </c>
      <c r="B3725" s="3" t="s">
        <v>3725</v>
      </c>
      <c r="C3725" s="3" t="str">
        <f>IFERROR(__xludf.DUMMYFUNCTION("GOOGLETRANSLATE(B3725,""id"",""en"")"),"['Purpose', 'Location', 'Telkomsel', 'Smart', 'Office', 'Min', 'Lottery', 'Weekly', ""]")</f>
        <v>['Purpose', 'Location', 'Telkomsel', 'Smart', 'Office', 'Min', 'Lottery', 'Weekly', "]</v>
      </c>
      <c r="D3725" s="3">
        <v>5.0</v>
      </c>
    </row>
    <row r="3726" ht="15.75" customHeight="1">
      <c r="A3726" s="1">
        <v>3724.0</v>
      </c>
      <c r="B3726" s="3" t="s">
        <v>3726</v>
      </c>
      <c r="C3726" s="3" t="str">
        <f>IFERROR(__xludf.DUMMYFUNCTION("GOOGLETRANSLATE(B3726,""id"",""en"")"),"['Please', 'Internet', 'Internet', 'Local', 'Deh', 'Name', 'Internet', 'Internet', 'Local', 'Please', 'Fix', '']")</f>
        <v>['Please', 'Internet', 'Internet', 'Local', 'Deh', 'Name', 'Internet', 'Internet', 'Local', 'Please', 'Fix', '']</v>
      </c>
      <c r="D3726" s="3">
        <v>2.0</v>
      </c>
    </row>
    <row r="3727" ht="15.75" customHeight="1">
      <c r="A3727" s="1">
        <v>3725.0</v>
      </c>
      <c r="B3727" s="3" t="s">
        <v>3727</v>
      </c>
      <c r="C3727" s="3" t="str">
        <f>IFERROR(__xludf.DUMMYFUNCTION("GOOGLETRANSLATE(B3727,""id"",""en"")"),"['application', 'slow', 'Nge', 'lag', 'like', 'expensive', 'doang', 'quality', 'network', 'slow']")</f>
        <v>['application', 'slow', 'Nge', 'lag', 'like', 'expensive', 'doang', 'quality', 'network', 'slow']</v>
      </c>
      <c r="D3727" s="3">
        <v>1.0</v>
      </c>
    </row>
    <row r="3728" ht="15.75" customHeight="1">
      <c r="A3728" s="1">
        <v>3726.0</v>
      </c>
      <c r="B3728" s="3" t="s">
        <v>3728</v>
      </c>
      <c r="C3728" s="3" t="str">
        <f>IFERROR(__xludf.DUMMYFUNCTION("GOOGLETRANSLATE(B3728,""id"",""en"")"),"['Proud', 'Apikasih', 'Telkomsel', 'Karna', 'Package', 'Cheap', 'Payment', 'Fast', 'Guaranteed']")</f>
        <v>['Proud', 'Apikasih', 'Telkomsel', 'Karna', 'Package', 'Cheap', 'Payment', 'Fast', 'Guaranteed']</v>
      </c>
      <c r="D3728" s="3">
        <v>5.0</v>
      </c>
    </row>
    <row r="3729" ht="15.75" customHeight="1">
      <c r="A3729" s="1">
        <v>3727.0</v>
      </c>
      <c r="B3729" s="3" t="s">
        <v>3729</v>
      </c>
      <c r="C3729" s="3" t="str">
        <f>IFERROR(__xludf.DUMMYFUNCTION("GOOGLETRANSLATE(B3729,""id"",""en"")"),"['Lemot', 'morning', 'noon', 'night', 'doang', 'good', 'the network', 'please', 'fix', 'package', 'doang', 'expensive', ' network ',' slow ',' difficult ',' task ',' network ',' slow ',' google ',' accessible ',' mending ',' good ',' network ',' expensive"&amp;" ',' price ' , 'package', 'expensive', 'doang', 'network', 'slow']")</f>
        <v>['Lemot', 'morning', 'noon', 'night', 'doang', 'good', 'the network', 'please', 'fix', 'package', 'doang', 'expensive', ' network ',' slow ',' difficult ',' task ',' network ',' slow ',' google ',' accessible ',' mending ',' good ',' network ',' expensive ',' price ' , 'package', 'expensive', 'doang', 'network', 'slow']</v>
      </c>
      <c r="D3729" s="3">
        <v>1.0</v>
      </c>
    </row>
    <row r="3730" ht="15.75" customHeight="1">
      <c r="A3730" s="1">
        <v>3728.0</v>
      </c>
      <c r="B3730" s="3" t="s">
        <v>3730</v>
      </c>
      <c r="C3730" s="3" t="str">
        <f>IFERROR(__xludf.DUMMYFUNCTION("GOOGLETRANSLATE(B3730,""id"",""en"")"),"['disruption', 'signal', 'reach', 'application', 'Telkomsel', 'open']")</f>
        <v>['disruption', 'signal', 'reach', 'application', 'Telkomsel', 'open']</v>
      </c>
      <c r="D3730" s="3">
        <v>4.0</v>
      </c>
    </row>
    <row r="3731" ht="15.75" customHeight="1">
      <c r="A3731" s="1">
        <v>3729.0</v>
      </c>
      <c r="B3731" s="3" t="s">
        <v>3731</v>
      </c>
      <c r="C3731" s="3" t="str">
        <f>IFERROR(__xludf.DUMMYFUNCTION("GOOGLETRANSLATE(B3731,""id"",""en"")"),"['have', 'already', 'expensive', 'network', 'ugly', 'card', 'Hallo', 'quota', 'coakes',' network ',' ugly ',' tetep ',' bill', '']")</f>
        <v>['have', 'already', 'expensive', 'network', 'ugly', 'card', 'Hallo', 'quota', 'coakes',' network ',' ugly ',' tetep ',' bill', '']</v>
      </c>
      <c r="D3731" s="3">
        <v>1.0</v>
      </c>
    </row>
    <row r="3732" ht="15.75" customHeight="1">
      <c r="A3732" s="1">
        <v>3730.0</v>
      </c>
      <c r="B3732" s="3" t="s">
        <v>3732</v>
      </c>
      <c r="C3732" s="3" t="str">
        <f>IFERROR(__xludf.DUMMYFUNCTION("GOOGLETRANSLATE(B3732,""id"",""en"")"),"['Sell', 'Package', 'Call', 'Buy', 'Nipu', 'custumer']")</f>
        <v>['Sell', 'Package', 'Call', 'Buy', 'Nipu', 'custumer']</v>
      </c>
      <c r="D3732" s="3">
        <v>1.0</v>
      </c>
    </row>
    <row r="3733" ht="15.75" customHeight="1">
      <c r="A3733" s="1">
        <v>3731.0</v>
      </c>
      <c r="B3733" s="3" t="s">
        <v>3733</v>
      </c>
      <c r="C3733" s="3" t="str">
        <f>IFERROR(__xludf.DUMMYFUNCTION("GOOGLETRANSLATE(B3733,""id"",""en"")"),"['APK', 'full', 'trap', 'package', 'data', 'data', 'pulse', 'run out', 'stolen', 'provider', 'heart', 'consumer', ' telkomsel ',' contents', 'credit', 'card', 'Telkomsel', 'seems',' weve ',' provider ',' customs', 'excise', 'cigarette', 'buy', 'cigarettes"&amp;"' , 'Pay', 'tax', 'Download', 'Update', 'APK', 'Provider', 'Data', 'Original', 'Fraudster', 'Ulung', ""]")</f>
        <v>['APK', 'full', 'trap', 'package', 'data', 'data', 'pulse', 'run out', 'stolen', 'provider', 'heart', 'consumer', ' telkomsel ',' contents', 'credit', 'card', 'Telkomsel', 'seems',' weve ',' provider ',' customs', 'excise', 'cigarette', 'buy', 'cigarettes' , 'Pay', 'tax', 'Download', 'Update', 'APK', 'Provider', 'Data', 'Original', 'Fraudster', 'Ulung', "]</v>
      </c>
      <c r="D3733" s="3">
        <v>1.0</v>
      </c>
    </row>
    <row r="3734" ht="15.75" customHeight="1">
      <c r="A3734" s="1">
        <v>3732.0</v>
      </c>
      <c r="B3734" s="3" t="s">
        <v>3734</v>
      </c>
      <c r="C3734" s="3" t="str">
        <f>IFERROR(__xludf.DUMMYFUNCTION("GOOGLETRANSLATE(B3734,""id"",""en"")"),"['already', 'times',' comment ',' me ',' removed ',' suggestion ',' me ',' Telkomsel ',' no ',' deh ',' regret ',' pulses', ' No ',' Daapa ',' Apain ',' Reduced ',' Axis', 'Tri', 'Anyway', 'Telkomsel', '']")</f>
        <v>['already', 'times',' comment ',' me ',' removed ',' suggestion ',' me ',' Telkomsel ',' no ',' deh ',' regret ',' pulses', ' No ',' Daapa ',' Apain ',' Reduced ',' Axis', 'Tri', 'Anyway', 'Telkomsel', '']</v>
      </c>
      <c r="D3734" s="3">
        <v>1.0</v>
      </c>
    </row>
    <row r="3735" ht="15.75" customHeight="1">
      <c r="A3735" s="1">
        <v>3733.0</v>
      </c>
      <c r="B3735" s="3" t="s">
        <v>3735</v>
      </c>
      <c r="C3735" s="3" t="str">
        <f>IFERROR(__xludf.DUMMYFUNCTION("GOOGLETRANSLATE(B3735,""id"",""en"")"),"['basic', 'Telkomsel', 'teach', 'buy', 'package', 'giga', 'run out', 'buy', 'giga', 'har', 'run out', 'modem', ' Email ',' Doang ',' ']")</f>
        <v>['basic', 'Telkomsel', 'teach', 'buy', 'package', 'giga', 'run out', 'buy', 'giga', 'har', 'run out', 'modem', ' Email ',' Doang ',' ']</v>
      </c>
      <c r="D3735" s="3">
        <v>1.0</v>
      </c>
    </row>
    <row r="3736" ht="15.75" customHeight="1">
      <c r="A3736" s="1">
        <v>3734.0</v>
      </c>
      <c r="B3736" s="3" t="s">
        <v>3736</v>
      </c>
      <c r="C3736" s="3" t="str">
        <f>IFERROR(__xludf.DUMMYFUNCTION("GOOGLETRANSLATE(B3736,""id"",""en"")"),"['Telkomsel', 'bad', 'signal', 'Malahall', 'slow', 'Telkomsel', 'disappointed', 'Kenceng', 'Telkomsel']")</f>
        <v>['Telkomsel', 'bad', 'signal', 'Malahall', 'slow', 'Telkomsel', 'disappointed', 'Kenceng', 'Telkomsel']</v>
      </c>
      <c r="D3736" s="3">
        <v>1.0</v>
      </c>
    </row>
    <row r="3737" ht="15.75" customHeight="1">
      <c r="A3737" s="1">
        <v>3735.0</v>
      </c>
      <c r="B3737" s="3" t="s">
        <v>3737</v>
      </c>
      <c r="C3737" s="3" t="str">
        <f>IFERROR(__xludf.DUMMYFUNCTION("GOOGLETRANSLATE(B3737,""id"",""en"")"),"['Strength', 'signal', 'bad', 'setabile', 'bid', 'package', 'internet', 'expensive', 'divided', 'effective', 'mubajir']")</f>
        <v>['Strength', 'signal', 'bad', 'setabile', 'bid', 'package', 'internet', 'expensive', 'divided', 'effective', 'mubajir']</v>
      </c>
      <c r="D3737" s="3">
        <v>1.0</v>
      </c>
    </row>
    <row r="3738" ht="15.75" customHeight="1">
      <c r="A3738" s="1">
        <v>3736.0</v>
      </c>
      <c r="B3738" s="3" t="s">
        <v>3738</v>
      </c>
      <c r="C3738" s="3" t="str">
        <f>IFERROR(__xludf.DUMMYFUNCTION("GOOGLETRANSLATE(B3738,""id"",""en"")"),"['application', 'easy', 'hopefully', 'advantages', '']")</f>
        <v>['application', 'easy', 'hopefully', 'advantages', '']</v>
      </c>
      <c r="D3738" s="3">
        <v>1.0</v>
      </c>
    </row>
    <row r="3739" ht="15.75" customHeight="1">
      <c r="A3739" s="1">
        <v>3737.0</v>
      </c>
      <c r="B3739" s="3" t="s">
        <v>3739</v>
      </c>
      <c r="C3739" s="3" t="str">
        <f>IFERROR(__xludf.DUMMYFUNCTION("GOOGLETRANSLATE(B3739,""id"",""en"")"),"['parrahh', 'malesss',' application ',' kntl ',' kayak ',' right ',' buy ',' pulse ',' package ',' buy ',' voucher ',' cheering ',' price ',' pulse ',' Lahh ',' buy ',' pulses', 'pending', 'right', 'buy', 'wifi', 'ahhh', 'malessss',' application ',' ginia"&amp;"n ' , 'kntle', '']")</f>
        <v>['parrahh', 'malesss',' application ',' kntl ',' kayak ',' right ',' buy ',' pulse ',' package ',' buy ',' voucher ',' cheering ',' price ',' pulse ',' Lahh ',' buy ',' pulses', 'pending', 'right', 'buy', 'wifi', 'ahhh', 'malessss',' application ',' ginian ' , 'kntle', '']</v>
      </c>
      <c r="D3739" s="3">
        <v>1.0</v>
      </c>
    </row>
    <row r="3740" ht="15.75" customHeight="1">
      <c r="A3740" s="1">
        <v>3738.0</v>
      </c>
      <c r="B3740" s="3" t="s">
        <v>3740</v>
      </c>
      <c r="C3740" s="3" t="str">
        <f>IFERROR(__xludf.DUMMYFUNCTION("GOOGLETRANSLATE(B3740,""id"",""en"")"),"['borrow', 'credit', 'emergency', 'sms', 'nagih', 'debt', 'sorry', 'gtu', ""]")</f>
        <v>['borrow', 'credit', 'emergency', 'sms', 'nagih', 'debt', 'sorry', 'gtu', "]</v>
      </c>
      <c r="D3740" s="3">
        <v>1.0</v>
      </c>
    </row>
    <row r="3741" ht="15.75" customHeight="1">
      <c r="A3741" s="1">
        <v>3739.0</v>
      </c>
      <c r="B3741" s="3" t="s">
        <v>3741</v>
      </c>
      <c r="C3741" s="3" t="str">
        <f>IFERROR(__xludf.DUMMYFUNCTION("GOOGLETRANSLATE(B3741,""id"",""en"")"),"['expensive', 'tolerance', 'pandemic', 'pity', 'online', 'data', 'package', 'expensive', 'Please', 'Telkomsel', 'Review', 'price', ' Customers', 'orng', 'duits',' thick ',' thank you ']")</f>
        <v>['expensive', 'tolerance', 'pandemic', 'pity', 'online', 'data', 'package', 'expensive', 'Please', 'Telkomsel', 'Review', 'price', ' Customers', 'orng', 'duits',' thick ',' thank you ']</v>
      </c>
      <c r="D3741" s="3">
        <v>2.0</v>
      </c>
    </row>
    <row r="3742" ht="15.75" customHeight="1">
      <c r="A3742" s="1">
        <v>3740.0</v>
      </c>
      <c r="B3742" s="3" t="s">
        <v>3742</v>
      </c>
      <c r="C3742" s="3" t="str">
        <f>IFERROR(__xludf.DUMMYFUNCTION("GOOGLETRANSLATE(B3742,""id"",""en"")"),"['Purchase', 'Package', 'Internet', 'Telkomsel', 'Success', 'Payment', 'Linkaja', 'Success', 'MyTelkomsel', 'Package', 'Increases', ""]")</f>
        <v>['Purchase', 'Package', 'Internet', 'Telkomsel', 'Success', 'Payment', 'Linkaja', 'Success', 'MyTelkomsel', 'Package', 'Increases', "]</v>
      </c>
      <c r="D3742" s="3">
        <v>1.0</v>
      </c>
    </row>
    <row r="3743" ht="15.75" customHeight="1">
      <c r="A3743" s="1">
        <v>3741.0</v>
      </c>
      <c r="B3743" s="3" t="s">
        <v>3743</v>
      </c>
      <c r="C3743" s="3" t="str">
        <f>IFERROR(__xludf.DUMMYFUNCTION("GOOGLETRANSLATE(B3743,""id"",""en"")"),"['application', 'enter', 'difficult', 'really', 'regret', 'Telkomsel', 'rich', 'gini', 'is',' package ',' expensive ',' lalod ',' Better']")</f>
        <v>['application', 'enter', 'difficult', 'really', 'regret', 'Telkomsel', 'rich', 'gini', 'is',' package ',' expensive ',' lalod ',' Better']</v>
      </c>
      <c r="D3743" s="3">
        <v>1.0</v>
      </c>
    </row>
    <row r="3744" ht="15.75" customHeight="1">
      <c r="A3744" s="1">
        <v>3742.0</v>
      </c>
      <c r="B3744" s="3" t="s">
        <v>3744</v>
      </c>
      <c r="C3744" s="3" t="str">
        <f>IFERROR(__xludf.DUMMYFUNCTION("GOOGLETRANSLATE(B3744,""id"",""en"")"),"['Telkomsel', 'Credit', 'Ourry', 'Package', 'Call', 'Telkomsel', 'Call', 'Telkomsel', 'Credit', 'Reduced', 'Check', 'History', ' Credit ',' Cut ',' Use ',' Internet ',' Wear ',' Call ',' Membengki ',' Package ',' Internet ',' Please ',' Explanation ',' Te"&amp;"lkomsel ', ""]")</f>
        <v>['Telkomsel', 'Credit', 'Ourry', 'Package', 'Call', 'Telkomsel', 'Call', 'Telkomsel', 'Credit', 'Reduced', 'Check', 'History', ' Credit ',' Cut ',' Use ',' Internet ',' Wear ',' Call ',' Membengki ',' Package ',' Internet ',' Please ',' Explanation ',' Telkomsel ', "]</v>
      </c>
      <c r="D3744" s="3">
        <v>1.0</v>
      </c>
    </row>
    <row r="3745" ht="15.75" customHeight="1">
      <c r="A3745" s="1">
        <v>3743.0</v>
      </c>
      <c r="B3745" s="3" t="s">
        <v>3745</v>
      </c>
      <c r="C3745" s="3" t="str">
        <f>IFERROR(__xludf.DUMMYFUNCTION("GOOGLETRANSLATE(B3745,""id"",""en"")"),"['Provide', 'package', 'internet', 'minimal', 'active', 'relative', '']")</f>
        <v>['Provide', 'package', 'internet', 'minimal', 'active', 'relative', '']</v>
      </c>
      <c r="D3745" s="3">
        <v>1.0</v>
      </c>
    </row>
    <row r="3746" ht="15.75" customHeight="1">
      <c r="A3746" s="1">
        <v>3744.0</v>
      </c>
      <c r="B3746" s="3" t="s">
        <v>3746</v>
      </c>
      <c r="C3746" s="3" t="str">
        <f>IFERROR(__xludf.DUMMYFUNCTION("GOOGLETRANSLATE(B3746,""id"",""en"")"),"['security', 'MyTelkomsel', 'buy', 'package', 'given', 'PIN', 'confirm', 'person', 'intentionally', 'fad', 'press',' button ',' buy ',' direct ',' cut ',' pulses', 'have', 'credit', 'money', 'try', 'love', 'developer', 'developed', '']")</f>
        <v>['security', 'MyTelkomsel', 'buy', 'package', 'given', 'PIN', 'confirm', 'person', 'intentionally', 'fad', 'press',' button ',' buy ',' direct ',' cut ',' pulses', 'have', 'credit', 'money', 'try', 'love', 'developer', 'developed', '']</v>
      </c>
      <c r="D3746" s="3">
        <v>2.0</v>
      </c>
    </row>
    <row r="3747" ht="15.75" customHeight="1">
      <c r="A3747" s="1">
        <v>3745.0</v>
      </c>
      <c r="B3747" s="3" t="s">
        <v>3747</v>
      </c>
      <c r="C3747" s="3" t="str">
        <f>IFERROR(__xludf.DUMMYFUNCTION("GOOGLETRANSLATE(B3747,""id"",""en"")"),"['Hello', 'min', 'please', 'fix', 'network', 'network', 'ugly', 'please', 'fix', 'min', 'klw', 'fix', ' Love ',' Star ',' Min ']")</f>
        <v>['Hello', 'min', 'please', 'fix', 'network', 'network', 'ugly', 'please', 'fix', 'min', 'klw', 'fix', ' Love ',' Star ',' Min ']</v>
      </c>
      <c r="D3747" s="3">
        <v>4.0</v>
      </c>
    </row>
    <row r="3748" ht="15.75" customHeight="1">
      <c r="A3748" s="1">
        <v>3746.0</v>
      </c>
      <c r="B3748" s="3" t="s">
        <v>3748</v>
      </c>
      <c r="C3748" s="3" t="str">
        <f>IFERROR(__xludf.DUMMYFUNCTION("GOOGLETRANSLATE(B3748,""id"",""en"")"),"['already', 'ask', 'status',' registration ',' appears', 'text', 'thanks',' request ',' process', 'kek', 'gtu', 'trs',' Ampe ',' Give Up ',' Telkomsel ',' pig ']")</f>
        <v>['already', 'ask', 'status',' registration ',' appears', 'text', 'thanks',' request ',' process', 'kek', 'gtu', 'trs',' Ampe ',' Give Up ',' Telkomsel ',' pig ']</v>
      </c>
      <c r="D3748" s="3">
        <v>1.0</v>
      </c>
    </row>
    <row r="3749" ht="15.75" customHeight="1">
      <c r="A3749" s="1">
        <v>3747.0</v>
      </c>
      <c r="B3749" s="3" t="s">
        <v>3749</v>
      </c>
      <c r="C3749" s="3" t="str">
        <f>IFERROR(__xludf.DUMMYFUNCTION("GOOGLETRANSLATE(B3749,""id"",""en"")"),"['Out', 'Koutaa', 'pulse', 'Sumpot', 'JGA', 'Feature', 'Lock', 'AXIS', 'AXIS', 'BSA', 'Key', 'pulse', ' Sumpot ',' pulse ',' run out ',' severe ',' star ',' love ',' anjgg ']")</f>
        <v>['Out', 'Koutaa', 'pulse', 'Sumpot', 'JGA', 'Feature', 'Lock', 'AXIS', 'AXIS', 'BSA', 'Key', 'pulse', ' Sumpot ',' pulse ',' run out ',' severe ',' star ',' love ',' anjgg ']</v>
      </c>
      <c r="D3749" s="3">
        <v>1.0</v>
      </c>
    </row>
    <row r="3750" ht="15.75" customHeight="1">
      <c r="A3750" s="1">
        <v>3748.0</v>
      </c>
      <c r="B3750" s="3" t="s">
        <v>3750</v>
      </c>
      <c r="C3750" s="3" t="str">
        <f>IFERROR(__xludf.DUMMYFUNCTION("GOOGLETRANSLATE(B3750,""id"",""en"")"),"['likes',' Telkomsel ',' because ',' already ',' price ',' kouta ',' expensive ',' network ',' bad ',' kouta ',' unlimitedmax ',' good ',' bngt ',' kouta ',' main ',' run out ',' ngeta ',' in ',' except ',' unlimited ',' kouta ',' unlimited ',' where ',' "&amp;"kouta ',' main ' , 'Out', 'unlimited', 'watch', 'unlimited', 'Come', 'fast', 'replace', 'Telkomsel', 'guaranteed', 'regret', ""]")</f>
        <v>['likes',' Telkomsel ',' because ',' already ',' price ',' kouta ',' expensive ',' network ',' bad ',' kouta ',' unlimitedmax ',' good ',' bngt ',' kouta ',' main ',' run out ',' ngeta ',' in ',' except ',' unlimited ',' kouta ',' unlimited ',' where ',' kouta ',' main ' , 'Out', 'unlimited', 'watch', 'unlimited', 'Come', 'fast', 'replace', 'Telkomsel', 'guaranteed', 'regret', "]</v>
      </c>
      <c r="D3750" s="3">
        <v>4.0</v>
      </c>
    </row>
    <row r="3751" ht="15.75" customHeight="1">
      <c r="A3751" s="1">
        <v>3749.0</v>
      </c>
      <c r="B3751" s="3" t="s">
        <v>3751</v>
      </c>
      <c r="C3751" s="3" t="str">
        <f>IFERROR(__xludf.DUMMYFUNCTION("GOOGLETRANSLATE(B3751,""id"",""en"")"),"['Please', 'noticed', 'area', 'region', 'remote', 'nusa', 'southeast', 'east', 'tower', 'transmitter', 'signal', 'Telkomsel', ' Ngaceng ',' Doang ',' and above ',' signal ',' dipake ',' call ',' access', 'internet', 'difficult', 'stand', 'strappy', 'strai"&amp;"ght', 'usually' , 'style', 'Doang', '']")</f>
        <v>['Please', 'noticed', 'area', 'region', 'remote', 'nusa', 'southeast', 'east', 'tower', 'transmitter', 'signal', 'Telkomsel', ' Ngaceng ',' Doang ',' and above ',' signal ',' dipake ',' call ',' access', 'internet', 'difficult', 'stand', 'strappy', 'straight', 'usually' , 'style', 'Doang', '']</v>
      </c>
      <c r="D3751" s="3">
        <v>1.0</v>
      </c>
    </row>
    <row r="3752" ht="15.75" customHeight="1">
      <c r="A3752" s="1">
        <v>3750.0</v>
      </c>
      <c r="B3752" s="3" t="s">
        <v>3752</v>
      </c>
      <c r="C3752" s="3" t="str">
        <f>IFERROR(__xludf.DUMMYFUNCTION("GOOGLETRANSLATE(B3752,""id"",""en"")"),"['Buy', 'Package', 'Internet', 'Method', 'Payment', 'Shopee', 'Pay', 'Package', 'Internet', 'Enter', 'Enter', 'Report', ' Application ',' Wait ']")</f>
        <v>['Buy', 'Package', 'Internet', 'Method', 'Payment', 'Shopee', 'Pay', 'Package', 'Internet', 'Enter', 'Enter', 'Report', ' Application ',' Wait ']</v>
      </c>
      <c r="D3752" s="3">
        <v>1.0</v>
      </c>
    </row>
    <row r="3753" ht="15.75" customHeight="1">
      <c r="A3753" s="1">
        <v>3751.0</v>
      </c>
      <c r="B3753" s="3" t="s">
        <v>3753</v>
      </c>
      <c r="C3753" s="3" t="str">
        <f>IFERROR(__xludf.DUMMYFUNCTION("GOOGLETRANSLATE(B3753,""id"",""en"")"),"['Okay', 'package', 'cheap', 'best-selling', 'sweet', 'okay', 'cut', 'GB', 'GB', 'Cut', 'sosmetlah', 'youtub', ' etc. ',' GB ',' especially ',' internet ']")</f>
        <v>['Okay', 'package', 'cheap', 'best-selling', 'sweet', 'okay', 'cut', 'GB', 'GB', 'Cut', 'sosmetlah', 'youtub', ' etc. ',' GB ',' especially ',' internet ']</v>
      </c>
      <c r="D3753" s="3">
        <v>5.0</v>
      </c>
    </row>
    <row r="3754" ht="15.75" customHeight="1">
      <c r="A3754" s="1">
        <v>3752.0</v>
      </c>
      <c r="B3754" s="3" t="s">
        <v>3754</v>
      </c>
      <c r="C3754" s="3" t="str">
        <f>IFERROR(__xludf.DUMMYFUNCTION("GOOGLETRANSLATE(B3754,""id"",""en"")"),"['bad', 'buy', 'quota', 'writing', 'process', 'that's', '']")</f>
        <v>['bad', 'buy', 'quota', 'writing', 'process', 'that's', '']</v>
      </c>
      <c r="D3754" s="3">
        <v>5.0</v>
      </c>
    </row>
    <row r="3755" ht="15.75" customHeight="1">
      <c r="A3755" s="1">
        <v>3753.0</v>
      </c>
      <c r="B3755" s="3" t="s">
        <v>3755</v>
      </c>
      <c r="C3755" s="3" t="str">
        <f>IFERROR(__xludf.DUMMYFUNCTION("GOOGLETRANSLATE(B3755,""id"",""en"")"),"['application', 'bangse', 'operator', 'crazy', 'business',' bmun ',' populat ',' mending ',' expensive ',' quality ',' guaranteed ',' quality ',' BANGKE ',' Buy ',' Package ',' Disruption ',' System ',' Price ',' Expensive ']")</f>
        <v>['application', 'bangse', 'operator', 'crazy', 'business',' bmun ',' populat ',' mending ',' expensive ',' quality ',' guaranteed ',' quality ',' BANGKE ',' Buy ',' Package ',' Disruption ',' System ',' Price ',' Expensive ']</v>
      </c>
      <c r="D3755" s="3">
        <v>1.0</v>
      </c>
    </row>
    <row r="3756" ht="15.75" customHeight="1">
      <c r="A3756" s="1">
        <v>3754.0</v>
      </c>
      <c r="B3756" s="3" t="s">
        <v>3756</v>
      </c>
      <c r="C3756" s="3" t="str">
        <f>IFERROR(__xludf.DUMMYFUNCTION("GOOGLETRANSLATE(B3756,""id"",""en"")"),"['best', 'Anyway', 'additional', 'exchange', 'Points',' Package ',' Data ',' Please ',' Additional ',' Costs', 'Additional', 'Costs',' Because ',' people ',' Exchange ',' Points', 'Credit', 'Costs',' Thank you ',' ']")</f>
        <v>['best', 'Anyway', 'additional', 'exchange', 'Points',' Package ',' Data ',' Please ',' Additional ',' Costs', 'Additional', 'Costs',' Because ',' people ',' Exchange ',' Points', 'Credit', 'Costs',' Thank you ',' ']</v>
      </c>
      <c r="D3756" s="3">
        <v>5.0</v>
      </c>
    </row>
    <row r="3757" ht="15.75" customHeight="1">
      <c r="A3757" s="1">
        <v>3755.0</v>
      </c>
      <c r="B3757" s="3" t="s">
        <v>3757</v>
      </c>
      <c r="C3757" s="3" t="str">
        <f>IFERROR(__xludf.DUMMYFUNCTION("GOOGLETRANSLATE(B3757,""id"",""en"")"),"['network', 'Macem', 'play', 'game', 'nnton', 'vidio', 'already', 'subscribe', 'good', 'signal', 'replace', 'card', ' Klok ',' Quality ',' Signal ',' ']")</f>
        <v>['network', 'Macem', 'play', 'game', 'nnton', 'vidio', 'already', 'subscribe', 'good', 'signal', 'replace', 'card', ' Klok ',' Quality ',' Signal ',' ']</v>
      </c>
      <c r="D3757" s="3">
        <v>1.0</v>
      </c>
    </row>
    <row r="3758" ht="15.75" customHeight="1">
      <c r="A3758" s="1">
        <v>3756.0</v>
      </c>
      <c r="B3758" s="3" t="s">
        <v>3758</v>
      </c>
      <c r="C3758" s="3" t="str">
        <f>IFERROR(__xludf.DUMMYFUNCTION("GOOGLETRANSLATE(B3758,""id"",""en"")"),"['package', 'divided', 'rich', 'omg', 'package', 'internet', 'network', 'clock', 'already']")</f>
        <v>['package', 'divided', 'rich', 'omg', 'package', 'internet', 'network', 'clock', 'already']</v>
      </c>
      <c r="D3758" s="3">
        <v>2.0</v>
      </c>
    </row>
    <row r="3759" ht="15.75" customHeight="1">
      <c r="A3759" s="1">
        <v>3757.0</v>
      </c>
      <c r="B3759" s="3" t="s">
        <v>3759</v>
      </c>
      <c r="C3759" s="3" t="str">
        <f>IFERROR(__xludf.DUMMYFUNCTION("GOOGLETRANSLATE(B3759,""id"",""en"")"),"['transaction', 'quota', 'enter', 'feature', 'tetep', 'function', 'feeling', 'direct', 'updated', 'playstore', 'tekomsel', 'seems',' Males', 'Developer', 'App', '']")</f>
        <v>['transaction', 'quota', 'enter', 'feature', 'tetep', 'function', 'feeling', 'direct', 'updated', 'playstore', 'tekomsel', 'seems',' Males', 'Developer', 'App', '']</v>
      </c>
      <c r="D3759" s="3">
        <v>1.0</v>
      </c>
    </row>
    <row r="3760" ht="15.75" customHeight="1">
      <c r="A3760" s="1">
        <v>3758.0</v>
      </c>
      <c r="B3760" s="3" t="s">
        <v>3760</v>
      </c>
      <c r="C3760" s="3" t="str">
        <f>IFERROR(__xludf.DUMMYFUNCTION("GOOGLETRANSLATE(B3760,""id"",""en"")"),"['Buy', 'Package', 'Link', 'Sukse', 'Filled', 'Package', 'Telkomsel', 'Bankrupt', 'Trust', 'Customer', 'MANTYING']")</f>
        <v>['Buy', 'Package', 'Link', 'Sukse', 'Filled', 'Package', 'Telkomsel', 'Bankrupt', 'Trust', 'Customer', 'MANTYING']</v>
      </c>
      <c r="D3760" s="3">
        <v>2.0</v>
      </c>
    </row>
    <row r="3761" ht="15.75" customHeight="1">
      <c r="A3761" s="1">
        <v>3759.0</v>
      </c>
      <c r="B3761" s="3" t="s">
        <v>3761</v>
      </c>
      <c r="C3761" s="3" t="str">
        <f>IFERROR(__xludf.DUMMYFUNCTION("GOOGLETRANSLATE(B3761,""id"",""en"")"),"['Thank you', 'Telkomsel', 'Package', 'Call', 'Save', 'All', 'Oplator', 'Tampa', 'Limit', 'Week', 'Telkomsel', 'triumpha', ' ']")</f>
        <v>['Thank you', 'Telkomsel', 'Package', 'Call', 'Save', 'All', 'Oplator', 'Tampa', 'Limit', 'Week', 'Telkomsel', 'triumpha', ' ']</v>
      </c>
      <c r="D3761" s="3">
        <v>5.0</v>
      </c>
    </row>
    <row r="3762" ht="15.75" customHeight="1">
      <c r="A3762" s="1">
        <v>3760.0</v>
      </c>
      <c r="B3762" s="3" t="s">
        <v>3762</v>
      </c>
      <c r="C3762" s="3" t="str">
        <f>IFERROR(__xludf.DUMMYFUNCTION("GOOGLETRANSLATE(B3762,""id"",""en"")"),"['Disappointed', 'quota', 'divided', 'Full', 'Detinent', 'GB', 'use', 'the rest']")</f>
        <v>['Disappointed', 'quota', 'divided', 'Full', 'Detinent', 'GB', 'use', 'the rest']</v>
      </c>
      <c r="D3762" s="3">
        <v>3.0</v>
      </c>
    </row>
    <row r="3763" ht="15.75" customHeight="1">
      <c r="A3763" s="1">
        <v>3761.0</v>
      </c>
      <c r="B3763" s="3" t="s">
        <v>3763</v>
      </c>
      <c r="C3763" s="3" t="str">
        <f>IFERROR(__xludf.DUMMYFUNCTION("GOOGLETRANSLATE(B3763,""id"",""en"")"),"['extend', 'apply', 'leftover', 'quota', 'run out', 'no', 'darling', 'leftover', 'quota', 'pay', 'no', 'naturally', ' ']")</f>
        <v>['extend', 'apply', 'leftover', 'quota', 'run out', 'no', 'darling', 'leftover', 'quota', 'pay', 'no', 'naturally', ' ']</v>
      </c>
      <c r="D3763" s="3">
        <v>3.0</v>
      </c>
    </row>
    <row r="3764" ht="15.75" customHeight="1">
      <c r="A3764" s="1">
        <v>3762.0</v>
      </c>
      <c r="B3764" s="3" t="s">
        <v>3764</v>
      </c>
      <c r="C3764" s="3" t="str">
        <f>IFERROR(__xludf.DUMMYFUNCTION("GOOGLETRANSLATE(B3764,""id"",""en"")"),"['Use', 'Sometimes',' Network ',' Stable ',' Slalu ',' Disappointing ',' Signal ',' Telkomsel ',' Stable ',' Lost ',' Network ',' Region ',' ']")</f>
        <v>['Use', 'Sometimes',' Network ',' Stable ',' Slalu ',' Disappointing ',' Signal ',' Telkomsel ',' Stable ',' Lost ',' Network ',' Region ',' ']</v>
      </c>
      <c r="D3764" s="3">
        <v>5.0</v>
      </c>
    </row>
    <row r="3765" ht="15.75" customHeight="1">
      <c r="A3765" s="1">
        <v>3763.0</v>
      </c>
      <c r="B3765" s="3" t="s">
        <v>3765</v>
      </c>
      <c r="C3765" s="3" t="str">
        <f>IFERROR(__xludf.DUMMYFUNCTION("GOOGLETRANSLATE(B3765,""id"",""en"")"),"['Wonder', 'quota', 'unlimited', 'bsa', 'belik', 'quota', 'telkomsel', 'expensive', 'again', 'network', 'sometimes',' supports', ' ']")</f>
        <v>['Wonder', 'quota', 'unlimited', 'bsa', 'belik', 'quota', 'telkomsel', 'expensive', 'again', 'network', 'sometimes',' supports', ' ']</v>
      </c>
      <c r="D3765" s="3">
        <v>1.0</v>
      </c>
    </row>
    <row r="3766" ht="15.75" customHeight="1">
      <c r="A3766" s="1">
        <v>3764.0</v>
      </c>
      <c r="B3766" s="3" t="s">
        <v>3766</v>
      </c>
      <c r="C3766" s="3" t="str">
        <f>IFERROR(__xludf.DUMMYFUNCTION("GOOGLETRANSLATE(B3766,""id"",""en"")"),"['The application', 'good', 'makes it easy', 'purchase', 'quota', 'gift', 'lottery', 'thank', 'love', 'Telkomsel', 'hopefully', 'in the future', ' ']")</f>
        <v>['The application', 'good', 'makes it easy', 'purchase', 'quota', 'gift', 'lottery', 'thank', 'love', 'Telkomsel', 'hopefully', 'in the future', ' ']</v>
      </c>
      <c r="D3766" s="3">
        <v>5.0</v>
      </c>
    </row>
    <row r="3767" ht="15.75" customHeight="1">
      <c r="A3767" s="1">
        <v>3765.0</v>
      </c>
      <c r="B3767" s="3" t="s">
        <v>3767</v>
      </c>
      <c r="C3767" s="3" t="str">
        <f>IFERROR(__xludf.DUMMYFUNCTION("GOOGLETRANSLATE(B3767,""id"",""en"")"),"['Thank you', 'Telkomsel', 'Service', 'Best', 'Wait', 'Promo', 'The', 'Best', 'Telkomsel']")</f>
        <v>['Thank you', 'Telkomsel', 'Service', 'Best', 'Wait', 'Promo', 'The', 'Best', 'Telkomsel']</v>
      </c>
      <c r="D3767" s="3">
        <v>5.0</v>
      </c>
    </row>
    <row r="3768" ht="15.75" customHeight="1">
      <c r="A3768" s="1">
        <v>3766.0</v>
      </c>
      <c r="B3768" s="3" t="s">
        <v>3768</v>
      </c>
      <c r="C3768" s="3" t="str">
        <f>IFERROR(__xludf.DUMMYFUNCTION("GOOGLETRANSLATE(B3768,""id"",""en"")"),"['Star', 'Click', 'No', 'Open', 'Try', 'Terooooss', 'Greget', 'Buy', 'Package', 'Online']")</f>
        <v>['Star', 'Click', 'No', 'Open', 'Try', 'Terooooss', 'Greget', 'Buy', 'Package', 'Online']</v>
      </c>
      <c r="D3768" s="3">
        <v>1.0</v>
      </c>
    </row>
    <row r="3769" ht="15.75" customHeight="1">
      <c r="A3769" s="1">
        <v>3767.0</v>
      </c>
      <c r="B3769" s="3" t="s">
        <v>3769</v>
      </c>
      <c r="C3769" s="3" t="str">
        <f>IFERROR(__xludf.DUMMYFUNCTION("GOOGLETRANSLATE(B3769,""id"",""en"")"),"['Please', 'Yaa', 'Lotsin', 'Package', 'Data', 'Promo', 'Cheap', 'Price', 'Affordable', 'Even', 'Level', 'Quota', ' Price ',' Trijangka ',' variant ',' level ',' ']")</f>
        <v>['Please', 'Yaa', 'Lotsin', 'Package', 'Data', 'Promo', 'Cheap', 'Price', 'Affordable', 'Even', 'Level', 'Quota', ' Price ',' Trijangka ',' variant ',' level ',' ']</v>
      </c>
      <c r="D3769" s="3">
        <v>1.0</v>
      </c>
    </row>
    <row r="3770" ht="15.75" customHeight="1">
      <c r="A3770" s="1">
        <v>3768.0</v>
      </c>
      <c r="B3770" s="3" t="s">
        <v>3770</v>
      </c>
      <c r="C3770" s="3" t="str">
        <f>IFERROR(__xludf.DUMMYFUNCTION("GOOGLETRANSLATE(B3770,""id"",""en"")"),"['Network', 'buy', 'pulse', 'buy', 'expensive', 'signal', 'ugly', 'free', 'buy', 'fix it', 'error', 'Telkomsel', ' Klian ',' Disright ',' Buyer ',' Eat ',' Haram ']")</f>
        <v>['Network', 'buy', 'pulse', 'buy', 'expensive', 'signal', 'ugly', 'free', 'buy', 'fix it', 'error', 'Telkomsel', ' Klian ',' Disright ',' Buyer ',' Eat ',' Haram ']</v>
      </c>
      <c r="D3770" s="3">
        <v>1.0</v>
      </c>
    </row>
    <row r="3771" ht="15.75" customHeight="1">
      <c r="A3771" s="1">
        <v>3769.0</v>
      </c>
      <c r="B3771" s="3" t="s">
        <v>3771</v>
      </c>
      <c r="C3771" s="3" t="str">
        <f>IFERROR(__xludf.DUMMYFUNCTION("GOOGLETRANSLATE(B3771,""id"",""en"")"),"['', 'block', 'number', 'hello', 'mbay', 'bill', 'tracet', 'skg', 'replace', 'number', 'tsel', 'bill', 'number ',' Hello ',' email ',' please ',' spam ',' ']")</f>
        <v>['', 'block', 'number', 'hello', 'mbay', 'bill', 'tracet', 'skg', 'replace', 'number', 'tsel', 'bill', 'number ',' Hello ',' email ',' please ',' spam ',' ']</v>
      </c>
      <c r="D3771" s="3">
        <v>2.0</v>
      </c>
    </row>
    <row r="3772" ht="15.75" customHeight="1">
      <c r="A3772" s="1">
        <v>3770.0</v>
      </c>
      <c r="B3772" s="3" t="s">
        <v>3772</v>
      </c>
      <c r="C3772" s="3" t="str">
        <f>IFERROR(__xludf.DUMMYFUNCTION("GOOGLETRANSLATE(B3772,""id"",""en"")"),"['application', 'update', 'ugly', 'slow', 'application', 'logout', 'pulse', 'reduced', 'signal', 'ugly', 'network', 'slow', ' ']")</f>
        <v>['application', 'update', 'ugly', 'slow', 'application', 'logout', 'pulse', 'reduced', 'signal', 'ugly', 'network', 'slow', ' ']</v>
      </c>
      <c r="D3772" s="3">
        <v>1.0</v>
      </c>
    </row>
    <row r="3773" ht="15.75" customHeight="1">
      <c r="A3773" s="1">
        <v>3771.0</v>
      </c>
      <c r="B3773" s="3" t="s">
        <v>3773</v>
      </c>
      <c r="C3773" s="3" t="str">
        <f>IFERROR(__xludf.DUMMYFUNCTION("GOOGLETRANSLATE(B3773,""id"",""en"")"),"['Development', 'Application', 'Telkomsel', 'Check', 'Exchange', 'Bonus']")</f>
        <v>['Development', 'Application', 'Telkomsel', 'Check', 'Exchange', 'Bonus']</v>
      </c>
      <c r="D3773" s="3">
        <v>5.0</v>
      </c>
    </row>
    <row r="3774" ht="15.75" customHeight="1">
      <c r="A3774" s="1">
        <v>3772.0</v>
      </c>
      <c r="B3774" s="3" t="s">
        <v>3774</v>
      </c>
      <c r="C3774" s="3" t="str">
        <f>IFERROR(__xludf.DUMMYFUNCTION("GOOGLETRANSLATE(B3774,""id"",""en"")"),"['Heh', 'Telkomsel', 'Plis',' The network ',' repaired ',' signal ',' slow ',' right ',' play ',' game ',' hah ',' buy ',' PKET ',' expensive ',' Thinking ',' ']")</f>
        <v>['Heh', 'Telkomsel', 'Plis',' The network ',' repaired ',' signal ',' slow ',' right ',' play ',' game ',' hah ',' buy ',' PKET ',' expensive ',' Thinking ',' ']</v>
      </c>
      <c r="D3774" s="3">
        <v>1.0</v>
      </c>
    </row>
    <row r="3775" ht="15.75" customHeight="1">
      <c r="A3775" s="1">
        <v>3773.0</v>
      </c>
      <c r="B3775" s="3" t="s">
        <v>3775</v>
      </c>
      <c r="C3775" s="3" t="str">
        <f>IFERROR(__xludf.DUMMYFUNCTION("GOOGLETRANSLATE(B3775,""id"",""en"")"),"['SGINI', 'Network', 'Severe', 'take', 'quota', 'check', 'pulse', 'pulled', 'Rp', 'clock', 'pulse', 'sumps',' Application ',' dodol ']")</f>
        <v>['SGINI', 'Network', 'Severe', 'take', 'quota', 'check', 'pulse', 'pulled', 'Rp', 'clock', 'pulse', 'sumps',' Application ',' dodol ']</v>
      </c>
      <c r="D3775" s="3">
        <v>2.0</v>
      </c>
    </row>
    <row r="3776" ht="15.75" customHeight="1">
      <c r="A3776" s="1">
        <v>3774.0</v>
      </c>
      <c r="B3776" s="3" t="s">
        <v>3776</v>
      </c>
      <c r="C3776" s="3" t="str">
        <f>IFERROR(__xludf.DUMMYFUNCTION("GOOGLETRANSLATE(B3776,""id"",""en"")"),"['Disappointed', 'Krna', 'Network', 'Difficult', 'Spirit', 'Deh', 'Telkomsel', 'Disconnect', 'Asa', 'Keep', 'Fighting']")</f>
        <v>['Disappointed', 'Krna', 'Network', 'Difficult', 'Spirit', 'Deh', 'Telkomsel', 'Disconnect', 'Asa', 'Keep', 'Fighting']</v>
      </c>
      <c r="D3776" s="3">
        <v>5.0</v>
      </c>
    </row>
    <row r="3777" ht="15.75" customHeight="1">
      <c r="A3777" s="1">
        <v>3775.0</v>
      </c>
      <c r="B3777" s="3" t="s">
        <v>3777</v>
      </c>
      <c r="C3777" s="3" t="str">
        <f>IFERROR(__xludf.DUMMYFUNCTION("GOOGLETRANSLATE(B3777,""id"",""en"")"),"['Severe', 'Telkomsel', 'buy', 'package', 'date', 'abisnya', 'date', 'bgtu', 'Telkomsel', 'Papua', 'as you've been', 'provider', ' Angel ']")</f>
        <v>['Severe', 'Telkomsel', 'buy', 'package', 'date', 'abisnya', 'date', 'bgtu', 'Telkomsel', 'Papua', 'as you've been', 'provider', ' Angel ']</v>
      </c>
      <c r="D3777" s="3">
        <v>1.0</v>
      </c>
    </row>
    <row r="3778" ht="15.75" customHeight="1">
      <c r="A3778" s="1">
        <v>3776.0</v>
      </c>
      <c r="B3778" s="3" t="s">
        <v>3778</v>
      </c>
      <c r="C3778" s="3" t="str">
        <f>IFERROR(__xludf.DUMMYFUNCTION("GOOGLETRANSLATE(B3778,""id"",""en"")"),"['Telkomsel', 'asuuu', 'harmed', 'connection', 'contact', 'fix', 'network', 'profit', 'search', '']")</f>
        <v>['Telkomsel', 'asuuu', 'harmed', 'connection', 'contact', 'fix', 'network', 'profit', 'search', '']</v>
      </c>
      <c r="D3778" s="3">
        <v>1.0</v>
      </c>
    </row>
    <row r="3779" ht="15.75" customHeight="1">
      <c r="A3779" s="1">
        <v>3777.0</v>
      </c>
      <c r="B3779" s="3" t="s">
        <v>3779</v>
      </c>
      <c r="C3779" s="3" t="str">
        <f>IFERROR(__xludf.DUMMYFUNCTION("GOOGLETRANSLATE(B3779,""id"",""en"")"),"['Signal', 'bad', 'price', 'quota', 'expensive', 'appeal', 'operator', 'cellular']")</f>
        <v>['Signal', 'bad', 'price', 'quota', 'expensive', 'appeal', 'operator', 'cellular']</v>
      </c>
      <c r="D3779" s="3">
        <v>1.0</v>
      </c>
    </row>
    <row r="3780" ht="15.75" customHeight="1">
      <c r="A3780" s="1">
        <v>3778.0</v>
      </c>
      <c r="B3780" s="3" t="s">
        <v>3780</v>
      </c>
      <c r="C3780" s="3" t="str">
        <f>IFERROR(__xludf.DUMMYFUNCTION("GOOGLETRANSLATE(B3780,""id"",""en"")"),"['Good', 'Increase', 'Signal', 'Sehigga', 'Lost', 'Signal', 'Room']")</f>
        <v>['Good', 'Increase', 'Signal', 'Sehigga', 'Lost', 'Signal', 'Room']</v>
      </c>
      <c r="D3780" s="3">
        <v>5.0</v>
      </c>
    </row>
    <row r="3781" ht="15.75" customHeight="1">
      <c r="A3781" s="1">
        <v>3779.0</v>
      </c>
      <c r="B3781" s="3" t="s">
        <v>3781</v>
      </c>
      <c r="C3781" s="3" t="str">
        <f>IFERROR(__xludf.DUMMYFUNCTION("GOOGLETRANSLATE(B3781,""id"",""en"")"),"['buy', 'package', 'quota', 'slow', 'broken', 'missing', 'arising', 'missing', 'arising', 'ability', 'kuenceng', 'what', ' Buy ',' Fill ',' Package ',' Quota ',' Gede ',' Come ',' Love ',' Explanation ', ""]")</f>
        <v>['buy', 'package', 'quota', 'slow', 'broken', 'missing', 'arising', 'missing', 'arising', 'ability', 'kuenceng', 'what', ' Buy ',' Fill ',' Package ',' Quota ',' Gede ',' Come ',' Love ',' Explanation ', "]</v>
      </c>
      <c r="D3781" s="3">
        <v>1.0</v>
      </c>
    </row>
    <row r="3782" ht="15.75" customHeight="1">
      <c r="A3782" s="1">
        <v>3780.0</v>
      </c>
      <c r="B3782" s="3" t="s">
        <v>3782</v>
      </c>
      <c r="C3782" s="3" t="str">
        <f>IFERROR(__xludf.DUMMYFUNCTION("GOOGLETRANSLATE(B3782,""id"",""en"")"),"['Bener', 'Bener', 'Disappointed', 'Ama', 'Telkomsel', 'Signal', 'Looks',' Doang ',' Good ',' Use ',' Quota ',' Luan ',' After ',' Ama ',' Hopefully ',' Telkomsel ',' Bankrupt ',' Aamiin ', ""]")</f>
        <v>['Bener', 'Bener', 'Disappointed', 'Ama', 'Telkomsel', 'Signal', 'Looks',' Doang ',' Good ',' Use ',' Quota ',' Luan ',' After ',' Ama ',' Hopefully ',' Telkomsel ',' Bankrupt ',' Aamiin ', "]</v>
      </c>
      <c r="D3782" s="3">
        <v>1.0</v>
      </c>
    </row>
    <row r="3783" ht="15.75" customHeight="1">
      <c r="A3783" s="1">
        <v>3781.0</v>
      </c>
      <c r="B3783" s="3" t="s">
        <v>3783</v>
      </c>
      <c r="C3783" s="3" t="str">
        <f>IFERROR(__xludf.DUMMYFUNCTION("GOOGLETRANSLATE(B3783,""id"",""en"")"),"['Please', 'Fix', 'Quality', 'Network', 'Min', 'Package', 'OMG', 'Persulit', '']")</f>
        <v>['Please', 'Fix', 'Quality', 'Network', 'Min', 'Package', 'OMG', 'Persulit', '']</v>
      </c>
      <c r="D3783" s="3">
        <v>3.0</v>
      </c>
    </row>
    <row r="3784" ht="15.75" customHeight="1">
      <c r="A3784" s="1">
        <v>3782.0</v>
      </c>
      <c r="B3784" s="3" t="s">
        <v>3784</v>
      </c>
      <c r="C3784" s="3" t="str">
        <f>IFERROR(__xludf.DUMMYFUNCTION("GOOGLETRANSLATE(B3784,""id"",""en"")"),"['Claim', 'Telkomsel', 'Points', 'Hadoohh', 'game', 'gamenn', 'upgrade', ""]")</f>
        <v>['Claim', 'Telkomsel', 'Points', 'Hadoohh', 'game', 'gamenn', 'upgrade', "]</v>
      </c>
      <c r="D3784" s="3">
        <v>1.0</v>
      </c>
    </row>
    <row r="3785" ht="15.75" customHeight="1">
      <c r="A3785" s="1">
        <v>3783.0</v>
      </c>
      <c r="B3785" s="3" t="s">
        <v>3785</v>
      </c>
      <c r="C3785" s="3" t="str">
        <f>IFERROR(__xludf.DUMMYFUNCTION("GOOGLETRANSLATE(B3785,""id"",""en"")"),"['Telkomsel', 'buy', 'Package', 'Combo', 'Sakti', 'per month', 'Package', 'Nallon', 'SMS', 'Enter', 'Package', 'Internet', ' Enter ',' enter ',' please ']")</f>
        <v>['Telkomsel', 'buy', 'Package', 'Combo', 'Sakti', 'per month', 'Package', 'Nallon', 'SMS', 'Enter', 'Package', 'Internet', ' Enter ',' enter ',' please ']</v>
      </c>
      <c r="D3785" s="3">
        <v>2.0</v>
      </c>
    </row>
    <row r="3786" ht="15.75" customHeight="1">
      <c r="A3786" s="1">
        <v>3784.0</v>
      </c>
      <c r="B3786" s="3" t="s">
        <v>3786</v>
      </c>
      <c r="C3786" s="3" t="str">
        <f>IFERROR(__xludf.DUMMYFUNCTION("GOOGLETRANSLATE(B3786,""id"",""en"")"),"['Login', 'Voucher', 'Tokopedia', '']")</f>
        <v>['Login', 'Voucher', 'Tokopedia', '']</v>
      </c>
      <c r="D3786" s="3">
        <v>1.0</v>
      </c>
    </row>
    <row r="3787" ht="15.75" customHeight="1">
      <c r="A3787" s="1">
        <v>3785.0</v>
      </c>
      <c r="B3787" s="3" t="s">
        <v>3787</v>
      </c>
      <c r="C3787" s="3" t="str">
        <f>IFERROR(__xludf.DUMMYFUNCTION("GOOGLETRANSLATE(B3787,""id"",""en"")"),"['times',' disappointing ',' subscribe ',' Disney ',' Hotstar ',' used ',' watch ',' film ',' management ',' Disney ',' Hotstar ',' Indonesia ',' Combine ',' face ',' ']")</f>
        <v>['times',' disappointing ',' subscribe ',' Disney ',' Hotstar ',' used ',' watch ',' film ',' management ',' Disney ',' Hotstar ',' Indonesia ',' Combine ',' face ',' ']</v>
      </c>
      <c r="D3787" s="3">
        <v>1.0</v>
      </c>
    </row>
    <row r="3788" ht="15.75" customHeight="1">
      <c r="A3788" s="1">
        <v>3786.0</v>
      </c>
      <c r="B3788" s="3" t="s">
        <v>3788</v>
      </c>
      <c r="C3788" s="3" t="str">
        <f>IFERROR(__xludf.DUMMYFUNCTION("GOOGLETRANSLATE(B3788,""id"",""en"")"),"['Points',' then ',' Features', 'Daily', 'Check', 'Already', 'Check', 'Claim', 'Update', 'Gini', 'GMNA', 'System', ' Eror ',' Gini ',' disappointing ',' update ']")</f>
        <v>['Points',' then ',' Features', 'Daily', 'Check', 'Already', 'Check', 'Claim', 'Update', 'Gini', 'GMNA', 'System', ' Eror ',' Gini ',' disappointing ',' update ']</v>
      </c>
      <c r="D3788" s="3">
        <v>2.0</v>
      </c>
    </row>
    <row r="3789" ht="15.75" customHeight="1">
      <c r="A3789" s="1">
        <v>3787.0</v>
      </c>
      <c r="B3789" s="3" t="s">
        <v>3789</v>
      </c>
      <c r="C3789" s="3" t="str">
        <f>IFERROR(__xludf.DUMMYFUNCTION("GOOGLETRANSLATE(B3789,""id"",""en"")"),"['MyTelkomsel', 'kayak', 'anjeng', 'already', 'package', 'expensive', 'network', 'error', 'ngebug', 'mending', 'closed', 'the application']")</f>
        <v>['MyTelkomsel', 'kayak', 'anjeng', 'already', 'package', 'expensive', 'network', 'error', 'ngebug', 'mending', 'closed', 'the application']</v>
      </c>
      <c r="D3789" s="3">
        <v>1.0</v>
      </c>
    </row>
    <row r="3790" ht="15.75" customHeight="1">
      <c r="A3790" s="1">
        <v>3788.0</v>
      </c>
      <c r="B3790" s="3" t="s">
        <v>3790</v>
      </c>
      <c r="C3790" s="3" t="str">
        <f>IFERROR(__xludf.DUMMYFUNCTION("GOOGLETRANSLATE(B3790,""id"",""en"")"),"['Credit', 'Koutaa', 'Telkomsel', 'bid', 'cheap', 'buy', 'package', 'fit', 'contents',' pulse ',' maketin ',' offer ',' Koutaa ',' cheap ',' lost ',' emergence ',' package ',' expensive ',' how ',' JLS ',' Telkomsel ', ""]")</f>
        <v>['Credit', 'Koutaa', 'Telkomsel', 'bid', 'cheap', 'buy', 'package', 'fit', 'contents',' pulse ',' maketin ',' offer ',' Koutaa ',' cheap ',' lost ',' emergence ',' package ',' expensive ',' how ',' JLS ',' Telkomsel ', "]</v>
      </c>
      <c r="D3790" s="3">
        <v>1.0</v>
      </c>
    </row>
    <row r="3791" ht="15.75" customHeight="1">
      <c r="A3791" s="1">
        <v>3789.0</v>
      </c>
      <c r="B3791" s="3" t="s">
        <v>3791</v>
      </c>
      <c r="C3791" s="3" t="str">
        <f>IFERROR(__xludf.DUMMYFUNCTION("GOOGLETRANSLATE(B3791,""id"",""en"")"),"['Fraudster', 'discount', 'purchase', 'package', 'internet', 'eehh', 'love', 'pulse', 'mentary', 'bangad']")</f>
        <v>['Fraudster', 'discount', 'purchase', 'package', 'internet', 'eehh', 'love', 'pulse', 'mentary', 'bangad']</v>
      </c>
      <c r="D3791" s="3">
        <v>1.0</v>
      </c>
    </row>
    <row r="3792" ht="15.75" customHeight="1">
      <c r="A3792" s="1">
        <v>3790.0</v>
      </c>
      <c r="B3792" s="3" t="s">
        <v>3792</v>
      </c>
      <c r="C3792" s="3" t="str">
        <f>IFERROR(__xludf.DUMMYFUNCTION("GOOGLETRANSLATE(B3792,""id"",""en"")"),"['Package', 'Internet', 'Price', 'Mulu', 'Signal', 'Ngak', 'Consistent', 'Price', 'Package', 'Different', 'Clock', 'Different', ' price ',' menu ',' point ',' tuker ',' package ',' internet ',' try ',' ngak ',' exchange ']")</f>
        <v>['Package', 'Internet', 'Price', 'Mulu', 'Signal', 'Ngak', 'Consistent', 'Price', 'Package', 'Different', 'Clock', 'Different', ' price ',' menu ',' point ',' tuker ',' package ',' internet ',' try ',' ngak ',' exchange ']</v>
      </c>
      <c r="D3792" s="3">
        <v>1.0</v>
      </c>
    </row>
    <row r="3793" ht="15.75" customHeight="1">
      <c r="A3793" s="1">
        <v>3791.0</v>
      </c>
      <c r="B3793" s="3" t="s">
        <v>3793</v>
      </c>
      <c r="C3793" s="3" t="str">
        <f>IFERROR(__xludf.DUMMYFUNCTION("GOOGLETRANSLATE(B3793,""id"",""en"")"),"['Jargon', 'Bonus',' proven ',' Daily ',' Checking ',' Blocked ',' Credit ',' Stolen ',' Sucked ',' Sucked ',' Misiri ',' Tarip ',' normal ',' price ',' exorbitant ']")</f>
        <v>['Jargon', 'Bonus',' proven ',' Daily ',' Checking ',' Blocked ',' Credit ',' Stolen ',' Sucked ',' Sucked ',' Misiri ',' Tarip ',' normal ',' price ',' exorbitant ']</v>
      </c>
      <c r="D3793" s="3">
        <v>1.0</v>
      </c>
    </row>
    <row r="3794" ht="15.75" customHeight="1">
      <c r="A3794" s="1">
        <v>3792.0</v>
      </c>
      <c r="B3794" s="3" t="s">
        <v>3794</v>
      </c>
      <c r="C3794" s="3" t="str">
        <f>IFERROR(__xludf.DUMMYFUNCTION("GOOGLETRANSLATE(B3794,""id"",""en"")"),"['Telkomsel', 'signal', 'bad', 'crazy', 'VPN', 'and then', 'slow', ""]")</f>
        <v>['Telkomsel', 'signal', 'bad', 'crazy', 'VPN', 'and then', 'slow', "]</v>
      </c>
      <c r="D3794" s="3">
        <v>1.0</v>
      </c>
    </row>
    <row r="3795" ht="15.75" customHeight="1">
      <c r="A3795" s="1">
        <v>3793.0</v>
      </c>
      <c r="B3795" s="3" t="s">
        <v>3795</v>
      </c>
      <c r="C3795" s="3" t="str">
        <f>IFERROR(__xludf.DUMMYFUNCTION("GOOGLETRANSLATE(B3795,""id"",""en"")"),"['already', 'card', 'Telkomsel', 'package', 'cheap', 'friend', 'package', 'cheap']")</f>
        <v>['already', 'card', 'Telkomsel', 'package', 'cheap', 'friend', 'package', 'cheap']</v>
      </c>
      <c r="D3795" s="3">
        <v>1.0</v>
      </c>
    </row>
    <row r="3796" ht="15.75" customHeight="1">
      <c r="A3796" s="1">
        <v>3794.0</v>
      </c>
      <c r="B3796" s="3" t="s">
        <v>3796</v>
      </c>
      <c r="C3796" s="3" t="str">
        <f>IFERROR(__xludf.DUMMYFUNCTION("GOOGLETRANSLATE(B3796,""id"",""en"")"),"['Thank you', 'Telkomsel', 'Points', 'Prizes', 'Samsung', 'Glad', 'Gifts']")</f>
        <v>['Thank you', 'Telkomsel', 'Points', 'Prizes', 'Samsung', 'Glad', 'Gifts']</v>
      </c>
      <c r="D3796" s="3">
        <v>5.0</v>
      </c>
    </row>
    <row r="3797" ht="15.75" customHeight="1">
      <c r="A3797" s="1">
        <v>3795.0</v>
      </c>
      <c r="B3797" s="3" t="s">
        <v>3797</v>
      </c>
      <c r="C3797" s="3" t="str">
        <f>IFERROR(__xludf.DUMMYFUNCTION("GOOGLETRANSLATE(B3797,""id"",""en"")"),"['Laver', 'Event', 'Perxa', 'Signal', 'Stable', 'Telkomsel', 'Good', 'NOT', 'Good', 'Severe', 'Signal', 'Stable', ' Mulu ',' use ',' play ',' game ',' haduhh ', ""]")</f>
        <v>['Laver', 'Event', 'Perxa', 'Signal', 'Stable', 'Telkomsel', 'Good', 'NOT', 'Good', 'Severe', 'Signal', 'Stable', ' Mulu ',' use ',' play ',' game ',' haduhh ', "]</v>
      </c>
      <c r="D3797" s="3">
        <v>1.0</v>
      </c>
    </row>
    <row r="3798" ht="15.75" customHeight="1">
      <c r="A3798" s="1">
        <v>3796.0</v>
      </c>
      <c r="B3798" s="3" t="s">
        <v>3798</v>
      </c>
      <c r="C3798" s="3" t="str">
        <f>IFERROR(__xludf.DUMMYFUNCTION("GOOGLETRANSLATE(B3798,""id"",""en"")"),"['Credit', 'Sumpot', 'Data', 'Dead', 'Already', 'Time', 'Please', 'His Waith']")</f>
        <v>['Credit', 'Sumpot', 'Data', 'Dead', 'Already', 'Time', 'Please', 'His Waith']</v>
      </c>
      <c r="D3798" s="3">
        <v>1.0</v>
      </c>
    </row>
    <row r="3799" ht="15.75" customHeight="1">
      <c r="A3799" s="1">
        <v>3797.0</v>
      </c>
      <c r="B3799" s="3" t="s">
        <v>3799</v>
      </c>
      <c r="C3799" s="3" t="str">
        <f>IFERROR(__xludf.DUMMYFUNCTION("GOOGLETRANSLATE(B3799,""id"",""en"")"),"['uda', 'apk', 'program', 'chak', 'gift', 'voucher', 'purchase', 'package', 'internet', 'taunya', 'right', 'already', ' Claims', 'SMS', 'Kek', 'Gini', 'Credit', 'Package', 'On', 'Apply', 'Date', 'PKL', 'WIB', 'Payment', 'Content' , 'reset', 'pulse', 'pula"&amp;"k']")</f>
        <v>['uda', 'apk', 'program', 'chak', 'gift', 'voucher', 'purchase', 'package', 'internet', 'taunya', 'right', 'already', ' Claims', 'SMS', 'Kek', 'Gini', 'Credit', 'Package', 'On', 'Apply', 'Date', 'PKL', 'WIB', 'Payment', 'Content' , 'reset', 'pulse', 'pulak']</v>
      </c>
      <c r="D3799" s="3">
        <v>1.0</v>
      </c>
    </row>
    <row r="3800" ht="15.75" customHeight="1">
      <c r="A3800" s="1">
        <v>3798.0</v>
      </c>
      <c r="B3800" s="3" t="s">
        <v>3800</v>
      </c>
      <c r="C3800" s="3" t="str">
        <f>IFERROR(__xludf.DUMMYFUNCTION("GOOGLETRANSLATE(B3800,""id"",""en"")"),"['application', 'slow', 'open', 'the application', 'Wait', 'Haru', 'repeat', 'reset', 'nakya', 'promo', 'interesting', 'price', ' The package is', 'expensive', 'package', 'run out', 'disappear', 'NTah', 'Where', '']")</f>
        <v>['application', 'slow', 'open', 'the application', 'Wait', 'Haru', 'repeat', 'reset', 'nakya', 'promo', 'interesting', 'price', ' The package is', 'expensive', 'package', 'run out', 'disappear', 'NTah', 'Where', '']</v>
      </c>
      <c r="D3800" s="3">
        <v>1.0</v>
      </c>
    </row>
    <row r="3801" ht="15.75" customHeight="1">
      <c r="A3801" s="1">
        <v>3799.0</v>
      </c>
      <c r="B3801" s="3" t="s">
        <v>3801</v>
      </c>
      <c r="C3801" s="3" t="str">
        <f>IFERROR(__xludf.DUMMYFUNCTION("GOOGLETRANSLATE(B3801,""id"",""en"")"),"['Telkomsel', 'trnyata', 'quality', 'Telkomsel', 'bad', 'hmm']")</f>
        <v>['Telkomsel', 'trnyata', 'quality', 'Telkomsel', 'bad', 'hmm']</v>
      </c>
      <c r="D3801" s="3">
        <v>1.0</v>
      </c>
    </row>
    <row r="3802" ht="15.75" customHeight="1">
      <c r="A3802" s="1">
        <v>3800.0</v>
      </c>
      <c r="B3802" s="3" t="s">
        <v>3802</v>
      </c>
      <c r="C3802" s="3" t="str">
        <f>IFERROR(__xludf.DUMMYFUNCTION("GOOGLETRANSLATE(B3802,""id"",""en"")"),"['How', 'signal', 'good', 'really', 'area', 'gini', 'clock', 'night', 'download', 'nyampe', 'perchded', 'kamvret', ' Mending ',' Smartfren ',' UNLI ',' Njir ']")</f>
        <v>['How', 'signal', 'good', 'really', 'area', 'gini', 'clock', 'night', 'download', 'nyampe', 'perchded', 'kamvret', ' Mending ',' Smartfren ',' UNLI ',' Njir ']</v>
      </c>
      <c r="D3802" s="3">
        <v>1.0</v>
      </c>
    </row>
    <row r="3803" ht="15.75" customHeight="1">
      <c r="A3803" s="1">
        <v>3801.0</v>
      </c>
      <c r="B3803" s="3" t="s">
        <v>3803</v>
      </c>
      <c r="C3803" s="3" t="str">
        <f>IFERROR(__xludf.DUMMYFUNCTION("GOOGLETRANSLATE(B3803,""id"",""en"")"),"['Please', 'promo', 'good', 'point', 'until', 'promo', 'person', 'point', 'promo', 'steady', '']")</f>
        <v>['Please', 'promo', 'good', 'point', 'until', 'promo', 'person', 'point', 'promo', 'steady', '']</v>
      </c>
      <c r="D3803" s="3">
        <v>5.0</v>
      </c>
    </row>
    <row r="3804" ht="15.75" customHeight="1">
      <c r="A3804" s="1">
        <v>3802.0</v>
      </c>
      <c r="B3804" s="3" t="s">
        <v>3804</v>
      </c>
      <c r="C3804" s="3" t="str">
        <f>IFERROR(__xludf.DUMMYFUNCTION("GOOGLETRANSLATE(B3804,""id"",""en"")"),"['Heart', 'quota', 'signal', 'down', 'sucked', 'credit', 'severe', 'operator', 'most', 'tactic', 'steal', 'pulses',' Fair ',' Think ',' Search ',' Profit ',' ']")</f>
        <v>['Heart', 'quota', 'signal', 'down', 'sucked', 'credit', 'severe', 'operator', 'most', 'tactic', 'steal', 'pulses',' Fair ',' Think ',' Search ',' Profit ',' ']</v>
      </c>
      <c r="D3804" s="3">
        <v>1.0</v>
      </c>
    </row>
    <row r="3805" ht="15.75" customHeight="1">
      <c r="A3805" s="1">
        <v>3803.0</v>
      </c>
      <c r="B3805" s="3" t="s">
        <v>3805</v>
      </c>
      <c r="C3805" s="3" t="str">
        <f>IFERROR(__xludf.DUMMYFUNCTION("GOOGLETRANSLATE(B3805,""id"",""en"")"),"['Application', 'Bad', 'Install', 'Buy', 'Package', 'Monthly', 'Unlimited', 'Disappointed']")</f>
        <v>['Application', 'Bad', 'Install', 'Buy', 'Package', 'Monthly', 'Unlimited', 'Disappointed']</v>
      </c>
      <c r="D3805" s="3">
        <v>1.0</v>
      </c>
    </row>
    <row r="3806" ht="15.75" customHeight="1">
      <c r="A3806" s="1">
        <v>3804.0</v>
      </c>
      <c r="B3806" s="3" t="s">
        <v>3806</v>
      </c>
      <c r="C3806" s="3" t="str">
        <f>IFERROR(__xludf.DUMMYFUNCTION("GOOGLETRANSLATE(B3806,""id"",""en"")"),"['I', 'like', 'price', 'point', 'exchange', 'price', 'pulse', 'per month', 'dumped', 'expensive', 'sometimes',' buy ',' Monthly ',' error ',' pulse ',' I ',' KEK ',' EAT ',' system ',' error ',' conceal ',' price ',' down ',' good ',' buy ' , 'Telkomsel',"&amp;" 'buy', 'expensive']")</f>
        <v>['I', 'like', 'price', 'point', 'exchange', 'price', 'pulse', 'per month', 'dumped', 'expensive', 'sometimes',' buy ',' Monthly ',' error ',' pulse ',' I ',' KEK ',' EAT ',' system ',' error ',' conceal ',' price ',' down ',' good ',' buy ' , 'Telkomsel', 'buy', 'expensive']</v>
      </c>
      <c r="D3806" s="3">
        <v>5.0</v>
      </c>
    </row>
    <row r="3807" ht="15.75" customHeight="1">
      <c r="A3807" s="1">
        <v>3805.0</v>
      </c>
      <c r="B3807" s="3" t="s">
        <v>3807</v>
      </c>
      <c r="C3807" s="3" t="str">
        <f>IFERROR(__xludf.DUMMYFUNCTION("GOOGLETRANSLATE(B3807,""id"",""en"")"),"['Sya', 'package', 'quota', 'internet', 'quota', 'sosmed', 'youtube', 'knpa', 'pulled', 'quota', 'internet', 'mulu', ' Surprisingly ',' consultation ',' Ama ',' Vero ',' computer ', ""]")</f>
        <v>['Sya', 'package', 'quota', 'internet', 'quota', 'sosmed', 'youtube', 'knpa', 'pulled', 'quota', 'internet', 'mulu', ' Surprisingly ',' consultation ',' Ama ',' Vero ',' computer ', "]</v>
      </c>
      <c r="D3807" s="3">
        <v>1.0</v>
      </c>
    </row>
    <row r="3808" ht="15.75" customHeight="1">
      <c r="A3808" s="1">
        <v>3806.0</v>
      </c>
      <c r="B3808" s="3" t="s">
        <v>3808</v>
      </c>
      <c r="C3808" s="3" t="str">
        <f>IFERROR(__xludf.DUMMYFUNCTION("GOOGLETRANSLATE(B3808,""id"",""en"")"),"['Please', 'price', 'expensive', 'trs', 'donk', 'signal', 'telkomsel', 'difficult', 'ugly', 'udkkkkkkkk']")</f>
        <v>['Please', 'price', 'expensive', 'trs', 'donk', 'signal', 'telkomsel', 'difficult', 'ugly', 'udkkkkkkkk']</v>
      </c>
      <c r="D3808" s="3">
        <v>5.0</v>
      </c>
    </row>
    <row r="3809" ht="15.75" customHeight="1">
      <c r="A3809" s="1">
        <v>3807.0</v>
      </c>
      <c r="B3809" s="3" t="s">
        <v>3809</v>
      </c>
      <c r="C3809" s="3" t="str">
        <f>IFERROR(__xludf.DUMMYFUNCTION("GOOGLETRANSLATE(B3809,""id"",""en"")"),"['Kasi', 'promo', 'data', 'cheap', 'php', 'doang', 'right', 'pulse', 'filled', 'according to', 'price', 'promo', ' HRGA ',' Changed ',' Normal ',' BLM ',' Nyampe ',' Minute ',' PHP ',' CUIP ',' NAJIS ',' ']")</f>
        <v>['Kasi', 'promo', 'data', 'cheap', 'php', 'doang', 'right', 'pulse', 'filled', 'according to', 'price', 'promo', ' HRGA ',' Changed ',' Normal ',' BLM ',' Nyampe ',' Minute ',' PHP ',' CUIP ',' NAJIS ',' ']</v>
      </c>
      <c r="D3809" s="3">
        <v>1.0</v>
      </c>
    </row>
    <row r="3810" ht="15.75" customHeight="1">
      <c r="A3810" s="1">
        <v>3808.0</v>
      </c>
      <c r="B3810" s="3" t="s">
        <v>3810</v>
      </c>
      <c r="C3810" s="3" t="str">
        <f>IFERROR(__xludf.DUMMYFUNCTION("GOOGLETRANSLATE(B3810,""id"",""en"")"),"['network', 'slow', 'buy', 'expensive', 'expensive', 'Telkomsel', 'orbit', 'network', 'rich', ""]")</f>
        <v>['network', 'slow', 'buy', 'expensive', 'expensive', 'Telkomsel', 'orbit', 'network', 'rich', "]</v>
      </c>
      <c r="D3810" s="3">
        <v>5.0</v>
      </c>
    </row>
    <row r="3811" ht="15.75" customHeight="1">
      <c r="A3811" s="1">
        <v>3809.0</v>
      </c>
      <c r="B3811" s="3" t="s">
        <v>3811</v>
      </c>
      <c r="C3811" s="3" t="str">
        <f>IFERROR(__xludf.DUMMYFUNCTION("GOOGLETRANSLATE(B3811,""id"",""en"")"),"['buy', 'pulse', 'pay', 'account', 'virtual', 'bank', 'bni', 'bank', 'independent', 'hope', 'update']")</f>
        <v>['buy', 'pulse', 'pay', 'account', 'virtual', 'bank', 'bni', 'bank', 'independent', 'hope', 'update']</v>
      </c>
      <c r="D3811" s="3">
        <v>5.0</v>
      </c>
    </row>
    <row r="3812" ht="15.75" customHeight="1">
      <c r="A3812" s="1">
        <v>3810.0</v>
      </c>
      <c r="B3812" s="3" t="s">
        <v>3812</v>
      </c>
      <c r="C3812" s="3" t="str">
        <f>IFERROR(__xludf.DUMMYFUNCTION("GOOGLETRANSLATE(B3812,""id"",""en"")"),"['Credit', 'Sumpot', 'Reduced', 'Telkomsel', 'Corruption', 'Rights',' Rare ',' SMS ',' Telfon ',' Hnya ',' Receiving ',' Telfon ',' Data ',' internet ',' and then ',' package ']")</f>
        <v>['Credit', 'Sumpot', 'Reduced', 'Telkomsel', 'Corruption', 'Rights',' Rare ',' SMS ',' Telfon ',' Hnya ',' Receiving ',' Telfon ',' Data ',' internet ',' and then ',' package ']</v>
      </c>
      <c r="D3812" s="3">
        <v>1.0</v>
      </c>
    </row>
    <row r="3813" ht="15.75" customHeight="1">
      <c r="A3813" s="1">
        <v>3811.0</v>
      </c>
      <c r="B3813" s="3" t="s">
        <v>3813</v>
      </c>
      <c r="C3813" s="3" t="str">
        <f>IFERROR(__xludf.DUMMYFUNCTION("GOOGLETRANSLATE(B3813,""id"",""en"")"),"['Love', 'Star', 'Makai', 'Application', 'BNYK', 'PROMO', 'INTEREST', 'Bintang', 'Full', ""]")</f>
        <v>['Love', 'Star', 'Makai', 'Application', 'BNYK', 'PROMO', 'INTEREST', 'Bintang', 'Full', "]</v>
      </c>
      <c r="D3813" s="3">
        <v>4.0</v>
      </c>
    </row>
    <row r="3814" ht="15.75" customHeight="1">
      <c r="A3814" s="1">
        <v>3812.0</v>
      </c>
      <c r="B3814" s="3" t="s">
        <v>3814</v>
      </c>
      <c r="C3814" s="3" t="str">
        <f>IFERROR(__xludf.DUMMYFUNCTION("GOOGLETRANSLATE(B3814,""id"",""en"")"),"['Ngakaunya', 'provider', 'electricity', 'go out', 'signal', 'missing', 'report', 'via', 'tangga', 'flat', 'kyk', 'ywdh', ' thank ',' Nasip ',' sendim ',' email ',' complaint ',' response ',' HADEH ']")</f>
        <v>['Ngakaunya', 'provider', 'electricity', 'go out', 'signal', 'missing', 'report', 'via', 'tangga', 'flat', 'kyk', 'ywdh', ' thank ',' Nasip ',' sendim ',' email ',' complaint ',' response ',' HADEH ']</v>
      </c>
      <c r="D3814" s="3">
        <v>1.0</v>
      </c>
    </row>
    <row r="3815" ht="15.75" customHeight="1">
      <c r="A3815" s="1">
        <v>3813.0</v>
      </c>
      <c r="B3815" s="3" t="s">
        <v>3815</v>
      </c>
      <c r="C3815" s="3" t="str">
        <f>IFERROR(__xludf.DUMMYFUNCTION("GOOGLETRANSLATE(B3815,""id"",""en"")"),"['Credit', 'Nganggang', 'compensation', 'anything', 'Telkomsel', 'Telkomsel', 'loss', 'cave', 'woy']")</f>
        <v>['Credit', 'Nganggang', 'compensation', 'anything', 'Telkomsel', 'Telkomsel', 'loss', 'cave', 'woy']</v>
      </c>
      <c r="D3815" s="3">
        <v>1.0</v>
      </c>
    </row>
    <row r="3816" ht="15.75" customHeight="1">
      <c r="A3816" s="1">
        <v>3814.0</v>
      </c>
      <c r="B3816" s="3" t="s">
        <v>3816</v>
      </c>
      <c r="C3816" s="3" t="str">
        <f>IFERROR(__xludf.DUMMYFUNCTION("GOOGLETRANSLATE(B3816,""id"",""en"")"),"['Telkomsel', 'severe', 'package', 'internet', 'card', 'sympathy', 'no', 'cheap', 'combo', 'Sakti', 'change', 'combo', ' sick']")</f>
        <v>['Telkomsel', 'severe', 'package', 'internet', 'card', 'sympathy', 'no', 'cheap', 'combo', 'Sakti', 'change', 'combo', ' sick']</v>
      </c>
      <c r="D3816" s="3">
        <v>1.0</v>
      </c>
    </row>
    <row r="3817" ht="15.75" customHeight="1">
      <c r="A3817" s="1">
        <v>3815.0</v>
      </c>
      <c r="B3817" s="3" t="s">
        <v>3817</v>
      </c>
      <c r="C3817" s="3" t="str">
        <f>IFERROR(__xludf.DUMMYFUNCTION("GOOGLETRANSLATE(B3817,""id"",""en"")"),"['Uninstall', 'application', 'Telkomsel', 'quota', 'expensive', 'quota', 'lap', 'quota', 'that's', '']")</f>
        <v>['Uninstall', 'application', 'Telkomsel', 'quota', 'expensive', 'quota', 'lap', 'quota', 'that's', '']</v>
      </c>
      <c r="D3817" s="3">
        <v>3.0</v>
      </c>
    </row>
    <row r="3818" ht="15.75" customHeight="1">
      <c r="A3818" s="1">
        <v>3816.0</v>
      </c>
      <c r="B3818" s="3" t="s">
        <v>3818</v>
      </c>
      <c r="C3818" s="3" t="str">
        <f>IFERROR(__xludf.DUMMYFUNCTION("GOOGLETRANSLATE(B3818,""id"",""en"")"),"['Telkomsel', 'diploma', 'pay', 'brain', 'already', 'package', 'expensive', 'network', 'slow', 'many years',' Telkomsel ',' bad ',' The network is', 'Taiii', '']")</f>
        <v>['Telkomsel', 'diploma', 'pay', 'brain', 'already', 'package', 'expensive', 'network', 'slow', 'many years',' Telkomsel ',' bad ',' The network is', 'Taiii', '']</v>
      </c>
      <c r="D3818" s="3">
        <v>1.0</v>
      </c>
    </row>
    <row r="3819" ht="15.75" customHeight="1">
      <c r="A3819" s="1">
        <v>3817.0</v>
      </c>
      <c r="B3819" s="3" t="s">
        <v>3819</v>
      </c>
      <c r="C3819" s="3" t="str">
        <f>IFERROR(__xludf.DUMMYFUNCTION("GOOGLETRANSLATE(B3819,""id"",""en"")"),"['postpaid', 'tault', 'expensive', 'signal', 'ugly', 'lose', 'operator', 'loss',' pakek ',' sympathy ',' pulse ',' data ',' expensive ',' signal ',' suits', 'yag', 'ugly', 'incense']")</f>
        <v>['postpaid', 'tault', 'expensive', 'signal', 'ugly', 'lose', 'operator', 'loss',' pakek ',' sympathy ',' pulse ',' data ',' expensive ',' signal ',' suits', 'yag', 'ugly', 'incense']</v>
      </c>
      <c r="D3819" s="3">
        <v>1.0</v>
      </c>
    </row>
    <row r="3820" ht="15.75" customHeight="1">
      <c r="A3820" s="1">
        <v>3818.0</v>
      </c>
      <c r="B3820" s="3" t="s">
        <v>3820</v>
      </c>
      <c r="C3820" s="3" t="str">
        <f>IFERROR(__xludf.DUMMYFUNCTION("GOOGLETRANSLATE(B3820,""id"",""en"")"),"['Network', 'ugly', 'night', 'buy', 'package', 'subscribe', 'Disney', 'hotstar']")</f>
        <v>['Network', 'ugly', 'night', 'buy', 'package', 'subscribe', 'Disney', 'hotstar']</v>
      </c>
      <c r="D3820" s="3">
        <v>1.0</v>
      </c>
    </row>
    <row r="3821" ht="15.75" customHeight="1">
      <c r="A3821" s="1">
        <v>3819.0</v>
      </c>
      <c r="B3821" s="3" t="s">
        <v>3821</v>
      </c>
      <c r="C3821" s="3" t="str">
        <f>IFERROR(__xludf.DUMMYFUNCTION("GOOGLETRANSLATE(B3821,""id"",""en"")"),"['Provider', 'user', 'kart', 'hrg', 'package', 'internet', 'different', '']")</f>
        <v>['Provider', 'user', 'kart', 'hrg', 'package', 'internet', 'different', '']</v>
      </c>
      <c r="D3821" s="3">
        <v>1.0</v>
      </c>
    </row>
    <row r="3822" ht="15.75" customHeight="1">
      <c r="A3822" s="1">
        <v>3820.0</v>
      </c>
      <c r="B3822" s="3" t="s">
        <v>3822</v>
      </c>
      <c r="C3822" s="3" t="str">
        <f>IFERROR(__xludf.DUMMYFUNCTION("GOOGLETRANSLATE(B3822,""id"",""en"")"),"['Cikampek', 'Karawang', 'down', 'apply', 'out', 'mah', 'tolerance', 'price', 'tolerance', 'community', 'tolerance', ""]")</f>
        <v>['Cikampek', 'Karawang', 'down', 'apply', 'out', 'mah', 'tolerance', 'price', 'tolerance', 'community', 'tolerance', "]</v>
      </c>
      <c r="D3822" s="3">
        <v>1.0</v>
      </c>
    </row>
    <row r="3823" ht="15.75" customHeight="1">
      <c r="A3823" s="1">
        <v>3821.0</v>
      </c>
      <c r="B3823" s="3" t="s">
        <v>3823</v>
      </c>
      <c r="C3823" s="3" t="str">
        <f>IFERROR(__xludf.DUMMYFUNCTION("GOOGLETRANSLATE(B3823,""id"",""en"")"),"['tamarind', 'nyesel', 'really', 'buy', 'package', 'unlimited', 'use', 'play', 'state', 'survivel', 'open', 'item', ' Loading ',' Ajimmmmm ',' really ',' ']")</f>
        <v>['tamarind', 'nyesel', 'really', 'buy', 'package', 'unlimited', 'use', 'play', 'state', 'survivel', 'open', 'item', ' Loading ',' Ajimmmmm ',' really ',' ']</v>
      </c>
      <c r="D3823" s="3">
        <v>3.0</v>
      </c>
    </row>
    <row r="3824" ht="15.75" customHeight="1">
      <c r="A3824" s="1">
        <v>3822.0</v>
      </c>
      <c r="B3824" s="3" t="s">
        <v>3824</v>
      </c>
      <c r="C3824" s="3" t="str">
        <f>IFERROR(__xludf.DUMMYFUNCTION("GOOGLETRANSLATE(B3824,""id"",""en"")"),"['hope', 'fees', 'rates', 'service', 'best', 'customers', 'groups', 'remote', 'Indonesia']")</f>
        <v>['hope', 'fees', 'rates', 'service', 'best', 'customers', 'groups', 'remote', 'Indonesia']</v>
      </c>
      <c r="D3824" s="3">
        <v>5.0</v>
      </c>
    </row>
    <row r="3825" ht="15.75" customHeight="1">
      <c r="A3825" s="1">
        <v>3823.0</v>
      </c>
      <c r="B3825" s="3" t="s">
        <v>3825</v>
      </c>
      <c r="C3825" s="3" t="str">
        <f>IFERROR(__xludf.DUMMYFUNCTION("GOOGLETRANSLATE(B3825,""id"",""en"")"),"['Cheat', 'cheat', 'friend', 'buy', 'quota', 'Telkomsel', 'cheap', 'turn', 'cave', 'gapernah', 'get', 'promo', ' disappointing ',' network ',' Telkomsel ',' kek ',' pulp ',' ugly ',' really ',' game ',' expensive ',' doang ',' gajelas']")</f>
        <v>['Cheat', 'cheat', 'friend', 'buy', 'quota', 'Telkomsel', 'cheap', 'turn', 'cave', 'gapernah', 'get', 'promo', ' disappointing ',' network ',' Telkomsel ',' kek ',' pulp ',' ugly ',' really ',' game ',' expensive ',' doang ',' gajelas']</v>
      </c>
      <c r="D3825" s="3">
        <v>1.0</v>
      </c>
    </row>
    <row r="3826" ht="15.75" customHeight="1">
      <c r="A3826" s="1">
        <v>3824.0</v>
      </c>
      <c r="B3826" s="3" t="s">
        <v>3826</v>
      </c>
      <c r="C3826" s="3" t="str">
        <f>IFERROR(__xludf.DUMMYFUNCTION("GOOGLETRANSLATE(B3826,""id"",""en"")"),"['application', 'good', 'satisfying', 'data', 'msh', 'entry', 'application', 'thank', 'love', 'telkomsel']")</f>
        <v>['application', 'good', 'satisfying', 'data', 'msh', 'entry', 'application', 'thank', 'love', 'telkomsel']</v>
      </c>
      <c r="D3826" s="3">
        <v>5.0</v>
      </c>
    </row>
    <row r="3827" ht="15.75" customHeight="1">
      <c r="A3827" s="1">
        <v>3825.0</v>
      </c>
      <c r="B3827" s="3" t="s">
        <v>3827</v>
      </c>
      <c r="C3827" s="3" t="str">
        <f>IFERROR(__xludf.DUMMYFUNCTION("GOOGLETRANSLATE(B3827,""id"",""en"")"),"['', 'replace', 'card', 'bonus', 'quota', 'GB', 'used', 'GB', 'pulses', 'reduced', '']")</f>
        <v>['', 'replace', 'card', 'bonus', 'quota', 'GB', 'used', 'GB', 'pulses', 'reduced', '']</v>
      </c>
      <c r="D3827" s="3">
        <v>2.0</v>
      </c>
    </row>
    <row r="3828" ht="15.75" customHeight="1">
      <c r="A3828" s="1">
        <v>3826.0</v>
      </c>
      <c r="B3828" s="3" t="s">
        <v>3828</v>
      </c>
      <c r="C3828" s="3" t="str">
        <f>IFERROR(__xludf.DUMMYFUNCTION("GOOGLETRANSLATE(B3828,""id"",""en"")"),"['Telkomsel', 'like', 'steal', 'credit', 'subscribe', 'please', 'repaired', 'mentang', 'mentang', 'signal', 'all', 'state', ' City ',' village ']")</f>
        <v>['Telkomsel', 'like', 'steal', 'credit', 'subscribe', 'please', 'repaired', 'mentang', 'mentang', 'signal', 'all', 'state', ' City ',' village ']</v>
      </c>
      <c r="D3828" s="3">
        <v>1.0</v>
      </c>
    </row>
    <row r="3829" ht="15.75" customHeight="1">
      <c r="A3829" s="1">
        <v>3827.0</v>
      </c>
      <c r="B3829" s="3" t="s">
        <v>3829</v>
      </c>
      <c r="C3829" s="3" t="str">
        <f>IFERROR(__xludf.DUMMYFUNCTION("GOOGLETRANSLATE(B3829,""id"",""en"")"),"['Sya', 'Satisfied', 'Signal', 'Disappointed', 'Karna', 'Security', 'Sya', 'Sixai', 'Customer', 'Dijay', 'Please', 'Repaired', ' ']")</f>
        <v>['Sya', 'Satisfied', 'Signal', 'Disappointed', 'Karna', 'Security', 'Sya', 'Sixai', 'Customer', 'Dijay', 'Please', 'Repaired', ' ']</v>
      </c>
      <c r="D3829" s="3">
        <v>5.0</v>
      </c>
    </row>
    <row r="3830" ht="15.75" customHeight="1">
      <c r="A3830" s="1">
        <v>3828.0</v>
      </c>
      <c r="B3830" s="3" t="s">
        <v>3830</v>
      </c>
      <c r="C3830" s="3" t="str">
        <f>IFERROR(__xludf.DUMMYFUNCTION("GOOGLETRANSLATE(B3830,""id"",""en"")"),"['The application', 'convenience', 'in every', 'user', 'application', 'Telkomsel', 'trusted', 'access']")</f>
        <v>['The application', 'convenience', 'in every', 'user', 'application', 'Telkomsel', 'trusted', 'access']</v>
      </c>
      <c r="D3830" s="3">
        <v>5.0</v>
      </c>
    </row>
    <row r="3831" ht="15.75" customHeight="1">
      <c r="A3831" s="1">
        <v>3829.0</v>
      </c>
      <c r="B3831" s="3" t="s">
        <v>3831</v>
      </c>
      <c r="C3831" s="3" t="str">
        <f>IFERROR(__xludf.DUMMYFUNCTION("GOOGLETRANSLATE(B3831,""id"",""en"")"),"['Sampe', 'users',' Telkomsel ',' times', 'Pingin', 'Discard', 'card', 'signal', 'blood', 'network', 'Sometimes',' missing ',' lost ',' already ',' that's', 'browsing', 'Lola', 'Please', 'fix']")</f>
        <v>['Sampe', 'users',' Telkomsel ',' times', 'Pingin', 'Discard', 'card', 'signal', 'blood', 'network', 'Sometimes',' missing ',' lost ',' already ',' that's', 'browsing', 'Lola', 'Please', 'fix']</v>
      </c>
      <c r="D3831" s="3">
        <v>1.0</v>
      </c>
    </row>
    <row r="3832" ht="15.75" customHeight="1">
      <c r="A3832" s="1">
        <v>3830.0</v>
      </c>
      <c r="B3832" s="3" t="s">
        <v>3832</v>
      </c>
      <c r="C3832" s="3" t="str">
        <f>IFERROR(__xludf.DUMMYFUNCTION("GOOGLETRANSLATE(B3832,""id"",""en"")"),"['bug', 'application', 'buy', 'package', 'promo', 'udh', 'repeat', 'time', 'tetep', 'notif', 'activation', 'appears',' then ',' pulse ',' abis', 'gini', 'mah', 'satisfied', 'loss']")</f>
        <v>['bug', 'application', 'buy', 'package', 'promo', 'udh', 'repeat', 'time', 'tetep', 'notif', 'activation', 'appears',' then ',' pulse ',' abis', 'gini', 'mah', 'satisfied', 'loss']</v>
      </c>
      <c r="D3832" s="3">
        <v>2.0</v>
      </c>
    </row>
    <row r="3833" ht="15.75" customHeight="1">
      <c r="A3833" s="1">
        <v>3831.0</v>
      </c>
      <c r="B3833" s="3" t="s">
        <v>3833</v>
      </c>
      <c r="C3833" s="3" t="str">
        <f>IFERROR(__xludf.DUMMYFUNCTION("GOOGLETRANSLATE(B3833,""id"",""en"")"),"['signal', 'rotten', 'already', 'expensive', 'expensive', 'bought', 'nga', 'love', 'test', 'already', 'online', 'telkom', ' Ngedown ',' toll ']")</f>
        <v>['signal', 'rotten', 'already', 'expensive', 'expensive', 'bought', 'nga', 'love', 'test', 'already', 'online', 'telkom', ' Ngedown ',' toll ']</v>
      </c>
      <c r="D3833" s="3">
        <v>1.0</v>
      </c>
    </row>
    <row r="3834" ht="15.75" customHeight="1">
      <c r="A3834" s="1">
        <v>3832.0</v>
      </c>
      <c r="B3834" s="3" t="s">
        <v>3834</v>
      </c>
      <c r="C3834" s="3" t="str">
        <f>IFERROR(__xludf.DUMMYFUNCTION("GOOGLETRANSLATE(B3834,""id"",""en"")"),"['Good', 'application', 'makes it easier', 'access', 'kuotaa', 'easy', '']")</f>
        <v>['Good', 'application', 'makes it easier', 'access', 'kuotaa', 'easy', '']</v>
      </c>
      <c r="D3834" s="3">
        <v>5.0</v>
      </c>
    </row>
    <row r="3835" ht="15.75" customHeight="1">
      <c r="A3835" s="1">
        <v>3833.0</v>
      </c>
      <c r="B3835" s="3" t="s">
        <v>3835</v>
      </c>
      <c r="C3835" s="3" t="str">
        <f>IFERROR(__xludf.DUMMYFUNCTION("GOOGLETRANSLATE(B3835,""id"",""en"")"),"['Network', 'good', 'package', 'internet', 'strange', 'quota', 'omg', 'used', 'skrg', 'quota', 'main', 'omg', ' CPT ',' sucked ',' pdhal ',' signal ',' ugly ',' trs', 'quota', 'additional', 'unlimited', 'quota', 'main', 'ugly', 'ugly' , 'forgiveness', 'ch"&amp;"at', 'skrg', 'Telkomsel', 'changed', 'sad', 'udh', 'pke', 'tsel', 'dbkn', 'disappointed', '']")</f>
        <v>['Network', 'good', 'package', 'internet', 'strange', 'quota', 'omg', 'used', 'skrg', 'quota', 'main', 'omg', ' CPT ',' sucked ',' pdhal ',' signal ',' ugly ',' trs', 'quota', 'additional', 'unlimited', 'quota', 'main', 'ugly', 'ugly' , 'forgiveness', 'chat', 'skrg', 'Telkomsel', 'changed', 'sad', 'udh', 'pke', 'tsel', 'dbkn', 'disappointed', '']</v>
      </c>
      <c r="D3835" s="3">
        <v>3.0</v>
      </c>
    </row>
    <row r="3836" ht="15.75" customHeight="1">
      <c r="A3836" s="1">
        <v>3834.0</v>
      </c>
      <c r="B3836" s="3" t="s">
        <v>3836</v>
      </c>
      <c r="C3836" s="3" t="str">
        <f>IFERROR(__xludf.DUMMYFUNCTION("GOOGLETRANSLATE(B3836,""id"",""en"")"),"['open', 'application', 'speed', 'internet', 'dlm', 'mode', 'standby', 'alias',' open ',' menu ',' quota ',' fup ',' Fast ',' drained ', ""]")</f>
        <v>['open', 'application', 'speed', 'internet', 'dlm', 'mode', 'standby', 'alias',' open ',' menu ',' quota ',' fup ',' Fast ',' drained ', "]</v>
      </c>
      <c r="D3836" s="3">
        <v>2.0</v>
      </c>
    </row>
    <row r="3837" ht="15.75" customHeight="1">
      <c r="A3837" s="1">
        <v>3835.0</v>
      </c>
      <c r="B3837" s="3" t="s">
        <v>3837</v>
      </c>
      <c r="C3837" s="3" t="str">
        <f>IFERROR(__xludf.DUMMYFUNCTION("GOOGLETRANSLATE(B3837,""id"",""en"")"),"['already', 'times',' fill ',' package ',' GB ',' for ',' free ',' subscription ',' sosmed ',' GB ',' YouTube ',' Facebook ',' Wassshap ',' etc. ',' reduced ',' package ',' wasted ',' vain ',' vain ',' what ',' Telkomsel ', ""]")</f>
        <v>['already', 'times',' fill ',' package ',' GB ',' for ',' free ',' subscription ',' sosmed ',' GB ',' YouTube ',' Facebook ',' Wassshap ',' etc. ',' reduced ',' package ',' wasted ',' vain ',' vain ',' what ',' Telkomsel ', "]</v>
      </c>
      <c r="D3837" s="3">
        <v>4.0</v>
      </c>
    </row>
    <row r="3838" ht="15.75" customHeight="1">
      <c r="A3838" s="1">
        <v>3836.0</v>
      </c>
      <c r="B3838" s="3" t="s">
        <v>3838</v>
      </c>
      <c r="C3838" s="3" t="str">
        <f>IFERROR(__xludf.DUMMYFUNCTION("GOOGLETRANSLATE(B3838,""id"",""en"")"),"['Disappointed', 'Gini', 'Telkomsel', 'Comfortable', 'User', 'Please', 'Expensive', 'Rates',' Purchase ',' Package ',' Different ',' Price ',' Different ',' Quality ',' Mosok ',' Price ',' Paketan ',' Results', 'TTP', 'Disappointed', 'Telkomsel', ""]")</f>
        <v>['Disappointed', 'Gini', 'Telkomsel', 'Comfortable', 'User', 'Please', 'Expensive', 'Rates',' Purchase ',' Package ',' Different ',' Price ',' Different ',' Quality ',' Mosok ',' Price ',' Paketan ',' Results', 'TTP', 'Disappointed', 'Telkomsel', "]</v>
      </c>
      <c r="D3838" s="3">
        <v>1.0</v>
      </c>
    </row>
    <row r="3839" ht="15.75" customHeight="1">
      <c r="A3839" s="1">
        <v>3837.0</v>
      </c>
      <c r="B3839" s="3" t="s">
        <v>3839</v>
      </c>
      <c r="C3839" s="3" t="str">
        <f>IFERROR(__xludf.DUMMYFUNCTION("GOOGLETRANSLATE(B3839,""id"",""en"")"),"['Application', 'rotten', 'open', 'uninstall', 'according to', 'promote', 'waste', '']")</f>
        <v>['Application', 'rotten', 'open', 'uninstall', 'according to', 'promote', 'waste', '']</v>
      </c>
      <c r="D3839" s="3">
        <v>1.0</v>
      </c>
    </row>
    <row r="3840" ht="15.75" customHeight="1">
      <c r="A3840" s="1">
        <v>3838.0</v>
      </c>
      <c r="B3840" s="3" t="s">
        <v>3840</v>
      </c>
      <c r="C3840" s="3" t="str">
        <f>IFERROR(__xludf.DUMMYFUNCTION("GOOGLETRANSLATE(B3840,""id"",""en"")"),"['strange', 'Telkomsel', 'registration', 'card', 'difficult', 'times',' fail ',' told ',' registration ',' tomorrow ',' super ',' complicated ',' strange']")</f>
        <v>['strange', 'Telkomsel', 'registration', 'card', 'difficult', 'times',' fail ',' told ',' registration ',' tomorrow ',' super ',' complicated ',' strange']</v>
      </c>
      <c r="D3840" s="3">
        <v>1.0</v>
      </c>
    </row>
    <row r="3841" ht="15.75" customHeight="1">
      <c r="A3841" s="1">
        <v>3839.0</v>
      </c>
      <c r="B3841" s="3" t="s">
        <v>3841</v>
      </c>
      <c r="C3841" s="3" t="str">
        <f>IFERROR(__xludf.DUMMYFUNCTION("GOOGLETRANSLATE(B3841,""id"",""en"")"),"['Tlng', 'fix', 'gan', 'because', 'the application', 'open', '']")</f>
        <v>['Tlng', 'fix', 'gan', 'because', 'the application', 'open', '']</v>
      </c>
      <c r="D3841" s="3">
        <v>2.0</v>
      </c>
    </row>
    <row r="3842" ht="15.75" customHeight="1">
      <c r="A3842" s="1">
        <v>3840.0</v>
      </c>
      <c r="B3842" s="3" t="s">
        <v>3842</v>
      </c>
      <c r="C3842" s="3" t="str">
        <f>IFERROR(__xludf.DUMMYFUNCTION("GOOGLETRANSLATE(B3842,""id"",""en"")"),"['Network', 'ugly', 'slow', 'sms',' promo ',' repeat ',' annoying ',' drain ',' pulse ',' enter ',' apk ',' terota ',' Login ',' Difficult ',' Awaited ',' Repair ',' Admin ',' Fix ',' Network ',' User ',' SIM ',' Satisfied ',' TRIMS ']")</f>
        <v>['Network', 'ugly', 'slow', 'sms',' promo ',' repeat ',' annoying ',' drain ',' pulse ',' enter ',' apk ',' terota ',' Login ',' Difficult ',' Awaited ',' Repair ',' Admin ',' Fix ',' Network ',' User ',' SIM ',' Satisfied ',' TRIMS ']</v>
      </c>
      <c r="D3842" s="3">
        <v>2.0</v>
      </c>
    </row>
    <row r="3843" ht="15.75" customHeight="1">
      <c r="A3843" s="1">
        <v>3841.0</v>
      </c>
      <c r="B3843" s="3" t="s">
        <v>3843</v>
      </c>
      <c r="C3843" s="3" t="str">
        <f>IFERROR(__xludf.DUMMYFUNCTION("GOOGLETRANSLATE(B3843,""id"",""en"")"),"['Help', 'related', 'in it', 'network', 'comfortable', 'expensive', 'purchase', 'dependent', 'determine', 'make', 'network', 'stable', ' Optimal ',' user ',' comfortable ',' ']")</f>
        <v>['Help', 'related', 'in it', 'network', 'comfortable', 'expensive', 'purchase', 'dependent', 'determine', 'make', 'network', 'stable', ' Optimal ',' user ',' comfortable ',' ']</v>
      </c>
      <c r="D3843" s="3">
        <v>1.0</v>
      </c>
    </row>
    <row r="3844" ht="15.75" customHeight="1">
      <c r="A3844" s="1">
        <v>3842.0</v>
      </c>
      <c r="B3844" s="3" t="s">
        <v>3844</v>
      </c>
      <c r="C3844" s="3" t="str">
        <f>IFERROR(__xludf.DUMMYFUNCTION("GOOGLETRANSLATE(B3844,""id"",""en"")"),"['buy', 'quota', 'internet', 'promo', 'Telkomsel', 'network', 'hustyukkkkkkkk', 'tempted', 'promo', ""]")</f>
        <v>['buy', 'quota', 'internet', 'promo', 'Telkomsel', 'network', 'hustyukkkkkkkk', 'tempted', 'promo', "]</v>
      </c>
      <c r="D3844" s="3">
        <v>1.0</v>
      </c>
    </row>
    <row r="3845" ht="15.75" customHeight="1">
      <c r="A3845" s="1">
        <v>3843.0</v>
      </c>
      <c r="B3845" s="3" t="s">
        <v>3845</v>
      </c>
      <c r="C3845" s="3" t="str">
        <f>IFERROR(__xludf.DUMMYFUNCTION("GOOGLETRANSLATE(B3845,""id"",""en"")"),"['signal', 'no', 'good', 'missing', 'area', 'pamulang', 'cottage', 'item', 'beautiful', 'ugly', 'signal', 'sympathy', ' ']")</f>
        <v>['signal', 'no', 'good', 'missing', 'area', 'pamulang', 'cottage', 'item', 'beautiful', 'ugly', 'signal', 'sympathy', ' ']</v>
      </c>
      <c r="D3845" s="3">
        <v>1.0</v>
      </c>
    </row>
    <row r="3846" ht="15.75" customHeight="1">
      <c r="A3846" s="1">
        <v>3844.0</v>
      </c>
      <c r="B3846" s="3" t="s">
        <v>3846</v>
      </c>
      <c r="C3846" s="3" t="str">
        <f>IFERROR(__xludf.DUMMYFUNCTION("GOOGLETRANSLATE(B3846,""id"",""en"")"),"['', 'City', 'Learning', 'Telkomsel', 'Access',' City ',' Learning ',' Grtis', 'GRDING', 'ACCESS', 'MCM', 'MNA', 'Telkomsel ',' Buy ',' City ',' Learning ',' GB ',' MCM ',' MNA ',' Telkomsel ',' buy ', ""]")</f>
        <v>['', 'City', 'Learning', 'Telkomsel', 'Access',' City ',' Learning ',' Grtis', 'GRDING', 'ACCESS', 'MCM', 'MNA', 'Telkomsel ',' Buy ',' City ',' Learning ',' GB ',' MCM ',' MNA ',' Telkomsel ',' buy ', "]</v>
      </c>
      <c r="D3846" s="3">
        <v>1.0</v>
      </c>
    </row>
    <row r="3847" ht="15.75" customHeight="1">
      <c r="A3847" s="1">
        <v>3845.0</v>
      </c>
      <c r="B3847" s="3" t="s">
        <v>3847</v>
      </c>
      <c r="C3847" s="3" t="str">
        <f>IFERROR(__xludf.DUMMYFUNCTION("GOOGLETRANSLATE(B3847,""id"",""en"")"),"['love', 'star', 'because' disappointed ',' signalny ',' difficult ',' already ',' update ',' entry ',' account ',' enter ',' loading ',' Home ',' menu ',' UDH ',' Wait ',' Tetep ',' Enter ',' Home ',' Disappointed ',' BNR ',' Update ', ""]")</f>
        <v>['love', 'star', 'because' disappointed ',' signalny ',' difficult ',' already ',' update ',' entry ',' account ',' enter ',' loading ',' Home ',' menu ',' UDH ',' Wait ',' Tetep ',' Enter ',' Home ',' Disappointed ',' BNR ',' Update ', "]</v>
      </c>
      <c r="D3847" s="3">
        <v>1.0</v>
      </c>
    </row>
    <row r="3848" ht="15.75" customHeight="1">
      <c r="A3848" s="1">
        <v>3846.0</v>
      </c>
      <c r="B3848" s="3" t="s">
        <v>3848</v>
      </c>
      <c r="C3848" s="3" t="str">
        <f>IFERROR(__xludf.DUMMYFUNCTION("GOOGLETRANSLATE(B3848,""id"",""en"")"),"['Good', 'Hopefully', 'Luckily', 'Allah', 'Hopefully', 'Telkomsel', 'Moving', 'Success']")</f>
        <v>['Good', 'Hopefully', 'Luckily', 'Allah', 'Hopefully', 'Telkomsel', 'Moving', 'Success']</v>
      </c>
      <c r="D3848" s="3">
        <v>5.0</v>
      </c>
    </row>
    <row r="3849" ht="15.75" customHeight="1">
      <c r="A3849" s="1">
        <v>3847.0</v>
      </c>
      <c r="B3849" s="3" t="s">
        <v>3849</v>
      </c>
      <c r="C3849" s="3" t="str">
        <f>IFERROR(__xludf.DUMMYFUNCTION("GOOGLETRANSLATE(B3849,""id"",""en"")"),"['users',' Telkomsel ',' era ',' application ',' network ',' already ',' really ',' Males', 'report', 'Telkomsel', 'down', 'signal', ' Faithful ',' because ',' The network ',' The ',' Best ', ""]")</f>
        <v>['users',' Telkomsel ',' era ',' application ',' network ',' already ',' really ',' Males', 'report', 'Telkomsel', 'down', 'signal', ' Faithful ',' because ',' The network ',' The ',' Best ', "]</v>
      </c>
      <c r="D3849" s="3">
        <v>1.0</v>
      </c>
    </row>
    <row r="3850" ht="15.75" customHeight="1">
      <c r="A3850" s="1">
        <v>3848.0</v>
      </c>
      <c r="B3850" s="3" t="s">
        <v>3850</v>
      </c>
      <c r="C3850" s="3" t="str">
        <f>IFERROR(__xludf.DUMMYFUNCTION("GOOGLETRANSLATE(B3850,""id"",""en"")"),"['crazy', 'pulses',' giving ',' package ',' usually ',' sumps', 'wrong', 'emang', 'comment', 'application', 'Telkomsel', 'super', ' Bad ',' already ',' difficult ',' log ',' buy ',' package ',' buffering ',' according to ',' expectation ',' service ',' on"&amp;"line ',' system ',' suck ' , 'pulse', 'bad']")</f>
        <v>['crazy', 'pulses',' giving ',' package ',' usually ',' sumps', 'wrong', 'emang', 'comment', 'application', 'Telkomsel', 'super', ' Bad ',' already ',' difficult ',' log ',' buy ',' package ',' buffering ',' according to ',' expectation ',' service ',' online ',' system ',' suck ' , 'pulse', 'bad']</v>
      </c>
      <c r="D3850" s="3">
        <v>1.0</v>
      </c>
    </row>
    <row r="3851" ht="15.75" customHeight="1">
      <c r="A3851" s="1">
        <v>3849.0</v>
      </c>
      <c r="B3851" s="3" t="s">
        <v>3851</v>
      </c>
      <c r="C3851" s="3" t="str">
        <f>IFERROR(__xludf.DUMMYFUNCTION("GOOGLETRANSLATE(B3851,""id"",""en"")"),"['access', 'easy', 'check', 'ricek', 'purchase', 'package', 'data', 'pulse', 'wherever', '']")</f>
        <v>['access', 'easy', 'check', 'ricek', 'purchase', 'package', 'data', 'pulse', 'wherever', '']</v>
      </c>
      <c r="D3851" s="3">
        <v>4.0</v>
      </c>
    </row>
    <row r="3852" ht="15.75" customHeight="1">
      <c r="A3852" s="1">
        <v>3850.0</v>
      </c>
      <c r="B3852" s="3" t="s">
        <v>3852</v>
      </c>
      <c r="C3852" s="3" t="str">
        <f>IFERROR(__xludf.DUMMYFUNCTION("GOOGLETRANSLATE(B3852,""id"",""en"")"),"['Download', 'application', 'read', 'all', 'stetment', 'user', 'no', 'good', 'no', 'dech', 'ngeownload', 'the application', ' buy ',' package ',' card ',' prime ',' discarded ',' then ',' replace ',' card ',' ']")</f>
        <v>['Download', 'application', 'read', 'all', 'stetment', 'user', 'no', 'good', 'no', 'dech', 'ngeownload', 'the application', ' buy ',' package ',' card ',' prime ',' discarded ',' then ',' replace ',' card ',' ']</v>
      </c>
      <c r="D3852" s="3">
        <v>1.0</v>
      </c>
    </row>
    <row r="3853" ht="15.75" customHeight="1">
      <c r="A3853" s="1">
        <v>3851.0</v>
      </c>
      <c r="B3853" s="3" t="s">
        <v>3853</v>
      </c>
      <c r="C3853" s="3" t="str">
        <f>IFERROR(__xludf.DUMMYFUNCTION("GOOGLETRANSLATE(B3853,""id"",""en"")"),"['slow', 'process',' package ',' package ',' promo ',' application ',' all day ',' bought ',' pulse ',' drained ',' already ',' expensive ',' The package ',' Detinent ',' Credit ',' ']")</f>
        <v>['slow', 'process',' package ',' package ',' promo ',' application ',' all day ',' bought ',' pulse ',' drained ',' already ',' expensive ',' The package ',' Detinent ',' Credit ',' ']</v>
      </c>
      <c r="D3853" s="3">
        <v>1.0</v>
      </c>
    </row>
    <row r="3854" ht="15.75" customHeight="1">
      <c r="A3854" s="1">
        <v>3852.0</v>
      </c>
      <c r="B3854" s="3" t="s">
        <v>3854</v>
      </c>
      <c r="C3854" s="3" t="str">
        <f>IFERROR(__xludf.DUMMYFUNCTION("GOOGLETRANSLATE(B3854,""id"",""en"")"),"['Please', 'Hold', 'Promo', 'Satisfied', 'Use', 'Package']")</f>
        <v>['Please', 'Hold', 'Promo', 'Satisfied', 'Use', 'Package']</v>
      </c>
      <c r="D3854" s="3">
        <v>5.0</v>
      </c>
    </row>
    <row r="3855" ht="15.75" customHeight="1">
      <c r="A3855" s="1">
        <v>3853.0</v>
      </c>
      <c r="B3855" s="3" t="s">
        <v>3855</v>
      </c>
      <c r="C3855" s="3" t="str">
        <f>IFERROR(__xludf.DUMMYFUNCTION("GOOGLETRANSLATE(B3855,""id"",""en"")"),"['Telkomsel', 'Points',' Telkomsel ',' People ',' Win ',' Prizes', 'Disappointed', 'Heavy', 'Radem', 'Ngak', 'Recorded', 'Winner', ' Royal ',' week ',' Randem ',' Minimal ',' to you ',' item ', ""]")</f>
        <v>['Telkomsel', 'Points',' Telkomsel ',' People ',' Win ',' Prizes', 'Disappointed', 'Heavy', 'Radem', 'Ngak', 'Recorded', 'Winner', ' Royal ',' week ',' Randem ',' Minimal ',' to you ',' item ', "]</v>
      </c>
      <c r="D3855" s="3">
        <v>1.0</v>
      </c>
    </row>
    <row r="3856" ht="15.75" customHeight="1">
      <c r="A3856" s="1">
        <v>3854.0</v>
      </c>
      <c r="B3856" s="3" t="s">
        <v>3856</v>
      </c>
      <c r="C3856" s="3" t="str">
        <f>IFERROR(__xludf.DUMMYFUNCTION("GOOGLETRANSLATE(B3856,""id"",""en"")"),"['Ouch', 'sympathy', 'signal', 'ugly', 'win', 'expensive', 'doang', 'open', 'internet', 'slow', 'severe', ""]")</f>
        <v>['Ouch', 'sympathy', 'signal', 'ugly', 'win', 'expensive', 'doang', 'open', 'internet', 'slow', 'severe', "]</v>
      </c>
      <c r="D3856" s="3">
        <v>1.0</v>
      </c>
    </row>
    <row r="3857" ht="15.75" customHeight="1">
      <c r="A3857" s="1">
        <v>3855.0</v>
      </c>
      <c r="B3857" s="3" t="s">
        <v>3857</v>
      </c>
      <c r="C3857" s="3" t="str">
        <f>IFERROR(__xludf.DUMMYFUNCTION("GOOGLETRANSLATE(B3857,""id"",""en"")"),"['times', 'contents', 'credit', 'directly', 'Cut', 'Activate', 'Package', 'Data', 'Direct', 'Rupiah', 'Hadeh', 'Disappointed']")</f>
        <v>['times', 'contents', 'credit', 'directly', 'Cut', 'Activate', 'Package', 'Data', 'Direct', 'Rupiah', 'Hadeh', 'Disappointed']</v>
      </c>
      <c r="D3857" s="3">
        <v>1.0</v>
      </c>
    </row>
    <row r="3858" ht="15.75" customHeight="1">
      <c r="A3858" s="1">
        <v>3856.0</v>
      </c>
      <c r="B3858" s="3" t="s">
        <v>3858</v>
      </c>
      <c r="C3858" s="3" t="str">
        <f>IFERROR(__xludf.DUMMYFUNCTION("GOOGLETRANSLATE(B3858,""id"",""en"")"),"['', 'The', 'Best', 'staple', 'mah', 'mah', 'atuh', 'tea', 'fill', 'pulse', 'bnyk', 'please', 'atuh ',' love ',' bonus', 'mksh', '']")</f>
        <v>['', 'The', 'Best', 'staple', 'mah', 'mah', 'atuh', 'tea', 'fill', 'pulse', 'bnyk', 'please', 'atuh ',' love ',' bonus', 'mksh', '']</v>
      </c>
      <c r="D3858" s="3">
        <v>5.0</v>
      </c>
    </row>
    <row r="3859" ht="15.75" customHeight="1">
      <c r="A3859" s="1">
        <v>3857.0</v>
      </c>
      <c r="B3859" s="3" t="s">
        <v>3859</v>
      </c>
      <c r="C3859" s="3" t="str">
        <f>IFERROR(__xludf.DUMMYFUNCTION("GOOGLETRANSLATE(B3859,""id"",""en"")"),"['Login', 'Update', 'Login', 'Return', 'Expired', 'Out', 'Quota', '']")</f>
        <v>['Login', 'Update', 'Login', 'Return', 'Expired', 'Out', 'Quota', '']</v>
      </c>
      <c r="D3859" s="3">
        <v>1.0</v>
      </c>
    </row>
    <row r="3860" ht="15.75" customHeight="1">
      <c r="A3860" s="1">
        <v>3858.0</v>
      </c>
      <c r="B3860" s="3" t="s">
        <v>3860</v>
      </c>
      <c r="C3860" s="3" t="str">
        <f>IFERROR(__xludf.DUMMYFUNCTION("GOOGLETRANSLATE(B3860,""id"",""en"")"),"['Hello', 'Telkomsel', 'Knp', 'quota', 'multimedia', 'used', 'meet', 'zoom', 'error', 'emg', 'darisana', 'please', ' repaired ',' yaa ',' zoom ',' meet ',' etc. ',' difficult ',' ']")</f>
        <v>['Hello', 'Telkomsel', 'Knp', 'quota', 'multimedia', 'used', 'meet', 'zoom', 'error', 'emg', 'darisana', 'please', ' repaired ',' yaa ',' zoom ',' meet ',' etc. ',' difficult ',' ']</v>
      </c>
      <c r="D3860" s="3">
        <v>2.0</v>
      </c>
    </row>
    <row r="3861" ht="15.75" customHeight="1">
      <c r="A3861" s="1">
        <v>3859.0</v>
      </c>
      <c r="B3861" s="3" t="s">
        <v>3861</v>
      </c>
      <c r="C3861" s="3" t="str">
        <f>IFERROR(__xludf.DUMMYFUNCTION("GOOGLETRANSLATE(B3861,""id"",""en"")"),"['application', 'Nga', 'enter', 'Home', 'Hard', 'Forgiveness', ""]")</f>
        <v>['application', 'Nga', 'enter', 'Home', 'Hard', 'Forgiveness', "]</v>
      </c>
      <c r="D3861" s="3">
        <v>1.0</v>
      </c>
    </row>
    <row r="3862" ht="15.75" customHeight="1">
      <c r="A3862" s="1">
        <v>3860.0</v>
      </c>
      <c r="B3862" s="3" t="s">
        <v>3862</v>
      </c>
      <c r="C3862" s="3" t="str">
        <f>IFERROR(__xludf.DUMMYFUNCTION("GOOGLETRANSLATE(B3862,""id"",""en"")"),"['price', 'Package', 'Telkomsel', 'expensive', 'network', 'bad', 'price', 'expensive', 'quality', 'Sanhat', 'bad', 'disappointed', ' onceII ',' ugly ',' signal ']")</f>
        <v>['price', 'Package', 'Telkomsel', 'expensive', 'network', 'bad', 'price', 'expensive', 'quality', 'Sanhat', 'bad', 'disappointed', ' onceII ',' ugly ',' signal ']</v>
      </c>
      <c r="D3862" s="3">
        <v>1.0</v>
      </c>
    </row>
    <row r="3863" ht="15.75" customHeight="1">
      <c r="A3863" s="1">
        <v>3861.0</v>
      </c>
      <c r="B3863" s="3" t="s">
        <v>3863</v>
      </c>
      <c r="C3863" s="3" t="str">
        <f>IFERROR(__xludf.DUMMYFUNCTION("GOOGLETRANSLATE(B3863,""id"",""en"")"),"['Good', 'cheap', 'fast', 'network', 'Telkomsel', 'emang', 'The', 'Best', 'Download', 'application', 'MyTelkomsel', ""]")</f>
        <v>['Good', 'cheap', 'fast', 'network', 'Telkomsel', 'emang', 'The', 'Best', 'Download', 'application', 'MyTelkomsel', "]</v>
      </c>
      <c r="D3863" s="3">
        <v>5.0</v>
      </c>
    </row>
    <row r="3864" ht="15.75" customHeight="1">
      <c r="A3864" s="1">
        <v>3862.0</v>
      </c>
      <c r="B3864" s="3" t="s">
        <v>3864</v>
      </c>
      <c r="C3864" s="3" t="str">
        <f>IFERROR(__xludf.DUMMYFUNCTION("GOOGLETRANSLATE(B3864,""id"",""en"")"),"['love', 'card', 'love', 'package', 'cheap', 'cave', 'kaga', 'bts', 'signal', 'severe', 'line', ""]")</f>
        <v>['love', 'card', 'love', 'package', 'cheap', 'cave', 'kaga', 'bts', 'signal', 'severe', 'line', "]</v>
      </c>
      <c r="D3864" s="3">
        <v>1.0</v>
      </c>
    </row>
    <row r="3865" ht="15.75" customHeight="1">
      <c r="A3865" s="1">
        <v>3863.0</v>
      </c>
      <c r="B3865" s="3" t="s">
        <v>3865</v>
      </c>
      <c r="C3865" s="3" t="str">
        <f>IFERROR(__xludf.DUMMYFUNCTION("GOOGLETRANSLATE(B3865,""id"",""en"")"),"['less',' star ',' price ',' package ',' expensive ',' signal ',' setabilia ',' slow ',' home ',' home ',' please ',' BENAHIN ',' live', '']")</f>
        <v>['less',' star ',' price ',' package ',' expensive ',' signal ',' setabilia ',' slow ',' home ',' home ',' please ',' BENAHIN ',' live', '']</v>
      </c>
      <c r="D3865" s="3">
        <v>3.0</v>
      </c>
    </row>
    <row r="3866" ht="15.75" customHeight="1">
      <c r="A3866" s="1">
        <v>3864.0</v>
      </c>
      <c r="B3866" s="3" t="s">
        <v>3866</v>
      </c>
      <c r="C3866" s="3" t="str">
        <f>IFERROR(__xludf.DUMMYFUNCTION("GOOGLETRANSLATE(B3866,""id"",""en"")"),"['Disappointing', 'Customers',' Fraud ',' Class', 'Natural', 'Available', 'Combo', 'Thrifty', 'Telkomsel', 'a month', 'combo', 'appears',' Lost ',' consider ',' satisfaction ',' customer ',' thinking ',' profit ',' company ',' thank ',' love ', ""]")</f>
        <v>['Disappointing', 'Customers',' Fraud ',' Class', 'Natural', 'Available', 'Combo', 'Thrifty', 'Telkomsel', 'a month', 'combo', 'appears',' Lost ',' consider ',' satisfaction ',' customer ',' thinking ',' profit ',' company ',' thank ',' love ', "]</v>
      </c>
      <c r="D3866" s="3">
        <v>1.0</v>
      </c>
    </row>
    <row r="3867" ht="15.75" customHeight="1">
      <c r="A3867" s="1">
        <v>3865.0</v>
      </c>
      <c r="B3867" s="3" t="s">
        <v>3867</v>
      </c>
      <c r="C3867" s="3" t="str">
        <f>IFERROR(__xludf.DUMMYFUNCTION("GOOGLETRANSLATE(B3867,""id"",""en"")"),"['buy', 'package', 'application', 'error', 'update', 'Telkomsel', 'change', 'name', 'telkomnyet']")</f>
        <v>['buy', 'package', 'application', 'error', 'update', 'Telkomsel', 'change', 'name', 'telkomnyet']</v>
      </c>
      <c r="D3867" s="3">
        <v>1.0</v>
      </c>
    </row>
    <row r="3868" ht="15.75" customHeight="1">
      <c r="A3868" s="1">
        <v>3866.0</v>
      </c>
      <c r="B3868" s="3" t="s">
        <v>3868</v>
      </c>
      <c r="C3868" s="3" t="str">
        <f>IFERROR(__xludf.DUMMYFUNCTION("GOOGLETRANSLATE(B3868,""id"",""en"")"),"['Network', 'slow', 'really', 'nelp', 'call', 'canter', 'influence', 'slow', 'play', 'game', 'online', 'lag', ' critical']")</f>
        <v>['Network', 'slow', 'really', 'nelp', 'call', 'canter', 'influence', 'slow', 'play', 'game', 'online', 'lag', ' critical']</v>
      </c>
      <c r="D3868" s="3">
        <v>1.0</v>
      </c>
    </row>
    <row r="3869" ht="15.75" customHeight="1">
      <c r="A3869" s="1">
        <v>3867.0</v>
      </c>
      <c r="B3869" s="3" t="s">
        <v>3869</v>
      </c>
      <c r="C3869" s="3" t="str">
        <f>IFERROR(__xludf.DUMMYFUNCTION("GOOGLETRANSLATE(B3869,""id"",""en"")"),"['pulse', 'run out', 'used', '']")</f>
        <v>['pulse', 'run out', 'used', '']</v>
      </c>
      <c r="D3869" s="3">
        <v>2.0</v>
      </c>
    </row>
    <row r="3870" ht="15.75" customHeight="1">
      <c r="A3870" s="1">
        <v>3868.0</v>
      </c>
      <c r="B3870" s="3" t="s">
        <v>3870</v>
      </c>
      <c r="C3870" s="3" t="str">
        <f>IFERROR(__xludf.DUMMYFUNCTION("GOOGLETRANSLATE(B3870,""id"",""en"")"),"['Disappointed', 'Karna', 'Telkomsel', 'Causes',' Loss', 'Credit', 'Drastic', 'Telkomsel', 'Removing', 'Notification', 'Call', 'Take', ' pulses', 'call', 'anything', 'strange', 'notification', 'appears',' abis', 'fill', 'reset', 'pulse', 'additional', 'pu"&amp;"lse', 'call' , 'International', 'call', 'mandatory', 'heart', '']")</f>
        <v>['Disappointed', 'Karna', 'Telkomsel', 'Causes',' Loss', 'Credit', 'Drastic', 'Telkomsel', 'Removing', 'Notification', 'Call', 'Take', ' pulses', 'call', 'anything', 'strange', 'notification', 'appears',' abis', 'fill', 'reset', 'pulse', 'additional', 'pulse', 'call' , 'International', 'call', 'mandatory', 'heart', '']</v>
      </c>
      <c r="D3870" s="3">
        <v>1.0</v>
      </c>
    </row>
    <row r="3871" ht="15.75" customHeight="1">
      <c r="A3871" s="1">
        <v>3869.0</v>
      </c>
      <c r="B3871" s="3" t="s">
        <v>3871</v>
      </c>
      <c r="C3871" s="3" t="str">
        <f>IFERROR(__xludf.DUMMYFUNCTION("GOOGLETRANSLATE(B3871,""id"",""en"")"),"['Help', 'Network', 'Dibagusin', 'Price', 'Enhanced', 'Continuous',' Quality ',' Decline ',' Disappointed ',' Buy ',' Kouta ',' The results', 'according to', 'Eskpetasi', ""]")</f>
        <v>['Help', 'Network', 'Dibagusin', 'Price', 'Enhanced', 'Continuous',' Quality ',' Decline ',' Disappointed ',' Buy ',' Kouta ',' The results', 'according to', 'Eskpetasi', "]</v>
      </c>
      <c r="D3871" s="3">
        <v>1.0</v>
      </c>
    </row>
    <row r="3872" ht="15.75" customHeight="1">
      <c r="A3872" s="1">
        <v>3870.0</v>
      </c>
      <c r="B3872" s="3" t="s">
        <v>3872</v>
      </c>
      <c r="C3872" s="3" t="str">
        <f>IFERROR(__xludf.DUMMYFUNCTION("GOOGLETRANSLATE(B3872,""id"",""en"")"),"['Try', 'Application', 'Ribet', 'Updated', 'Teruz', 'Delete', 'Phone', '']")</f>
        <v>['Try', 'Application', 'Ribet', 'Updated', 'Teruz', 'Delete', 'Phone', '']</v>
      </c>
      <c r="D3872" s="3">
        <v>1.0</v>
      </c>
    </row>
    <row r="3873" ht="15.75" customHeight="1">
      <c r="A3873" s="1">
        <v>3871.0</v>
      </c>
      <c r="B3873" s="3" t="s">
        <v>3873</v>
      </c>
      <c r="C3873" s="3" t="str">
        <f>IFERROR(__xludf.DUMMYFUNCTION("GOOGLETRANSLATE(B3873,""id"",""en"")"),"['Where', 'Run', 'Credit', 'Yawns',' Please ',' Add ',' Histori ',' Credit ',' Application ',' Credit ',' Used ',' Whatever ',' watch out ',' direct ',' owner ', ""]")</f>
        <v>['Where', 'Run', 'Credit', 'Yawns',' Please ',' Add ',' Histori ',' Credit ',' Application ',' Credit ',' Used ',' Whatever ',' watch out ',' direct ',' owner ', "]</v>
      </c>
      <c r="D3873" s="3">
        <v>1.0</v>
      </c>
    </row>
    <row r="3874" ht="15.75" customHeight="1">
      <c r="A3874" s="1">
        <v>3872.0</v>
      </c>
      <c r="B3874" s="3" t="s">
        <v>3874</v>
      </c>
      <c r="C3874" s="3" t="str">
        <f>IFERROR(__xludf.DUMMYFUNCTION("GOOGLETRANSLATE(B3874,""id"",""en"")"),"['serious',' ask ',' knp ',' told ',' update ','h', 'update', 'told', 'update', 'strange', 'bgtttttt']")</f>
        <v>['serious',' ask ',' knp ',' told ',' update ','h', 'update', 'told', 'update', 'strange', 'bgtttttt']</v>
      </c>
      <c r="D3874" s="3">
        <v>1.0</v>
      </c>
    </row>
    <row r="3875" ht="15.75" customHeight="1">
      <c r="A3875" s="1">
        <v>3873.0</v>
      </c>
      <c r="B3875" s="3" t="s">
        <v>3875</v>
      </c>
      <c r="C3875" s="3" t="str">
        <f>IFERROR(__xludf.DUMMYFUNCTION("GOOGLETRANSLATE(B3875,""id"",""en"")"),"['Network', 'Kulon', 'Progo', 'Wates',' Yogyakarta ',' ugly ',' many years', 'Benerin', 'package', 'expensive', 'network', 'difficult', ' Win ',' name ',' Telkom ',' boss', 'poor', ""]")</f>
        <v>['Network', 'Kulon', 'Progo', 'Wates',' Yogyakarta ',' ugly ',' many years', 'Benerin', 'package', 'expensive', 'network', 'difficult', ' Win ',' name ',' Telkom ',' boss', 'poor', "]</v>
      </c>
      <c r="D3875" s="3">
        <v>1.0</v>
      </c>
    </row>
    <row r="3876" ht="15.75" customHeight="1">
      <c r="A3876" s="1">
        <v>3874.0</v>
      </c>
      <c r="B3876" s="3" t="s">
        <v>3876</v>
      </c>
      <c r="C3876" s="3" t="str">
        <f>IFERROR(__xludf.DUMMYFUNCTION("GOOGLETRANSLATE(B3876,""id"",""en"")"),"['already', 'expensive', 'signal', 'rich', 'snail', 'go', 'Haji', 'times', 'employees', '']")</f>
        <v>['already', 'expensive', 'signal', 'rich', 'snail', 'go', 'Haji', 'times', 'employees', '']</v>
      </c>
      <c r="D3876" s="3">
        <v>1.0</v>
      </c>
    </row>
    <row r="3877" ht="15.75" customHeight="1">
      <c r="A3877" s="1">
        <v>3875.0</v>
      </c>
      <c r="B3877" s="3" t="s">
        <v>3877</v>
      </c>
      <c r="C3877" s="3" t="str">
        <f>IFERROR(__xludf.DUMMYFUNCTION("GOOGLETRANSLATE(B3877,""id"",""en"")"),"['TLNG', 'Tsel', 'wise', 'borrow', 'seduced', 'Karna', 'kepepet', 'dlm', 'Wkt', 'contents',' pls', 'purpose', ' Return ',' Tsel ',' BBR ',' Money ',' Tsel ',' Cut ',' now ',' pls', 'PLS', 'Diptong', 'cut', 'Return', 'restore' , 'loan', 'seblmya', 'return'"&amp;", 'cut', 'borrow', 'return', 'mmg', 'flower', 'play', 'ptng']")</f>
        <v>['TLNG', 'Tsel', 'wise', 'borrow', 'seduced', 'Karna', 'kepepet', 'dlm', 'Wkt', 'contents',' pls', 'purpose', ' Return ',' Tsel ',' BBR ',' Money ',' Tsel ',' Cut ',' now ',' pls', 'PLS', 'Diptong', 'cut', 'Return', 'restore' , 'loan', 'seblmya', 'return', 'cut', 'borrow', 'return', 'mmg', 'flower', 'play', 'ptng']</v>
      </c>
      <c r="D3877" s="3">
        <v>1.0</v>
      </c>
    </row>
    <row r="3878" ht="15.75" customHeight="1">
      <c r="A3878" s="1">
        <v>3876.0</v>
      </c>
      <c r="B3878" s="3" t="s">
        <v>3878</v>
      </c>
      <c r="C3878" s="3" t="str">
        <f>IFERROR(__xludf.DUMMYFUNCTION("GOOGLETRANSLATE(B3878,""id"",""en"")"),"['Addin', 'slow', 'class', 'Telkomsel', 'the application', 'hustyuuk', 'next door', 'cheap', 'application', 'smooth']")</f>
        <v>['Addin', 'slow', 'class', 'Telkomsel', 'the application', 'hustyuuk', 'next door', 'cheap', 'application', 'smooth']</v>
      </c>
      <c r="D3878" s="3">
        <v>1.0</v>
      </c>
    </row>
    <row r="3879" ht="15.75" customHeight="1">
      <c r="A3879" s="1">
        <v>3877.0</v>
      </c>
      <c r="B3879" s="3" t="s">
        <v>3879</v>
      </c>
      <c r="C3879" s="3" t="str">
        <f>IFERROR(__xludf.DUMMYFUNCTION("GOOGLETRANSLATE(B3879,""id"",""en"")"),"['already', 'enter', 'application', 'purchase', 'method', 'payment', 'use', 'pulse', 'success',' right ',' use ',' notification ',' The rest of ',' Pulsane ',' Kekeke ',' access', 'internet', 'how', 'Tow', 'Telkomselll', 'Disappointed', 'Kayak', 'Gini']")</f>
        <v>['already', 'enter', 'application', 'purchase', 'method', 'payment', 'use', 'pulse', 'success',' right ',' use ',' notification ',' The rest of ',' Pulsane ',' Kekeke ',' access', 'internet', 'how', 'Tow', 'Telkomselll', 'Disappointed', 'Kayak', 'Gini']</v>
      </c>
      <c r="D3879" s="3">
        <v>3.0</v>
      </c>
    </row>
    <row r="3880" ht="15.75" customHeight="1">
      <c r="A3880" s="1">
        <v>3878.0</v>
      </c>
      <c r="B3880" s="3" t="s">
        <v>3880</v>
      </c>
      <c r="C3880" s="3" t="str">
        <f>IFERROR(__xludf.DUMMYFUNCTION("GOOGLETRANSLATE(B3880,""id"",""en"")"),"['Kenap', 'Telkomsel', 'good', 'rich', 'dlu', 'already', 'package', 'expensive', 'kouta', 'internet', 'chick', 'bbrp', ' Count ',' Clock ',' Rich ',' Gini ',' Males', 'Quality', 'Telkomsel', 'ugly']")</f>
        <v>['Kenap', 'Telkomsel', 'good', 'rich', 'dlu', 'already', 'package', 'expensive', 'kouta', 'internet', 'chick', 'bbrp', ' Count ',' Clock ',' Rich ',' Gini ',' Males', 'Quality', 'Telkomsel', 'ugly']</v>
      </c>
      <c r="D3880" s="3">
        <v>2.0</v>
      </c>
    </row>
    <row r="3881" ht="15.75" customHeight="1">
      <c r="A3881" s="1">
        <v>3879.0</v>
      </c>
      <c r="B3881" s="3" t="s">
        <v>3881</v>
      </c>
      <c r="C3881" s="3" t="str">
        <f>IFERROR(__xludf.DUMMYFUNCTION("GOOGLETRANSLATE(B3881,""id"",""en"")"),"['Telkomsel', 'signal', 'Indonesia', 'Mountain', 'Mountains',' Region ',' Kab ',' Pangandaran ',' Signal ',' Top ',' Markotoph ',' Deh ',' ']")</f>
        <v>['Telkomsel', 'signal', 'Indonesia', 'Mountain', 'Mountains',' Region ',' Kab ',' Pangandaran ',' Signal ',' Top ',' Markotoph ',' Deh ',' ']</v>
      </c>
      <c r="D3881" s="3">
        <v>5.0</v>
      </c>
    </row>
    <row r="3882" ht="15.75" customHeight="1">
      <c r="A3882" s="1">
        <v>3880.0</v>
      </c>
      <c r="B3882" s="3" t="s">
        <v>3882</v>
      </c>
      <c r="C3882" s="3" t="str">
        <f>IFERROR(__xludf.DUMMYFUNCTION("GOOGLETRANSLATE(B3882,""id"",""en"")"),"['Severe', 'disappointing', 'signal', 'missing', 'slow', 'stable', 'fast', 'provider', 'use', 'reasons', 'Hadehh', ""]")</f>
        <v>['Severe', 'disappointing', 'signal', 'missing', 'slow', 'stable', 'fast', 'provider', 'use', 'reasons', 'Hadehh', "]</v>
      </c>
      <c r="D3882" s="3">
        <v>1.0</v>
      </c>
    </row>
    <row r="3883" ht="15.75" customHeight="1">
      <c r="A3883" s="1">
        <v>3881.0</v>
      </c>
      <c r="B3883" s="3" t="s">
        <v>3883</v>
      </c>
      <c r="C3883" s="3" t="str">
        <f>IFERROR(__xludf.DUMMYFUNCTION("GOOGLETRANSLATE(B3883,""id"",""en"")"),"['Please', 'repair', 'card', 'Hello', 'slow', 'internet', 'gmn', ""]")</f>
        <v>['Please', 'repair', 'card', 'Hello', 'slow', 'internet', 'gmn', "]</v>
      </c>
      <c r="D3883" s="3">
        <v>1.0</v>
      </c>
    </row>
    <row r="3884" ht="15.75" customHeight="1">
      <c r="A3884" s="1">
        <v>3882.0</v>
      </c>
      <c r="B3884" s="3" t="s">
        <v>3884</v>
      </c>
      <c r="C3884" s="3" t="str">
        <f>IFERROR(__xludf.DUMMYFUNCTION("GOOGLETRANSLATE(B3884,""id"",""en"")"),"['Super', 'duper', 'slow', 'buy', 'quota', 'expensive', 'dipake', 'the network', 'muter', 'mulu']")</f>
        <v>['Super', 'duper', 'slow', 'buy', 'quota', 'expensive', 'dipake', 'the network', 'muter', 'mulu']</v>
      </c>
      <c r="D3884" s="3">
        <v>1.0</v>
      </c>
    </row>
    <row r="3885" ht="15.75" customHeight="1">
      <c r="A3885" s="1">
        <v>3883.0</v>
      </c>
      <c r="B3885" s="3" t="s">
        <v>3885</v>
      </c>
      <c r="C3885" s="3" t="str">
        <f>IFERROR(__xludf.DUMMYFUNCTION("GOOGLETRANSLATE(B3885,""id"",""en"")"),"['Card', 'Telkom', 'already', 'rich', 'wifi', 'clock', 'dead', 'lights',' signal ',' direct ',' ilang ',' special ',' The region ',' Cianjur ',' Region ',' sophisticated ',' bad ',' KLW ',' Want ',' advanced ',' repay ',' waiter ', ""]")</f>
        <v>['Card', 'Telkom', 'already', 'rich', 'wifi', 'clock', 'dead', 'lights',' signal ',' direct ',' ilang ',' special ',' The region ',' Cianjur ',' Region ',' sophisticated ',' bad ',' KLW ',' Want ',' advanced ',' repay ',' waiter ', "]</v>
      </c>
      <c r="D3885" s="3">
        <v>1.0</v>
      </c>
    </row>
    <row r="3886" ht="15.75" customHeight="1">
      <c r="A3886" s="1">
        <v>3884.0</v>
      </c>
      <c r="B3886" s="3" t="s">
        <v>3886</v>
      </c>
      <c r="C3886" s="3" t="str">
        <f>IFERROR(__xludf.DUMMYFUNCTION("GOOGLETRANSLATE(B3886,""id"",""en"")"),"['Telkomsel', 'network', 'The widest', 'free', 'communicating', 'relatives', 'Karna', 'Telkomsel', 'Full', 'Signal', 'Alhamdulillah']")</f>
        <v>['Telkomsel', 'network', 'The widest', 'free', 'communicating', 'relatives', 'Karna', 'Telkomsel', 'Full', 'Signal', 'Alhamdulillah']</v>
      </c>
      <c r="D3886" s="3">
        <v>5.0</v>
      </c>
    </row>
    <row r="3887" ht="15.75" customHeight="1">
      <c r="A3887" s="1">
        <v>3885.0</v>
      </c>
      <c r="B3887" s="3" t="s">
        <v>3887</v>
      </c>
      <c r="C3887" s="3" t="str">
        <f>IFERROR(__xludf.DUMMYFUNCTION("GOOGLETRANSLATE(B3887,""id"",""en"")"),"['Sorry', 'love', 'star', 'buy', 'pulse', 'counter', 'enter', 'right', 'check', 'pulse', 'data', 'turn it off', ' Please, 'Action', 'Proof', 'Touch', 'Ajh']")</f>
        <v>['Sorry', 'love', 'star', 'buy', 'pulse', 'counter', 'enter', 'right', 'check', 'pulse', 'data', 'turn it off', ' Please, 'Action', 'Proof', 'Touch', 'Ajh']</v>
      </c>
      <c r="D3887" s="3">
        <v>1.0</v>
      </c>
    </row>
    <row r="3888" ht="15.75" customHeight="1">
      <c r="A3888" s="1">
        <v>3886.0</v>
      </c>
      <c r="B3888" s="3" t="s">
        <v>3888</v>
      </c>
      <c r="C3888" s="3" t="str">
        <f>IFERROR(__xludf.DUMMYFUNCTION("GOOGLETRANSLATE(B3888,""id"",""en"")"),"['Enter', 'deleted', 'enter', 'MyTelkomsel', 'Kamarin', 'enter']")</f>
        <v>['Enter', 'deleted', 'enter', 'MyTelkomsel', 'Kamarin', 'enter']</v>
      </c>
      <c r="D3888" s="3">
        <v>1.0</v>
      </c>
    </row>
    <row r="3889" ht="15.75" customHeight="1">
      <c r="A3889" s="1">
        <v>3887.0</v>
      </c>
      <c r="B3889" s="3" t="s">
        <v>3889</v>
      </c>
      <c r="C3889" s="3" t="str">
        <f>IFERROR(__xludf.DUMMYFUNCTION("GOOGLETRANSLATE(B3889,""id"",""en"")"),"['slow', 'jammed', 'most', 'ad', 'lottery', 'point', 'abal', 'abal', 'gift']")</f>
        <v>['slow', 'jammed', 'most', 'ad', 'lottery', 'point', 'abal', 'abal', 'gift']</v>
      </c>
      <c r="D3889" s="3">
        <v>1.0</v>
      </c>
    </row>
    <row r="3890" ht="15.75" customHeight="1">
      <c r="A3890" s="1">
        <v>3888.0</v>
      </c>
      <c r="B3890" s="3" t="s">
        <v>3890</v>
      </c>
      <c r="C3890" s="3" t="str">
        <f>IFERROR(__xludf.DUMMYFUNCTION("GOOGLETRANSLATE(B3890,""id"",""en"")"),"['Love', 'Bintang', 'Full', 'My APK', 'Error', 'Paketan', 'Out', 'Sucked', 'Pulses',' Knowledge ',' Operator ',' Please ',' Enhanced ',' Mending ',' Moving ',' Provider ',' BYU ',' Guwe ',' Makai ',' Credit ',' Safe ',' Safe ', ""]")</f>
        <v>['Love', 'Bintang', 'Full', 'My APK', 'Error', 'Paketan', 'Out', 'Sucked', 'Pulses',' Knowledge ',' Operator ',' Please ',' Enhanced ',' Mending ',' Moving ',' Provider ',' BYU ',' Guwe ',' Makai ',' Credit ',' Safe ',' Safe ', "]</v>
      </c>
      <c r="D3890" s="3">
        <v>1.0</v>
      </c>
    </row>
    <row r="3891" ht="15.75" customHeight="1">
      <c r="A3891" s="1">
        <v>3889.0</v>
      </c>
      <c r="B3891" s="3" t="s">
        <v>3891</v>
      </c>
      <c r="C3891" s="3" t="str">
        <f>IFERROR(__xludf.DUMMYFUNCTION("GOOGLETRANSLATE(B3891,""id"",""en"")"),"['Android', 'open', 'application', 'Kenda', '']")</f>
        <v>['Android', 'open', 'application', 'Kenda', '']</v>
      </c>
      <c r="D3891" s="3">
        <v>3.0</v>
      </c>
    </row>
    <row r="3892" ht="15.75" customHeight="1">
      <c r="A3892" s="1">
        <v>3890.0</v>
      </c>
      <c r="B3892" s="3" t="s">
        <v>3892</v>
      </c>
      <c r="C3892" s="3" t="str">
        <f>IFERROR(__xludf.DUMMYFUNCTION("GOOGLETRANSLATE(B3892,""id"",""en"")"),"['Network', 'Telkomsel', 'in the region', 'bad', 'Please', 'improvement', 'because of the Occupational', 'Cuman', 'Telkomsel', 'Tower', ""]")</f>
        <v>['Network', 'Telkomsel', 'in the region', 'bad', 'Please', 'improvement', 'because of the Occupational', 'Cuman', 'Telkomsel', 'Tower', "]</v>
      </c>
      <c r="D3892" s="3">
        <v>1.0</v>
      </c>
    </row>
    <row r="3893" ht="15.75" customHeight="1">
      <c r="A3893" s="1">
        <v>3891.0</v>
      </c>
      <c r="B3893" s="3" t="s">
        <v>3893</v>
      </c>
      <c r="C3893" s="3" t="str">
        <f>IFERROR(__xludf.DUMMYFUNCTION("GOOGLETRANSLATE(B3893,""id"",""en"")"),"['Pay', 'Direct', 'Gopay', 'mandatory', 'contents', 'pulse', 'buy', 'application', 'lie']")</f>
        <v>['Pay', 'Direct', 'Gopay', 'mandatory', 'contents', 'pulse', 'buy', 'application', 'lie']</v>
      </c>
      <c r="D3893" s="3">
        <v>1.0</v>
      </c>
    </row>
    <row r="3894" ht="15.75" customHeight="1">
      <c r="A3894" s="1">
        <v>3892.0</v>
      </c>
      <c r="B3894" s="3" t="s">
        <v>3894</v>
      </c>
      <c r="C3894" s="3" t="str">
        <f>IFERROR(__xludf.DUMMYFUNCTION("GOOGLETRANSLATE(B3894,""id"",""en"")"),"['Best', 'Best', 'The', 'Best', 'advanced', 'truss',' three ',' axis', 'hope', 'triumphant', 'signal', 'Aceh', ' Current ',' WUS ',' WUS ',' User ',' Satisfied ',' Signal ',' Package ',' Internet ',' Cheap ',' Gift ',' Prizes', 'Recommeded', ""]")</f>
        <v>['Best', 'Best', 'The', 'Best', 'advanced', 'truss',' three ',' axis', 'hope', 'triumphant', 'signal', 'Aceh', ' Current ',' WUS ',' WUS ',' User ',' Satisfied ',' Signal ',' Package ',' Internet ',' Cheap ',' Gift ',' Prizes', 'Recommeded', "]</v>
      </c>
      <c r="D3894" s="3">
        <v>5.0</v>
      </c>
    </row>
    <row r="3895" ht="15.75" customHeight="1">
      <c r="A3895" s="1">
        <v>3893.0</v>
      </c>
      <c r="B3895" s="3" t="s">
        <v>3895</v>
      </c>
      <c r="C3895" s="3" t="str">
        <f>IFERROR(__xludf.DUMMYFUNCTION("GOOGLETRANSLATE(B3895,""id"",""en"")"),"['Sell', 'your connection', 'fix', 'pay', 'expensive', 'network', 'slow', 'quota', 'full', 'accept', 'customer']")</f>
        <v>['Sell', 'your connection', 'fix', 'pay', 'expensive', 'network', 'slow', 'quota', 'full', 'accept', 'customer']</v>
      </c>
      <c r="D3895" s="3">
        <v>1.0</v>
      </c>
    </row>
    <row r="3896" ht="15.75" customHeight="1">
      <c r="A3896" s="1">
        <v>3894.0</v>
      </c>
      <c r="B3896" s="3" t="s">
        <v>3896</v>
      </c>
      <c r="C3896" s="3" t="str">
        <f>IFERROR(__xludf.DUMMYFUNCTION("GOOGLETRANSLATE(B3896,""id"",""en"")"),"['Place', 'Sinyal', 'Ancur', 'Error', 'Diservice', 'Liat', 'Reviews',' users', 'Telkomsel', 'complaints',' Price ',' Package ',' The internet is', 'according to', 'quality', 'sinynya', 'already', 'expensive', 'according to', 'quality', 'signal', 'loyal', "&amp;"'Telkomsel', 'give', 'satisfaction' , 'Consumers', '']")</f>
        <v>['Place', 'Sinyal', 'Ancur', 'Error', 'Diservice', 'Liat', 'Reviews',' users', 'Telkomsel', 'complaints',' Price ',' Package ',' The internet is', 'according to', 'quality', 'sinynya', 'already', 'expensive', 'according to', 'quality', 'signal', 'loyal', 'Telkomsel', 'give', 'satisfaction' , 'Consumers', '']</v>
      </c>
      <c r="D3896" s="3">
        <v>2.0</v>
      </c>
    </row>
    <row r="3897" ht="15.75" customHeight="1">
      <c r="A3897" s="1">
        <v>3895.0</v>
      </c>
      <c r="B3897" s="3" t="s">
        <v>3897</v>
      </c>
      <c r="C3897" s="3" t="str">
        <f>IFERROR(__xludf.DUMMYFUNCTION("GOOGLETRANSLATE(B3897,""id"",""en"")"),"['woi', 'telkom', 'udh', 'buy', 'pulse', 'buy', 'pulse', 'use']")</f>
        <v>['woi', 'telkom', 'udh', 'buy', 'pulse', 'buy', 'pulse', 'use']</v>
      </c>
      <c r="D3897" s="3">
        <v>1.0</v>
      </c>
    </row>
    <row r="3898" ht="15.75" customHeight="1">
      <c r="A3898" s="1">
        <v>3896.0</v>
      </c>
      <c r="B3898" s="3" t="s">
        <v>3898</v>
      </c>
      <c r="C3898" s="3" t="str">
        <f>IFERROR(__xludf.DUMMYFUNCTION("GOOGLETRANSLATE(B3898,""id"",""en"")"),"['Confirmation', 'Telkomsel', 'Farah', 'surprisingly', 'name', 'registered', 'Telkomsel', 'changed', 'name', 'person', 'Farah', 'data', ' Taken ',' diskupcapil ',' leaks', 'data', 'diskupcapil', 'easy', 'scattered', 'data', 'diskupcapil', 'misused', 'imag"&amp;"inable', 'tensing', 'million' , 'Data', 'Banking', 'Leak', '']")</f>
        <v>['Confirmation', 'Telkomsel', 'Farah', 'surprisingly', 'name', 'registered', 'Telkomsel', 'changed', 'name', 'person', 'Farah', 'data', ' Taken ',' diskupcapil ',' leaks', 'data', 'diskupcapil', 'easy', 'scattered', 'data', 'diskupcapil', 'misused', 'imaginable', 'tensing', 'million' , 'Data', 'Banking', 'Leak', '']</v>
      </c>
      <c r="D3898" s="3">
        <v>1.0</v>
      </c>
    </row>
    <row r="3899" ht="15.75" customHeight="1">
      <c r="A3899" s="1">
        <v>3897.0</v>
      </c>
      <c r="B3899" s="3" t="s">
        <v>3899</v>
      </c>
      <c r="C3899" s="3" t="str">
        <f>IFERROR(__xludf.DUMMYFUNCTION("GOOGLETRANSLATE(B3899,""id"",""en"")"),"['times',' feel ',' package ',' internet ',' pulse ',' sumps', 'try', 'Telkomsel', 'like', 'gini', 'now', 'please', ' Donk ',' Telkomsel ',' ']")</f>
        <v>['times',' feel ',' package ',' internet ',' pulse ',' sumps', 'try', 'Telkomsel', 'like', 'gini', 'now', 'please', ' Donk ',' Telkomsel ',' ']</v>
      </c>
      <c r="D3899" s="3">
        <v>3.0</v>
      </c>
    </row>
    <row r="3900" ht="15.75" customHeight="1">
      <c r="A3900" s="1">
        <v>3898.0</v>
      </c>
      <c r="B3900" s="3" t="s">
        <v>3900</v>
      </c>
      <c r="C3900" s="3" t="str">
        <f>IFERROR(__xludf.DUMMYFUNCTION("GOOGLETRANSLATE(B3900,""id"",""en"")"),"['KNPA', 'trial', 'verification', 'login', 'logout', 'sya', 'bnyak', 'modem', 'for', 'control', 'pulse', 'data', ' because ',' modem ',' can ',' to do ',' USSD ',' suggestion ',' times', 'verification']")</f>
        <v>['KNPA', 'trial', 'verification', 'login', 'logout', 'sya', 'bnyak', 'modem', 'for', 'control', 'pulse', 'data', ' because ',' modem ',' can ',' to do ',' USSD ',' suggestion ',' times', 'verification']</v>
      </c>
      <c r="D3900" s="3">
        <v>3.0</v>
      </c>
    </row>
    <row r="3901" ht="15.75" customHeight="1">
      <c r="A3901" s="1">
        <v>3899.0</v>
      </c>
      <c r="B3901" s="3" t="s">
        <v>3901</v>
      </c>
      <c r="C3901" s="3" t="str">
        <f>IFERROR(__xludf.DUMMYFUNCTION("GOOGLETRANSLATE(B3901,""id"",""en"")"),"['The network', 'Bad', 'Telkomsel', 'Wrong', 'Telkomsel', 'disappointing', '']")</f>
        <v>['The network', 'Bad', 'Telkomsel', 'Wrong', 'Telkomsel', 'disappointing', '']</v>
      </c>
      <c r="D3901" s="3">
        <v>1.0</v>
      </c>
    </row>
    <row r="3902" ht="15.75" customHeight="1">
      <c r="A3902" s="1">
        <v>3900.0</v>
      </c>
      <c r="B3902" s="3" t="s">
        <v>3902</v>
      </c>
      <c r="C3902" s="3" t="str">
        <f>IFERROR(__xludf.DUMMYFUNCTION("GOOGLETRANSLATE(B3902,""id"",""en"")"),"['price', 'quota', 'balanced', 'service', 'cook', 'price', 'expensive', 'service', 'maximum', 'for example', 'network', 'speed', ' signal']")</f>
        <v>['price', 'quota', 'balanced', 'service', 'cook', 'price', 'expensive', 'service', 'maximum', 'for example', 'network', 'speed', ' signal']</v>
      </c>
      <c r="D3902" s="3">
        <v>1.0</v>
      </c>
    </row>
    <row r="3903" ht="15.75" customHeight="1">
      <c r="A3903" s="1">
        <v>3901.0</v>
      </c>
      <c r="B3903" s="3" t="s">
        <v>3903</v>
      </c>
      <c r="C3903" s="3" t="str">
        <f>IFERROR(__xludf.DUMMYFUNCTION("GOOGLETRANSLATE(B3903,""id"",""en"")"),"['package', 'expensive', 'signal', 'priority', 'boooooooong', 'sinya', 'rich', 'open', 'youtube', 'palingan', 'sinya', 'priority', ' the package ',' expensive ',' search ',' lucky ',' blessing ']")</f>
        <v>['package', 'expensive', 'signal', 'priority', 'boooooooong', 'sinya', 'rich', 'open', 'youtube', 'palingan', 'sinya', 'priority', ' the package ',' expensive ',' search ',' lucky ',' blessing ']</v>
      </c>
      <c r="D3903" s="3">
        <v>1.0</v>
      </c>
    </row>
    <row r="3904" ht="15.75" customHeight="1">
      <c r="A3904" s="1">
        <v>3902.0</v>
      </c>
      <c r="B3904" s="3" t="s">
        <v>3904</v>
      </c>
      <c r="C3904" s="3" t="str">
        <f>IFERROR(__xludf.DUMMYFUNCTION("GOOGLETRANSLATE(B3904,""id"",""en"")"),"['Enter', 'MyTelkomsel', 'Accept', 'SMS', 'Link', 'Forced', 'Uninstall', 'Install', 'Kagak', 'SMS', 'Link']")</f>
        <v>['Enter', 'MyTelkomsel', 'Accept', 'SMS', 'Link', 'Forced', 'Uninstall', 'Install', 'Kagak', 'SMS', 'Link']</v>
      </c>
      <c r="D3904" s="3">
        <v>1.0</v>
      </c>
    </row>
    <row r="3905" ht="15.75" customHeight="1">
      <c r="A3905" s="1">
        <v>3903.0</v>
      </c>
      <c r="B3905" s="3" t="s">
        <v>3905</v>
      </c>
      <c r="C3905" s="3" t="str">
        <f>IFERROR(__xludf.DUMMYFUNCTION("GOOGLETRANSLATE(B3905,""id"",""en"")"),"['Mending', 'Switch', 'Indosat', 'Network', 'Telkomsel', 'Low', 'Tower', 'Cuih']")</f>
        <v>['Mending', 'Switch', 'Indosat', 'Network', 'Telkomsel', 'Low', 'Tower', 'Cuih']</v>
      </c>
      <c r="D3905" s="3">
        <v>1.0</v>
      </c>
    </row>
    <row r="3906" ht="15.75" customHeight="1">
      <c r="A3906" s="1">
        <v>3904.0</v>
      </c>
      <c r="B3906" s="3" t="s">
        <v>3906</v>
      </c>
      <c r="C3906" s="3" t="str">
        <f>IFERROR(__xludf.DUMMYFUNCTION("GOOGLETRANSLATE(B3906,""id"",""en"")"),"['Hello', 'Hello', 'network', 'internet', 'slow', 'kayak', 'conch', 'poison', 'customer', 'mimin', 'card', 'hello', ' "", 'The network', 'Disappointed']")</f>
        <v>['Hello', 'Hello', 'network', 'internet', 'slow', 'kayak', 'conch', 'poison', 'customer', 'mimin', 'card', 'hello', ' ", 'The network', 'Disappointed']</v>
      </c>
      <c r="D3906" s="3">
        <v>1.0</v>
      </c>
    </row>
    <row r="3907" ht="15.75" customHeight="1">
      <c r="A3907" s="1">
        <v>3905.0</v>
      </c>
      <c r="B3907" s="3" t="s">
        <v>3907</v>
      </c>
      <c r="C3907" s="3" t="str">
        <f>IFERROR(__xludf.DUMMYFUNCTION("GOOGLETRANSLATE(B3907,""id"",""en"")"),"['Filling', 'Credit', 'Telkomsel', 'Choosing', 'Method', 'Payment', 'Account', 'Virtual', 'Appear', 'Unverify', 'Session', 'Please', ' Help ',' admin ',' ']")</f>
        <v>['Filling', 'Credit', 'Telkomsel', 'Choosing', 'Method', 'Payment', 'Account', 'Virtual', 'Appear', 'Unverify', 'Session', 'Please', ' Help ',' admin ',' ']</v>
      </c>
      <c r="D3907" s="3">
        <v>1.0</v>
      </c>
    </row>
    <row r="3908" ht="15.75" customHeight="1">
      <c r="A3908" s="1">
        <v>3906.0</v>
      </c>
      <c r="B3908" s="3" t="s">
        <v>3908</v>
      </c>
      <c r="C3908" s="3" t="str">
        <f>IFERROR(__xludf.DUMMYFUNCTION("GOOGLETRANSLATE(B3908,""id"",""en"")"),"['Increase', 'network', 'Telkomsel', 'remote', 'area', 'village', 'network', 'Telkomsel', 'village', 'good', ""]")</f>
        <v>['Increase', 'network', 'Telkomsel', 'remote', 'area', 'village', 'network', 'Telkomsel', 'village', 'good', "]</v>
      </c>
      <c r="D3908" s="3">
        <v>4.0</v>
      </c>
    </row>
    <row r="3909" ht="15.75" customHeight="1">
      <c r="A3909" s="1">
        <v>3907.0</v>
      </c>
      <c r="B3909" s="3" t="s">
        <v>3909</v>
      </c>
      <c r="C3909" s="3" t="str">
        <f>IFERROR(__xludf.DUMMYFUNCTION("GOOGLETRANSLATE(B3909,""id"",""en"")"),"['Paketan', 'Not bad', 'cheap', 'quality', 'speed', 'ping', 'play', 'game', 'different', 'package', 'data', 'expensive', ' connection ',' ping ',' smooth ',' play ',' game ',' comfortable ',' sorry ',' star ',' fix ',' thank you ']")</f>
        <v>['Paketan', 'Not bad', 'cheap', 'quality', 'speed', 'ping', 'play', 'game', 'different', 'package', 'data', 'expensive', ' connection ',' ping ',' smooth ',' play ',' game ',' comfortable ',' sorry ',' star ',' fix ',' thank you ']</v>
      </c>
      <c r="D3909" s="3">
        <v>4.0</v>
      </c>
    </row>
    <row r="3910" ht="15.75" customHeight="1">
      <c r="A3910" s="1">
        <v>3908.0</v>
      </c>
      <c r="B3910" s="3" t="s">
        <v>3910</v>
      </c>
      <c r="C3910" s="3" t="str">
        <f>IFERROR(__xludf.DUMMYFUNCTION("GOOGLETRANSLATE(B3910,""id"",""en"")"),"['Stay', 'city', 'Tangsel', 'signal', 'slow', 'run out', 'rain', 'approaching', 'era', 'like', 'gini', 'network', ' Hello ',' Telkomsel ',' Bankrupt ',' GMN ',' Ancurrr ',' Connection ',' Internet ',' ']")</f>
        <v>['Stay', 'city', 'Tangsel', 'signal', 'slow', 'run out', 'rain', 'approaching', 'era', 'like', 'gini', 'network', ' Hello ',' Telkomsel ',' Bankrupt ',' GMN ',' Ancurrr ',' Connection ',' Internet ',' ']</v>
      </c>
      <c r="D3910" s="3">
        <v>1.0</v>
      </c>
    </row>
    <row r="3911" ht="15.75" customHeight="1">
      <c r="A3911" s="1">
        <v>3909.0</v>
      </c>
      <c r="B3911" s="3" t="s">
        <v>3911</v>
      </c>
      <c r="C3911" s="3" t="str">
        <f>IFERROR(__xludf.DUMMYFUNCTION("GOOGLETRANSLATE(B3911,""id"",""en"")"),"['signal', 'ilang', 'many', 'times',' price ',' expensive ',' consistent ',' price ',' idiot ',' ngekame ',' ping ',' ilang ',' ']")</f>
        <v>['signal', 'ilang', 'many', 'times',' price ',' expensive ',' consistent ',' price ',' idiot ',' ngekame ',' ping ',' ilang ',' ']</v>
      </c>
      <c r="D3911" s="3">
        <v>1.0</v>
      </c>
    </row>
    <row r="3912" ht="15.75" customHeight="1">
      <c r="A3912" s="1">
        <v>3910.0</v>
      </c>
      <c r="B3912" s="3" t="s">
        <v>3912</v>
      </c>
      <c r="C3912" s="3" t="str">
        <f>IFERROR(__xludf.DUMMYFUNCTION("GOOGLETRANSLATE(B3912,""id"",""en"")"),"['Telkomsel', 'damn', 'application', 'worst', 'evergua', 'bagusan', 'yellow', 'transparent', 'mengiming', 'imingi', 'trapping', 'customers',' Points', 'exchanged', 'car', 'buy', 'pulse', 'you']")</f>
        <v>['Telkomsel', 'damn', 'application', 'worst', 'evergua', 'bagusan', 'yellow', 'transparent', 'mengiming', 'imingi', 'trapping', 'customers',' Points', 'exchanged', 'car', 'buy', 'pulse', 'you']</v>
      </c>
      <c r="D3912" s="3">
        <v>1.0</v>
      </c>
    </row>
    <row r="3913" ht="15.75" customHeight="1">
      <c r="A3913" s="1">
        <v>3911.0</v>
      </c>
      <c r="B3913" s="3" t="s">
        <v>3913</v>
      </c>
      <c r="C3913" s="3" t="str">
        <f>IFERROR(__xludf.DUMMYFUNCTION("GOOGLETRANSLATE(B3913,""id"",""en"")"),"['promo', 'his pants',' culuced ',' point ',' rendem ',' package ',' data ',' repeat ',' try ',' fail ',' inbox ',' enter ',' Category ',' GOLD ',' BUMN ',' Gini ',' Shy ',' State ',' Nation ',' Indonesia ', ""]")</f>
        <v>['promo', 'his pants',' culuced ',' point ',' rendem ',' package ',' data ',' repeat ',' try ',' fail ',' inbox ',' enter ',' Category ',' GOLD ',' BUMN ',' Gini ',' Shy ',' State ',' Nation ',' Indonesia ', "]</v>
      </c>
      <c r="D3913" s="3">
        <v>1.0</v>
      </c>
    </row>
    <row r="3914" ht="15.75" customHeight="1">
      <c r="A3914" s="1">
        <v>3912.0</v>
      </c>
      <c r="B3914" s="3" t="s">
        <v>3914</v>
      </c>
      <c r="C3914" s="3" t="str">
        <f>IFERROR(__xludf.DUMMYFUNCTION("GOOGLETRANSLATE(B3914,""id"",""en"")"),"['Updated', 'Severe', 'slow', 'slow', 'really', 'lucky', 'love', 'star', 'coy']")</f>
        <v>['Updated', 'Severe', 'slow', 'slow', 'really', 'lucky', 'love', 'star', 'coy']</v>
      </c>
      <c r="D3914" s="3">
        <v>1.0</v>
      </c>
    </row>
    <row r="3915" ht="15.75" customHeight="1">
      <c r="A3915" s="1">
        <v>3913.0</v>
      </c>
      <c r="B3915" s="3" t="s">
        <v>3915</v>
      </c>
      <c r="C3915" s="3" t="str">
        <f>IFERROR(__xludf.DUMMYFUNCTION("GOOGLETRANSLATE(B3915,""id"",""en"")"),"['Always',' enthusiasm ',' meet ',' needs', 'consumers',' network ',' internet ',' increasingly ',' increasingly ',' needed ',' supports', 'full', ' Telkomsel ',' consistency ',' service ',' best ',' thank ',' love ',' Telkomsel ', ""]")</f>
        <v>['Always',' enthusiasm ',' meet ',' needs', 'consumers',' network ',' internet ',' increasingly ',' increasingly ',' needed ',' supports', 'full', ' Telkomsel ',' consistency ',' service ',' best ',' thank ',' love ',' Telkomsel ', "]</v>
      </c>
      <c r="D3915" s="3">
        <v>4.0</v>
      </c>
    </row>
    <row r="3916" ht="15.75" customHeight="1">
      <c r="A3916" s="1">
        <v>3914.0</v>
      </c>
      <c r="B3916" s="3" t="s">
        <v>3916</v>
      </c>
      <c r="C3916" s="3" t="str">
        <f>IFERROR(__xludf.DUMMYFUNCTION("GOOGLETRANSLATE(B3916,""id"",""en"")"),"['buy', 'package', 'unlimeted', 'quota', 'main', 'run out', 'quota', 'unlimeted', 'slow', 'forgiveness',' used ',' quota ',' Unlimeted ',' Different ',' Provider ',' Quota ',' Unlimeted ',' Tetep ',' Kenceng ',' Used ',' Use ',' Account ',' Business', 'Ch"&amp;"oose', 'Change' , '']")</f>
        <v>['buy', 'package', 'unlimeted', 'quota', 'main', 'run out', 'quota', 'unlimeted', 'slow', 'forgiveness',' used ',' quota ',' Unlimeted ',' Different ',' Provider ',' Quota ',' Unlimeted ',' Tetep ',' Kenceng ',' Used ',' Use ',' Account ',' Business', 'Choose', 'Change' , '']</v>
      </c>
      <c r="D3916" s="3">
        <v>1.0</v>
      </c>
    </row>
    <row r="3917" ht="15.75" customHeight="1">
      <c r="A3917" s="1">
        <v>3915.0</v>
      </c>
      <c r="B3917" s="3" t="s">
        <v>3917</v>
      </c>
      <c r="C3917" s="3" t="str">
        <f>IFERROR(__xludf.DUMMYFUNCTION("GOOGLETRANSLATE(B3917,""id"",""en"")"),"['Excuse', 'complement', 'Father', 'card', 'Hello', 'rare', 'dipake', 'at home', 'pairs',' wifi ',' right ',' tap ',' told to ',' pay ',' pay ',' gangotot ',' know ',' fraud ',' really ',' card ',' hello ',' really ',' really ',' disappointed ']")</f>
        <v>['Excuse', 'complement', 'Father', 'card', 'Hello', 'rare', 'dipake', 'at home', 'pairs',' wifi ',' right ',' tap ',' told to ',' pay ',' pay ',' gangotot ',' know ',' fraud ',' really ',' card ',' hello ',' really ',' really ',' disappointed ']</v>
      </c>
      <c r="D3917" s="3">
        <v>1.0</v>
      </c>
    </row>
    <row r="3918" ht="15.75" customHeight="1">
      <c r="A3918" s="1">
        <v>3916.0</v>
      </c>
      <c r="B3918" s="3" t="s">
        <v>3918</v>
      </c>
      <c r="C3918" s="3" t="str">
        <f>IFERROR(__xludf.DUMMYFUNCTION("GOOGLETRANSLATE(B3918,""id"",""en"")"),"['Maling', 'pulse', 'thousand', 'hours',' abis', 'ngak', 'dauka', 'how', 'told', 'send', 'complaint', 'mulu', ' Fix ',' Aware ',' Wait ',' Loss', 'Delicious',' Untung ',' Already ',' Life ',' Hard ',' Stupid ',' Folk ',' Udh ',' Nyari ' , 'trust', 'consum"&amp;"ers',' dead ',' already ',' Jaya ',' Rampok ',' consumers', 'NGK', 'Moving', 'Operator', 'Ajalah', 'Mending', ' Maling ',' Telkom ',' ']")</f>
        <v>['Maling', 'pulse', 'thousand', 'hours',' abis', 'ngak', 'dauka', 'how', 'told', 'send', 'complaint', 'mulu', ' Fix ',' Aware ',' Wait ',' Loss', 'Delicious',' Untung ',' Already ',' Life ',' Hard ',' Stupid ',' Folk ',' Udh ',' Nyari ' , 'trust', 'consumers',' dead ',' already ',' Jaya ',' Rampok ',' consumers', 'NGK', 'Moving', 'Operator', 'Ajalah', 'Mending', ' Maling ',' Telkom ',' ']</v>
      </c>
      <c r="D3918" s="3">
        <v>1.0</v>
      </c>
    </row>
    <row r="3919" ht="15.75" customHeight="1">
      <c r="A3919" s="1">
        <v>3917.0</v>
      </c>
      <c r="B3919" s="3" t="s">
        <v>3919</v>
      </c>
      <c r="C3919" s="3" t="str">
        <f>IFERROR(__xludf.DUMMYFUNCTION("GOOGLETRANSLATE(B3919,""id"",""en"")"),"['Telkomsel', 'Points', 'Sunday', 'Stubs', 'wkwkwkwkk', 'zonk', 'what', 'min', 'get', 'hahaa']")</f>
        <v>['Telkomsel', 'Points', 'Sunday', 'Stubs', 'wkwkwkwkk', 'zonk', 'what', 'min', 'get', 'hahaa']</v>
      </c>
      <c r="D3919" s="3">
        <v>5.0</v>
      </c>
    </row>
    <row r="3920" ht="15.75" customHeight="1">
      <c r="A3920" s="1">
        <v>3918.0</v>
      </c>
      <c r="B3920" s="3" t="s">
        <v>3920</v>
      </c>
      <c r="C3920" s="3" t="str">
        <f>IFERROR(__xludf.DUMMYFUNCTION("GOOGLETRANSLATE(B3920,""id"",""en"")"),"['Love', 'Star', 'Gara', 'Unlimited', 'YouTube', 'Missing', 'already', 'that's']")</f>
        <v>['Love', 'Star', 'Gara', 'Unlimited', 'YouTube', 'Missing', 'already', 'that's']</v>
      </c>
      <c r="D3920" s="3">
        <v>1.0</v>
      </c>
    </row>
    <row r="3921" ht="15.75" customHeight="1">
      <c r="A3921" s="1">
        <v>3919.0</v>
      </c>
      <c r="B3921" s="3" t="s">
        <v>3921</v>
      </c>
      <c r="C3921" s="3" t="str">
        <f>IFERROR(__xludf.DUMMYFUNCTION("GOOGLETRANSLATE(B3921,""id"",""en"")"),"['Telkomsel', 'send', 'Gift', 'Package', 'Combo', 'Sakti', 'friend', 'family', ""]")</f>
        <v>['Telkomsel', 'send', 'Gift', 'Package', 'Combo', 'Sakti', 'friend', 'family', "]</v>
      </c>
      <c r="D3921" s="3">
        <v>5.0</v>
      </c>
    </row>
    <row r="3922" ht="15.75" customHeight="1">
      <c r="A3922" s="1">
        <v>3920.0</v>
      </c>
      <c r="B3922" s="3" t="s">
        <v>3922</v>
      </c>
      <c r="C3922" s="3" t="str">
        <f>IFERROR(__xludf.DUMMYFUNCTION("GOOGLETRANSLATE(B3922,""id"",""en"")"),"['network', 'quality', 'signal', 'hope', 'maintained', '']")</f>
        <v>['network', 'quality', 'signal', 'hope', 'maintained', '']</v>
      </c>
      <c r="D3922" s="3">
        <v>5.0</v>
      </c>
    </row>
    <row r="3923" ht="15.75" customHeight="1">
      <c r="A3923" s="1">
        <v>3921.0</v>
      </c>
      <c r="B3923" s="3" t="s">
        <v>3923</v>
      </c>
      <c r="C3923" s="3" t="str">
        <f>IFERROR(__xludf.DUMMYFUNCTION("GOOGLETRANSLATE(B3923,""id"",""en"")"),"['', 'times',' prank ',' Telkomsel ',' already ',' buy ',' pulse ',' nggk ',' buy ',' package ',' manapulse ',' stuff ',' bad ',' Service ',' Plat ',' Red ']")</f>
        <v>['', 'times',' prank ',' Telkomsel ',' already ',' buy ',' pulse ',' nggk ',' buy ',' package ',' manapulse ',' stuff ',' bad ',' Service ',' Plat ',' Red ']</v>
      </c>
      <c r="D3923" s="3">
        <v>1.0</v>
      </c>
    </row>
    <row r="3924" ht="15.75" customHeight="1">
      <c r="A3924" s="1">
        <v>3922.0</v>
      </c>
      <c r="B3924" s="3" t="s">
        <v>3924</v>
      </c>
      <c r="C3924" s="3" t="str">
        <f>IFERROR(__xludf.DUMMYFUNCTION("GOOGLETRANSLATE(B3924,""id"",""en"")"),"['Improved', 'quality', 'great', 'Telkomsel', 'brave', 'gift']")</f>
        <v>['Improved', 'quality', 'great', 'Telkomsel', 'brave', 'gift']</v>
      </c>
      <c r="D3924" s="3">
        <v>5.0</v>
      </c>
    </row>
    <row r="3925" ht="15.75" customHeight="1">
      <c r="A3925" s="1">
        <v>3923.0</v>
      </c>
      <c r="B3925" s="3" t="s">
        <v>3925</v>
      </c>
      <c r="C3925" s="3" t="str">
        <f>IFERROR(__xludf.DUMMYFUNCTION("GOOGLETRANSLATE(B3925,""id"",""en"")"),"['application', 'pulse', 'buy', 'quota', 'leftover', 'buy', 'gobbykk']")</f>
        <v>['application', 'pulse', 'buy', 'quota', 'leftover', 'buy', 'gobbykk']</v>
      </c>
      <c r="D3925" s="3">
        <v>1.0</v>
      </c>
    </row>
    <row r="3926" ht="15.75" customHeight="1">
      <c r="A3926" s="1">
        <v>3924.0</v>
      </c>
      <c r="B3926" s="3" t="s">
        <v>3926</v>
      </c>
      <c r="C3926" s="3" t="str">
        <f>IFERROR(__xludf.DUMMYFUNCTION("GOOGLETRANSLATE(B3926,""id"",""en"")"),"['Assalamu', 'Alaikum', 'Please', 'Sorry', 'Sis',' Suggestions', 'Please', 'Daily', 'Chek', 'Redem', 'Credit', 'Points',' Telkomsel ']")</f>
        <v>['Assalamu', 'Alaikum', 'Please', 'Sorry', 'Sis',' Suggestions', 'Please', 'Daily', 'Chek', 'Redem', 'Credit', 'Points',' Telkomsel ']</v>
      </c>
      <c r="D3926" s="3">
        <v>1.0</v>
      </c>
    </row>
    <row r="3927" ht="15.75" customHeight="1">
      <c r="A3927" s="1">
        <v>3925.0</v>
      </c>
      <c r="B3927" s="3" t="s">
        <v>3927</v>
      </c>
      <c r="C3927" s="3" t="str">
        <f>IFERROR(__xludf.DUMMYFUNCTION("GOOGLETRANSLATE(B3927,""id"",""en"")"),"['Please', 'pulse', 'internet', 'perman', 'community', 'enjoy it']")</f>
        <v>['Please', 'pulse', 'internet', 'perman', 'community', 'enjoy it']</v>
      </c>
      <c r="D3927" s="3">
        <v>5.0</v>
      </c>
    </row>
    <row r="3928" ht="15.75" customHeight="1">
      <c r="A3928" s="1">
        <v>3926.0</v>
      </c>
      <c r="B3928" s="3" t="s">
        <v>3928</v>
      </c>
      <c r="C3928" s="3" t="str">
        <f>IFERROR(__xludf.DUMMYFUNCTION("GOOGLETRANSLATE(B3928,""id"",""en"")"),"['application', 'accurate', 'fast', 'multiply', 'promotion', 'smooth', 'signal']")</f>
        <v>['application', 'accurate', 'fast', 'multiply', 'promotion', 'smooth', 'signal']</v>
      </c>
      <c r="D3928" s="3">
        <v>5.0</v>
      </c>
    </row>
    <row r="3929" ht="15.75" customHeight="1">
      <c r="A3929" s="1">
        <v>3927.0</v>
      </c>
      <c r="B3929" s="3" t="s">
        <v>3929</v>
      </c>
      <c r="C3929" s="3" t="str">
        <f>IFERROR(__xludf.DUMMYFUNCTION("GOOGLETRANSLATE(B3929,""id"",""en"")"),"['Telkomsel', 'Credit', 'cave', 'ilang', 'Gunain', 'Mendingn', 'card', 'exis',' Indosat ',' tri ',' pulse ',' safe ',' lost']")</f>
        <v>['Telkomsel', 'Credit', 'cave', 'ilang', 'Gunain', 'Mendingn', 'card', 'exis',' Indosat ',' tri ',' pulse ',' safe ',' lost']</v>
      </c>
      <c r="D3929" s="3">
        <v>1.0</v>
      </c>
    </row>
    <row r="3930" ht="15.75" customHeight="1">
      <c r="A3930" s="1">
        <v>3928.0</v>
      </c>
      <c r="B3930" s="3" t="s">
        <v>3930</v>
      </c>
      <c r="C3930" s="3" t="str">
        <f>IFERROR(__xludf.DUMMYFUNCTION("GOOGLETRANSLATE(B3930,""id"",""en"")"),"['network', 'fertilier', 'bad', 'sucking', 'pulse', 'kayak', 'Telkomsel', 'comfortable', 'telkom', 'aspect', 'network', 'service', ' Virtual ']")</f>
        <v>['network', 'fertilier', 'bad', 'sucking', 'pulse', 'kayak', 'Telkomsel', 'comfortable', 'telkom', 'aspect', 'network', 'service', ' Virtual ']</v>
      </c>
      <c r="D3930" s="3">
        <v>1.0</v>
      </c>
    </row>
    <row r="3931" ht="15.75" customHeight="1">
      <c r="A3931" s="1">
        <v>3929.0</v>
      </c>
      <c r="B3931" s="3" t="s">
        <v>3931</v>
      </c>
      <c r="C3931" s="3" t="str">
        <f>IFERROR(__xludf.DUMMYFUNCTION("GOOGLETRANSLATE(B3931,""id"",""en"")"),"['price', 'package', 'quota', 'card', 'card']")</f>
        <v>['price', 'package', 'quota', 'card', 'card']</v>
      </c>
      <c r="D3931" s="3">
        <v>3.0</v>
      </c>
    </row>
    <row r="3932" ht="15.75" customHeight="1">
      <c r="A3932" s="1">
        <v>3930.0</v>
      </c>
      <c r="B3932" s="3" t="s">
        <v>3932</v>
      </c>
      <c r="C3932" s="3" t="str">
        <f>IFERROR(__xludf.DUMMYFUNCTION("GOOGLETRANSLATE(B3932,""id"",""en"")"),"['update', 'version', 'Must', 'errrror', 'price', 'package', 'expensive', 'times',' innovation ',' change ',' logo ',' doang ',' Emang ',' The ',' Best ',' ']")</f>
        <v>['update', 'version', 'Must', 'errrror', 'price', 'package', 'expensive', 'times',' innovation ',' change ',' logo ',' doang ',' Emang ',' The ',' Best ',' ']</v>
      </c>
      <c r="D3932" s="3">
        <v>5.0</v>
      </c>
    </row>
    <row r="3933" ht="15.75" customHeight="1">
      <c r="A3933" s="1">
        <v>3931.0</v>
      </c>
      <c r="B3933" s="3" t="s">
        <v>3933</v>
      </c>
      <c r="C3933" s="3" t="str">
        <f>IFERROR(__xludf.DUMMYFUNCTION("GOOGLETRANSLATE(B3933,""id"",""en"")"),"['Steady', 'price', 'derived', 'package', 'combo', 'plus', 'unlimited', 'multimedia']")</f>
        <v>['Steady', 'price', 'derived', 'package', 'combo', 'plus', 'unlimited', 'multimedia']</v>
      </c>
      <c r="D3933" s="3">
        <v>5.0</v>
      </c>
    </row>
    <row r="3934" ht="15.75" customHeight="1">
      <c r="A3934" s="1">
        <v>3932.0</v>
      </c>
      <c r="B3934" s="3" t="s">
        <v>3934</v>
      </c>
      <c r="C3934" s="3" t="str">
        <f>IFERROR(__xludf.DUMMYFUNCTION("GOOGLETRANSLATE(B3934,""id"",""en"")"),"['Star', 'Disappointed', 'Times',' Purchase ',' Package ',' Learning ',' Description ',' Written ',' Forward ',' Package ',' Zoom ',' Gmeet ',' etc. ',' right ',' gmeet ',' reach ',' SLL ',' out ',' minute ',' enter ',' room ',' meeting ',' zoom ',' pdhl "&amp;"',' signal ' , 'home', 'safe', 'controlled', 'please', 'followed up', 'customer', 'led to', ""]")</f>
        <v>['Star', 'Disappointed', 'Times',' Purchase ',' Package ',' Learning ',' Description ',' Written ',' Forward ',' Package ',' Zoom ',' Gmeet ',' etc. ',' right ',' gmeet ',' reach ',' SLL ',' out ',' minute ',' enter ',' room ',' meeting ',' zoom ',' pdhl ',' signal ' , 'home', 'safe', 'controlled', 'please', 'followed up', 'customer', 'led to', "]</v>
      </c>
      <c r="D3934" s="3">
        <v>2.0</v>
      </c>
    </row>
    <row r="3935" ht="15.75" customHeight="1">
      <c r="A3935" s="1">
        <v>3933.0</v>
      </c>
      <c r="B3935" s="3" t="s">
        <v>3935</v>
      </c>
      <c r="C3935" s="3" t="str">
        <f>IFERROR(__xludf.DUMMYFUNCTION("GOOGLETRANSLATE(B3935,""id"",""en"")"),"['Ngeluh', 'Responding', 'Seriously', 'users', 'Telkomsel', 'annoyed', 'Network', 'deteriorating']")</f>
        <v>['Ngeluh', 'Responding', 'Seriously', 'users', 'Telkomsel', 'annoyed', 'Network', 'deteriorating']</v>
      </c>
      <c r="D3935" s="3">
        <v>1.0</v>
      </c>
    </row>
    <row r="3936" ht="15.75" customHeight="1">
      <c r="A3936" s="1">
        <v>3934.0</v>
      </c>
      <c r="B3936" s="3" t="s">
        <v>3936</v>
      </c>
      <c r="C3936" s="3" t="str">
        <f>IFERROR(__xludf.DUMMYFUNCTION("GOOGLETRANSLATE(B3936,""id"",""en"")"),"['Telkomsel', 'tomorrow', 'see', 'reduced', 'please', 'help', 'love', 'star']")</f>
        <v>['Telkomsel', 'tomorrow', 'see', 'reduced', 'please', 'help', 'love', 'star']</v>
      </c>
      <c r="D3936" s="3">
        <v>1.0</v>
      </c>
    </row>
    <row r="3937" ht="15.75" customHeight="1">
      <c r="A3937" s="1">
        <v>3935.0</v>
      </c>
      <c r="B3937" s="3" t="s">
        <v>3937</v>
      </c>
      <c r="C3937" s="3" t="str">
        <f>IFERROR(__xludf.DUMMYFUNCTION("GOOGLETRANSLATE(B3937,""id"",""en"")"),"['package', 'cheap', 'cook', 'package', 'expensive', 'interested', 'buy', 'the application', 'increase', 'Jngan', 'forget', 'Dbat', ' LBIH ',' cheap ',' package ',' internet ']")</f>
        <v>['package', 'cheap', 'cook', 'package', 'expensive', 'interested', 'buy', 'the application', 'increase', 'Jngan', 'forget', 'Dbat', ' LBIH ',' cheap ',' package ',' internet ']</v>
      </c>
      <c r="D3937" s="3">
        <v>5.0</v>
      </c>
    </row>
    <row r="3938" ht="15.75" customHeight="1">
      <c r="A3938" s="1">
        <v>3936.0</v>
      </c>
      <c r="B3938" s="3" t="s">
        <v>3938</v>
      </c>
      <c r="C3938" s="3" t="str">
        <f>IFERROR(__xludf.DUMMYFUNCTION("GOOGLETRANSLATE(B3938,""id"",""en"")"),"['Min', 'Buy', 'Voucher', 'Telkomsel', 'Installation', 'Zone', 'Activated', 'Zone', 'Different', 'Times',' Return ',' Automatic ',' Package ',' local ',' detrimental ',' disappointed ',' admin ',' thank you ']")</f>
        <v>['Min', 'Buy', 'Voucher', 'Telkomsel', 'Installation', 'Zone', 'Activated', 'Zone', 'Different', 'Times',' Return ',' Automatic ',' Package ',' local ',' detrimental ',' disappointed ',' admin ',' thank you ']</v>
      </c>
      <c r="D3938" s="3">
        <v>1.0</v>
      </c>
    </row>
    <row r="3939" ht="15.75" customHeight="1">
      <c r="A3939" s="1">
        <v>3937.0</v>
      </c>
      <c r="B3939" s="3" t="s">
        <v>3939</v>
      </c>
      <c r="C3939" s="3" t="str">
        <f>IFERROR(__xludf.DUMMYFUNCTION("GOOGLETRANSLATE(B3939,""id"",""en"")"),"['Telkomsel', 'useful', 'makes it easy', 'transaction']")</f>
        <v>['Telkomsel', 'useful', 'makes it easy', 'transaction']</v>
      </c>
      <c r="D3939" s="3">
        <v>5.0</v>
      </c>
    </row>
    <row r="3940" ht="15.75" customHeight="1">
      <c r="A3940" s="1">
        <v>3938.0</v>
      </c>
      <c r="B3940" s="3" t="s">
        <v>3940</v>
      </c>
      <c r="C3940" s="3" t="str">
        <f>IFERROR(__xludf.DUMMYFUNCTION("GOOGLETRANSLATE(B3940,""id"",""en"")"),"['', 'KNP', 'Network', 'Mentik', 'times',' at the same time ',' learn ',' slow ',' times', 'pliss',' love ',' network ',' good ',' Current ',' love ',' star ',' ']")</f>
        <v>['', 'KNP', 'Network', 'Mentik', 'times',' at the same time ',' learn ',' slow ',' times', 'pliss',' love ',' network ',' good ',' Current ',' love ',' star ',' ']</v>
      </c>
      <c r="D3940" s="3">
        <v>1.0</v>
      </c>
    </row>
    <row r="3941" ht="15.75" customHeight="1">
      <c r="A3941" s="1">
        <v>3939.0</v>
      </c>
      <c r="B3941" s="3" t="s">
        <v>3941</v>
      </c>
      <c r="C3941" s="3" t="str">
        <f>IFERROR(__xludf.DUMMYFUNCTION("GOOGLETRANSLATE(B3941,""id"",""en"")"),"['buy', 'Kuita', 'GameSmax', 'MyTelkomsel', 'Dipake', 'complaints',' responded ',' Contact ',' Paid ',' Melaluu ​​',' Veronika ',' Harm ',' ']")</f>
        <v>['buy', 'Kuita', 'GameSmax', 'MyTelkomsel', 'Dipake', 'complaints',' responded ',' Contact ',' Paid ',' Melaluu ​​',' Veronika ',' Harm ',' ']</v>
      </c>
      <c r="D3941" s="3">
        <v>1.0</v>
      </c>
    </row>
    <row r="3942" ht="15.75" customHeight="1">
      <c r="A3942" s="1">
        <v>3940.0</v>
      </c>
      <c r="B3942" s="3" t="s">
        <v>3942</v>
      </c>
      <c r="C3942" s="3" t="str">
        <f>IFERROR(__xludf.DUMMYFUNCTION("GOOGLETRANSLATE(B3942,""id"",""en"")"),"['quota', 'maxstream', 'no', 'used', 'ngerugiin', 'customer']")</f>
        <v>['quota', 'maxstream', 'no', 'used', 'ngerugiin', 'customer']</v>
      </c>
      <c r="D3942" s="3">
        <v>1.0</v>
      </c>
    </row>
    <row r="3943" ht="15.75" customHeight="1">
      <c r="A3943" s="1">
        <v>3941.0</v>
      </c>
      <c r="B3943" s="3" t="s">
        <v>3943</v>
      </c>
      <c r="C3943" s="3" t="str">
        <f>IFERROR(__xludf.DUMMYFUNCTION("GOOGLETRANSLATE(B3943,""id"",""en"")"),"['Credit', 'Cut', 'Meng', 'Access', 'Internet', 'Please', 'Explanation', '']")</f>
        <v>['Credit', 'Cut', 'Meng', 'Access', 'Internet', 'Please', 'Explanation', '']</v>
      </c>
      <c r="D3943" s="3">
        <v>1.0</v>
      </c>
    </row>
    <row r="3944" ht="15.75" customHeight="1">
      <c r="A3944" s="1">
        <v>3942.0</v>
      </c>
      <c r="B3944" s="3" t="s">
        <v>3944</v>
      </c>
      <c r="C3944" s="3" t="str">
        <f>IFERROR(__xludf.DUMMYFUNCTION("GOOGLETRANSLATE(B3944,""id"",""en"")"),"['told', 'check', 'application', 'MyTelkomsel', 'buy', 'Package', 'bought', 'bought', 'given', 'offer', 'deleted', 'the application', ' Please, 'The application', 'repaired', '']")</f>
        <v>['told', 'check', 'application', 'MyTelkomsel', 'buy', 'Package', 'bought', 'bought', 'given', 'offer', 'deleted', 'the application', ' Please, 'The application', 'repaired', '']</v>
      </c>
      <c r="D3944" s="3">
        <v>3.0</v>
      </c>
    </row>
    <row r="3945" ht="15.75" customHeight="1">
      <c r="A3945" s="1">
        <v>3943.0</v>
      </c>
      <c r="B3945" s="3" t="s">
        <v>3945</v>
      </c>
      <c r="C3945" s="3" t="str">
        <f>IFERROR(__xludf.DUMMYFUNCTION("GOOGLETRANSLATE(B3945,""id"",""en"")"),"['Puncture', 'quota', 'Game', 'Maen', 'Game', 'Ngelag', 'Ngeleg', 'Package', 'Internet', 'Ngeeleg', 'Raying', 'Buy', ' Package ',' Game ',' ']")</f>
        <v>['Puncture', 'quota', 'Game', 'Maen', 'Game', 'Ngelag', 'Ngeleg', 'Package', 'Internet', 'Ngeeleg', 'Raying', 'Buy', ' Package ',' Game ',' ']</v>
      </c>
      <c r="D3945" s="3">
        <v>1.0</v>
      </c>
    </row>
    <row r="3946" ht="15.75" customHeight="1">
      <c r="A3946" s="1">
        <v>3944.0</v>
      </c>
      <c r="B3946" s="3" t="s">
        <v>3946</v>
      </c>
      <c r="C3946" s="3" t="str">
        <f>IFERROR(__xludf.DUMMYFUNCTION("GOOGLETRANSLATE(B3946,""id"",""en"")"),"['', 'Telkomsel', 'Satisfied', 'users',' Telkomsel ',' trapped ',' disappointed ',' application ',' quality ',' difficult ',' loading ',' truss', 'pket ',' expensive ',' cheap ',' shopee ',' full ',' star ',' haduhh ',' have ',' ']")</f>
        <v>['', 'Telkomsel', 'Satisfied', 'users',' Telkomsel ',' trapped ',' disappointed ',' application ',' quality ',' difficult ',' loading ',' truss', 'pket ',' expensive ',' cheap ',' shopee ',' full ',' star ',' haduhh ',' have ',' ']</v>
      </c>
      <c r="D3946" s="3">
        <v>1.0</v>
      </c>
    </row>
    <row r="3947" ht="15.75" customHeight="1">
      <c r="A3947" s="1">
        <v>3945.0</v>
      </c>
      <c r="B3947" s="3" t="s">
        <v>3947</v>
      </c>
      <c r="C3947" s="3" t="str">
        <f>IFERROR(__xludf.DUMMYFUNCTION("GOOGLETRANSLATE(B3947,""id"",""en"")"),"['Good', 'Lack', 'Lottery', 'Win', 'Her About', 'Satisfied', 'No', 'Discount', 'Data', 'Package', 'Thank', 'Love']")</f>
        <v>['Good', 'Lack', 'Lottery', 'Win', 'Her About', 'Satisfied', 'No', 'Discount', 'Data', 'Package', 'Thank', 'Love']</v>
      </c>
      <c r="D3947" s="3">
        <v>5.0</v>
      </c>
    </row>
    <row r="3948" ht="15.75" customHeight="1">
      <c r="A3948" s="1">
        <v>3946.0</v>
      </c>
      <c r="B3948" s="3" t="s">
        <v>3948</v>
      </c>
      <c r="C3948" s="3" t="str">
        <f>IFERROR(__xludf.DUMMYFUNCTION("GOOGLETRANSLATE(B3948,""id"",""en"")"),"['Please', 'Telkomsel', 'The network', 'Fix', 'The network', 'stable', 'really', 'already', 'price', 'package', 'expensive', 'quality', ' The network is', 'Mekah', 'seimbah', 'the price', 'depends',' card ',' Telkomsel ',' sending ',' Telkomsel ',' promo "&amp;"',' already ',' he can ',' his network ' , 'no', 'karuan']")</f>
        <v>['Please', 'Telkomsel', 'The network', 'Fix', 'The network', 'stable', 'really', 'already', 'price', 'package', 'expensive', 'quality', ' The network is', 'Mekah', 'seimbah', 'the price', 'depends',' card ',' Telkomsel ',' sending ',' Telkomsel ',' promo ',' already ',' he can ',' his network ' , 'no', 'karuan']</v>
      </c>
      <c r="D3948" s="3">
        <v>2.0</v>
      </c>
    </row>
    <row r="3949" ht="15.75" customHeight="1">
      <c r="A3949" s="1">
        <v>3947.0</v>
      </c>
      <c r="B3949" s="3" t="s">
        <v>3949</v>
      </c>
      <c r="C3949" s="3" t="str">
        <f>IFERROR(__xludf.DUMMYFUNCTION("GOOGLETRANSLATE(B3949,""id"",""en"")"),"['Package', 'promo', 'buy', 'process', 'then', 'reply', 'active', ""]")</f>
        <v>['Package', 'promo', 'buy', 'process', 'then', 'reply', 'active', "]</v>
      </c>
      <c r="D3949" s="3">
        <v>5.0</v>
      </c>
    </row>
    <row r="3950" ht="15.75" customHeight="1">
      <c r="A3950" s="1">
        <v>3948.0</v>
      </c>
      <c r="B3950" s="3" t="s">
        <v>3950</v>
      </c>
      <c r="C3950" s="3" t="str">
        <f>IFERROR(__xludf.DUMMYFUNCTION("GOOGLETRANSLATE(B3950,""id"",""en"")"),"['apk', 'error', 'APK', 'walk', 'behind', 'screen', 'closed', 'slow', 'hot', 'then', 'hank', ""]")</f>
        <v>['apk', 'error', 'APK', 'walk', 'behind', 'screen', 'closed', 'slow', 'hot', 'then', 'hank', "]</v>
      </c>
      <c r="D3950" s="3">
        <v>2.0</v>
      </c>
    </row>
    <row r="3951" ht="15.75" customHeight="1">
      <c r="A3951" s="1">
        <v>3949.0</v>
      </c>
      <c r="B3951" s="3" t="s">
        <v>3951</v>
      </c>
      <c r="C3951" s="3" t="str">
        <f>IFERROR(__xludf.DUMMYFUNCTION("GOOGLETRANSLATE(B3951,""id"",""en"")"),"['Love', 'star', 'ntar', 'number', 'service', 'package', 'cheap', 'payment', 'cash', 'application', 'use', 'first', ' thank you']")</f>
        <v>['Love', 'star', 'ntar', 'number', 'service', 'package', 'cheap', 'payment', 'cash', 'application', 'use', 'first', ' thank you']</v>
      </c>
      <c r="D3951" s="3">
        <v>3.0</v>
      </c>
    </row>
    <row r="3952" ht="15.75" customHeight="1">
      <c r="A3952" s="1">
        <v>3950.0</v>
      </c>
      <c r="B3952" s="3" t="s">
        <v>3952</v>
      </c>
      <c r="C3952" s="3" t="str">
        <f>IFERROR(__xludf.DUMMYFUNCTION("GOOGLETRANSLATE(B3952,""id"",""en"")"),"['Telkomsel', 'knpa', 'jdi', 'gini', 'pdhal', 'dlu', 'said', 'cell', 'best', 'skrg', 'application', 'Telkomsel', ' Crash ',' mna ',' location ',' the misunderstandings', 'download', 'Telkomsel', 'jdi', 'restart', 'hopefully', 'soon', 'recovered', 'telkoms"&amp;"elkuh', ""]")</f>
        <v>['Telkomsel', 'knpa', 'jdi', 'gini', 'pdhal', 'dlu', 'said', 'cell', 'best', 'skrg', 'application', 'Telkomsel', ' Crash ',' mna ',' location ',' the misunderstandings', 'download', 'Telkomsel', 'jdi', 'restart', 'hopefully', 'soon', 'recovered', 'telkomselkuh', "]</v>
      </c>
      <c r="D3952" s="3">
        <v>1.0</v>
      </c>
    </row>
    <row r="3953" ht="15.75" customHeight="1">
      <c r="A3953" s="1">
        <v>3951.0</v>
      </c>
      <c r="B3953" s="3" t="s">
        <v>3953</v>
      </c>
      <c r="C3953" s="3" t="str">
        <f>IFERROR(__xludf.DUMMYFUNCTION("GOOGLETRANSLATE(B3953,""id"",""en"")"),"['Ouch', 'Telkomsel', 'slow', 'gini', 'era', 'teenager', 'child', 'times',' Telkomsel ',' slow ',' please ',' price ',' Quality ',' balanced ',' disappointed ',' user ',' business', 'user', 'loyal', '']")</f>
        <v>['Ouch', 'Telkomsel', 'slow', 'gini', 'era', 'teenager', 'child', 'times',' Telkomsel ',' slow ',' please ',' price ',' Quality ',' balanced ',' disappointed ',' user ',' business', 'user', 'loyal', '']</v>
      </c>
      <c r="D3953" s="3">
        <v>1.0</v>
      </c>
    </row>
    <row r="3954" ht="15.75" customHeight="1">
      <c r="A3954" s="1">
        <v>3952.0</v>
      </c>
      <c r="B3954" s="3" t="s">
        <v>3954</v>
      </c>
      <c r="C3954" s="3" t="str">
        <f>IFERROR(__xludf.DUMMYFUNCTION("GOOGLETRANSLATE(B3954,""id"",""en"")"),"['waduhhhh', 'fill', 'fill out', 'pulse', 'pulsax', 'direct', 'contents',' hny ',' call ',' friend ',' minute ',' pulse ',' Fill ',' pulsax ',' Rp ',' latex ',' kapok ',' buy ',' pulse ',' jdx ',' buy ',' rb ',' resitration ',' kartuku ',' die ' ]")</f>
        <v>['waduhhhh', 'fill', 'fill out', 'pulse', 'pulsax', 'direct', 'contents',' hny ',' call ',' friend ',' minute ',' pulse ',' Fill ',' pulsax ',' Rp ',' latex ',' kapok ',' buy ',' pulse ',' jdx ',' buy ',' rb ',' resitration ',' kartuku ',' die ' ]</v>
      </c>
      <c r="D3954" s="3">
        <v>4.0</v>
      </c>
    </row>
    <row r="3955" ht="15.75" customHeight="1">
      <c r="A3955" s="1">
        <v>3953.0</v>
      </c>
      <c r="B3955" s="3" t="s">
        <v>3955</v>
      </c>
      <c r="C3955" s="3" t="str">
        <f>IFERROR(__xludf.DUMMYFUNCTION("GOOGLETRANSLATE(B3955,""id"",""en"")"),"['application', 'bad', 'at the same time', 'kouta', 'internet', 'promo', 'price', 'kouta', 'cheap', 'ataaa', 'kouta', 'run out', ' LSG ',' price ',' game ',' deliberate ',' Telkomsel ',' Quality ',' Low ',' Krna ',' Official ',' Commissioner ',' Ber ',' c"&amp;"ompetent ', ""]")</f>
        <v>['application', 'bad', 'at the same time', 'kouta', 'internet', 'promo', 'price', 'kouta', 'cheap', 'ataaa', 'kouta', 'run out', ' LSG ',' price ',' game ',' deliberate ',' Telkomsel ',' Quality ',' Low ',' Krna ',' Official ',' Commissioner ',' Ber ',' competent ', "]</v>
      </c>
      <c r="D3955" s="3">
        <v>1.0</v>
      </c>
    </row>
    <row r="3956" ht="15.75" customHeight="1">
      <c r="A3956" s="1">
        <v>3954.0</v>
      </c>
      <c r="B3956" s="3" t="s">
        <v>3956</v>
      </c>
      <c r="C3956" s="3" t="str">
        <f>IFERROR(__xludf.DUMMYFUNCTION("GOOGLETRANSLATE(B3956,""id"",""en"")"),"['Revision', 'star', 'Peket', 'Tel', 'Try', 'Gonta', 'Change', 'SIM', 'Tetep', 'Morning', 'Try', 'Activation', ' package ',' telephone ',' sympathy ',' loop ',' beg ',' future ',' trouble ',' activity ',' disturbed ',' service ',' via ',' twiter ' , 'Fast"&amp;"', 'response', 'Increase', 'Customer', 'Satisfaction', '']")</f>
        <v>['Revision', 'star', 'Peket', 'Tel', 'Try', 'Gonta', 'Change', 'SIM', 'Tetep', 'Morning', 'Try', 'Activation', ' package ',' telephone ',' sympathy ',' loop ',' beg ',' future ',' trouble ',' activity ',' disturbed ',' service ',' via ',' twiter ' , 'Fast', 'response', 'Increase', 'Customer', 'Satisfaction', '']</v>
      </c>
      <c r="D3956" s="3">
        <v>5.0</v>
      </c>
    </row>
    <row r="3957" ht="15.75" customHeight="1">
      <c r="A3957" s="1">
        <v>3955.0</v>
      </c>
      <c r="B3957" s="3" t="s">
        <v>3957</v>
      </c>
      <c r="C3957" s="3" t="str">
        <f>IFERROR(__xludf.DUMMYFUNCTION("GOOGLETRANSLATE(B3957,""id"",""en"")"),"['sekrang', 'application', 'good', 'smooth', 'upgrade', 'beas',' developer ',' please ',' selert ',' maslah ',' open ',' application ',' fail', '']")</f>
        <v>['sekrang', 'application', 'good', 'smooth', 'upgrade', 'beas',' developer ',' please ',' selert ',' maslah ',' open ',' application ',' fail', '']</v>
      </c>
      <c r="D3957" s="3">
        <v>1.0</v>
      </c>
    </row>
    <row r="3958" ht="15.75" customHeight="1">
      <c r="A3958" s="1">
        <v>3956.0</v>
      </c>
      <c r="B3958" s="3" t="s">
        <v>3958</v>
      </c>
      <c r="C3958" s="3" t="str">
        <f>IFERROR(__xludf.DUMMYFUNCTION("GOOGLETRANSLATE(B3958,""id"",""en"")"),"['signal', 'bad', 'Package', 'YouTube', 'unlimited', 'used', 'ATIIII', 'Night', 'sometimes',' like ',' missing ',' signal ',' ']")</f>
        <v>['signal', 'bad', 'Package', 'YouTube', 'unlimited', 'used', 'ATIIII', 'Night', 'sometimes',' like ',' missing ',' signal ',' ']</v>
      </c>
      <c r="D3958" s="3">
        <v>1.0</v>
      </c>
    </row>
    <row r="3959" ht="15.75" customHeight="1">
      <c r="A3959" s="1">
        <v>3957.0</v>
      </c>
      <c r="B3959" s="3" t="s">
        <v>3959</v>
      </c>
      <c r="C3959" s="3" t="str">
        <f>IFERROR(__xludf.DUMMYFUNCTION("GOOGLETRANSLATE(B3959,""id"",""en"")"),"['Palak', 'Telkomsel', 'Kayak', 'mistilisan', 'IBMAU', 'buy', 'PUSA', 'Telkomsel', 'Brain', 'Sokreman']")</f>
        <v>['Palak', 'Telkomsel', 'Kayak', 'mistilisan', 'IBMAU', 'buy', 'PUSA', 'Telkomsel', 'Brain', 'Sokreman']</v>
      </c>
      <c r="D3959" s="3">
        <v>1.0</v>
      </c>
    </row>
    <row r="3960" ht="15.75" customHeight="1">
      <c r="A3960" s="1">
        <v>3958.0</v>
      </c>
      <c r="B3960" s="3" t="s">
        <v>3960</v>
      </c>
      <c r="C3960" s="3" t="str">
        <f>IFERROR(__xludf.DUMMYFUNCTION("GOOGLETRANSLATE(B3960,""id"",""en"")"),"['want', 'prize', 'send', 'Points', 'Star', 'Points', '']")</f>
        <v>['want', 'prize', 'send', 'Points', 'Star', 'Points', '']</v>
      </c>
      <c r="D3960" s="3">
        <v>3.0</v>
      </c>
    </row>
    <row r="3961" ht="15.75" customHeight="1">
      <c r="A3961" s="1">
        <v>3959.0</v>
      </c>
      <c r="B3961" s="3" t="s">
        <v>3961</v>
      </c>
      <c r="C3961" s="3" t="str">
        <f>IFERROR(__xludf.DUMMYFUNCTION("GOOGLETRANSLATE(B3961,""id"",""en"")"),"['love', 'star', 'disappointed', 'promo', 'Telkomsel', 'expensive', 'already', 'kartuku', 'change', 'friend', 'he can', 'cheap', ' Merka ',' buy ',' card ',' told ',' apk ',' Telkomsel ',' invitation ',' data ', ""]")</f>
        <v>['love', 'star', 'disappointed', 'promo', 'Telkomsel', 'expensive', 'already', 'kartuku', 'change', 'friend', 'he can', 'cheap', ' Merka ',' buy ',' card ',' told ',' apk ',' Telkomsel ',' invitation ',' data ', "]</v>
      </c>
      <c r="D3961" s="3">
        <v>2.0</v>
      </c>
    </row>
    <row r="3962" ht="15.75" customHeight="1">
      <c r="A3962" s="1">
        <v>3960.0</v>
      </c>
      <c r="B3962" s="3" t="s">
        <v>3962</v>
      </c>
      <c r="C3962" s="3" t="str">
        <f>IFERROR(__xludf.DUMMYFUNCTION("GOOGLETRANSLATE(B3962,""id"",""en"")"),"['koq', 'pulse', 'ilang', 'padahl', 'quota', 'poor', 'safe', 'pulse', 'rich', 'provider', 'next door', 'right', ' Quota ',' Abis', 'Eat', 'Credit', 'Sampe', 'Abis', ""]")</f>
        <v>['koq', 'pulse', 'ilang', 'padahl', 'quota', 'poor', 'safe', 'pulse', 'rich', 'provider', 'next door', 'right', ' Quota ',' Abis', 'Eat', 'Credit', 'Sampe', 'Abis', "]</v>
      </c>
      <c r="D3962" s="3">
        <v>1.0</v>
      </c>
    </row>
    <row r="3963" ht="15.75" customHeight="1">
      <c r="A3963" s="1">
        <v>3961.0</v>
      </c>
      <c r="B3963" s="3" t="s">
        <v>3963</v>
      </c>
      <c r="C3963" s="3" t="str">
        <f>IFERROR(__xludf.DUMMYFUNCTION("GOOGLETRANSLATE(B3963,""id"",""en"")"),"['Okay', 'love', 'Star', 'Forever', 'Telkomsel', 'Package', 'Under', 'RB', 'a month', 'promo', ""]")</f>
        <v>['Okay', 'love', 'Star', 'Forever', 'Telkomsel', 'Package', 'Under', 'RB', 'a month', 'promo', "]</v>
      </c>
      <c r="D3963" s="3">
        <v>4.0</v>
      </c>
    </row>
    <row r="3964" ht="15.75" customHeight="1">
      <c r="A3964" s="1">
        <v>3962.0</v>
      </c>
      <c r="B3964" s="3" t="s">
        <v>3964</v>
      </c>
      <c r="C3964" s="3" t="str">
        <f>IFERROR(__xludf.DUMMYFUNCTION("GOOGLETRANSLATE(B3964,""id"",""en"")"),"['Application', 'Bukak', 'Fill', 'Posts',' Loading ',' Page ',' Sorry ',' Error ',' System ',' Selekin ',' TPI ',' Facts', ' Sis', '']")</f>
        <v>['Application', 'Bukak', 'Fill', 'Posts',' Loading ',' Page ',' Sorry ',' Error ',' System ',' Selekin ',' TPI ',' Facts', ' Sis', '']</v>
      </c>
      <c r="D3964" s="3">
        <v>1.0</v>
      </c>
    </row>
    <row r="3965" ht="15.75" customHeight="1">
      <c r="A3965" s="1">
        <v>3963.0</v>
      </c>
      <c r="B3965" s="3" t="s">
        <v>3965</v>
      </c>
      <c r="C3965" s="3" t="str">
        <f>IFERROR(__xludf.DUMMYFUNCTION("GOOGLETRANSLATE(B3965,""id"",""en"")"),"['Please', 'return', 'package', 'cheerful', 'because', 'package', 'cheerful', 'change', 'provider', 'because', 'package', ' Survive ',' Telkomsel ',' Trimsss', '']")</f>
        <v>['Please', 'return', 'package', 'cheerful', 'because', 'package', 'cheerful', 'change', 'provider', 'because', 'package', ' Survive ',' Telkomsel ',' Trimsss', '']</v>
      </c>
      <c r="D3965" s="3">
        <v>1.0</v>
      </c>
    </row>
    <row r="3966" ht="15.75" customHeight="1">
      <c r="A3966" s="1">
        <v>3964.0</v>
      </c>
      <c r="B3966" s="3" t="s">
        <v>3966</v>
      </c>
      <c r="C3966" s="3" t="str">
        <f>IFERROR(__xludf.DUMMYFUNCTION("GOOGLETRANSLATE(B3966,""id"",""en"")"),"['Network', 'bad', 'price', 'package', 'expensive', 'amid "",' city ',' sometimes ',' sometimes ',' signal ',' how ',' forest ',' Telkomsel ',' Disappointed ',' Heavy ']")</f>
        <v>['Network', 'bad', 'price', 'package', 'expensive', 'amid ",' city ',' sometimes ',' sometimes ',' signal ',' how ',' forest ',' Telkomsel ',' Disappointed ',' Heavy ']</v>
      </c>
      <c r="D3966" s="3">
        <v>1.0</v>
      </c>
    </row>
    <row r="3967" ht="15.75" customHeight="1">
      <c r="A3967" s="1">
        <v>3965.0</v>
      </c>
      <c r="B3967" s="3" t="s">
        <v>3967</v>
      </c>
      <c r="C3967" s="3" t="str">
        <f>IFERROR(__xludf.DUMMYFUNCTION("GOOGLETRANSLATE(B3967,""id"",""en"")"),"['Please', 'Sinyal', 'Benerin', 'home', 'signal', 'City', 'Tangerang', 'Land', 'Quality', 'Sousal', 'ugly', 'Lost', ' Operators', 'Trie', '']")</f>
        <v>['Please', 'Sinyal', 'Benerin', 'home', 'signal', 'City', 'Tangerang', 'Land', 'Quality', 'Sousal', 'ugly', 'Lost', ' Operators', 'Trie', '']</v>
      </c>
      <c r="D3967" s="3">
        <v>1.0</v>
      </c>
    </row>
    <row r="3968" ht="15.75" customHeight="1">
      <c r="A3968" s="1">
        <v>3966.0</v>
      </c>
      <c r="B3968" s="3" t="s">
        <v>3968</v>
      </c>
      <c r="C3968" s="3" t="str">
        <f>IFERROR(__xludf.DUMMYFUNCTION("GOOGLETRANSLATE(B3968,""id"",""en"")"),"['Kasi', 'Bintang', 'Reason', 'Kasi', 'Bintang', 'Karana', 'Kouta', 'Unlimited', 'Limited', 'Kek', 'Limit', 'Society', ' Manjadi ',' Like ',' Limit ',' Kouta ',' Unlimited ',' Ibuk ',' Workers', 'MyTelkomsel', 'Help', 'Kouta', 'Unlimited', 'Jng', 'limit' "&amp;", 'Please', 'Kek', 'Kouta', 'unlimited', 'limited', 'like', 'limited', 'difficult', 'limited', 'itumah', 'good', 'limited', ' Add it ',' Bint ']")</f>
        <v>['Kasi', 'Bintang', 'Reason', 'Kasi', 'Bintang', 'Karana', 'Kouta', 'Unlimited', 'Limited', 'Kek', 'Limit', 'Society', ' Manjadi ',' Like ',' Limit ',' Kouta ',' Unlimited ',' Ibuk ',' Workers', 'MyTelkomsel', 'Help', 'Kouta', 'Unlimited', 'Jng', 'limit' , 'Please', 'Kek', 'Kouta', 'unlimited', 'limited', 'like', 'limited', 'difficult', 'limited', 'itumah', 'good', 'limited', ' Add it ',' Bint ']</v>
      </c>
      <c r="D3968" s="3">
        <v>3.0</v>
      </c>
    </row>
    <row r="3969" ht="15.75" customHeight="1">
      <c r="A3969" s="1">
        <v>3967.0</v>
      </c>
      <c r="B3969" s="3" t="s">
        <v>3969</v>
      </c>
      <c r="C3969" s="3" t="str">
        <f>IFERROR(__xludf.DUMMYFUNCTION("GOOGLETRANSLATE(B3969,""id"",""en"")"),"['A ',' Vocer ',' Telkomsel ',' gabisa ',' sorry ',' system ',' busy ',' udh ',' gabisa ',' enter ',' vocer ',' yaa ',' Min ',' Please ',' Help ',' ']")</f>
        <v>['A ',' Vocer ',' Telkomsel ',' gabisa ',' sorry ',' system ',' busy ',' udh ',' gabisa ',' enter ',' vocer ',' yaa ',' Min ',' Please ',' Help ',' ']</v>
      </c>
      <c r="D3969" s="3">
        <v>1.0</v>
      </c>
    </row>
    <row r="3970" ht="15.75" customHeight="1">
      <c r="A3970" s="1">
        <v>3968.0</v>
      </c>
      <c r="B3970" s="3" t="s">
        <v>3970</v>
      </c>
      <c r="C3970" s="3" t="str">
        <f>IFERROR(__xludf.DUMMYFUNCTION("GOOGLETRANSLATE(B3970,""id"",""en"")"),"['Sumpot', 'really', 'forgetting', 'punching', 'data', 'active', 'rb', 'scorched', 'minutes', ""]")</f>
        <v>['Sumpot', 'really', 'forgetting', 'punching', 'data', 'active', 'rb', 'scorched', 'minutes', "]</v>
      </c>
      <c r="D3970" s="3">
        <v>5.0</v>
      </c>
    </row>
    <row r="3971" ht="15.75" customHeight="1">
      <c r="A3971" s="1">
        <v>3969.0</v>
      </c>
      <c r="B3971" s="3" t="s">
        <v>3971</v>
      </c>
      <c r="C3971" s="3" t="str">
        <f>IFERROR(__xludf.DUMMYFUNCTION("GOOGLETRANSLATE(B3971,""id"",""en"")"),"['ngak', 'disruption', 'serious', 'loyal', 'Telkomsel', ""]")</f>
        <v>['ngak', 'disruption', 'serious', 'loyal', 'Telkomsel', "]</v>
      </c>
      <c r="D3971" s="3">
        <v>5.0</v>
      </c>
    </row>
    <row r="3972" ht="15.75" customHeight="1">
      <c r="A3972" s="1">
        <v>3970.0</v>
      </c>
      <c r="B3972" s="3" t="s">
        <v>3972</v>
      </c>
      <c r="C3972" s="3" t="str">
        <f>IFERROR(__xludf.DUMMYFUNCTION("GOOGLETRANSLATE(B3972,""id"",""en"")"),"['Satisfied', 'APL', 'Telkomsel', 'Promo', 'Latest', 'Telkomsel']")</f>
        <v>['Satisfied', 'APL', 'Telkomsel', 'Promo', 'Latest', 'Telkomsel']</v>
      </c>
      <c r="D3972" s="3">
        <v>5.0</v>
      </c>
    </row>
    <row r="3973" ht="15.75" customHeight="1">
      <c r="A3973" s="1">
        <v>3971.0</v>
      </c>
      <c r="B3973" s="3" t="s">
        <v>3973</v>
      </c>
      <c r="C3973" s="3" t="str">
        <f>IFERROR(__xludf.DUMMYFUNCTION("GOOGLETRANSLATE(B3973,""id"",""en"")"),"['System', 'Telkomsel', 'Kali', 'Meng', 'Take', 'Pulse', 'Main', 'Use', 'Call', 'Internet', 'Males',' Fill ',' Credit ',' klu ',' contents', 'lost', 'use it']")</f>
        <v>['System', 'Telkomsel', 'Kali', 'Meng', 'Take', 'Pulse', 'Main', 'Use', 'Call', 'Internet', 'Males',' Fill ',' Credit ',' klu ',' contents', 'lost', 'use it']</v>
      </c>
      <c r="D3973" s="3">
        <v>1.0</v>
      </c>
    </row>
    <row r="3974" ht="15.75" customHeight="1">
      <c r="A3974" s="1">
        <v>3972.0</v>
      </c>
      <c r="B3974" s="3" t="s">
        <v>3974</v>
      </c>
      <c r="C3974" s="3" t="str">
        <f>IFERROR(__xludf.DUMMYFUNCTION("GOOGLETRANSLATE(B3974,""id"",""en"")"),"['Since', 'mutation', 'card', 'hello', 'difficult', 'signal', 'sometimes', 'ilang', 'quota', 'multimedia', ""]")</f>
        <v>['Since', 'mutation', 'card', 'hello', 'difficult', 'signal', 'sometimes', 'ilang', 'quota', 'multimedia', "]</v>
      </c>
      <c r="D3974" s="3">
        <v>2.0</v>
      </c>
    </row>
    <row r="3975" ht="15.75" customHeight="1">
      <c r="A3975" s="1">
        <v>3973.0</v>
      </c>
      <c r="B3975" s="3" t="s">
        <v>3975</v>
      </c>
      <c r="C3975" s="3" t="str">
        <f>IFERROR(__xludf.DUMMYFUNCTION("GOOGLETRANSLATE(B3975,""id"",""en"")"),"['Purchase', 'package', 'easy', 'go', 'counter', 'pulse', 'filled', 'automatic', 'payment', 'do', 'house', 'use', ' Mobile ',' Banking ',' Save ',' Thank you ',' Telkomsel ']")</f>
        <v>['Purchase', 'package', 'easy', 'go', 'counter', 'pulse', 'filled', 'automatic', 'payment', 'do', 'house', 'use', ' Mobile ',' Banking ',' Save ',' Thank you ',' Telkomsel ']</v>
      </c>
      <c r="D3975" s="3">
        <v>5.0</v>
      </c>
    </row>
    <row r="3976" ht="15.75" customHeight="1">
      <c r="A3976" s="1">
        <v>3974.0</v>
      </c>
      <c r="B3976" s="3" t="s">
        <v>3976</v>
      </c>
      <c r="C3976" s="3" t="str">
        <f>IFERROR(__xludf.DUMMYFUNCTION("GOOGLETRANSLATE(B3976,""id"",""en"")"),"['Telkomsel', 'UDH', 'Network', 'ugly', 'price', 'package', 'expensive', 'Please', 'repay', 'open', 'sosmed', 'difficult', ' Now, 'Ngegame', '']")</f>
        <v>['Telkomsel', 'UDH', 'Network', 'ugly', 'price', 'package', 'expensive', 'Please', 'repay', 'open', 'sosmed', 'difficult', ' Now, 'Ngegame', '']</v>
      </c>
      <c r="D3976" s="3">
        <v>2.0</v>
      </c>
    </row>
    <row r="3977" ht="15.75" customHeight="1">
      <c r="A3977" s="1">
        <v>3975.0</v>
      </c>
      <c r="B3977" s="3" t="s">
        <v>3977</v>
      </c>
      <c r="C3977" s="3" t="str">
        <f>IFERROR(__xludf.DUMMYFUNCTION("GOOGLETRANSLATE(B3977,""id"",""en"")"),"['Sya', 'confused', 'sya', 'cba', 'transfer', 'pulse', 'koh', 'transaction', 'process',' padah ',' balance ',' msih ',' Rbu ']")</f>
        <v>['Sya', 'confused', 'sya', 'cba', 'transfer', 'pulse', 'koh', 'transaction', 'process',' padah ',' balance ',' msih ',' Rbu ']</v>
      </c>
      <c r="D3977" s="3">
        <v>1.0</v>
      </c>
    </row>
    <row r="3978" ht="15.75" customHeight="1">
      <c r="A3978" s="1">
        <v>3976.0</v>
      </c>
      <c r="B3978" s="3" t="s">
        <v>3978</v>
      </c>
      <c r="C3978" s="3" t="str">
        <f>IFERROR(__xludf.DUMMYFUNCTION("GOOGLETRANSLATE(B3978,""id"",""en"")"),"['Mantavv', 'Telkomsel', 'diverse', 'type', 'package', 'suggestion', 'user', 'package', 'superdeal', 'beg', 'make', 'quota', ' Permanent ',' Help ',' Package ',' Internet ',' ']")</f>
        <v>['Mantavv', 'Telkomsel', 'diverse', 'type', 'package', 'suggestion', 'user', 'package', 'superdeal', 'beg', 'make', 'quota', ' Permanent ',' Help ',' Package ',' Internet ',' ']</v>
      </c>
      <c r="D3978" s="3">
        <v>4.0</v>
      </c>
    </row>
    <row r="3979" ht="15.75" customHeight="1">
      <c r="A3979" s="1">
        <v>3977.0</v>
      </c>
      <c r="B3979" s="3" t="s">
        <v>3979</v>
      </c>
      <c r="C3979" s="3" t="str">
        <f>IFERROR(__xludf.DUMMYFUNCTION("GOOGLETRANSLATE(B3979,""id"",""en"")"),"['quota', 'expensive', 'network', 'abis',' update ',' good ',' signal ',' ugly ',' signal ',' good ',' ngeeleg ',' have ',' Disappointed ',' Telkomsel ',' Change ',' Operator ']")</f>
        <v>['quota', 'expensive', 'network', 'abis',' update ',' good ',' signal ',' ugly ',' signal ',' good ',' ngeeleg ',' have ',' Disappointed ',' Telkomsel ',' Change ',' Operator ']</v>
      </c>
      <c r="D3979" s="3">
        <v>1.0</v>
      </c>
    </row>
    <row r="3980" ht="15.75" customHeight="1">
      <c r="A3980" s="1">
        <v>3978.0</v>
      </c>
      <c r="B3980" s="3" t="s">
        <v>3980</v>
      </c>
      <c r="C3980" s="3" t="str">
        <f>IFERROR(__xludf.DUMMYFUNCTION("GOOGLETRANSLATE(B3980,""id"",""en"")"),"['Woy', 'package', 'internet', 'expensive', 'price', 'skrng', 'Hopefully', 'Telkomsel', 'bankrupt', 'card', 'already', 'love', ' Bonus', 'expensive', 'emng', 'crazy', 'telkomsel', 'ngehuat', 'already', 'loyal', 'use', 'number', 'hopogrut', 'bngkrut', ""]")</f>
        <v>['Woy', 'package', 'internet', 'expensive', 'price', 'skrng', 'Hopefully', 'Telkomsel', 'bankrupt', 'card', 'already', 'love', ' Bonus', 'expensive', 'emng', 'crazy', 'telkomsel', 'ngehuat', 'already', 'loyal', 'use', 'number', 'hopogrut', 'bngkrut', "]</v>
      </c>
      <c r="D3980" s="3">
        <v>1.0</v>
      </c>
    </row>
    <row r="3981" ht="15.75" customHeight="1">
      <c r="A3981" s="1">
        <v>3979.0</v>
      </c>
      <c r="B3981" s="3" t="s">
        <v>3981</v>
      </c>
      <c r="C3981" s="3" t="str">
        <f>IFERROR(__xludf.DUMMYFUNCTION("GOOGLETRANSLATE(B3981,""id"",""en"")"),"['The essence', 'Promo', 'Exchange', 'Point', 'Network', 'Increase', 'Star']")</f>
        <v>['The essence', 'Promo', 'Exchange', 'Point', 'Network', 'Increase', 'Star']</v>
      </c>
      <c r="D3981" s="3">
        <v>3.0</v>
      </c>
    </row>
    <row r="3982" ht="15.75" customHeight="1">
      <c r="A3982" s="1">
        <v>3980.0</v>
      </c>
      <c r="B3982" s="3" t="s">
        <v>3982</v>
      </c>
      <c r="C3982" s="3" t="str">
        <f>IFERROR(__xludf.DUMMYFUNCTION("GOOGLETRANSLATE(B3982,""id"",""en"")"),"['Contents',' quota ',' rb ',' payment ',' Shoopepay ',' quota ',' entered ',' money ',' truncated ',' TLP ',' MyTelkom ',' nanganin ',' Wait ',' all day ',' quota ',' BLM ',' entered ',' JGA ',' DLU ',' Telkomsl ',' Network ',' Bags', 'sekaraang', 'expen"&amp;"sive', 'slow' , '']")</f>
        <v>['Contents',' quota ',' rb ',' payment ',' Shoopepay ',' quota ',' entered ',' money ',' truncated ',' TLP ',' MyTelkom ',' nanganin ',' Wait ',' all day ',' quota ',' BLM ',' entered ',' JGA ',' DLU ',' Telkomsl ',' Network ',' Bags', 'sekaraang', 'expensive', 'slow' , '']</v>
      </c>
      <c r="D3982" s="3">
        <v>1.0</v>
      </c>
    </row>
    <row r="3983" ht="15.75" customHeight="1">
      <c r="A3983" s="1">
        <v>3981.0</v>
      </c>
      <c r="B3983" s="3" t="s">
        <v>3983</v>
      </c>
      <c r="C3983" s="3" t="str">
        <f>IFERROR(__xludf.DUMMYFUNCTION("GOOGLETRANSLATE(B3983,""id"",""en"")"),"['Please', 'Improvement', 'Signal', 'Current', 'Helped', 'Disegala', 'Needs', 'Masarakat', 'Region', 'Signal', 'Telkomsel', 'ugly']")</f>
        <v>['Please', 'Improvement', 'Signal', 'Current', 'Helped', 'Disegala', 'Needs', 'Masarakat', 'Region', 'Signal', 'Telkomsel', 'ugly']</v>
      </c>
      <c r="D3983" s="3">
        <v>5.0</v>
      </c>
    </row>
    <row r="3984" ht="15.75" customHeight="1">
      <c r="A3984" s="1">
        <v>3982.0</v>
      </c>
      <c r="B3984" s="3" t="s">
        <v>3984</v>
      </c>
      <c r="C3984" s="3" t="str">
        <f>IFERROR(__xludf.DUMMYFUNCTION("GOOGLETRANSLATE(B3984,""id"",""en"")"),"['love', 'star', 'network', 'area', 'bad', '']")</f>
        <v>['love', 'star', 'network', 'area', 'bad', '']</v>
      </c>
      <c r="D3984" s="3">
        <v>3.0</v>
      </c>
    </row>
    <row r="3985" ht="15.75" customHeight="1">
      <c r="A3985" s="1">
        <v>3983.0</v>
      </c>
      <c r="B3985" s="3" t="s">
        <v>3985</v>
      </c>
      <c r="C3985" s="3" t="str">
        <f>IFERROR(__xludf.DUMMYFUNCTION("GOOGLETRANSLATE(B3985,""id"",""en"")"),"['Star', 'Karna', 'Network', 'Difficult', 'Cilacap', 'West', 'Bagiyan', 'South']")</f>
        <v>['Star', 'Karna', 'Network', 'Difficult', 'Cilacap', 'West', 'Bagiyan', 'South']</v>
      </c>
      <c r="D3985" s="3">
        <v>3.0</v>
      </c>
    </row>
    <row r="3986" ht="15.75" customHeight="1">
      <c r="A3986" s="1">
        <v>3984.0</v>
      </c>
      <c r="B3986" s="3" t="s">
        <v>3986</v>
      </c>
      <c r="C3986" s="3" t="str">
        <f>IFERROR(__xludf.DUMMYFUNCTION("GOOGLETRANSLATE(B3986,""id"",""en"")"),"['Sometimes', 'Sometimes', 'Like', 'Gasuka', 'Telkomsel', 'Gaada', 'Quota', 'Pulses', 'Credit', 'Reduced', 'Why', ""]")</f>
        <v>['Sometimes', 'Sometimes', 'Like', 'Gasuka', 'Telkomsel', 'Gaada', 'Quota', 'Pulses', 'Credit', 'Reduced', 'Why', "]</v>
      </c>
      <c r="D3986" s="3">
        <v>2.0</v>
      </c>
    </row>
    <row r="3987" ht="15.75" customHeight="1">
      <c r="A3987" s="1">
        <v>3985.0</v>
      </c>
      <c r="B3987" s="3" t="s">
        <v>3987</v>
      </c>
      <c r="C3987" s="3" t="str">
        <f>IFERROR(__xludf.DUMMYFUNCTION("GOOGLETRANSLATE(B3987,""id"",""en"")"),"['Disappointed', 'Ama', 'Telkomsel', 'pulse', 'thousand', 'buy', 'package', 'night', 'thousand', 'the rest', 'thousand', 'active', ' hours', 'right', 'internet', 'clock', 'pulse', 'leftover', 'thousand', 'run out', 'truncated', 'steady', 'Telkomsel', ""]")</f>
        <v>['Disappointed', 'Ama', 'Telkomsel', 'pulse', 'thousand', 'buy', 'package', 'night', 'thousand', 'the rest', 'thousand', 'active', ' hours', 'right', 'internet', 'clock', 'pulse', 'leftover', 'thousand', 'run out', 'truncated', 'steady', 'Telkomsel', "]</v>
      </c>
      <c r="D3987" s="3">
        <v>1.0</v>
      </c>
    </row>
    <row r="3988" ht="15.75" customHeight="1">
      <c r="A3988" s="1">
        <v>3986.0</v>
      </c>
      <c r="B3988" s="3" t="s">
        <v>3988</v>
      </c>
      <c r="C3988" s="3" t="str">
        <f>IFERROR(__xludf.DUMMYFUNCTION("GOOGLETRANSLATE(B3988,""id"",""en"")"),"['serious', 'strange', 'systemny', 'busy', 'all', 'buy', 'quota', 'kagak', ""]")</f>
        <v>['serious', 'strange', 'systemny', 'busy', 'all', 'buy', 'quota', 'kagak', "]</v>
      </c>
      <c r="D3988" s="3">
        <v>1.0</v>
      </c>
    </row>
    <row r="3989" ht="15.75" customHeight="1">
      <c r="A3989" s="1">
        <v>3987.0</v>
      </c>
      <c r="B3989" s="3" t="s">
        <v>3989</v>
      </c>
      <c r="C3989" s="3" t="str">
        <f>IFERROR(__xludf.DUMMYFUNCTION("GOOGLETRANSLATE(B3989,""id"",""en"")"),"['here', 'Telkomsel', 'network', 'difficult', 'price', 'package', 'quality', 'network', 'wort', 'tlg', 'fix', 'first']")</f>
        <v>['here', 'Telkomsel', 'network', 'difficult', 'price', 'package', 'quality', 'network', 'wort', 'tlg', 'fix', 'first']</v>
      </c>
      <c r="D3989" s="3">
        <v>1.0</v>
      </c>
    </row>
    <row r="3990" ht="15.75" customHeight="1">
      <c r="A3990" s="1">
        <v>3988.0</v>
      </c>
      <c r="B3990" s="3" t="s">
        <v>3990</v>
      </c>
      <c r="C3990" s="3" t="str">
        <f>IFERROR(__xludf.DUMMYFUNCTION("GOOGLETRANSLATE(B3990,""id"",""en"")"),"['buy', 'package', 'expensive', 'expensive', 'network', 'kayak', 'taik', 'according to', 'cost', 'remove', 'Telkomsel', 'taik']")</f>
        <v>['buy', 'package', 'expensive', 'expensive', 'network', 'kayak', 'taik', 'according to', 'cost', 'remove', 'Telkomsel', 'taik']</v>
      </c>
      <c r="D3990" s="3">
        <v>1.0</v>
      </c>
    </row>
    <row r="3991" ht="15.75" customHeight="1">
      <c r="A3991" s="1">
        <v>3989.0</v>
      </c>
      <c r="B3991" s="3" t="s">
        <v>3991</v>
      </c>
      <c r="C3991" s="3" t="str">
        <f>IFERROR(__xludf.DUMMYFUNCTION("GOOGLETRANSLATE(B3991,""id"",""en"")"),"['Please', 'Add', 'Region', 'Blitar', 'Activating', 'Package', 'Extra', 'Unlimited', 'User', 'Child', 'Tirikan']")</f>
        <v>['Please', 'Add', 'Region', 'Blitar', 'Activating', 'Package', 'Extra', 'Unlimited', 'User', 'Child', 'Tirikan']</v>
      </c>
      <c r="D3991" s="3">
        <v>1.0</v>
      </c>
    </row>
    <row r="3992" ht="15.75" customHeight="1">
      <c r="A3992" s="1">
        <v>3990.0</v>
      </c>
      <c r="B3992" s="3" t="s">
        <v>3992</v>
      </c>
      <c r="C3992" s="3" t="str">
        <f>IFERROR(__xludf.DUMMYFUNCTION("GOOGLETRANSLATE(B3992,""id"",""en"")"),"['oath', 'disappointed', 'description', 'package', 'write', 'right', 'pairs', 'detrimental', 'please', 'time', 'write', 'complete' Valid ',' Conditions', 'SLH', 'Understand', 'Kek', 'Gini', 'Loss',' Hopefully ',' Gaada ',' Loss', 'Disappointing', 'Search'"&amp;", 'Money' , 'difficult', 'skrg', 'cheat', 'makasi']")</f>
        <v>['oath', 'disappointed', 'description', 'package', 'write', 'right', 'pairs', 'detrimental', 'please', 'time', 'write', 'complete' Valid ',' Conditions', 'SLH', 'Understand', 'Kek', 'Gini', 'Loss',' Hopefully ',' Gaada ',' Loss', 'Disappointing', 'Search', 'Money' , 'difficult', 'skrg', 'cheat', 'makasi']</v>
      </c>
      <c r="D3992" s="3">
        <v>1.0</v>
      </c>
    </row>
    <row r="3993" ht="15.75" customHeight="1">
      <c r="A3993" s="1">
        <v>3991.0</v>
      </c>
      <c r="B3993" s="3" t="s">
        <v>3993</v>
      </c>
      <c r="C3993" s="3" t="str">
        <f>IFERROR(__xludf.DUMMYFUNCTION("GOOGLETRANSLATE(B3993,""id"",""en"")"),"['The network', 'Different', 'smartfren', 'unlimited', 'free', 'good', 'smartfren', 'regret', 'buy', 'data', 'Telkomsel', 'it's better', ' im ',' deh ',' oath ',' every time ',' good ',' signal ',' play ',' game ',' online ',' want ',' slamming ',' cellph"&amp;"one ',' Samsung ' , 'Live', 'Region', 'City', 'Woii', 'Mount', 'Tower', 'Internet', '']")</f>
        <v>['The network', 'Different', 'smartfren', 'unlimited', 'free', 'good', 'smartfren', 'regret', 'buy', 'data', 'Telkomsel', 'it's better', ' im ',' deh ',' oath ',' every time ',' good ',' signal ',' play ',' game ',' online ',' want ',' slamming ',' cellphone ',' Samsung ' , 'Live', 'Region', 'City', 'Woii', 'Mount', 'Tower', 'Internet', '']</v>
      </c>
      <c r="D3993" s="3">
        <v>1.0</v>
      </c>
    </row>
    <row r="3994" ht="15.75" customHeight="1">
      <c r="A3994" s="1">
        <v>3992.0</v>
      </c>
      <c r="B3994" s="3" t="s">
        <v>3994</v>
      </c>
      <c r="C3994" s="3" t="str">
        <f>IFERROR(__xludf.DUMMYFUNCTION("GOOGLETRANSLATE(B3994,""id"",""en"")"),"['intentionally', 'love', 'star', 'read', 'Telkomsel', 'signal', 'ugly', 'price', 'nyekk', 'ngak', 'worth', 'bossku']")</f>
        <v>['intentionally', 'love', 'star', 'read', 'Telkomsel', 'signal', 'ugly', 'price', 'nyekk', 'ngak', 'worth', 'bossku']</v>
      </c>
      <c r="D3994" s="3">
        <v>5.0</v>
      </c>
    </row>
    <row r="3995" ht="15.75" customHeight="1">
      <c r="A3995" s="1">
        <v>3993.0</v>
      </c>
      <c r="B3995" s="3" t="s">
        <v>3995</v>
      </c>
      <c r="C3995" s="3" t="str">
        <f>IFERROR(__xludf.DUMMYFUNCTION("GOOGLETRANSLATE(B3995,""id"",""en"")"),"['network', 'Telkomsel', 'bad', 'instructions',' sinya ',' full ',' connection ',' slow ',' slow ',' customer ',' spoil ',' Deceived ',' Signal ',' Blank ',' Spot ',' Telkomsel ',' Dominating ',' Market ',' Quality ',' Network ',' Seeds', 'Leave', 'Custom"&amp;"er', ""]")</f>
        <v>['network', 'Telkomsel', 'bad', 'instructions',' sinya ',' full ',' connection ',' slow ',' slow ',' customer ',' spoil ',' Deceived ',' Signal ',' Blank ',' Spot ',' Telkomsel ',' Dominating ',' Market ',' Quality ',' Network ',' Seeds', 'Leave', 'Customer', "]</v>
      </c>
      <c r="D3995" s="3">
        <v>1.0</v>
      </c>
    </row>
    <row r="3996" ht="15.75" customHeight="1">
      <c r="A3996" s="1">
        <v>3994.0</v>
      </c>
      <c r="B3996" s="3" t="s">
        <v>3996</v>
      </c>
      <c r="C3996" s="3" t="str">
        <f>IFERROR(__xludf.DUMMYFUNCTION("GOOGLETRANSLATE(B3996,""id"",""en"")"),"['Please', 'Lotsin', 'discount', 'price', 'populat', 'good', 'ad', 'reality', ""]")</f>
        <v>['Please', 'Lotsin', 'discount', 'price', 'populat', 'good', 'ad', 'reality', "]</v>
      </c>
      <c r="D3996" s="3">
        <v>5.0</v>
      </c>
    </row>
    <row r="3997" ht="15.75" customHeight="1">
      <c r="A3997" s="1">
        <v>3995.0</v>
      </c>
      <c r="B3997" s="3" t="s">
        <v>3997</v>
      </c>
      <c r="C3997" s="3" t="str">
        <f>IFERROR(__xludf.DUMMYFUNCTION("GOOGLETRANSLATE(B3997,""id"",""en"")"),"['Star', 'Disappointed', 'Telkomsel', 'Network', 'iyah', 'lose', 'card', 'package', 'cheap', ""]")</f>
        <v>['Star', 'Disappointed', 'Telkomsel', 'Network', 'iyah', 'lose', 'card', 'package', 'cheap', "]</v>
      </c>
      <c r="D3997" s="3">
        <v>1.0</v>
      </c>
    </row>
    <row r="3998" ht="15.75" customHeight="1">
      <c r="A3998" s="1">
        <v>3996.0</v>
      </c>
      <c r="B3998" s="3" t="s">
        <v>3998</v>
      </c>
      <c r="C3998" s="3" t="str">
        <f>IFERROR(__xludf.DUMMYFUNCTION("GOOGLETRANSLATE(B3998,""id"",""en"")"),"['Please', 'menu', 'key', 'pulse', 'pulse', 'safe', 'truncated', 'vain', 'vain', 'forget', 'deadly', 'data', ' Cellular ',' fill ',' pulse ',' please ',' Telkomsel ',' security ',' key ',' thing ',' Profeder ',' Exis', ""]")</f>
        <v>['Please', 'menu', 'key', 'pulse', 'pulse', 'safe', 'truncated', 'vain', 'vain', 'forget', 'deadly', 'data', ' Cellular ',' fill ',' pulse ',' please ',' Telkomsel ',' security ',' key ',' thing ',' Profeder ',' Exis', "]</v>
      </c>
      <c r="D3998" s="3">
        <v>1.0</v>
      </c>
    </row>
    <row r="3999" ht="15.75" customHeight="1">
      <c r="A3999" s="1">
        <v>3997.0</v>
      </c>
      <c r="B3999" s="3" t="s">
        <v>3999</v>
      </c>
      <c r="C3999" s="3" t="str">
        <f>IFERROR(__xludf.DUMMYFUNCTION("GOOGLETRANSLATE(B3999,""id"",""en"")"),"['Anyway', 'Debest', 'really', 'Telkomsel', 'CPAT', 'short', 'concise', ""]")</f>
        <v>['Anyway', 'Debest', 'really', 'Telkomsel', 'CPAT', 'short', 'concise', "]</v>
      </c>
      <c r="D3999" s="3">
        <v>5.0</v>
      </c>
    </row>
    <row r="4000" ht="15.75" customHeight="1">
      <c r="A4000" s="1">
        <v>3998.0</v>
      </c>
      <c r="B4000" s="3" t="s">
        <v>4000</v>
      </c>
      <c r="C4000" s="3" t="str">
        <f>IFERROR(__xludf.DUMMYFUNCTION("GOOGLETRANSLATE(B4000,""id"",""en"")"),"['Network', 'lag', '""Local', 'Local', 'Suitable', 'Kampung', 'Main', 'Game', 'Online']")</f>
        <v>['Network', 'lag', '"Local', 'Local', 'Suitable', 'Kampung', 'Main', 'Game', 'Online']</v>
      </c>
      <c r="D4000" s="3">
        <v>5.0</v>
      </c>
    </row>
    <row r="4001" ht="15.75" customHeight="1">
      <c r="A4001" s="1">
        <v>3999.0</v>
      </c>
      <c r="B4001" s="3" t="s">
        <v>4001</v>
      </c>
      <c r="C4001" s="3" t="str">
        <f>IFERROR(__xludf.DUMMYFUNCTION("GOOGLETRANSLATE(B4001,""id"",""en"")"),"['signal', 'bad', 'mending', 'move', 'card', 'already', 'sya', 'tens', 'Sewain', '']")</f>
        <v>['signal', 'bad', 'mending', 'move', 'card', 'already', 'sya', 'tens', 'Sewain', '']</v>
      </c>
      <c r="D4001" s="3">
        <v>1.0</v>
      </c>
    </row>
    <row r="4002" ht="15.75" customHeight="1">
      <c r="A4002" s="1">
        <v>4000.0</v>
      </c>
      <c r="B4002" s="3" t="s">
        <v>4002</v>
      </c>
      <c r="C4002" s="3" t="str">
        <f>IFERROR(__xludf.DUMMYFUNCTION("GOOGLETRANSLATE(B4002,""id"",""en"")"),"['Belik', 'package', 'expensive', 'network', 'abal', 'abal', 'users',' Telkomsel ',' upset ',' lose ',' nettingam ',' Tekkomsel ',' cards', 'please', 'in the future', 'network', 'fix', 'adjust', 'condition', 'price', 'quality']")</f>
        <v>['Belik', 'package', 'expensive', 'network', 'abal', 'abal', 'users',' Telkomsel ',' upset ',' lose ',' nettingam ',' Tekkomsel ',' cards', 'please', 'in the future', 'network', 'fix', 'adjust', 'condition', 'price', 'quality']</v>
      </c>
      <c r="D4002" s="3">
        <v>1.0</v>
      </c>
    </row>
    <row r="4003" ht="15.75" customHeight="1">
      <c r="A4003" s="1">
        <v>4001.0</v>
      </c>
      <c r="B4003" s="3" t="s">
        <v>4003</v>
      </c>
      <c r="C4003" s="3" t="str">
        <f>IFERROR(__xludf.DUMMYFUNCTION("GOOGLETRANSLATE(B4003,""id"",""en"")"),"['Telkomsel', 'intentionally', 'Package', 'Live', 'MB', 'LEGAR', 'TRUS', 'Open', 'Wait', 'Wait', 'Hurted', 'Cut', ' DLU ',' PLSA ',' Package ',' Abis', 'NISAK', 'Notific', 'tray', 'pulse', 'sucked', 'turn', 'promo', 'weee', 'fast' , 'Ngalain', 'Valentino'"&amp;", 'Rossy', 'promo', 'weird', 'Pulak', ""]")</f>
        <v>['Telkomsel', 'intentionally', 'Package', 'Live', 'MB', 'LEGAR', 'TRUS', 'Open', 'Wait', 'Wait', 'Hurted', 'Cut', ' DLU ',' PLSA ',' Package ',' Abis', 'NISAK', 'Notific', 'tray', 'pulse', 'sucked', 'turn', 'promo', 'weee', 'fast' , 'Ngalain', 'Valentino', 'Rossy', 'promo', 'weird', 'Pulak', "]</v>
      </c>
      <c r="D4003" s="3">
        <v>5.0</v>
      </c>
    </row>
    <row r="4004" ht="15.75" customHeight="1">
      <c r="A4004" s="1">
        <v>4002.0</v>
      </c>
      <c r="B4004" s="3" t="s">
        <v>4004</v>
      </c>
      <c r="C4004" s="3" t="str">
        <f>IFERROR(__xludf.DUMMYFUNCTION("GOOGLETRANSLATE(B4004,""id"",""en"")"),"['Install', 'ad', 'promo', 'package', 'cheerful', 'nda', 'paid', 'suggestion', 'ngak', 'pairs',' ad ',' just ',' Tipu ',' anjingggg ']")</f>
        <v>['Install', 'ad', 'promo', 'package', 'cheerful', 'nda', 'paid', 'suggestion', 'ngak', 'pairs',' ad ',' just ',' Tipu ',' anjingggg ']</v>
      </c>
      <c r="D4004" s="3">
        <v>1.0</v>
      </c>
    </row>
    <row r="4005" ht="15.75" customHeight="1">
      <c r="A4005" s="1">
        <v>4003.0</v>
      </c>
      <c r="B4005" s="3" t="s">
        <v>4005</v>
      </c>
      <c r="C4005" s="3" t="str">
        <f>IFERROR(__xludf.DUMMYFUNCTION("GOOGLETRANSLATE(B4005,""id"",""en"")"),"['Star', 'star', 'signal', 'full', 'bar', 'internet', 'ilang', 'influential', 'work', 'motorcycle taxi', 'online', 'repaired', ' Move ',' Provider ',' Thank ',' Love ', ""]")</f>
        <v>['Star', 'star', 'signal', 'full', 'bar', 'internet', 'ilang', 'influential', 'work', 'motorcycle taxi', 'online', 'repaired', ' Move ',' Provider ',' Thank ',' Love ', "]</v>
      </c>
      <c r="D4005" s="3">
        <v>1.0</v>
      </c>
    </row>
    <row r="4006" ht="15.75" customHeight="1">
      <c r="A4006" s="1">
        <v>4004.0</v>
      </c>
      <c r="B4006" s="3" t="s">
        <v>4006</v>
      </c>
      <c r="C4006" s="3" t="str">
        <f>IFERROR(__xludf.DUMMYFUNCTION("GOOGLETRANSLATE(B4006,""id"",""en"")"),"['Contents',' Tomorrow ',' Day ',' Paketan ',' Direct ',' Quota ',' Out ',' Defensive ',' Buy ',' Basic ',' Maling ',' Turning ',' Money ',' Cave ',' Satan ',' Daanan ',' ']")</f>
        <v>['Contents',' Tomorrow ',' Day ',' Paketan ',' Direct ',' Quota ',' Out ',' Defensive ',' Buy ',' Basic ',' Maling ',' Turning ',' Money ',' Cave ',' Satan ',' Daanan ',' ']</v>
      </c>
      <c r="D4006" s="3">
        <v>1.0</v>
      </c>
    </row>
    <row r="4007" ht="15.75" customHeight="1">
      <c r="A4007" s="1">
        <v>4005.0</v>
      </c>
      <c r="B4007" s="3" t="s">
        <v>4007</v>
      </c>
      <c r="C4007" s="3" t="str">
        <f>IFERROR(__xludf.DUMMYFUNCTION("GOOGLETRANSLATE(B4007,""id"",""en"")"),"['Increase', 'quality', 'network', 'internet', 'area', 'remote', 'country']")</f>
        <v>['Increase', 'quality', 'network', 'internet', 'area', 'remote', 'country']</v>
      </c>
      <c r="D4007" s="3">
        <v>5.0</v>
      </c>
    </row>
    <row r="4008" ht="15.75" customHeight="1">
      <c r="A4008" s="1">
        <v>4006.0</v>
      </c>
      <c r="B4008" s="3" t="s">
        <v>4008</v>
      </c>
      <c r="C4008" s="3" t="str">
        <f>IFERROR(__xludf.DUMMYFUNCTION("GOOGLETRANSLATE(B4008,""id"",""en"")"),"['signal', 'Telkomsel', 'APK', 'bad', 'garbage', 'application', 'SNGAT', 'disgust', 'intention', 'application', 'garbage', 'Ush', ' Nipu ',' Orng ',' Hbis', 'Donlod', 'APK', 'Function', 'Open', 'Skali', 'Search', 'Money', 'Ush', 'Nipu', 'bro' , '']")</f>
        <v>['signal', 'Telkomsel', 'APK', 'bad', 'garbage', 'application', 'SNGAT', 'disgust', 'intention', 'application', 'garbage', 'Ush', ' Nipu ',' Orng ',' Hbis', 'Donlod', 'APK', 'Function', 'Open', 'Skali', 'Search', 'Money', 'Ush', 'Nipu', 'bro' , '']</v>
      </c>
      <c r="D4008" s="3">
        <v>1.0</v>
      </c>
    </row>
    <row r="4009" ht="15.75" customHeight="1">
      <c r="A4009" s="1">
        <v>4007.0</v>
      </c>
      <c r="B4009" s="3" t="s">
        <v>4009</v>
      </c>
      <c r="C4009" s="3" t="str">
        <f>IFERROR(__xludf.DUMMYFUNCTION("GOOGLETRANSLATE(B4009,""id"",""en"")"),"['strange', 'promo', 'cheerful', 'buy', 'package', 'enter', 'pulse', 'truncated', 'please', 'fix', 'bug', 'troubling']")</f>
        <v>['strange', 'promo', 'cheerful', 'buy', 'package', 'enter', 'pulse', 'truncated', 'please', 'fix', 'bug', 'troubling']</v>
      </c>
      <c r="D4009" s="3">
        <v>1.0</v>
      </c>
    </row>
    <row r="4010" ht="15.75" customHeight="1">
      <c r="A4010" s="1">
        <v>4008.0</v>
      </c>
      <c r="B4010" s="3" t="s">
        <v>4010</v>
      </c>
      <c r="C4010" s="3" t="str">
        <f>IFERROR(__xludf.DUMMYFUNCTION("GOOGLETRANSLATE(B4010,""id"",""en"")"),"['Stay', 'Jakarta', 'signal', 'rich', 'plollers',' forest ',' emng ',' intentions', 'repairs',' network ',' tower ',' kelurahan ',' ']")</f>
        <v>['Stay', 'Jakarta', 'signal', 'rich', 'plollers',' forest ',' emng ',' intentions', 'repairs',' network ',' tower ',' kelurahan ',' ']</v>
      </c>
      <c r="D4010" s="3">
        <v>1.0</v>
      </c>
    </row>
    <row r="4011" ht="15.75" customHeight="1">
      <c r="A4011" s="1">
        <v>4009.0</v>
      </c>
      <c r="B4011" s="3" t="s">
        <v>4011</v>
      </c>
      <c r="C4011" s="3" t="str">
        <f>IFERROR(__xludf.DUMMYFUNCTION("GOOGLETRANSLATE(B4011,""id"",""en"")"),"['already', 'quota', 'Mahalll', 'Borosss',' Network ',' Kya ',' eek ',' goat ',' love ',' star ',' already ',' Telkomsel ',' Badkk ',' Burikkkkkkkkkk ',' please ',' repair ',' please ',' ']")</f>
        <v>['already', 'quota', 'Mahalll', 'Borosss',' Network ',' Kya ',' eek ',' goat ',' love ',' star ',' already ',' Telkomsel ',' Badkk ',' Burikkkkkkkkkk ',' please ',' repair ',' please ',' ']</v>
      </c>
      <c r="D4011" s="3">
        <v>1.0</v>
      </c>
    </row>
    <row r="4012" ht="15.75" customHeight="1">
      <c r="A4012" s="1">
        <v>4010.0</v>
      </c>
      <c r="B4012" s="3" t="s">
        <v>4012</v>
      </c>
      <c r="C4012" s="3" t="str">
        <f>IFERROR(__xludf.DUMMYFUNCTION("GOOGLETRANSLATE(B4012,""id"",""en"")"),"['quota', 'data', 'Telkomsel', 'fraudsters',' app ',' quota ',' active ',' date ',' date ',' non ',' activate ',' quota ',' Lost ',' GB ',' Basic ',' Fraudster ',' Klean ']")</f>
        <v>['quota', 'data', 'Telkomsel', 'fraudsters',' app ',' quota ',' active ',' date ',' date ',' non ',' activate ',' quota ',' Lost ',' GB ',' Basic ',' Fraudster ',' Klean ']</v>
      </c>
      <c r="D4012" s="3">
        <v>1.0</v>
      </c>
    </row>
    <row r="4013" ht="15.75" customHeight="1">
      <c r="A4013" s="1">
        <v>4011.0</v>
      </c>
      <c r="B4013" s="3" t="s">
        <v>4013</v>
      </c>
      <c r="C4013" s="3" t="str">
        <f>IFERROR(__xludf.DUMMYFUNCTION("GOOGLETRANSLATE(B4013,""id"",""en"")"),"['Package', 'Gamemax', 'Out', 'Score', 'Credit', 'Gara', 'Enter', 'Reconnect']")</f>
        <v>['Package', 'Gamemax', 'Out', 'Score', 'Credit', 'Gara', 'Enter', 'Reconnect']</v>
      </c>
      <c r="D4013" s="3">
        <v>1.0</v>
      </c>
    </row>
    <row r="4014" ht="15.75" customHeight="1">
      <c r="A4014" s="1">
        <v>4012.0</v>
      </c>
      <c r="B4014" s="3" t="s">
        <v>4014</v>
      </c>
      <c r="C4014" s="3" t="str">
        <f>IFERROR(__xludf.DUMMYFUNCTION("GOOGLETRANSLATE(B4014,""id"",""en"")"),"['happy', 'policy', 'government', 'masarakat', 'lay', 'communicated']")</f>
        <v>['happy', 'policy', 'government', 'masarakat', 'lay', 'communicated']</v>
      </c>
      <c r="D4014" s="3">
        <v>1.0</v>
      </c>
    </row>
    <row r="4015" ht="15.75" customHeight="1">
      <c r="A4015" s="1">
        <v>4013.0</v>
      </c>
      <c r="B4015" s="3" t="s">
        <v>4015</v>
      </c>
      <c r="C4015" s="3" t="str">
        <f>IFERROR(__xludf.DUMMYFUNCTION("GOOGLETRANSLATE(B4015,""id"",""en"")"),"['signal', 'slow', 'contents',' pulse ',' check ',' pulse ',' pulse ',' cheek ',' ngak ',' really ',' sms', 'emergency', ' HRI ',' Nongol ',' clock ',' credit ',' emergency ',' ngak ',' pulse ',' cut ',' check ',' pulse ',' hurt ',' really ',' please ' , "&amp;"'repair']")</f>
        <v>['signal', 'slow', 'contents',' pulse ',' check ',' pulse ',' pulse ',' cheek ',' ngak ',' really ',' sms', 'emergency', ' HRI ',' Nongol ',' clock ',' credit ',' emergency ',' ngak ',' pulse ',' cut ',' check ',' pulse ',' hurt ',' really ',' please ' , 'repair']</v>
      </c>
      <c r="D4015" s="3">
        <v>1.0</v>
      </c>
    </row>
    <row r="4016" ht="15.75" customHeight="1">
      <c r="A4016" s="1">
        <v>4014.0</v>
      </c>
      <c r="B4016" s="3" t="s">
        <v>4016</v>
      </c>
      <c r="C4016" s="3" t="str">
        <f>IFERROR(__xludf.DUMMYFUNCTION("GOOGLETRANSLATE(B4016,""id"",""en"")"),"['entry', 'complicated', 'satisfied', 'application', 'bad', 'enter', 'complicated', 'baget', 'solution', 'entry', '']")</f>
        <v>['entry', 'complicated', 'satisfied', 'application', 'bad', 'enter', 'complicated', 'baget', 'solution', 'entry', '']</v>
      </c>
      <c r="D4016" s="3">
        <v>1.0</v>
      </c>
    </row>
    <row r="4017" ht="15.75" customHeight="1">
      <c r="A4017" s="1">
        <v>4015.0</v>
      </c>
      <c r="B4017" s="3" t="s">
        <v>4017</v>
      </c>
      <c r="C4017" s="3" t="str">
        <f>IFERROR(__xludf.DUMMYFUNCTION("GOOGLETRANSLATE(B4017,""id"",""en"")"),"['The network', 'slow', 'collapse', 'star', 'user', 'TPI', 'network', 'slow', 'disappointed', 'deh', 'replace', 'card', ' Dehh ',' BGNI ',' ']")</f>
        <v>['The network', 'slow', 'collapse', 'star', 'user', 'TPI', 'network', 'slow', 'disappointed', 'deh', 'replace', 'card', ' Dehh ',' BGNI ',' ']</v>
      </c>
      <c r="D4017" s="3">
        <v>1.0</v>
      </c>
    </row>
    <row r="4018" ht="15.75" customHeight="1">
      <c r="A4018" s="1">
        <v>4016.0</v>
      </c>
      <c r="B4018" s="3" t="s">
        <v>4018</v>
      </c>
      <c r="C4018" s="3" t="str">
        <f>IFERROR(__xludf.DUMMYFUNCTION("GOOGLETRANSLATE(B4018,""id"",""en"")"),"['signal', 'bad', 'bad', 'labor', 'expensive', 'package', 'signal', 'kayak', 'flag', 'yellow', 'red', ""]")</f>
        <v>['signal', 'bad', 'bad', 'labor', 'expensive', 'package', 'signal', 'kayak', 'flag', 'yellow', 'red', "]</v>
      </c>
      <c r="D4018" s="3">
        <v>1.0</v>
      </c>
    </row>
    <row r="4019" ht="15.75" customHeight="1">
      <c r="A4019" s="1">
        <v>4017.0</v>
      </c>
      <c r="B4019" s="3" t="s">
        <v>4019</v>
      </c>
      <c r="C4019" s="3" t="str">
        <f>IFERROR(__xludf.DUMMYFUNCTION("GOOGLETRANSLATE(B4019,""id"",""en"")"),"['Disappointed', 'use', 'card', 'Hello', 'signal', 'Lemottt', 'pdhal', 'suda', 'subscription', 'ngk', 'pulses',' spaream ',' yes', 'Costumer', 'NGK', 'realized', 'getting', 'fees',' additional ',' call ',' call ',' minutes', 'gara', 'ration', 'call' , 'mi"&amp;"nutes',' run out ',' disappointed ',' signal ',' slow ',' kayak ',' use ',' card ',' prepaid ',' cheap ',' Telkomsel ',' wahit ',' card ',' signal ',' internet ']")</f>
        <v>['Disappointed', 'use', 'card', 'Hello', 'signal', 'Lemottt', 'pdhal', 'suda', 'subscription', 'ngk', 'pulses',' spaream ',' yes', 'Costumer', 'NGK', 'realized', 'getting', 'fees',' additional ',' call ',' call ',' minutes', 'gara', 'ration', 'call' , 'minutes',' run out ',' disappointed ',' signal ',' slow ',' kayak ',' use ',' card ',' prepaid ',' cheap ',' Telkomsel ',' wahit ',' card ',' signal ',' internet ']</v>
      </c>
      <c r="D4019" s="3">
        <v>1.0</v>
      </c>
    </row>
    <row r="4020" ht="15.75" customHeight="1">
      <c r="A4020" s="1">
        <v>4018.0</v>
      </c>
      <c r="B4020" s="3" t="s">
        <v>4020</v>
      </c>
      <c r="C4020" s="3" t="str">
        <f>IFERROR(__xludf.DUMMYFUNCTION("GOOGLETRANSLATE(B4020,""id"",""en"")"),"['Telkomsel', 'bad', 'that's',' proof ',' home ',' good ',' skrg ',' amit ',' amit ',' open ',' app ',' Telkomsel ',' Play ',' Facebook ',' Leet ']")</f>
        <v>['Telkomsel', 'bad', 'that's',' proof ',' home ',' good ',' skrg ',' amit ',' amit ',' open ',' app ',' Telkomsel ',' Play ',' Facebook ',' Leet ']</v>
      </c>
      <c r="D4020" s="3">
        <v>1.0</v>
      </c>
    </row>
    <row r="4021" ht="15.75" customHeight="1">
      <c r="A4021" s="1">
        <v>4019.0</v>
      </c>
      <c r="B4021" s="3" t="s">
        <v>4021</v>
      </c>
      <c r="C4021" s="3" t="str">
        <f>IFERROR(__xludf.DUMMYFUNCTION("GOOGLETRANSLATE(B4021,""id"",""en"")"),"['Network', 'ugly', 'please', 'fix', 'as soon as possible', 'user', 'blur', '']")</f>
        <v>['Network', 'ugly', 'please', 'fix', 'as soon as possible', 'user', 'blur', '']</v>
      </c>
      <c r="D4021" s="3">
        <v>1.0</v>
      </c>
    </row>
    <row r="4022" ht="15.75" customHeight="1">
      <c r="A4022" s="1">
        <v>4020.0</v>
      </c>
      <c r="B4022" s="3" t="s">
        <v>4022</v>
      </c>
      <c r="C4022" s="3" t="str">
        <f>IFERROR(__xludf.DUMMYFUNCTION("GOOGLETRANSLATE(B4022,""id"",""en"")"),"['Telkomsel', 'network', 'worst', 'use', 'play', 'codm', 'pub', 'lag', 'network', 'disconnected', 'data', 'cellular', ' active ',' repaired ',' min ',' customer ',' blur ',' cave ',' already ',' costumer ',' service ',' reply ',' bot ',' veronica ',' ']")</f>
        <v>['Telkomsel', 'network', 'worst', 'use', 'play', 'codm', 'pub', 'lag', 'network', 'disconnected', 'data', 'cellular', ' active ',' repaired ',' min ',' customer ',' blur ',' cave ',' already ',' costumer ',' service ',' reply ',' bot ',' veronica ',' ']</v>
      </c>
      <c r="D4022" s="3">
        <v>1.0</v>
      </c>
    </row>
    <row r="4023" ht="15.75" customHeight="1">
      <c r="A4023" s="1">
        <v>4021.0</v>
      </c>
      <c r="B4023" s="3" t="s">
        <v>4023</v>
      </c>
      <c r="C4023" s="3" t="str">
        <f>IFERROR(__xludf.DUMMYFUNCTION("GOOGLETRANSLATE(B4023,""id"",""en"")"),"['already', 'Telkomsel', 'Thun', 'felt', 'signal', 'bad', 'Severe', 'yaa', 'please', 'fix', 'system', 'disappointed', ' already ',' subscription ',' change ',' card ',' ']")</f>
        <v>['already', 'Telkomsel', 'Thun', 'felt', 'signal', 'bad', 'Severe', 'yaa', 'please', 'fix', 'system', 'disappointed', ' already ',' subscription ',' change ',' card ',' ']</v>
      </c>
      <c r="D4023" s="3">
        <v>1.0</v>
      </c>
    </row>
    <row r="4024" ht="15.75" customHeight="1">
      <c r="A4024" s="1">
        <v>4022.0</v>
      </c>
      <c r="B4024" s="3" t="s">
        <v>4024</v>
      </c>
      <c r="C4024" s="3" t="str">
        <f>IFERROR(__xludf.DUMMYFUNCTION("GOOGLETRANSLATE(B4024,""id"",""en"")"),"['Help', 'held', 'quota', 'GB', 'price', 'cheap', 'expensive', 'as soon as',' buy ',' buy ',' quota ',' quota ',' need ',' ']")</f>
        <v>['Help', 'held', 'quota', 'GB', 'price', 'cheap', 'expensive', 'as soon as',' buy ',' buy ',' quota ',' quota ',' need ',' ']</v>
      </c>
      <c r="D4024" s="3">
        <v>3.0</v>
      </c>
    </row>
    <row r="4025" ht="15.75" customHeight="1">
      <c r="A4025" s="1">
        <v>4023.0</v>
      </c>
      <c r="B4025" s="3" t="s">
        <v>4025</v>
      </c>
      <c r="C4025" s="3" t="str">
        <f>IFERROR(__xludf.DUMMYFUNCTION("GOOGLETRANSLATE(B4025,""id"",""en"")"),"['knapa', 'signal', 'Telkomsel', 'slow', 'slow', 'Nian', 'Telkomsel', 'famous',' delicious', 'replace', 'card', 'boss',' signal ',' smooth ',' Jaya ']")</f>
        <v>['knapa', 'signal', 'Telkomsel', 'slow', 'slow', 'Nian', 'Telkomsel', 'famous',' delicious', 'replace', 'card', 'boss',' signal ',' smooth ',' Jaya ']</v>
      </c>
      <c r="D4025" s="3">
        <v>1.0</v>
      </c>
    </row>
    <row r="4026" ht="15.75" customHeight="1">
      <c r="A4026" s="1">
        <v>4024.0</v>
      </c>
      <c r="B4026" s="3" t="s">
        <v>4026</v>
      </c>
      <c r="C4026" s="3" t="str">
        <f>IFERROR(__xludf.DUMMYFUNCTION("GOOGLETRANSLATE(B4026,""id"",""en"")"),"['', 'according to', 'expensive', 'package', 'available', 'quality', 'signal', 'LH', 'bad', 'pkel', 'bad', 'compare', 'axis ',' TRS ',' promo ',' SGNL ',' strong ',' reach ',' remote ',' proof ',' city ',' terms', 'quality', 'sgnlnya', 'bad', 'package', '"&amp;"expensive', 'quality', 'SGNL', 'good', 'jngn', 'take', 'luck', 'big', 'doang', 'poor']")</f>
        <v>['', 'according to', 'expensive', 'package', 'available', 'quality', 'signal', 'LH', 'bad', 'pkel', 'bad', 'compare', 'axis ',' TRS ',' promo ',' SGNL ',' strong ',' reach ',' remote ',' proof ',' city ',' terms', 'quality', 'sgnlnya', 'bad', 'package', 'expensive', 'quality', 'SGNL', 'good', 'jngn', 'take', 'luck', 'big', 'doang', 'poor']</v>
      </c>
      <c r="D4026" s="3">
        <v>1.0</v>
      </c>
    </row>
    <row r="4027" ht="15.75" customHeight="1">
      <c r="A4027" s="1">
        <v>4025.0</v>
      </c>
      <c r="B4027" s="3" t="s">
        <v>4027</v>
      </c>
      <c r="C4027" s="3" t="str">
        <f>IFERROR(__xludf.DUMMYFUNCTION("GOOGLETRANSLATE(B4027,""id"",""en"")"),"['service', 'Telkomsel', 'slow', 'package', 'already', 'buy', 'function']")</f>
        <v>['service', 'Telkomsel', 'slow', 'package', 'already', 'buy', 'function']</v>
      </c>
      <c r="D4027" s="3">
        <v>1.0</v>
      </c>
    </row>
    <row r="4028" ht="15.75" customHeight="1">
      <c r="A4028" s="1">
        <v>4026.0</v>
      </c>
      <c r="B4028" s="3" t="s">
        <v>4028</v>
      </c>
      <c r="C4028" s="3" t="str">
        <f>IFERROR(__xludf.DUMMYFUNCTION("GOOGLETRANSLATE(B4028,""id"",""en"")"),"['Since', 'Display', 'Application', 'Telkomsel', 'Lemot', 'Very', 'Feature', 'Ad', 'Customer', 'Served', 'Application', ""]")</f>
        <v>['Since', 'Display', 'Application', 'Telkomsel', 'Lemot', 'Very', 'Feature', 'Ad', 'Customer', 'Served', 'Application', "]</v>
      </c>
      <c r="D4028" s="3">
        <v>1.0</v>
      </c>
    </row>
    <row r="4029" ht="15.75" customHeight="1">
      <c r="A4029" s="1">
        <v>4027.0</v>
      </c>
      <c r="B4029" s="3" t="s">
        <v>4029</v>
      </c>
      <c r="C4029" s="3" t="str">
        <f>IFERROR(__xludf.DUMMYFUNCTION("GOOGLETRANSLATE(B4029,""id"",""en"")"),"['Buy', 'Kouta', 'thousand', 'pay', 'thousand', 'contents',' balance ',' thousand ',' ehh ',' lost ',' thousand ',' Basic ',' thief ',' balance ',' really ',' Telkomsel ',' rich ',' gini ',' turn ',' complain ',' really ',' tekkek ',' bngek ', ""]")</f>
        <v>['Buy', 'Kouta', 'thousand', 'pay', 'thousand', 'contents',' balance ',' thousand ',' ehh ',' lost ',' thousand ',' Basic ',' thief ',' balance ',' really ',' Telkomsel ',' rich ',' gini ',' turn ',' complain ',' really ',' tekkek ',' bngek ', "]</v>
      </c>
      <c r="D4029" s="3">
        <v>1.0</v>
      </c>
    </row>
    <row r="4030" ht="15.75" customHeight="1">
      <c r="A4030" s="1">
        <v>4028.0</v>
      </c>
      <c r="B4030" s="3" t="s">
        <v>4030</v>
      </c>
      <c r="C4030" s="3" t="str">
        <f>IFERROR(__xludf.DUMMYFUNCTION("GOOGLETRANSLATE(B4030,""id"",""en"")"),"['less',' star ',' Since ',' network ',' like ',' ilang ',' move ',' package ',' expensive ',' doang ',' axis', 'mah', ' lost', '']")</f>
        <v>['less',' star ',' Since ',' network ',' like ',' ilang ',' move ',' package ',' expensive ',' doang ',' axis', 'mah', ' lost', '']</v>
      </c>
      <c r="D4030" s="3">
        <v>1.0</v>
      </c>
    </row>
    <row r="4031" ht="15.75" customHeight="1">
      <c r="A4031" s="1">
        <v>4029.0</v>
      </c>
      <c r="B4031" s="3" t="s">
        <v>4031</v>
      </c>
      <c r="C4031" s="3" t="str">
        <f>IFERROR(__xludf.DUMMYFUNCTION("GOOGLETRANSLATE(B4031,""id"",""en"")"),"['Network', 'rotten', 'damaged', 'ugly', 'play', 'sosmed', 'game', 'please', 'repaired', 'loss', 'customer']")</f>
        <v>['Network', 'rotten', 'damaged', 'ugly', 'play', 'sosmed', 'game', 'please', 'repaired', 'loss', 'customer']</v>
      </c>
      <c r="D4031" s="3">
        <v>1.0</v>
      </c>
    </row>
    <row r="4032" ht="15.75" customHeight="1">
      <c r="A4032" s="1">
        <v>4030.0</v>
      </c>
      <c r="B4032" s="3" t="s">
        <v>4032</v>
      </c>
      <c r="C4032" s="3" t="str">
        <f>IFERROR(__xludf.DUMMYFUNCTION("GOOGLETRANSLATE(B4032,""id"",""en"")"),"['Gelud', 'Yuk', 'Minn', 'Ngeselin', 'Very', 'Telkomsel', '']")</f>
        <v>['Gelud', 'Yuk', 'Minn', 'Ngeselin', 'Very', 'Telkomsel', '']</v>
      </c>
      <c r="D4032" s="3">
        <v>1.0</v>
      </c>
    </row>
    <row r="4033" ht="15.75" customHeight="1">
      <c r="A4033" s="1">
        <v>4031.0</v>
      </c>
      <c r="B4033" s="3" t="s">
        <v>4033</v>
      </c>
      <c r="C4033" s="3" t="str">
        <f>IFERROR(__xludf.DUMMYFUNCTION("GOOGLETRANSLATE(B4033,""id"",""en"")"),"['please', 'signal', 'fugger', 'quota', 'expensive', 'signal', 'ugly', 'GB', 'RB', 'quota', 'semartfren', 'GB', ' The price is', 'RB', 'Plis',' quota ',' Muarhin ', ""]")</f>
        <v>['please', 'signal', 'fugger', 'quota', 'expensive', 'signal', 'ugly', 'GB', 'RB', 'quota', 'semartfren', 'GB', ' The price is', 'RB', 'Plis',' quota ',' Muarhin ', "]</v>
      </c>
      <c r="D4033" s="3">
        <v>5.0</v>
      </c>
    </row>
    <row r="4034" ht="15.75" customHeight="1">
      <c r="A4034" s="1">
        <v>4032.0</v>
      </c>
      <c r="B4034" s="3" t="s">
        <v>4034</v>
      </c>
      <c r="C4034" s="3" t="str">
        <f>IFERROR(__xludf.DUMMYFUNCTION("GOOGLETRANSLATE(B4034,""id"",""en"")"),"['Sorry', 'Change', 'Star', 'Update', 'Combo', 'Sakti', 'Lost', 'Expensive', 'Paketan', 'Help']")</f>
        <v>['Sorry', 'Change', 'Star', 'Update', 'Combo', 'Sakti', 'Lost', 'Expensive', 'Paketan', 'Help']</v>
      </c>
      <c r="D4034" s="3">
        <v>5.0</v>
      </c>
    </row>
    <row r="4035" ht="15.75" customHeight="1">
      <c r="A4035" s="1">
        <v>4033.0</v>
      </c>
      <c r="B4035" s="3" t="s">
        <v>4035</v>
      </c>
      <c r="C4035" s="3" t="str">
        <f>IFERROR(__xludf.DUMMYFUNCTION("GOOGLETRANSLATE(B4035,""id"",""en"")"),"['cheated', 'night', 'buy', 'package', 'special', 'corporate', 'GB', 'notification', 'printed', 'package', 'active', 'applied', ' Telkomselnya ',' internet ',' package ',' active ',' there ',' please ',' repaired ',' consumer ',' harmed ']")</f>
        <v>['cheated', 'night', 'buy', 'package', 'special', 'corporate', 'GB', 'notification', 'printed', 'package', 'active', 'applied', ' Telkomselnya ',' internet ',' package ',' active ',' there ',' please ',' repaired ',' consumer ',' harmed ']</v>
      </c>
      <c r="D4035" s="3">
        <v>1.0</v>
      </c>
    </row>
    <row r="4036" ht="15.75" customHeight="1">
      <c r="A4036" s="1">
        <v>4034.0</v>
      </c>
      <c r="B4036" s="3" t="s">
        <v>4036</v>
      </c>
      <c r="C4036" s="3" t="str">
        <f>IFERROR(__xludf.DUMMYFUNCTION("GOOGLETRANSLATE(B4036,""id"",""en"")"),"['Network', 'Good', 'Reduced', 'Strength', 'Signal', ""]")</f>
        <v>['Network', 'Good', 'Reduced', 'Strength', 'Signal', "]</v>
      </c>
      <c r="D4036" s="3">
        <v>5.0</v>
      </c>
    </row>
    <row r="4037" ht="15.75" customHeight="1">
      <c r="A4037" s="1">
        <v>4035.0</v>
      </c>
      <c r="B4037" s="3" t="s">
        <v>4037</v>
      </c>
      <c r="C4037" s="3" t="str">
        <f>IFERROR(__xludf.DUMMYFUNCTION("GOOGLETRANSLATE(B4037,""id"",""en"")"),"['wonder', 'bro', 'already', 'stop by', 'mama', 'wrong', 'task', 'responsibility', 'looked', 'surfers',' world ',' home ',' home ',' buk ']")</f>
        <v>['wonder', 'bro', 'already', 'stop by', 'mama', 'wrong', 'task', 'responsibility', 'looked', 'surfers',' world ',' home ',' home ',' buk ']</v>
      </c>
      <c r="D4037" s="3">
        <v>5.0</v>
      </c>
    </row>
    <row r="4038" ht="15.75" customHeight="1">
      <c r="A4038" s="1">
        <v>4036.0</v>
      </c>
      <c r="B4038" s="3" t="s">
        <v>4038</v>
      </c>
      <c r="C4038" s="3" t="str">
        <f>IFERROR(__xludf.DUMMYFUNCTION("GOOGLETRANSLATE(B4038,""id"",""en"")"),"['Price', 'expensive', 'signal', 'slow', 'tasty', 'slow', 'minute', 'clock', 'hari', 'bye', 'bye', 'Telkomsel', ' Providers', 'here', 'bad', 'service', 'network']")</f>
        <v>['Price', 'expensive', 'signal', 'slow', 'tasty', 'slow', 'minute', 'clock', 'hari', 'bye', 'bye', 'Telkomsel', ' Providers', 'here', 'bad', 'service', 'network']</v>
      </c>
      <c r="D4038" s="3">
        <v>1.0</v>
      </c>
    </row>
    <row r="4039" ht="15.75" customHeight="1">
      <c r="A4039" s="1">
        <v>4037.0</v>
      </c>
      <c r="B4039" s="3" t="s">
        <v>4039</v>
      </c>
      <c r="C4039" s="3" t="str">
        <f>IFERROR(__xludf.DUMMYFUNCTION("GOOGLETRANSLATE(B4039,""id"",""en"")"),"['promo', 'quota', 'internet', 'please', 'donk', 'Telkomsel', 'love', 'promo', 'internet', '']")</f>
        <v>['promo', 'quota', 'internet', 'please', 'donk', 'Telkomsel', 'love', 'promo', 'internet', '']</v>
      </c>
      <c r="D4039" s="3">
        <v>5.0</v>
      </c>
    </row>
    <row r="4040" ht="15.75" customHeight="1">
      <c r="A4040" s="1">
        <v>4038.0</v>
      </c>
      <c r="B4040" s="3" t="s">
        <v>4040</v>
      </c>
      <c r="C4040" s="3" t="str">
        <f>IFERROR(__xludf.DUMMYFUNCTION("GOOGLETRANSLATE(B4040,""id"",""en"")"),"['annoyed', 'Lord', 'Telkomsel', 'ugly', 'sdg', 'disaster', 'flood', 'need', 'accent', 'kmnikasi', 'sinyal', 'kyak', ' BANGJE ',' ']")</f>
        <v>['annoyed', 'Lord', 'Telkomsel', 'ugly', 'sdg', 'disaster', 'flood', 'need', 'accent', 'kmnikasi', 'sinyal', 'kyak', ' BANGJE ',' ']</v>
      </c>
      <c r="D4040" s="3">
        <v>2.0</v>
      </c>
    </row>
    <row r="4041" ht="15.75" customHeight="1">
      <c r="A4041" s="1">
        <v>4039.0</v>
      </c>
      <c r="B4041" s="3" t="s">
        <v>4041</v>
      </c>
      <c r="C4041" s="3" t="str">
        <f>IFERROR(__xludf.DUMMYFUNCTION("GOOGLETRANSLATE(B4041,""id"",""en"")"),"['Want', 'Hitan', 'Personal', 'Business', 'Additional', 'BSA', 'Mb Niawi', 'Pnidikan', 'Child', ""]")</f>
        <v>['Want', 'Hitan', 'Personal', 'Business', 'Additional', 'BSA', 'Mb Niawi', 'Pnidikan', 'Child', "]</v>
      </c>
      <c r="D4041" s="3">
        <v>5.0</v>
      </c>
    </row>
    <row r="4042" ht="15.75" customHeight="1">
      <c r="A4042" s="1">
        <v>4040.0</v>
      </c>
      <c r="B4042" s="3" t="s">
        <v>4042</v>
      </c>
      <c r="C4042" s="3" t="str">
        <f>IFERROR(__xludf.DUMMYFUNCTION("GOOGLETRANSLATE(B4042,""id"",""en"")"),"['Please', 'no', 'love', 'promo', 'cheap', 'quota', 'abundant', 'GPP', 'forced', 'network', 'disappointing', 'Telkomsel', ' Care ',' Price ',' Package ',' Data ',' Excellent ',' Concerned ',' Quality ',' Network ',' Telkomsel ',' Increasing ',' Promo ',' "&amp;"Cheap ',' quota ' , 'Open', 'Application', 'Telkomsel', 'Need', 'Network', 'Disappointing', '']")</f>
        <v>['Please', 'no', 'love', 'promo', 'cheap', 'quota', 'abundant', 'GPP', 'forced', 'network', 'disappointing', 'Telkomsel', ' Care ',' Price ',' Package ',' Data ',' Excellent ',' Concerned ',' Quality ',' Network ',' Telkomsel ',' Increasing ',' Promo ',' Cheap ',' quota ' , 'Open', 'Application', 'Telkomsel', 'Need', 'Network', 'Disappointing', '']</v>
      </c>
      <c r="D4042" s="3">
        <v>1.0</v>
      </c>
    </row>
    <row r="4043" ht="15.75" customHeight="1">
      <c r="A4043" s="1">
        <v>4041.0</v>
      </c>
      <c r="B4043" s="3" t="s">
        <v>4043</v>
      </c>
      <c r="C4043" s="3" t="str">
        <f>IFERROR(__xludf.DUMMYFUNCTION("GOOGLETRANSLATE(B4043,""id"",""en"")"),"['Telkom', 'buy', 'package', 'unlimited', 'clock', 'run out', 'ngak', 'entry', 'sense', 'pulse', 'directly', 'run out', ' Please, 'Fix', 'System', 'Error', 'Teris', 'Wait', 'Confirm', 'Telkom']")</f>
        <v>['Telkom', 'buy', 'package', 'unlimited', 'clock', 'run out', 'ngak', 'entry', 'sense', 'pulse', 'directly', 'run out', ' Please, 'Fix', 'System', 'Error', 'Teris', 'Wait', 'Confirm', 'Telkom']</v>
      </c>
      <c r="D4043" s="3">
        <v>1.0</v>
      </c>
    </row>
    <row r="4044" ht="15.75" customHeight="1">
      <c r="A4044" s="1">
        <v>4042.0</v>
      </c>
      <c r="B4044" s="3" t="s">
        <v>4044</v>
      </c>
      <c r="C4044" s="3" t="str">
        <f>IFERROR(__xludf.DUMMYFUNCTION("GOOGLETRANSLATE(B4044,""id"",""en"")"),"['buy', 'pulse', 'application', 'entry', 'suck', 'link', 'complain', 'veronika', 'told', 'waiting', 'serem', 'kulitas',' Telkomsel ',' billed ',' package ',' emergency ',' safe ',' the application ']")</f>
        <v>['buy', 'pulse', 'application', 'entry', 'suck', 'link', 'complain', 'veronika', 'told', 'waiting', 'serem', 'kulitas',' Telkomsel ',' billed ',' package ',' emergency ',' safe ',' the application ']</v>
      </c>
      <c r="D4044" s="3">
        <v>1.0</v>
      </c>
    </row>
    <row r="4045" ht="15.75" customHeight="1">
      <c r="A4045" s="1">
        <v>4043.0</v>
      </c>
      <c r="B4045" s="3" t="s">
        <v>4045</v>
      </c>
      <c r="C4045" s="3" t="str">
        <f>IFERROR(__xludf.DUMMYFUNCTION("GOOGLETRANSLATE(B4045,""id"",""en"")"),"['Napa', 'buy', 'quota', 'ketenngan', 'youtube', 'twitter', 'pulse', 'regular', 'cut "",' pulse ',' non ',' package ',' Toys', 'Package', 'Tetep', 'Credit', 'Regular', 'Out', '']")</f>
        <v>['Napa', 'buy', 'quota', 'ketenngan', 'youtube', 'twitter', 'pulse', 'regular', 'cut ",' pulse ',' non ',' package ',' Toys', 'Package', 'Tetep', 'Credit', 'Regular', 'Out', '']</v>
      </c>
      <c r="D4045" s="3">
        <v>1.0</v>
      </c>
    </row>
    <row r="4046" ht="15.75" customHeight="1">
      <c r="A4046" s="1">
        <v>4044.0</v>
      </c>
      <c r="B4046" s="3" t="s">
        <v>4046</v>
      </c>
      <c r="C4046" s="3" t="str">
        <f>IFERROR(__xludf.DUMMYFUNCTION("GOOGLETRANSLATE(B4046,""id"",""en"")"),"['wants',' Telkomsel ',' Network ',' City ',' already ',' rich ',' network ',' amid "", 'forest',""]")</f>
        <v>['wants',' Telkomsel ',' Network ',' City ',' already ',' rich ',' network ',' amid ", 'forest',"]</v>
      </c>
      <c r="D4046" s="3">
        <v>1.0</v>
      </c>
    </row>
    <row r="4047" ht="15.75" customHeight="1">
      <c r="A4047" s="1">
        <v>4045.0</v>
      </c>
      <c r="B4047" s="3" t="s">
        <v>4047</v>
      </c>
      <c r="C4047" s="3" t="str">
        <f>IFERROR(__xludf.DUMMYFUNCTION("GOOGLETRANSLATE(B4047,""id"",""en"")"),"['Yesterday', 'BLM', 'Satisfied', 'already', 'broad', 'forced', 'Kasi', ""]")</f>
        <v>['Yesterday', 'BLM', 'Satisfied', 'already', 'broad', 'forced', 'Kasi', "]</v>
      </c>
      <c r="D4047" s="3">
        <v>5.0</v>
      </c>
    </row>
    <row r="4048" ht="15.75" customHeight="1">
      <c r="A4048" s="1">
        <v>4046.0</v>
      </c>
      <c r="B4048" s="3" t="s">
        <v>4048</v>
      </c>
      <c r="C4048" s="3" t="str">
        <f>IFERROR(__xludf.DUMMYFUNCTION("GOOGLETRANSLATE(B4048,""id"",""en"")"),"['like', 'application', 'Telkomsel', 'use', 'already', 'package', 'internet', 'affordable', 'payment', 'easy']")</f>
        <v>['like', 'application', 'Telkomsel', 'use', 'already', 'package', 'internet', 'affordable', 'payment', 'easy']</v>
      </c>
      <c r="D4048" s="3">
        <v>5.0</v>
      </c>
    </row>
    <row r="4049" ht="15.75" customHeight="1">
      <c r="A4049" s="1">
        <v>4047.0</v>
      </c>
      <c r="B4049" s="3" t="s">
        <v>4049</v>
      </c>
      <c r="C4049" s="3" t="str">
        <f>IFERROR(__xludf.DUMMYFUNCTION("GOOGLETRANSLATE(B4049,""id"",""en"")"),"['Telkomsel', 'citizens',' used ',' cards', 'slow', 'throughout', 'Jagat', 'Raya', 'SPECIALS', 'Region', 'Palembang', 'Severe', ' signal ',' sometimes', 'signal', 'lose', 'axis',' smartfren ',' indosat ']")</f>
        <v>['Telkomsel', 'citizens',' used ',' cards', 'slow', 'throughout', 'Jagat', 'Raya', 'SPECIALS', 'Region', 'Palembang', 'Severe', ' signal ',' sometimes', 'signal', 'lose', 'axis',' smartfren ',' indosat ']</v>
      </c>
      <c r="D4049" s="3">
        <v>1.0</v>
      </c>
    </row>
    <row r="4050" ht="15.75" customHeight="1">
      <c r="A4050" s="1">
        <v>4048.0</v>
      </c>
      <c r="B4050" s="3" t="s">
        <v>4050</v>
      </c>
      <c r="C4050" s="3" t="str">
        <f>IFERROR(__xludf.DUMMYFUNCTION("GOOGLETRANSLATE(B4050,""id"",""en"")"),"['Sorry', 'Lower', 'The Star', 'Krna', 'Often', 'Updated', 'MLH', 'Slow', 'Please', 'Fix', 'Performance', 'Network', ' Telkomsel ',' AGR ',' price ',' expensive ',' IM ',' performance ',' Asked ',' star ', ""]")</f>
        <v>['Sorry', 'Lower', 'The Star', 'Krna', 'Often', 'Updated', 'MLH', 'Slow', 'Please', 'Fix', 'Performance', 'Network', ' Telkomsel ',' AGR ',' price ',' expensive ',' IM ',' performance ',' Asked ',' star ', "]</v>
      </c>
      <c r="D4050" s="3">
        <v>3.0</v>
      </c>
    </row>
    <row r="4051" ht="15.75" customHeight="1">
      <c r="A4051" s="1">
        <v>4049.0</v>
      </c>
      <c r="B4051" s="3" t="s">
        <v>4051</v>
      </c>
      <c r="C4051" s="3" t="str">
        <f>IFERROR(__xludf.DUMMYFUNCTION("GOOGLETRANSLATE(B4051,""id"",""en"")"),"['difficult', 'login', 'application', 'Severe', 'signal', 'destroyed', '']")</f>
        <v>['difficult', 'login', 'application', 'Severe', 'signal', 'destroyed', '']</v>
      </c>
      <c r="D4051" s="3">
        <v>1.0</v>
      </c>
    </row>
    <row r="4052" ht="15.75" customHeight="1">
      <c r="A4052" s="1">
        <v>4050.0</v>
      </c>
      <c r="B4052" s="3" t="s">
        <v>4052</v>
      </c>
      <c r="C4052" s="3" t="str">
        <f>IFERROR(__xludf.DUMMYFUNCTION("GOOGLETRANSLATE(B4052,""id"",""en"")"),"['hope', 'gift', 'car', 'because', 'dream', 'biggest', 'life']")</f>
        <v>['hope', 'gift', 'car', 'because', 'dream', 'biggest', 'life']</v>
      </c>
      <c r="D4052" s="3">
        <v>5.0</v>
      </c>
    </row>
    <row r="4053" ht="15.75" customHeight="1">
      <c r="A4053" s="1">
        <v>4051.0</v>
      </c>
      <c r="B4053" s="3" t="s">
        <v>4053</v>
      </c>
      <c r="C4053" s="3" t="str">
        <f>IFERROR(__xludf.DUMMYFUNCTION("GOOGLETRANSLATE(B4053,""id"",""en"")"),"['Love', 'Package', 'Combo', 'Sakti', 'Friendly', 'Pouch', 'Love', 'Star', ""]")</f>
        <v>['Love', 'Package', 'Combo', 'Sakti', 'Friendly', 'Pouch', 'Love', 'Star', "]</v>
      </c>
      <c r="D4053" s="3">
        <v>2.0</v>
      </c>
    </row>
    <row r="4054" ht="15.75" customHeight="1">
      <c r="A4054" s="1">
        <v>4052.0</v>
      </c>
      <c r="B4054" s="3" t="s">
        <v>4054</v>
      </c>
      <c r="C4054" s="3" t="str">
        <f>IFERROR(__xludf.DUMMYFUNCTION("GOOGLETRANSLATE(B4054,""id"",""en"")"),"['buy', 'package', 'internet', 'visits', 'finished', 'processed', 'pulse', 'already', '']")</f>
        <v>['buy', 'package', 'internet', 'visits', 'finished', 'processed', 'pulse', 'already', '']</v>
      </c>
      <c r="D4054" s="3">
        <v>1.0</v>
      </c>
    </row>
    <row r="4055" ht="15.75" customHeight="1">
      <c r="A4055" s="1">
        <v>4053.0</v>
      </c>
      <c r="B4055" s="3" t="s">
        <v>4055</v>
      </c>
      <c r="C4055" s="3" t="str">
        <f>IFERROR(__xludf.DUMMYFUNCTION("GOOGLETRANSLATE(B4055,""id"",""en"")"),"['Calls', 'wrong', 'number', 'Yesterday', 'pulse', 'Please', 'explanation', ""]")</f>
        <v>['Calls', 'wrong', 'number', 'Yesterday', 'pulse', 'Please', 'explanation', "]</v>
      </c>
      <c r="D4055" s="3">
        <v>2.0</v>
      </c>
    </row>
    <row r="4056" ht="15.75" customHeight="1">
      <c r="A4056" s="1">
        <v>4054.0</v>
      </c>
      <c r="B4056" s="3" t="s">
        <v>4056</v>
      </c>
      <c r="C4056" s="3" t="str">
        <f>IFERROR(__xludf.DUMMYFUNCTION("GOOGLETRANSLATE(B4056,""id"",""en"")"),"['buy', 'quota', 'pulse', 'already', 'ceck', 'connection', 'duh']")</f>
        <v>['buy', 'quota', 'pulse', 'already', 'ceck', 'connection', 'duh']</v>
      </c>
      <c r="D4056" s="3">
        <v>4.0</v>
      </c>
    </row>
    <row r="4057" ht="15.75" customHeight="1">
      <c r="A4057" s="1">
        <v>4055.0</v>
      </c>
      <c r="B4057" s="3" t="s">
        <v>4057</v>
      </c>
      <c r="C4057" s="3" t="str">
        <f>IFERROR(__xludf.DUMMYFUNCTION("GOOGLETRANSLATE(B4057,""id"",""en"")"),"['Success', 'Tsel', 'users', 'loyal', 'Please', 'Increase', 'Quality', 'Signal', 'Rich', 'Ngabret', ""]")</f>
        <v>['Success', 'Tsel', 'users', 'loyal', 'Please', 'Increase', 'Quality', 'Signal', 'Rich', 'Ngabret', "]</v>
      </c>
      <c r="D4057" s="3">
        <v>5.0</v>
      </c>
    </row>
    <row r="4058" ht="15.75" customHeight="1">
      <c r="A4058" s="1">
        <v>4056.0</v>
      </c>
      <c r="B4058" s="3" t="s">
        <v>4058</v>
      </c>
      <c r="C4058" s="3" t="str">
        <f>IFERROR(__xludf.DUMMYFUNCTION("GOOGLETRANSLATE(B4058,""id"",""en"")"),"['Assalamualaikum', 'Telkomsel', 'problem', 'right', 'buy', 'package', 'cheerful', 'notip', 'package', 'actip', 'enter', 'enter', ' Credit ',' Please ',' Overcome ']")</f>
        <v>['Assalamualaikum', 'Telkomsel', 'problem', 'right', 'buy', 'package', 'cheerful', 'notip', 'package', 'actip', 'enter', 'enter', ' Credit ',' Please ',' Overcome ']</v>
      </c>
      <c r="D4058" s="3">
        <v>3.0</v>
      </c>
    </row>
    <row r="4059" ht="15.75" customHeight="1">
      <c r="A4059" s="1">
        <v>4057.0</v>
      </c>
      <c r="B4059" s="3" t="s">
        <v>4059</v>
      </c>
      <c r="C4059" s="3" t="str">
        <f>IFERROR(__xludf.DUMMYFUNCTION("GOOGLETRANSLATE(B4059,""id"",""en"")"),"['slow', 'Telkomsel', 'area', 'Bandung', 'south', 'pdahal', 'plain', 'good', 'mountain', 'poor', 'slow', 'try', ' Increase ',' Quality ',' Signal ',' ']")</f>
        <v>['slow', 'Telkomsel', 'area', 'Bandung', 'south', 'pdahal', 'plain', 'good', 'mountain', 'poor', 'slow', 'try', ' Increase ',' Quality ',' Signal ',' ']</v>
      </c>
      <c r="D4059" s="3">
        <v>5.0</v>
      </c>
    </row>
    <row r="4060" ht="15.75" customHeight="1">
      <c r="A4060" s="1">
        <v>4058.0</v>
      </c>
      <c r="B4060" s="3" t="s">
        <v>4060</v>
      </c>
      <c r="C4060" s="3" t="str">
        <f>IFERROR(__xludf.DUMMYFUNCTION("GOOGLETRANSLATE(B4060,""id"",""en"")"),"['Satisfied', 'service', 'cellular', 'network', 'Telkomsel', 'in the future', 'enhanced', 'strength', 'network', ""]")</f>
        <v>['Satisfied', 'service', 'cellular', 'network', 'Telkomsel', 'in the future', 'enhanced', 'strength', 'network', "]</v>
      </c>
      <c r="D4060" s="3">
        <v>5.0</v>
      </c>
    </row>
    <row r="4061" ht="15.75" customHeight="1">
      <c r="A4061" s="1">
        <v>4059.0</v>
      </c>
      <c r="B4061" s="3" t="s">
        <v>4061</v>
      </c>
      <c r="C4061" s="3" t="str">
        <f>IFERROR(__xludf.DUMMYFUNCTION("GOOGLETRANSLATE(B4061,""id"",""en"")"),"['intentionally', 'gave', 'star', 'Nuker', 'Point', 'Package', 'Data', 'GB', 'Nuker', 'Points',' Promo ',' Masi ',' Tetep ',' No "", 'Tuker', 'Subscribe', 'Move', 'Change', 'Provider']")</f>
        <v>['intentionally', 'gave', 'star', 'Nuker', 'Point', 'Package', 'Data', 'GB', 'Nuker', 'Points',' Promo ',' Masi ',' Tetep ',' No ", 'Tuker', 'Subscribe', 'Move', 'Change', 'Provider']</v>
      </c>
      <c r="D4061" s="3">
        <v>1.0</v>
      </c>
    </row>
    <row r="4062" ht="15.75" customHeight="1">
      <c r="A4062" s="1">
        <v>4060.0</v>
      </c>
      <c r="B4062" s="3" t="s">
        <v>4062</v>
      </c>
      <c r="C4062" s="3" t="str">
        <f>IFERROR(__xludf.DUMMYFUNCTION("GOOGLETRANSLATE(B4062,""id"",""en"")"),"['slow', 'slow', 'area', 'dlu', 'skrng', 'open', 'youtube', 'loading', 'please', 'fix', 'person', 'lived', ' area']")</f>
        <v>['slow', 'slow', 'area', 'dlu', 'skrng', 'open', 'youtube', 'loading', 'please', 'fix', 'person', 'lived', ' area']</v>
      </c>
      <c r="D4062" s="3">
        <v>1.0</v>
      </c>
    </row>
    <row r="4063" ht="15.75" customHeight="1">
      <c r="A4063" s="1">
        <v>4061.0</v>
      </c>
      <c r="B4063" s="3" t="s">
        <v>4063</v>
      </c>
      <c r="C4063" s="3" t="str">
        <f>IFERROR(__xludf.DUMMYFUNCTION("GOOGLETRANSLATE(B4063,""id"",""en"")"),"['I', 'love', 'star', 'read', 'comment', 'I', 'Pakek', 'card', 'Telkomsel', 'list', 'Package', 'palak', ' I ',' sick ',' Mulu ',' thinking ',' price ',' package ',' expensive ',' Bngt ', ""]")</f>
        <v>['I', 'love', 'star', 'read', 'comment', 'I', 'Pakek', 'card', 'Telkomsel', 'list', 'Package', 'palak', ' I ',' sick ',' Mulu ',' thinking ',' price ',' package ',' expensive ',' Bngt ', "]</v>
      </c>
      <c r="D4063" s="3">
        <v>5.0</v>
      </c>
    </row>
    <row r="4064" ht="15.75" customHeight="1">
      <c r="A4064" s="1">
        <v>4062.0</v>
      </c>
      <c r="B4064" s="3" t="s">
        <v>4064</v>
      </c>
      <c r="C4064" s="3" t="str">
        <f>IFERROR(__xludf.DUMMYFUNCTION("GOOGLETRANSLATE(B4064,""id"",""en"")"),"['Satisfying', 'Thank you', 'Telkomsel', 'SMG', 'Jaya', 'Increases',' then ',' service ',' Tocage ',' City ',' Sampe ',' Movers', ' village', '']")</f>
        <v>['Satisfying', 'Thank you', 'Telkomsel', 'SMG', 'Jaya', 'Increases',' then ',' service ',' Tocage ',' City ',' Sampe ',' Movers', ' village', '']</v>
      </c>
      <c r="D4064" s="3">
        <v>5.0</v>
      </c>
    </row>
    <row r="4065" ht="15.75" customHeight="1">
      <c r="A4065" s="1">
        <v>4063.0</v>
      </c>
      <c r="B4065" s="3" t="s">
        <v>4065</v>
      </c>
      <c r="C4065" s="3" t="str">
        <f>IFERROR(__xludf.DUMMYFUNCTION("GOOGLETRANSLATE(B4065,""id"",""en"")"),"['signal', 'no', 'stable', 'broke', 'feeling', 'down', 'quality', ""]")</f>
        <v>['signal', 'no', 'stable', 'broke', 'feeling', 'down', 'quality', "]</v>
      </c>
      <c r="D4065" s="3">
        <v>2.0</v>
      </c>
    </row>
    <row r="4066" ht="15.75" customHeight="1">
      <c r="A4066" s="1">
        <v>4064.0</v>
      </c>
      <c r="B4066" s="3" t="s">
        <v>4066</v>
      </c>
      <c r="C4066" s="3" t="str">
        <f>IFERROR(__xludf.DUMMYFUNCTION("GOOGLETRANSLATE(B4066,""id"",""en"")"),"['', 'Love', 'Network', 'Telkom', 'Ngeleg', 'TPI', 'Firakkau', 'Ngelleg', 'Canda', 'Telkom', 'already', 'Fiv', 'Easy ',' Understand ',' Read ',' Ngeleg ',' Fix ',' Fiv ',' Fast ',' The Network ',' Yes', 'Fast', 'Fast', 'Crot', 'Kek', 'Buyung', 'jokes',' f"&amp;"ast ',' smooth ',' play ',' games', 'watch', 'blue', 'smooth', 'jokes',' play ',' game ',' pri ',' Nature ',' Fayer ',' Emel ',' pub ']")</f>
        <v>['', 'Love', 'Network', 'Telkom', 'Ngeleg', 'TPI', 'Firakkau', 'Ngelleg', 'Canda', 'Telkom', 'already', 'Fiv', 'Easy ',' Understand ',' Read ',' Ngeleg ',' Fix ',' Fiv ',' Fast ',' The Network ',' Yes', 'Fast', 'Fast', 'Crot', 'Kek', 'Buyung', 'jokes',' fast ',' smooth ',' play ',' games', 'watch', 'blue', 'smooth', 'jokes',' play ',' game ',' pri ',' Nature ',' Fayer ',' Emel ',' pub ']</v>
      </c>
      <c r="D4066" s="3">
        <v>5.0</v>
      </c>
    </row>
    <row r="4067" ht="15.75" customHeight="1">
      <c r="A4067" s="1">
        <v>4065.0</v>
      </c>
      <c r="B4067" s="3" t="s">
        <v>4067</v>
      </c>
      <c r="C4067" s="3" t="str">
        <f>IFERROR(__xludf.DUMMYFUNCTION("GOOGLETRANSLATE(B4067,""id"",""en"")"),"['Help', 'area', 'reach', 'signal', 'Telkomsel']")</f>
        <v>['Help', 'area', 'reach', 'signal', 'Telkomsel']</v>
      </c>
      <c r="D4067" s="3">
        <v>5.0</v>
      </c>
    </row>
    <row r="4068" ht="15.75" customHeight="1">
      <c r="A4068" s="1">
        <v>4066.0</v>
      </c>
      <c r="B4068" s="3" t="s">
        <v>4068</v>
      </c>
      <c r="C4068" s="3" t="str">
        <f>IFERROR(__xludf.DUMMYFUNCTION("GOOGLETRANSLATE(B4068,""id"",""en"")"),"['Telkomsel', 'with you', 'changed', 'quality', 'downhill', 'signal', 'ugly', 'severe', 'slow', '']")</f>
        <v>['Telkomsel', 'with you', 'changed', 'quality', 'downhill', 'signal', 'ugly', 'severe', 'slow', '']</v>
      </c>
      <c r="D4068" s="3">
        <v>1.0</v>
      </c>
    </row>
    <row r="4069" ht="15.75" customHeight="1">
      <c r="A4069" s="1">
        <v>4067.0</v>
      </c>
      <c r="B4069" s="3" t="s">
        <v>4069</v>
      </c>
      <c r="C4069" s="3" t="str">
        <f>IFERROR(__xludf.DUMMYFUNCTION("GOOGLETRANSLATE(B4069,""id"",""en"")"),"['Telkomsel', 'rating', 'star', 'love', 'star', 'here', 'karuan', 'signal', 'package', 'price', 'quality', 'guarded', ' Please, 'Satisfaction', 'Customer', 'Priority', 'Yesterday', 'Customer', 'Use', 'Card', 'Telkomsel', 'Sad']")</f>
        <v>['Telkomsel', 'rating', 'star', 'love', 'star', 'here', 'karuan', 'signal', 'package', 'price', 'quality', 'guarded', ' Please, 'Satisfaction', 'Customer', 'Priority', 'Yesterday', 'Customer', 'Use', 'Card', 'Telkomsel', 'Sad']</v>
      </c>
      <c r="D4069" s="3">
        <v>1.0</v>
      </c>
    </row>
    <row r="4070" ht="15.75" customHeight="1">
      <c r="A4070" s="1">
        <v>4068.0</v>
      </c>
      <c r="B4070" s="3" t="s">
        <v>4070</v>
      </c>
      <c r="C4070" s="3" t="str">
        <f>IFERROR(__xludf.DUMMYFUNCTION("GOOGLETRANSLATE(B4070,""id"",""en"")"),"['Thn', 'Telkomsel', 'no' unmatched ',' Wear ',' Telkomsel ',' level ',' quality ',' good ',' TPI ',' now 'down', ' Drastically ',' Quality ',' BSA ',' KLS ',' Low ',' Quality ',' BSA ',' Try ',' Solution ', ""]")</f>
        <v>['Thn', 'Telkomsel', 'no' unmatched ',' Wear ',' Telkomsel ',' level ',' quality ',' good ',' TPI ',' now 'down', ' Drastically ',' Quality ',' BSA ',' KLS ',' Low ',' Quality ',' BSA ',' Try ',' Solution ', "]</v>
      </c>
      <c r="D4070" s="3">
        <v>3.0</v>
      </c>
    </row>
    <row r="4071" ht="15.75" customHeight="1">
      <c r="A4071" s="1">
        <v>4069.0</v>
      </c>
      <c r="B4071" s="3" t="s">
        <v>4071</v>
      </c>
      <c r="C4071" s="3" t="str">
        <f>IFERROR(__xludf.DUMMYFUNCTION("GOOGLETRANSLATE(B4071,""id"",""en"")"),"['KNPA', 'Application', 'NGK', 'Check', 'Quota', 'Telkomsel', 'Please', 'DIJWB']")</f>
        <v>['KNPA', 'Application', 'NGK', 'Check', 'Quota', 'Telkomsel', 'Please', 'DIJWB']</v>
      </c>
      <c r="D4071" s="3">
        <v>5.0</v>
      </c>
    </row>
    <row r="4072" ht="15.75" customHeight="1">
      <c r="A4072" s="1">
        <v>4070.0</v>
      </c>
      <c r="B4072" s="3" t="s">
        <v>4072</v>
      </c>
      <c r="C4072" s="3" t="str">
        <f>IFERROR(__xludf.DUMMYFUNCTION("GOOGLETRANSLATE(B4072,""id"",""en"")"),"['Telkomsel', 'easy', 'choose', 'buy', 'package', 'internet', 'etc.', 'thank', 'love', 'Telkomsel']")</f>
        <v>['Telkomsel', 'easy', 'choose', 'buy', 'package', 'internet', 'etc.', 'thank', 'love', 'Telkomsel']</v>
      </c>
      <c r="D4072" s="3">
        <v>5.0</v>
      </c>
    </row>
    <row r="4073" ht="15.75" customHeight="1">
      <c r="A4073" s="1">
        <v>4071.0</v>
      </c>
      <c r="B4073" s="3" t="s">
        <v>4073</v>
      </c>
      <c r="C4073" s="3" t="str">
        <f>IFERROR(__xludf.DUMMYFUNCTION("GOOGLETRANSLATE(B4073,""id"",""en"")"),"['', 'Telkomsel', 'help', 'check', 'kouta', 'already', 'run out', 'buy', 'kouta', 'hope', 'help', 'download', 'apk ',' Thank ',' You ',' ']")</f>
        <v>['', 'Telkomsel', 'help', 'check', 'kouta', 'already', 'run out', 'buy', 'kouta', 'hope', 'help', 'download', 'apk ',' Thank ',' You ',' ']</v>
      </c>
      <c r="D4073" s="3">
        <v>5.0</v>
      </c>
    </row>
    <row r="4074" ht="15.75" customHeight="1">
      <c r="A4074" s="1">
        <v>4072.0</v>
      </c>
      <c r="B4074" s="3" t="s">
        <v>4074</v>
      </c>
      <c r="C4074" s="3" t="str">
        <f>IFERROR(__xludf.DUMMYFUNCTION("GOOGLETRANSLATE(B4074,""id"",""en"")"),"['Kasi', 'star', 'signal', 'ugly', 'price', 'package', 'expensive', 'mhn', 'attention', 'customer', 'run', 'provider', ' cheap ',' festive ',' signal ',' good ']")</f>
        <v>['Kasi', 'star', 'signal', 'ugly', 'price', 'package', 'expensive', 'mhn', 'attention', 'customer', 'run', 'provider', ' cheap ',' festive ',' signal ',' good ']</v>
      </c>
      <c r="D4074" s="3">
        <v>3.0</v>
      </c>
    </row>
    <row r="4075" ht="15.75" customHeight="1">
      <c r="A4075" s="1">
        <v>4073.0</v>
      </c>
      <c r="B4075" s="3" t="s">
        <v>4075</v>
      </c>
      <c r="C4075" s="3" t="str">
        <f>IFERROR(__xludf.DUMMYFUNCTION("GOOGLETRANSLATE(B4075,""id"",""en"")"),"['outrr', 'Telkomsel', 'The network', 'penetrate', 'limit', 'program', 'interesting', 'program', 'point', 'gift', 'following', 'Tuhh', ' WIN ',' EASY ',' WINING ',' SKRNG ',' SKRNG ',' Following ',' Program ',' Points', 'Success',' SLLU ',' Telkomsel ', "&amp;"""]")</f>
        <v>['outrr', 'Telkomsel', 'The network', 'penetrate', 'limit', 'program', 'interesting', 'program', 'point', 'gift', 'following', 'Tuhh', ' WIN ',' EASY ',' WINING ',' SKRNG ',' SKRNG ',' Following ',' Program ',' Points', 'Success',' SLLU ',' Telkomsel ', "]</v>
      </c>
      <c r="D4075" s="3">
        <v>5.0</v>
      </c>
    </row>
    <row r="4076" ht="15.75" customHeight="1">
      <c r="A4076" s="1">
        <v>4074.0</v>
      </c>
      <c r="B4076" s="3" t="s">
        <v>4076</v>
      </c>
      <c r="C4076" s="3" t="str">
        <f>IFERROR(__xludf.DUMMYFUNCTION("GOOGLETRANSLATE(B4076,""id"",""en"")"),"['Service', 'bad', 'times',' alternating ',' GraPARI ',' take care ',' number ',' missing ',' The reason ',' number ',' contacted ',' Karna ',' Contact ',' person ',' Public ',' intention ',' help ',' number ',' tsb ',' disappointed ',' Telkomsel ']")</f>
        <v>['Service', 'bad', 'times',' alternating ',' GraPARI ',' take care ',' number ',' missing ',' The reason ',' number ',' contacted ',' Karna ',' Contact ',' person ',' Public ',' intention ',' help ',' number ',' tsb ',' disappointed ',' Telkomsel ']</v>
      </c>
      <c r="D4076" s="3">
        <v>1.0</v>
      </c>
    </row>
    <row r="4077" ht="15.75" customHeight="1">
      <c r="A4077" s="1">
        <v>4075.0</v>
      </c>
      <c r="B4077" s="3" t="s">
        <v>4077</v>
      </c>
      <c r="C4077" s="3" t="str">
        <f>IFERROR(__xludf.DUMMYFUNCTION("GOOGLETRANSLATE(B4077,""id"",""en"")"),"['Install', 'application', 'no', 'promo', 'Telkomsel', 'already', 'age', ""]")</f>
        <v>['Install', 'application', 'no', 'promo', 'Telkomsel', 'already', 'age', "]</v>
      </c>
      <c r="D4077" s="3">
        <v>1.0</v>
      </c>
    </row>
    <row r="4078" ht="15.75" customHeight="1">
      <c r="A4078" s="1">
        <v>4076.0</v>
      </c>
      <c r="B4078" s="3" t="s">
        <v>4078</v>
      </c>
      <c r="C4078" s="3" t="str">
        <f>IFERROR(__xludf.DUMMYFUNCTION("GOOGLETRANSLATE(B4078,""id"",""en"")"),"['Lump', 'Rb', 'entered', 'already', 'complain', 'Instagram', 'Tanggepin', 'Season']")</f>
        <v>['Lump', 'Rb', 'entered', 'already', 'complain', 'Instagram', 'Tanggepin', 'Season']</v>
      </c>
      <c r="D4078" s="3">
        <v>1.0</v>
      </c>
    </row>
    <row r="4079" ht="15.75" customHeight="1">
      <c r="A4079" s="1">
        <v>4077.0</v>
      </c>
      <c r="B4079" s="3" t="s">
        <v>4079</v>
      </c>
      <c r="C4079" s="3" t="str">
        <f>IFERROR(__xludf.DUMMYFUNCTION("GOOGLETRANSLATE(B4079,""id"",""en"")"),"['Understanding', 'Telkomsel', 'Network', 'Super', 'Lemottttt', 'Like', 'Failed', 'Loading', 'Region', 'Famous',' Good ',' Operator ',' Telkomsel ',' Kenceng ',' really ',' strange ',' Telkomsel ',' slow ',' ngalahin ',' operator ',' since 'since' pandemi"&amp;"c ',' jdi ',' slow ',' skarang ' , 'Telkomsel', 'promo', 'unlimited', 'network', 'restricted', 'please', 'fix']")</f>
        <v>['Understanding', 'Telkomsel', 'Network', 'Super', 'Lemottttt', 'Like', 'Failed', 'Loading', 'Region', 'Famous',' Good ',' Operator ',' Telkomsel ',' Kenceng ',' really ',' strange ',' Telkomsel ',' slow ',' ngalahin ',' operator ',' since 'since' pandemic ',' jdi ',' slow ',' skarang ' , 'Telkomsel', 'promo', 'unlimited', 'network', 'restricted', 'please', 'fix']</v>
      </c>
      <c r="D4079" s="3">
        <v>4.0</v>
      </c>
    </row>
    <row r="4080" ht="15.75" customHeight="1">
      <c r="A4080" s="1">
        <v>4078.0</v>
      </c>
      <c r="B4080" s="3" t="s">
        <v>4080</v>
      </c>
      <c r="C4080" s="3" t="str">
        <f>IFERROR(__xludf.DUMMYFUNCTION("GOOGLETRANSLATE(B4080,""id"",""en"")"),"['suggestion', 'price', 'package', 'please', 'Mahall', 'signal', 'card', 'difficult', 'card', 'Telkomsel', 'Doang', 'TPI', ' expensive ',' price ',' package ',' hmmmm ',' ']")</f>
        <v>['suggestion', 'price', 'package', 'please', 'Mahall', 'signal', 'card', 'difficult', 'card', 'Telkomsel', 'Doang', 'TPI', ' expensive ',' price ',' package ',' hmmmm ',' ']</v>
      </c>
      <c r="D4080" s="3">
        <v>2.0</v>
      </c>
    </row>
    <row r="4081" ht="15.75" customHeight="1">
      <c r="A4081" s="1">
        <v>4079.0</v>
      </c>
      <c r="B4081" s="3" t="s">
        <v>4081</v>
      </c>
      <c r="C4081" s="3" t="str">
        <f>IFERROR(__xludf.DUMMYFUNCTION("GOOGLETRANSLATE(B4081,""id"",""en"")"),"['Benerin', 'The network', 'slow', 'really', 'play', 'game', 'Pay', 'expensive', 'rich', 'gini', 'network', ""]")</f>
        <v>['Benerin', 'The network', 'slow', 'really', 'play', 'game', 'Pay', 'expensive', 'rich', 'gini', 'network', "]</v>
      </c>
      <c r="D4081" s="3">
        <v>2.0</v>
      </c>
    </row>
    <row r="4082" ht="15.75" customHeight="1">
      <c r="A4082" s="1">
        <v>4080.0</v>
      </c>
      <c r="B4082" s="3" t="s">
        <v>4082</v>
      </c>
      <c r="C4082" s="3" t="str">
        <f>IFERROR(__xludf.DUMMYFUNCTION("GOOGLETRANSLATE(B4082,""id"",""en"")"),"['down', 'star', 'date', 'sept', 'clock', 'bli', 'pulse', 'package', 'combo', 'sakti', 'for', 'GB', ' SMS ',' enter ',' package ',' active ',' check ',' active ',' bonus', 'phone', 'sms',' quota ',' main ',' bonus', 'media' , 'Money', 'Cut', 'Hub', 'Tsel'"&amp;", 'HRS', 'Wait', 'Clock', 'Compensation', 'Error', 'Harmed', 'Active', 'Package', ' October ',' send ',' email ',' Telkomsel ',' blm ',' reply ']")</f>
        <v>['down', 'star', 'date', 'sept', 'clock', 'bli', 'pulse', 'package', 'combo', 'sakti', 'for', 'GB', ' SMS ',' enter ',' package ',' active ',' check ',' active ',' bonus', 'phone', 'sms',' quota ',' main ',' bonus', 'media' , 'Money', 'Cut', 'Hub', 'Tsel', 'HRS', 'Wait', 'Clock', 'Compensation', 'Error', 'Harmed', 'Active', 'Package', ' October ',' send ',' email ',' Telkomsel ',' blm ',' reply ']</v>
      </c>
      <c r="D4082" s="3">
        <v>1.0</v>
      </c>
    </row>
    <row r="4083" ht="15.75" customHeight="1">
      <c r="A4083" s="1">
        <v>4081.0</v>
      </c>
      <c r="B4083" s="3" t="s">
        <v>4083</v>
      </c>
      <c r="C4083" s="3" t="str">
        <f>IFERROR(__xludf.DUMMYFUNCTION("GOOGLETRANSLATE(B4083,""id"",""en"")"),"['Sinyal', 'ugly', 'tower', 'electricity', 'Telkomsel', 'already', 'that's', 'price', 'expensive']")</f>
        <v>['Sinyal', 'ugly', 'tower', 'electricity', 'Telkomsel', 'already', 'that's', 'price', 'expensive']</v>
      </c>
      <c r="D4083" s="3">
        <v>1.0</v>
      </c>
    </row>
    <row r="4084" ht="15.75" customHeight="1">
      <c r="A4084" s="1">
        <v>4082.0</v>
      </c>
      <c r="B4084" s="3" t="s">
        <v>4084</v>
      </c>
      <c r="C4084" s="3" t="str">
        <f>IFERROR(__xludf.DUMMYFUNCTION("GOOGLETRANSLATE(B4084,""id"",""en"")"),"['Knp', 'Kasi', 'star', 'Yakarena', 'package', 'expensive', 'UDH', 'hold', 'card', 'Package', 'RB', 'GB', ' GB ',' RB ',' Colorin ',' Price ',' Package ',' As', 'Money', 'Min', 'Package', 'GB', 'RB', 'Strength', 'Signal' , 'JLEK', 'quota', 'nyekk', 'bngke"&amp;"']")</f>
        <v>['Knp', 'Kasi', 'star', 'Yakarena', 'package', 'expensive', 'UDH', 'hold', 'card', 'Package', 'RB', 'GB', ' GB ',' RB ',' Colorin ',' Price ',' Package ',' As', 'Money', 'Min', 'Package', 'GB', 'RB', 'Strength', 'Signal' , 'JLEK', 'quota', 'nyekk', 'bngke']</v>
      </c>
      <c r="D4084" s="3">
        <v>1.0</v>
      </c>
    </row>
    <row r="4085" ht="15.75" customHeight="1">
      <c r="A4085" s="1">
        <v>4083.0</v>
      </c>
      <c r="B4085" s="3" t="s">
        <v>4085</v>
      </c>
      <c r="C4085" s="3" t="str">
        <f>IFERROR(__xludf.DUMMYFUNCTION("GOOGLETRANSLATE(B4085,""id"",""en"")"),"['network', 'okay', 'trs',' ngeselin ',' contents', 'pulse', 'already', 'all day', 'entry', 'enter', 'pulse', 'chat', ' Veronica ',' Balesan ',' satisfying ', ""]")</f>
        <v>['network', 'okay', 'trs',' ngeselin ',' contents', 'pulse', 'already', 'all day', 'entry', 'enter', 'pulse', 'chat', ' Veronica ',' Balesan ',' satisfying ', "]</v>
      </c>
      <c r="D4085" s="3">
        <v>1.0</v>
      </c>
    </row>
    <row r="4086" ht="15.75" customHeight="1">
      <c r="A4086" s="1">
        <v>4084.0</v>
      </c>
      <c r="B4086" s="3" t="s">
        <v>4086</v>
      </c>
      <c r="C4086" s="3" t="str">
        <f>IFERROR(__xludf.DUMMYFUNCTION("GOOGLETRANSLATE(B4086,""id"",""en"")"),"['Internet', 'Best', 'Difficult', 'Enter', 'Application', 'Error', 'Please', 'Repair']")</f>
        <v>['Internet', 'Best', 'Difficult', 'Enter', 'Application', 'Error', 'Please', 'Repair']</v>
      </c>
      <c r="D4086" s="3">
        <v>5.0</v>
      </c>
    </row>
    <row r="4087" ht="15.75" customHeight="1">
      <c r="A4087" s="1">
        <v>4085.0</v>
      </c>
      <c r="B4087" s="3" t="s">
        <v>4087</v>
      </c>
      <c r="C4087" s="3" t="str">
        <f>IFERROR(__xludf.DUMMYFUNCTION("GOOGLETRANSLATE(B4087,""id"",""en"")"),"['', 'no', 'good', 'app', 'garbage', 'pulse', 'me', 'run out', 'disappear', 'thousand', 'transaction', 'fail', 'taik ',' His name ',' detrimental ',' user ',' package ',' no ',' entered ',' run out ',' pulse ',' I ',' loss', 'loss']")</f>
        <v>['', 'no', 'good', 'app', 'garbage', 'pulse', 'me', 'run out', 'disappear', 'thousand', 'transaction', 'fail', 'taik ',' His name ',' detrimental ',' user ',' package ',' no ',' entered ',' run out ',' pulse ',' I ',' loss', 'loss']</v>
      </c>
      <c r="D4087" s="3">
        <v>1.0</v>
      </c>
    </row>
    <row r="4088" ht="15.75" customHeight="1">
      <c r="A4088" s="1">
        <v>4086.0</v>
      </c>
      <c r="B4088" s="3" t="s">
        <v>4088</v>
      </c>
      <c r="C4088" s="3" t="str">
        <f>IFERROR(__xludf.DUMMYFUNCTION("GOOGLETRANSLATE(B4088,""id"",""en"")"),"['update', 'chaotic', 'disappointed', 'buy', 'package', 'combo', 'payment', 'succeed', 'pulse', 'disappear', 'quota', 'nihil', ' disappointed', '']")</f>
        <v>['update', 'chaotic', 'disappointed', 'buy', 'package', 'combo', 'payment', 'succeed', 'pulse', 'disappear', 'quota', 'nihil', ' disappointed', '']</v>
      </c>
      <c r="D4088" s="3">
        <v>1.0</v>
      </c>
    </row>
    <row r="4089" ht="15.75" customHeight="1">
      <c r="A4089" s="1">
        <v>4087.0</v>
      </c>
      <c r="B4089" s="3" t="s">
        <v>4089</v>
      </c>
      <c r="C4089" s="3" t="str">
        <f>IFERROR(__xludf.DUMMYFUNCTION("GOOGLETRANSLATE(B4089,""id"",""en"")"),"['detrimental', 'network', 'internet', 'province', 'Gorontalo', 'disorder', 'already', 'buy', 'package', 'data', 'expensive', 'result', ' Parawhhhhh ']")</f>
        <v>['detrimental', 'network', 'internet', 'province', 'Gorontalo', 'disorder', 'already', 'buy', 'package', 'data', 'expensive', 'result', ' Parawhhhhh ']</v>
      </c>
      <c r="D4089" s="3">
        <v>1.0</v>
      </c>
    </row>
    <row r="4090" ht="15.75" customHeight="1">
      <c r="A4090" s="1">
        <v>4088.0</v>
      </c>
      <c r="B4090" s="3" t="s">
        <v>4090</v>
      </c>
      <c r="C4090" s="3" t="str">
        <f>IFERROR(__xludf.DUMMYFUNCTION("GOOGLETRANSLATE(B4090,""id"",""en"")"),"['Asssu', 'pulse', 'chick', 'lure', 'in', 'pulse', 'GB', 'silver', 'turn', 'signal', 'ugly', 'chick', ' Credit ',' signal ',' Luh ',' signal ',' ugly ',' Mao ',' Change ',' number ',' Ama ',' card ',' UDH ',' PAUT ',' account ' , 'Ngehe', 'trap', 'JUANCUK"&amp;"']")</f>
        <v>['Asssu', 'pulse', 'chick', 'lure', 'in', 'pulse', 'GB', 'silver', 'turn', 'signal', 'ugly', 'chick', ' Credit ',' signal ',' Luh ',' signal ',' ugly ',' Mao ',' Change ',' number ',' Ama ',' card ',' UDH ',' PAUT ',' account ' , 'Ngehe', 'trap', 'JUANCUK']</v>
      </c>
      <c r="D4090" s="3">
        <v>1.0</v>
      </c>
    </row>
    <row r="4091" ht="15.75" customHeight="1">
      <c r="A4091" s="1">
        <v>4089.0</v>
      </c>
      <c r="B4091" s="3" t="s">
        <v>4091</v>
      </c>
      <c r="C4091" s="3" t="str">
        <f>IFERROR(__xludf.DUMMYFUNCTION("GOOGLETRANSLATE(B4091,""id"",""en"")"),"['Telkomsel', 'comfortable', 'use', 'number', 'continuous', 'replace', 'change', 'sometimes', 'network', 'slow', 'missing', ""]")</f>
        <v>['Telkomsel', 'comfortable', 'use', 'number', 'continuous', 'replace', 'change', 'sometimes', 'network', 'slow', 'missing', "]</v>
      </c>
      <c r="D4091" s="3">
        <v>5.0</v>
      </c>
    </row>
    <row r="4092" ht="15.75" customHeight="1">
      <c r="A4092" s="1">
        <v>4090.0</v>
      </c>
      <c r="B4092" s="3" t="s">
        <v>4092</v>
      </c>
      <c r="C4092" s="3" t="str">
        <f>IFERROR(__xludf.DUMMYFUNCTION("GOOGLETRANSLATE(B4092,""id"",""en"")"),"['Signal', 'Severe', 'Disconnect', 'Lost', 'Provider', ""]")</f>
        <v>['Signal', 'Severe', 'Disconnect', 'Lost', 'Provider', "]</v>
      </c>
      <c r="D4092" s="3">
        <v>1.0</v>
      </c>
    </row>
    <row r="4093" ht="15.75" customHeight="1">
      <c r="A4093" s="1">
        <v>4091.0</v>
      </c>
      <c r="B4093" s="3" t="s">
        <v>4093</v>
      </c>
      <c r="C4093" s="3" t="str">
        <f>IFERROR(__xludf.DUMMYFUNCTION("GOOGLETRANSLATE(B4093,""id"",""en"")"),"['hopefully', 'gift', 'trick', 'cheats',' person ',' person ',' trust ',' proof ',' real ',' item ',' loss', 'start', ' Fortunately ',' at the end ']")</f>
        <v>['hopefully', 'gift', 'trick', 'cheats',' person ',' person ',' trust ',' proof ',' real ',' item ',' loss', 'start', ' Fortunately ',' at the end ']</v>
      </c>
      <c r="D4093" s="3">
        <v>1.0</v>
      </c>
    </row>
    <row r="4094" ht="15.75" customHeight="1">
      <c r="A4094" s="1">
        <v>4092.0</v>
      </c>
      <c r="B4094" s="3" t="s">
        <v>4094</v>
      </c>
      <c r="C4094" s="3" t="str">
        <f>IFERROR(__xludf.DUMMYFUNCTION("GOOGLETRANSLATE(B4094,""id"",""en"")"),"['fill', 'pulse', 'kouta', 'network', 'moved', 'emang', 'search', 'money', 'easy', 'corona', 'just', 'kouta', ' rb ',' disappear ',' pulse ',' times', 'person', 'difficult', 'person', 'rich', 'tie', 'just', 'sit', 'money', 'entered' , 'account', '']")</f>
        <v>['fill', 'pulse', 'kouta', 'network', 'moved', 'emang', 'search', 'money', 'easy', 'corona', 'just', 'kouta', ' rb ',' disappear ',' pulse ',' times', 'person', 'difficult', 'person', 'rich', 'tie', 'just', 'sit', 'money', 'entered' , 'account', '']</v>
      </c>
      <c r="D4094" s="3">
        <v>1.0</v>
      </c>
    </row>
    <row r="4095" ht="15.75" customHeight="1">
      <c r="A4095" s="1">
        <v>4093.0</v>
      </c>
      <c r="B4095" s="3" t="s">
        <v>4095</v>
      </c>
      <c r="C4095" s="3" t="str">
        <f>IFERROR(__xludf.DUMMYFUNCTION("GOOGLETRANSLATE(B4095,""id"",""en"")"),"['Date', 'September', 'hour', 'buy', 'package', 'data', 'via', 'Gopay', 'balance', 'Gopay', 'truncated', 'package', ' Data ',' Activate ',' Chat ',' Veronica ',' Description ',' System ',' Repair ',' Come ',' Telkomsel ',' Service ',' Disappointing ',' Si"&amp;"gnal ',' Lost ' , 'stable', 'continuation', 'Gopay', 'package', 'data', 'how', '']")</f>
        <v>['Date', 'September', 'hour', 'buy', 'package', 'data', 'via', 'Gopay', 'balance', 'Gopay', 'truncated', 'package', ' Data ',' Activate ',' Chat ',' Veronica ',' Description ',' System ',' Repair ',' Come ',' Telkomsel ',' Service ',' Disappointing ',' Signal ',' Lost ' , 'stable', 'continuation', 'Gopay', 'package', 'data', 'how', '']</v>
      </c>
      <c r="D4095" s="3">
        <v>1.0</v>
      </c>
    </row>
    <row r="4096" ht="15.75" customHeight="1">
      <c r="A4096" s="1">
        <v>4094.0</v>
      </c>
      <c r="B4096" s="3" t="s">
        <v>4096</v>
      </c>
      <c r="C4096" s="3" t="str">
        <f>IFERROR(__xludf.DUMMYFUNCTION("GOOGLETRANSLATE(B4096,""id"",""en"")"),"['Buy', 'Package', 'MyTelkomsel', 'Payment', 'Shopeepay', 'Transaction', 'Failed', 'Balance', 'Shopeepay', 'already', 'Cut', 'checked', ' App ',' quota ',' add ',' please ',' hatch ',' answer ',' ']")</f>
        <v>['Buy', 'Package', 'MyTelkomsel', 'Payment', 'Shopeepay', 'Transaction', 'Failed', 'Balance', 'Shopeepay', 'already', 'Cut', 'checked', ' App ',' quota ',' add ',' please ',' hatch ',' answer ',' ']</v>
      </c>
      <c r="D4096" s="3">
        <v>1.0</v>
      </c>
    </row>
    <row r="4097" ht="15.75" customHeight="1">
      <c r="A4097" s="1">
        <v>4095.0</v>
      </c>
      <c r="B4097" s="3" t="s">
        <v>4097</v>
      </c>
      <c r="C4097" s="3" t="str">
        <f>IFERROR(__xludf.DUMMYFUNCTION("GOOGLETRANSLATE(B4097,""id"",""en"")"),"['UDH', 'Pakek', 'Telkomsel', 'Dri', 'era', 'junior high school', 'until', 'skrng', 'Udh', 'Annual', 'Pakek', 'Telkomsel', ' bad ',' already ',' skrng ',' price ',' buy ',' package ',' expensive ',' network ',' pulak ',' skrng ',' slow ',' mint ',' mercy "&amp;"' , 'Law', 'like', 'Gini', 'blur', 'customers',' loyal ',' Telkomsel ',' Jdi ',' Males', 'people', 'Pakek', 'Telkomsel', ' Until ',' people ',' loyal ',' SMA ',' Telkomsel ',' Jdi ',' blur ',' move ',' card ',' law ',' network ',' slow ',' like ' , 'gini'"&amp;", 'price', 'expensive', '']")</f>
        <v>['UDH', 'Pakek', 'Telkomsel', 'Dri', 'era', 'junior high school', 'until', 'skrng', 'Udh', 'Annual', 'Pakek', 'Telkomsel', ' bad ',' already ',' skrng ',' price ',' buy ',' package ',' expensive ',' network ',' pulak ',' skrng ',' slow ',' mint ',' mercy ' , 'Law', 'like', 'Gini', 'blur', 'customers',' loyal ',' Telkomsel ',' Jdi ',' Males', 'people', 'Pakek', 'Telkomsel', ' Until ',' people ',' loyal ',' SMA ',' Telkomsel ',' Jdi ',' blur ',' move ',' card ',' law ',' network ',' slow ',' like ' , 'gini', 'price', 'expensive', '']</v>
      </c>
      <c r="D4097" s="3">
        <v>1.0</v>
      </c>
    </row>
    <row r="4098" ht="15.75" customHeight="1">
      <c r="A4098" s="1">
        <v>4096.0</v>
      </c>
      <c r="B4098" s="3" t="s">
        <v>4098</v>
      </c>
      <c r="C4098" s="3" t="str">
        <f>IFERROR(__xludf.DUMMYFUNCTION("GOOGLETRANSLATE(B4098,""id"",""en"")"),"['network', 'just', 'stem', 'card', 'expensive', 'cheap', '']")</f>
        <v>['network', 'just', 'stem', 'card', 'expensive', 'cheap', '']</v>
      </c>
      <c r="D4098" s="3">
        <v>1.0</v>
      </c>
    </row>
    <row r="4099" ht="15.75" customHeight="1">
      <c r="A4099" s="1">
        <v>4097.0</v>
      </c>
      <c r="B4099" s="3" t="s">
        <v>4099</v>
      </c>
      <c r="C4099" s="3" t="str">
        <f>IFERROR(__xludf.DUMMYFUNCTION("GOOGLETRANSLATE(B4099,""id"",""en"")"),"['Network', 'Telkomsel', 'Lemoot', 'really', 'Full', 'Speed', 'Forgiveness', 'Deh', ""]")</f>
        <v>['Network', 'Telkomsel', 'Lemoot', 'really', 'Full', 'Speed', 'Forgiveness', 'Deh', "]</v>
      </c>
      <c r="D4099" s="3">
        <v>3.0</v>
      </c>
    </row>
    <row r="4100" ht="15.75" customHeight="1">
      <c r="A4100" s="1">
        <v>4098.0</v>
      </c>
      <c r="B4100" s="3" t="s">
        <v>4100</v>
      </c>
      <c r="C4100" s="3" t="str">
        <f>IFERROR(__xludf.DUMMYFUNCTION("GOOGLETRANSLATE(B4100,""id"",""en"")"),"['Network', 'Internet', 'Lemoooooot', 'Minnta', 'Forgiveness', 'Tlong', 'Keep', '']")</f>
        <v>['Network', 'Internet', 'Lemoooooot', 'Minnta', 'Forgiveness', 'Tlong', 'Keep', '']</v>
      </c>
      <c r="D4100" s="3">
        <v>1.0</v>
      </c>
    </row>
    <row r="4101" ht="15.75" customHeight="1">
      <c r="A4101" s="1">
        <v>4099.0</v>
      </c>
      <c r="B4101" s="3" t="s">
        <v>4101</v>
      </c>
      <c r="C4101" s="3" t="str">
        <f>IFERROR(__xludf.DUMMYFUNCTION("GOOGLETRANSLATE(B4101,""id"",""en"")"),"['Application', 'Scrolling', 'Credit', 'Buy', 'Credit', 'Buy', 'Package', 'Credit', 'Remaining', 'Sucked', 'Mitelkomsel', 'Application', ' Useful ',' Application ',' Useful ',' Application ',' Trash ',' Application ',' Waste ',' Hoax ',' Management ',' Pa"&amp;"ckage ',' Yahahahahahha ',' Smart ',' APK ' , 'stupid', 'stupid', 'dodoh', 'APK', 'block']")</f>
        <v>['Application', 'Scrolling', 'Credit', 'Buy', 'Credit', 'Buy', 'Package', 'Credit', 'Remaining', 'Sucked', 'Mitelkomsel', 'Application', ' Useful ',' Application ',' Useful ',' Application ',' Trash ',' Application ',' Waste ',' Hoax ',' Management ',' Package ',' Yahahahahahha ',' Smart ',' APK ' , 'stupid', 'stupid', 'dodoh', 'APK', 'block']</v>
      </c>
      <c r="D4101" s="3">
        <v>1.0</v>
      </c>
    </row>
    <row r="4102" ht="15.75" customHeight="1">
      <c r="A4102" s="1">
        <v>4100.0</v>
      </c>
      <c r="B4102" s="3" t="s">
        <v>4102</v>
      </c>
      <c r="C4102" s="3" t="str">
        <f>IFERROR(__xludf.DUMMYFUNCTION("GOOGLETRANSLATE(B4102,""id"",""en"")"),"['Satisfied', 'Telkomsel', 'benefits', 'doubt', 'use', 'network', '']")</f>
        <v>['Satisfied', 'Telkomsel', 'benefits', 'doubt', 'use', 'network', '']</v>
      </c>
      <c r="D4102" s="3">
        <v>4.0</v>
      </c>
    </row>
    <row r="4103" ht="15.75" customHeight="1">
      <c r="A4103" s="1">
        <v>4101.0</v>
      </c>
      <c r="B4103" s="3" t="s">
        <v>4103</v>
      </c>
      <c r="C4103" s="3" t="str">
        <f>IFERROR(__xludf.DUMMYFUNCTION("GOOGLETRANSLATE(B4103,""id"",""en"")"),"['intentionally', 'love', 'star', 'read', 'Telkomsel', 'please', 'repaired', 'quality', 'network', 'ugly', 'network', 'repair', ' how ',' please ',' love ',' info ',' sms', 'work', 'bnyak', 'beres',' riau ']")</f>
        <v>['intentionally', 'love', 'star', 'read', 'Telkomsel', 'please', 'repaired', 'quality', 'network', 'ugly', 'network', 'repair', ' how ',' please ',' love ',' info ',' sms', 'work', 'bnyak', 'beres',' riau ']</v>
      </c>
      <c r="D4103" s="3">
        <v>5.0</v>
      </c>
    </row>
    <row r="4104" ht="15.75" customHeight="1">
      <c r="A4104" s="1">
        <v>4102.0</v>
      </c>
      <c r="B4104" s="3" t="s">
        <v>4104</v>
      </c>
      <c r="C4104" s="3" t="str">
        <f>IFERROR(__xludf.DUMMYFUNCTION("GOOGLETRANSLATE(B4104,""id"",""en"")"),"['Shocked', 'quota', 'used', 'GB', 'Donlot', 'Application', 'Application', 'Tetep', 'Nyedot', 'Data', 'finished', 'background', ' Closed ',' bad ',' application ',' purpose ',' track ',' upload ',' application ',' Ntah ',' disappointed ']")</f>
        <v>['Shocked', 'quota', 'used', 'GB', 'Donlot', 'Application', 'Application', 'Tetep', 'Nyedot', 'Data', 'finished', 'background', ' Closed ',' bad ',' application ',' purpose ',' track ',' upload ',' application ',' Ntah ',' disappointed ']</v>
      </c>
      <c r="D4104" s="3">
        <v>1.0</v>
      </c>
    </row>
    <row r="4105" ht="15.75" customHeight="1">
      <c r="A4105" s="1">
        <v>4103.0</v>
      </c>
      <c r="B4105" s="3" t="s">
        <v>4105</v>
      </c>
      <c r="C4105" s="3" t="str">
        <f>IFERROR(__xludf.DUMMYFUNCTION("GOOGLETRANSLATE(B4105,""id"",""en"")"),"['Please', 'Network', 'Fix', 'Region', 'Village', 'Jati', 'Kec', 'Sok', 'Kab', 'Tuban', 'Thank you', ""]")</f>
        <v>['Please', 'Network', 'Fix', 'Region', 'Village', 'Jati', 'Kec', 'Sok', 'Kab', 'Tuban', 'Thank you', "]</v>
      </c>
      <c r="D4105" s="3">
        <v>5.0</v>
      </c>
    </row>
    <row r="4106" ht="15.75" customHeight="1">
      <c r="A4106" s="1">
        <v>4104.0</v>
      </c>
      <c r="B4106" s="3" t="s">
        <v>4106</v>
      </c>
      <c r="C4106" s="3" t="str">
        <f>IFERROR(__xludf.DUMMYFUNCTION("GOOGLETRANSLATE(B4106,""id"",""en"")"),"['Buy', 'Package', 'Call', 'Rb', 'ehh', 'Package', 'Direct', 'Change', 'Telkomsel']")</f>
        <v>['Buy', 'Package', 'Call', 'Rb', 'ehh', 'Package', 'Direct', 'Change', 'Telkomsel']</v>
      </c>
      <c r="D4106" s="3">
        <v>1.0</v>
      </c>
    </row>
    <row r="4107" ht="15.75" customHeight="1">
      <c r="A4107" s="1">
        <v>4105.0</v>
      </c>
      <c r="B4107" s="3" t="s">
        <v>4107</v>
      </c>
      <c r="C4107" s="3" t="str">
        <f>IFERROR(__xludf.DUMMYFUNCTION("GOOGLETRANSLATE(B4107,""id"",""en"")"),"['cave', 'replace', 'star', 'network', 'destroyed', 'quota', 'expensive', 'application', 'Telkomsel', 'update', 'mulu', 'destroyed', ' APK ',' NGK ',' Cave ',' Uninstall ',' Change ',' Provider ']")</f>
        <v>['cave', 'replace', 'star', 'network', 'destroyed', 'quota', 'expensive', 'application', 'Telkomsel', 'update', 'mulu', 'destroyed', ' APK ',' NGK ',' Cave ',' Uninstall ',' Change ',' Provider ']</v>
      </c>
      <c r="D4107" s="3">
        <v>1.0</v>
      </c>
    </row>
    <row r="4108" ht="15.75" customHeight="1">
      <c r="A4108" s="1">
        <v>4106.0</v>
      </c>
      <c r="B4108" s="3" t="s">
        <v>4108</v>
      </c>
      <c r="C4108" s="3" t="str">
        <f>IFERROR(__xludf.DUMMYFUNCTION("GOOGLETRANSLATE(B4108,""id"",""en"")"),"['Please', 'Network', 'Region', 'Surabaya', 'North', 'Silver', 'Fix', 'Network', 'ugly', 'Network', 'Good', 'Star']")</f>
        <v>['Please', 'Network', 'Region', 'Surabaya', 'North', 'Silver', 'Fix', 'Network', 'ugly', 'Network', 'Good', 'Star']</v>
      </c>
      <c r="D4108" s="3">
        <v>5.0</v>
      </c>
    </row>
    <row r="4109" ht="15.75" customHeight="1">
      <c r="A4109" s="1">
        <v>4107.0</v>
      </c>
      <c r="B4109" s="3" t="s">
        <v>4109</v>
      </c>
      <c r="C4109" s="3" t="str">
        <f>IFERROR(__xludf.DUMMYFUNCTION("GOOGLETRANSLATE(B4109,""id"",""en"")"),"['Star', 'suggested', 'suggest', 'use', 'Telkomsel', 'the application', 'good', 'complete', 'unfortunately', 'supported', 'signal', 'good', ' internet ',' Telkomsel ',' slow ',' night ',' fast ',' like ',' buy ',' package ',' quota ',' quota ',' internet "&amp;"',' quota ',' kepake ' , 'Finally', 'mubajir', ""]")</f>
        <v>['Star', 'suggested', 'suggest', 'use', 'Telkomsel', 'the application', 'good', 'complete', 'unfortunately', 'supported', 'signal', 'good', ' internet ',' Telkomsel ',' slow ',' night ',' fast ',' like ',' buy ',' package ',' quota ',' quota ',' internet ',' quota ',' kepake ' , 'Finally', 'mubajir', "]</v>
      </c>
      <c r="D4109" s="3">
        <v>1.0</v>
      </c>
    </row>
    <row r="4110" ht="15.75" customHeight="1">
      <c r="A4110" s="1">
        <v>4108.0</v>
      </c>
      <c r="B4110" s="3" t="s">
        <v>4110</v>
      </c>
      <c r="C4110" s="3" t="str">
        <f>IFERROR(__xludf.DUMMYFUNCTION("GOOGLETRANSLATE(B4110,""id"",""en"")"),"['method', 'payment', 'pulse', 'wallet', 'features', 'printed', 'point', 'thank', 'love']")</f>
        <v>['method', 'payment', 'pulse', 'wallet', 'features', 'printed', 'point', 'thank', 'love']</v>
      </c>
      <c r="D4110" s="3">
        <v>2.0</v>
      </c>
    </row>
    <row r="4111" ht="15.75" customHeight="1">
      <c r="A4111" s="1">
        <v>4109.0</v>
      </c>
      <c r="B4111" s="3" t="s">
        <v>4111</v>
      </c>
      <c r="C4111" s="3" t="str">
        <f>IFERROR(__xludf.DUMMYFUNCTION("GOOGLETRANSLATE(B4111,""id"",""en"")"),"['Sorry', 'love', 'star', 'enter', 'like', 'Must', 'login', 'rich', 'enter', 'directly', 'outomatis', 'enter']")</f>
        <v>['Sorry', 'love', 'star', 'enter', 'like', 'Must', 'login', 'rich', 'enter', 'directly', 'outomatis', 'enter']</v>
      </c>
      <c r="D4111" s="3">
        <v>4.0</v>
      </c>
    </row>
    <row r="4112" ht="15.75" customHeight="1">
      <c r="A4112" s="1">
        <v>4110.0</v>
      </c>
      <c r="B4112" s="3" t="s">
        <v>4112</v>
      </c>
      <c r="C4112" s="3" t="str">
        <f>IFERROR(__xludf.DUMMYFUNCTION("GOOGLETRANSLATE(B4112,""id"",""en"")"),"['already', 'package', 'complete', 'Telkomsel', 'mah', 'signal', 'ugly', 'price', 'package', 'data', 'expensive', 'application', ' MyTelkomsel ',' Hardy ',' Forgiveness', 'Just', 'Enter', 'Application', 'Jos',' Indonesia ', ""]")</f>
        <v>['already', 'package', 'complete', 'Telkomsel', 'mah', 'signal', 'ugly', 'price', 'package', 'data', 'expensive', 'application', ' MyTelkomsel ',' Hardy ',' Forgiveness', 'Just', 'Enter', 'Application', 'Jos',' Indonesia ', "]</v>
      </c>
      <c r="D4112" s="3">
        <v>1.0</v>
      </c>
    </row>
    <row r="4113" ht="15.75" customHeight="1">
      <c r="A4113" s="1">
        <v>4111.0</v>
      </c>
      <c r="B4113" s="3" t="s">
        <v>4113</v>
      </c>
      <c r="C4113" s="3" t="str">
        <f>IFERROR(__xludf.DUMMYFUNCTION("GOOGLETRANSLATE(B4113,""id"",""en"")"),"['min', 'love', 'star', 'TPI', 'ask', 'package', 'data', 'list', 'how', 'package', 'data', 'pulses',' Cut ',' Package ',' Data ']")</f>
        <v>['min', 'love', 'star', 'TPI', 'ask', 'package', 'data', 'list', 'how', 'package', 'data', 'pulses',' Cut ',' Package ',' Data ']</v>
      </c>
      <c r="D4113" s="3">
        <v>5.0</v>
      </c>
    </row>
    <row r="4114" ht="15.75" customHeight="1">
      <c r="A4114" s="1">
        <v>4112.0</v>
      </c>
      <c r="B4114" s="3" t="s">
        <v>4114</v>
      </c>
      <c r="C4114" s="3" t="str">
        <f>IFERROR(__xludf.DUMMYFUNCTION("GOOGLETRANSLATE(B4114,""id"",""en"")"),"['contents',' pulse ',' enter ',' feeling ',' no ',' buy ',' package ',' anything ',' purchase ',' pulse ',' reduced ',' see ',' nominal ',' balance ',' app ',' nominal ',' not ',' still ',' detrimental ',' costumers', 'tks', ""]")</f>
        <v>['contents',' pulse ',' enter ',' feeling ',' no ',' buy ',' package ',' anything ',' purchase ',' pulse ',' reduced ',' see ',' nominal ',' balance ',' app ',' nominal ',' not ',' still ',' detrimental ',' costumers', 'tks', "]</v>
      </c>
      <c r="D4114" s="3">
        <v>1.0</v>
      </c>
    </row>
    <row r="4115" ht="15.75" customHeight="1">
      <c r="A4115" s="1">
        <v>4113.0</v>
      </c>
      <c r="B4115" s="3" t="s">
        <v>4115</v>
      </c>
      <c r="C4115" s="3" t="str">
        <f>IFERROR(__xludf.DUMMYFUNCTION("GOOGLETRANSLATE(B4115,""id"",""en"")"),"['Main', 'car', 'Legend', 'down', 'right', 'enemy', 'until', 'signal', 'Telkomsel', 'ugly', 'want', 'move', ' Service ',' ']")</f>
        <v>['Main', 'car', 'Legend', 'down', 'right', 'enemy', 'until', 'signal', 'Telkomsel', 'ugly', 'want', 'move', ' Service ',' ']</v>
      </c>
      <c r="D4115" s="3">
        <v>1.0</v>
      </c>
    </row>
    <row r="4116" ht="15.75" customHeight="1">
      <c r="A4116" s="1">
        <v>4114.0</v>
      </c>
      <c r="B4116" s="3" t="s">
        <v>4116</v>
      </c>
      <c r="C4116" s="3" t="str">
        <f>IFERROR(__xludf.DUMMYFUNCTION("GOOGLETRANSLATE(B4116,""id"",""en"")"),"['', 'Telkomsel', 'application', 'Help', 'Thank you', ""]")</f>
        <v>['', 'Telkomsel', 'application', 'Help', 'Thank you', "]</v>
      </c>
      <c r="D4116" s="3">
        <v>5.0</v>
      </c>
    </row>
    <row r="4117" ht="15.75" customHeight="1">
      <c r="A4117" s="1">
        <v>4115.0</v>
      </c>
      <c r="B4117" s="3" t="s">
        <v>4117</v>
      </c>
      <c r="C4117" s="3" t="str">
        <f>IFERROR(__xludf.DUMMYFUNCTION("GOOGLETRANSLATE(B4117,""id"",""en"")"),"['Disappointed', 'Grapari', 'Change', 'Card', 'Lost', 'Android', 'Bawak', 'KTP', 'Write', 'Number', 'Contact', 'Okay', ' Afterwards', 'asked', 'guess',' number ',' number ',' contacted ',' troubled ',' saved ',' cellphone ',' bkn ',' account ',' google ',"&amp;"' moved ' , 'Operator', 'Chest', 'Telkomsel']")</f>
        <v>['Disappointed', 'Grapari', 'Change', 'Card', 'Lost', 'Android', 'Bawak', 'KTP', 'Write', 'Number', 'Contact', 'Okay', ' Afterwards', 'asked', 'guess',' number ',' number ',' contacted ',' troubled ',' saved ',' cellphone ',' bkn ',' account ',' google ',' moved ' , 'Operator', 'Chest', 'Telkomsel']</v>
      </c>
      <c r="D4117" s="3">
        <v>1.0</v>
      </c>
    </row>
    <row r="4118" ht="15.75" customHeight="1">
      <c r="A4118" s="1">
        <v>4116.0</v>
      </c>
      <c r="B4118" s="3" t="s">
        <v>4118</v>
      </c>
      <c r="C4118" s="3" t="str">
        <f>IFERROR(__xludf.DUMMYFUNCTION("GOOGLETRANSLATE(B4118,""id"",""en"")"),"['package', 'fair', 'expensive', 'signal', 'ilang', 'kayak', 'jokung', 'lose', 'wifi', 'rb', 'dipake', 'person', ' ']")</f>
        <v>['package', 'fair', 'expensive', 'signal', 'ilang', 'kayak', 'jokung', 'lose', 'wifi', 'rb', 'dipake', 'person', ' ']</v>
      </c>
      <c r="D4118" s="3">
        <v>1.0</v>
      </c>
    </row>
    <row r="4119" ht="15.75" customHeight="1">
      <c r="A4119" s="1">
        <v>4117.0</v>
      </c>
      <c r="B4119" s="3" t="s">
        <v>4119</v>
      </c>
      <c r="C4119" s="3" t="str">
        <f>IFERROR(__xludf.DUMMYFUNCTION("GOOGLETRANSLATE(B4119,""id"",""en"")"),"['application', 'features', 'fast', 'responsive', 'variation', 'price', 'competitive', '']")</f>
        <v>['application', 'features', 'fast', 'responsive', 'variation', 'price', 'competitive', '']</v>
      </c>
      <c r="D4119" s="3">
        <v>4.0</v>
      </c>
    </row>
    <row r="4120" ht="15.75" customHeight="1">
      <c r="A4120" s="1">
        <v>4118.0</v>
      </c>
      <c r="B4120" s="3" t="s">
        <v>4120</v>
      </c>
      <c r="C4120" s="3" t="str">
        <f>IFERROR(__xludf.DUMMYFUNCTION("GOOGLETRANSLATE(B4120,""id"",""en"")"),"['times', 'buy', 'quota', 'gamesmax', 'disappointed', 'Telkomsel']")</f>
        <v>['times', 'buy', 'quota', 'gamesmax', 'disappointed', 'Telkomsel']</v>
      </c>
      <c r="D4120" s="3">
        <v>1.0</v>
      </c>
    </row>
    <row r="4121" ht="15.75" customHeight="1">
      <c r="A4121" s="1">
        <v>4119.0</v>
      </c>
      <c r="B4121" s="3" t="s">
        <v>4121</v>
      </c>
      <c r="C4121" s="3" t="str">
        <f>IFERROR(__xludf.DUMMYFUNCTION("GOOGLETRANSLATE(B4121,""id"",""en"")"),"['min', 'credit', 'ilang', 'min', 'package', 'data', 'network', 'internet', 'mesk', 'pulse', 'contents',' pulses', ' run out ',' disappointed ',' please ',' repaired ',' min ',' many years ',' MERAKK ',' Telkomsel ',' Disappointed ',' Corona ',' Min ',' Y"&amp;"ou're, '']")</f>
        <v>['min', 'credit', 'ilang', 'min', 'package', 'data', 'network', 'internet', 'mesk', 'pulse', 'contents',' pulses', ' run out ',' disappointed ',' please ',' repaired ',' min ',' many years ',' MERAKK ',' Telkomsel ',' Disappointed ',' Corona ',' Min ',' You're, '']</v>
      </c>
      <c r="D4121" s="3">
        <v>5.0</v>
      </c>
    </row>
    <row r="4122" ht="15.75" customHeight="1">
      <c r="A4122" s="1">
        <v>4120.0</v>
      </c>
      <c r="B4122" s="3" t="s">
        <v>4122</v>
      </c>
      <c r="C4122" s="3" t="str">
        <f>IFERROR(__xludf.DUMMYFUNCTION("GOOGLETRANSLATE(B4122,""id"",""en"")"),"['please', 'Telkomsel', 'quota', 'run out', 'direct', 'take', 'pulse', 'dear', 'really', 'exchanged', 'quota', 'usually', ' Current ',' quota ',' tri ',' Telkomsel ',' price ',' cheap ',' ']")</f>
        <v>['please', 'Telkomsel', 'quota', 'run out', 'direct', 'take', 'pulse', 'dear', 'really', 'exchanged', 'quota', 'usually', ' Current ',' quota ',' tri ',' Telkomsel ',' price ',' cheap ',' ']</v>
      </c>
      <c r="D4122" s="3">
        <v>1.0</v>
      </c>
    </row>
    <row r="4123" ht="15.75" customHeight="1">
      <c r="A4123" s="1">
        <v>4121.0</v>
      </c>
      <c r="B4123" s="3" t="s">
        <v>4123</v>
      </c>
      <c r="C4123" s="3" t="str">
        <f>IFERROR(__xludf.DUMMYFUNCTION("GOOGLETRANSLATE(B4123,""id"",""en"")"),"['Price', 'Data', 'App', 'Different', 'Sya', 'KNPA', 'Expensive', 'App', 'friend', 'Sya', 'GB', 'GB', ' CMA ',' RbU ',' DSAY ',' RBU ',' Fair ',' Sihhh ', ""]")</f>
        <v>['Price', 'Data', 'App', 'Different', 'Sya', 'KNPA', 'Expensive', 'App', 'friend', 'Sya', 'GB', 'GB', ' CMA ',' RbU ',' DSAY ',' RBU ',' Fair ',' Sihhh ', "]</v>
      </c>
      <c r="D4123" s="3">
        <v>1.0</v>
      </c>
    </row>
    <row r="4124" ht="15.75" customHeight="1">
      <c r="A4124" s="1">
        <v>4122.0</v>
      </c>
      <c r="B4124" s="3" t="s">
        <v>4124</v>
      </c>
      <c r="C4124" s="3" t="str">
        <f>IFERROR(__xludf.DUMMYFUNCTION("GOOGLETRANSLATE(B4124,""id"",""en"")"),"['Wonder', 'DPT', 'Surprise', 'Deal', 'Promo', 'TPI', 'Expensive', 'Can', 'Number', ""]")</f>
        <v>['Wonder', 'DPT', 'Surprise', 'Deal', 'Promo', 'TPI', 'Expensive', 'Can', 'Number', "]</v>
      </c>
      <c r="D4124" s="3">
        <v>1.0</v>
      </c>
    </row>
    <row r="4125" ht="15.75" customHeight="1">
      <c r="A4125" s="1">
        <v>4123.0</v>
      </c>
      <c r="B4125" s="3" t="s">
        <v>4125</v>
      </c>
      <c r="C4125" s="3" t="str">
        <f>IFERROR(__xludf.DUMMYFUNCTION("GOOGLETRANSLATE(B4125,""id"",""en"")"),"['', 'application', 'package', 'cheerful', 'thousand', 'click', 'buy']")</f>
        <v>['', 'application', 'package', 'cheerful', 'thousand', 'click', 'buy']</v>
      </c>
      <c r="D4125" s="3">
        <v>1.0</v>
      </c>
    </row>
    <row r="4126" ht="15.75" customHeight="1">
      <c r="A4126" s="1">
        <v>4124.0</v>
      </c>
      <c r="B4126" s="3" t="s">
        <v>4126</v>
      </c>
      <c r="C4126" s="3" t="str">
        <f>IFERROR(__xludf.DUMMYFUNCTION("GOOGLETRANSLATE(B4126,""id"",""en"")"),"['Telkomsel', 'ugly', 'application', 'signal', 'Telkomsel', '']")</f>
        <v>['Telkomsel', 'ugly', 'application', 'signal', 'Telkomsel', '']</v>
      </c>
      <c r="D4126" s="3">
        <v>1.0</v>
      </c>
    </row>
    <row r="4127" ht="15.75" customHeight="1">
      <c r="A4127" s="1">
        <v>4125.0</v>
      </c>
      <c r="B4127" s="3" t="s">
        <v>4127</v>
      </c>
      <c r="C4127" s="3" t="str">
        <f>IFERROR(__xludf.DUMMYFUNCTION("GOOGLETRANSLATE(B4127,""id"",""en"")"),"['quota', 'internet', 'buy', 'yesterday', 'disappointed', 'disappointed', 'admin', 'Telkomsel', 'already', 'expensive', 'the network', 'ngelag', ' The quota ',' Blocked ',' quota ',' disappointed ']")</f>
        <v>['quota', 'internet', 'buy', 'yesterday', 'disappointed', 'disappointed', 'admin', 'Telkomsel', 'already', 'expensive', 'the network', 'ngelag', ' The quota ',' Blocked ',' quota ',' disappointed ']</v>
      </c>
      <c r="D4127" s="3">
        <v>1.0</v>
      </c>
    </row>
    <row r="4128" ht="15.75" customHeight="1">
      <c r="A4128" s="1">
        <v>4126.0</v>
      </c>
      <c r="B4128" s="3" t="s">
        <v>4128</v>
      </c>
      <c r="C4128" s="3" t="str">
        <f>IFERROR(__xludf.DUMMYFUNCTION("GOOGLETRANSLATE(B4128,""id"",""en"")"),"['Satisfied', 'Application', 'Ngahahan', 'Get']")</f>
        <v>['Satisfied', 'Application', 'Ngahahan', 'Get']</v>
      </c>
      <c r="D4128" s="3">
        <v>5.0</v>
      </c>
    </row>
    <row r="4129" ht="15.75" customHeight="1">
      <c r="A4129" s="1">
        <v>4127.0</v>
      </c>
      <c r="B4129" s="3" t="s">
        <v>4129</v>
      </c>
      <c r="C4129" s="3" t="str">
        <f>IFERROR(__xludf.DUMMYFUNCTION("GOOGLETRANSLATE(B4129,""id"",""en"")"),"['right', 'active', 'quota', 'clock', 'check', 'leftover', 'quota', 'stay', 'then', 'non', 'activated', 'because', ' Charge ',' ehh ',' right ',' clock ',' check ',' quota ',' telkomsel ',' description ',' load ',' sorry ',' error ',' system ',' load ' , "&amp;"'Information', 'quota', 'then', 'check', 'quota', 'clock', 'notification', 'have', 'package', 'anything', 'replace', 'disappointing']")</f>
        <v>['right', 'active', 'quota', 'clock', 'check', 'leftover', 'quota', 'stay', 'then', 'non', 'activated', 'because', ' Charge ',' ehh ',' right ',' clock ',' check ',' quota ',' telkomsel ',' description ',' load ',' sorry ',' error ',' system ',' load ' , 'Information', 'quota', 'then', 'check', 'quota', 'clock', 'notification', 'have', 'package', 'anything', 'replace', 'disappointing']</v>
      </c>
      <c r="D4129" s="3">
        <v>1.0</v>
      </c>
    </row>
    <row r="4130" ht="15.75" customHeight="1">
      <c r="A4130" s="1">
        <v>4128.0</v>
      </c>
      <c r="B4130" s="3" t="s">
        <v>4130</v>
      </c>
      <c r="C4130" s="3" t="str">
        <f>IFERROR(__xludf.DUMMYFUNCTION("GOOGLETRANSLATE(B4130,""id"",""en"")"),"['Please', 'fix', 'applicture', 'nge', 'bug', 'yes',' difficult ',' really ',' opened ',' little ',' closed ',' forced ',' So ',' difficult ',' buy ',' quota ',' app ',' astagfirullah ',' make ',' tsel ',' repair ',' good ',' please ',' pay attention ']")</f>
        <v>['Please', 'fix', 'applicture', 'nge', 'bug', 'yes',' difficult ',' really ',' opened ',' little ',' closed ',' forced ',' So ',' difficult ',' buy ',' quota ',' app ',' astagfirullah ',' make ',' tsel ',' repair ',' good ',' please ',' pay attention ']</v>
      </c>
      <c r="D4130" s="3">
        <v>1.0</v>
      </c>
    </row>
    <row r="4131" ht="15.75" customHeight="1">
      <c r="A4131" s="1">
        <v>4129.0</v>
      </c>
      <c r="B4131" s="3" t="s">
        <v>4131</v>
      </c>
      <c r="C4131" s="3" t="str">
        <f>IFERROR(__xludf.DUMMYFUNCTION("GOOGLETRANSLATE(B4131,""id"",""en"")"),"['account', 'sometimes',' make it difficult ',' login ',' buy ',' package ',' internet ',' the application ',' no ',' error ',' buy ',' the package ',' manual ',' accept ',' sms', 'package', 'active', 'pulses',' sucked ',' Haduuh ',' come on ',' Telkomsel"&amp;" ', ""]")</f>
        <v>['account', 'sometimes',' make it difficult ',' login ',' buy ',' package ',' internet ',' the application ',' no ',' error ',' buy ',' the package ',' manual ',' accept ',' sms', 'package', 'active', 'pulses',' sucked ',' Haduuh ',' come on ',' Telkomsel ', "]</v>
      </c>
      <c r="D4131" s="3">
        <v>1.0</v>
      </c>
    </row>
    <row r="4132" ht="15.75" customHeight="1">
      <c r="A4132" s="1">
        <v>4130.0</v>
      </c>
      <c r="B4132" s="3" t="s">
        <v>4132</v>
      </c>
      <c r="C4132" s="3" t="str">
        <f>IFERROR(__xludf.DUMMYFUNCTION("GOOGLETRANSLATE(B4132,""id"",""en"")"),"['network', 'Telkomsel', 'stable', 'open', 'application', 'open', 'application', 'Telkomsel', 'network', 'no', 'obstacle', 'buy', ' Package ',' quota ',' just ',' open ',' application ',' Telkomsel ',' application ',' stable ',' Leave ',' Customer ',' tur"&amp;"ned ', ""]")</f>
        <v>['network', 'Telkomsel', 'stable', 'open', 'application', 'open', 'application', 'Telkomsel', 'network', 'no', 'obstacle', 'buy', ' Package ',' quota ',' just ',' open ',' application ',' Telkomsel ',' application ',' stable ',' Leave ',' Customer ',' turned ', "]</v>
      </c>
      <c r="D4132" s="3">
        <v>3.0</v>
      </c>
    </row>
    <row r="4133" ht="15.75" customHeight="1">
      <c r="A4133" s="1">
        <v>4131.0</v>
      </c>
      <c r="B4133" s="3" t="s">
        <v>4133</v>
      </c>
      <c r="C4133" s="3" t="str">
        <f>IFERROR(__xludf.DUMMYFUNCTION("GOOGLETRANSLATE(B4133,""id"",""en"")"),"['Telkomsel', 'affordable', 'mobility', 'communication', 'effsyient', 'hope', 'Telkomsel', 'partner', 'partner', ""]")</f>
        <v>['Telkomsel', 'affordable', 'mobility', 'communication', 'effsyient', 'hope', 'Telkomsel', 'partner', 'partner', "]</v>
      </c>
      <c r="D4133" s="3">
        <v>5.0</v>
      </c>
    </row>
    <row r="4134" ht="15.75" customHeight="1">
      <c r="A4134" s="1">
        <v>4132.0</v>
      </c>
      <c r="B4134" s="3" t="s">
        <v>4134</v>
      </c>
      <c r="C4134" s="3" t="str">
        <f>IFERROR(__xludf.DUMMYFUNCTION("GOOGLETRANSLATE(B4134,""id"",""en"")"),"['signal', 'Ngelag', 'Play', 'Game', 'Please', 'Enhanced', 'Quality', 'Network', 'Customer', 'Move', 'Operator', ""]")</f>
        <v>['signal', 'Ngelag', 'Play', 'Game', 'Please', 'Enhanced', 'Quality', 'Network', 'Customer', 'Move', 'Operator', "]</v>
      </c>
      <c r="D4134" s="3">
        <v>1.0</v>
      </c>
    </row>
    <row r="4135" ht="15.75" customHeight="1">
      <c r="A4135" s="1">
        <v>4133.0</v>
      </c>
      <c r="B4135" s="3" t="s">
        <v>4135</v>
      </c>
      <c r="C4135" s="3" t="str">
        <f>IFERROR(__xludf.DUMMYFUNCTION("GOOGLETRANSLATE(B4135,""id"",""en"")"),"['Application', 'MyTelkomsel', 'Difficult', 'Buy', 'Package', 'Data', 'Why', 'Like', 'Very', 'Telkomsel']")</f>
        <v>['Application', 'MyTelkomsel', 'Difficult', 'Buy', 'Package', 'Data', 'Why', 'Like', 'Very', 'Telkomsel']</v>
      </c>
      <c r="D4135" s="3">
        <v>1.0</v>
      </c>
    </row>
    <row r="4136" ht="15.75" customHeight="1">
      <c r="A4136" s="1">
        <v>4134.0</v>
      </c>
      <c r="B4136" s="3" t="s">
        <v>4136</v>
      </c>
      <c r="C4136" s="3" t="str">
        <f>IFERROR(__xludf.DUMMYFUNCTION("GOOGLETRANSLATE(B4136,""id"",""en"")"),"['subscribe', 'package', 'card', 'hello', 'rb', 'details',' quota ',' GB ',' divided ',' internet ',' main ',' GB ',' Multi ',' Media ',' GB ',' Use ',' Use ',' Quota ',' Internet ',' Main ',' Used ',' Streaming ',' Videocall ',' Watch ',' Video ' , 'Onli"&amp;"ne', 'quota', 'multimedia', 'handy', 'sucked', 'quota', 'internet', 'main', 'quota', 'main', 'out', 'quota', ' Multimedia ',' Package ',' Multimedia ',' Abal ',' Lying ',' Sheer ']")</f>
        <v>['subscribe', 'package', 'card', 'hello', 'rb', 'details',' quota ',' GB ',' divided ',' internet ',' main ',' GB ',' Multi ',' Media ',' GB ',' Use ',' Use ',' Quota ',' Internet ',' Main ',' Used ',' Streaming ',' Videocall ',' Watch ',' Video ' , 'Online', 'quota', 'multimedia', 'handy', 'sucked', 'quota', 'internet', 'main', 'quota', 'main', 'out', 'quota', ' Multimedia ',' Package ',' Multimedia ',' Abal ',' Lying ',' Sheer ']</v>
      </c>
      <c r="D4136" s="3">
        <v>1.0</v>
      </c>
    </row>
    <row r="4137" ht="15.75" customHeight="1">
      <c r="A4137" s="1">
        <v>4135.0</v>
      </c>
      <c r="B4137" s="3" t="s">
        <v>4137</v>
      </c>
      <c r="C4137" s="3" t="str">
        <f>IFERROR(__xludf.DUMMYFUNCTION("GOOGLETRANSLATE(B4137,""id"",""en"")"),"['application', 'super', 'slow', 'network', 'slow', 'you', 'proud of', 'Telkomsel', ""]")</f>
        <v>['application', 'super', 'slow', 'network', 'slow', 'you', 'proud of', 'Telkomsel', "]</v>
      </c>
      <c r="D4137" s="3">
        <v>1.0</v>
      </c>
    </row>
    <row r="4138" ht="15.75" customHeight="1">
      <c r="A4138" s="1">
        <v>4136.0</v>
      </c>
      <c r="B4138" s="3" t="s">
        <v>4138</v>
      </c>
      <c r="C4138" s="3" t="str">
        <f>IFERROR(__xludf.DUMMYFUNCTION("GOOGLETRANSLATE(B4138,""id"",""en"")"),"['Call', 'SMS', 'Call', 'People', 'Enter', 'Check', 'Credit', 'Package', 'GMANA', 'CAVA', 'TAUN', 'SIMPATI', ' Enlightenment ',' Kah ',' ']")</f>
        <v>['Call', 'SMS', 'Call', 'People', 'Enter', 'Check', 'Credit', 'Package', 'GMANA', 'CAVA', 'TAUN', 'SIMPATI', ' Enlightenment ',' Kah ',' ']</v>
      </c>
      <c r="D4138" s="3">
        <v>1.0</v>
      </c>
    </row>
    <row r="4139" ht="15.75" customHeight="1">
      <c r="A4139" s="1">
        <v>4137.0</v>
      </c>
      <c r="B4139" s="3" t="s">
        <v>4139</v>
      </c>
      <c r="C4139" s="3" t="str">
        <f>IFERROR(__xludf.DUMMYFUNCTION("GOOGLETRANSLATE(B4139,""id"",""en"")"),"['Min', 'buy', 'package', 'surprise', 'Deal', 'FUP', 'GB', 'SUCCESS', 'transaction', 'check', 'package', 'surprise', ' Deal ',' FUP ',' GB ',' Gaada ',' Credit ',' Cutting ',' thousand ',' Min ',' knapa ', ""]")</f>
        <v>['Min', 'buy', 'package', 'surprise', 'Deal', 'FUP', 'GB', 'SUCCESS', 'transaction', 'check', 'package', 'surprise', ' Deal ',' FUP ',' GB ',' Gaada ',' Credit ',' Cutting ',' thousand ',' Min ',' knapa ', "]</v>
      </c>
      <c r="D4139" s="3">
        <v>5.0</v>
      </c>
    </row>
    <row r="4140" ht="15.75" customHeight="1">
      <c r="A4140" s="1">
        <v>4138.0</v>
      </c>
      <c r="B4140" s="3" t="s">
        <v>4140</v>
      </c>
      <c r="C4140" s="3" t="str">
        <f>IFERROR(__xludf.DUMMYFUNCTION("GOOGLETRANSLATE(B4140,""id"",""en"")"),"['Woyy', 'work', 'I', 'ISI', 'quota', 'RbU', 'Embat', 'Where', 'quota', 'date', 'September', 'SKTR', ' hours', 'wib', 'active', 'right', 'date', 'September', 'quota', 'missing', 'thief', 'work', ""]")</f>
        <v>['Woyy', 'work', 'I', 'ISI', 'quota', 'RbU', 'Embat', 'Where', 'quota', 'date', 'September', 'SKTR', ' hours', 'wib', 'active', 'right', 'date', 'September', 'quota', 'missing', 'thief', 'work', "]</v>
      </c>
      <c r="D4140" s="3">
        <v>1.0</v>
      </c>
    </row>
    <row r="4141" ht="15.75" customHeight="1">
      <c r="A4141" s="1">
        <v>4139.0</v>
      </c>
      <c r="B4141" s="3" t="s">
        <v>4141</v>
      </c>
      <c r="C4141" s="3" t="str">
        <f>IFERROR(__xludf.DUMMYFUNCTION("GOOGLETRANSLATE(B4141,""id"",""en"")"),"['service', 'Telkomsel', 'bad', 'buy', 'quota', 'GB', 'opening', 'browser', 'minute', 'directly', 'run out', 'the network', ' slow', '']")</f>
        <v>['service', 'Telkomsel', 'bad', 'buy', 'quota', 'GB', 'opening', 'browser', 'minute', 'directly', 'run out', 'the network', ' slow', '']</v>
      </c>
      <c r="D4141" s="3">
        <v>1.0</v>
      </c>
    </row>
    <row r="4142" ht="15.75" customHeight="1">
      <c r="A4142" s="1">
        <v>4140.0</v>
      </c>
      <c r="B4142" s="3" t="s">
        <v>4142</v>
      </c>
      <c r="C4142" s="3" t="str">
        <f>IFERROR(__xludf.DUMMYFUNCTION("GOOGLETRANSLATE(B4142,""id"",""en"")"),"['Telkomsel', 'garbage', 'Perdana', 'Telkomsel', 'network', 'repaired']")</f>
        <v>['Telkomsel', 'garbage', 'Perdana', 'Telkomsel', 'network', 'repaired']</v>
      </c>
      <c r="D4142" s="3">
        <v>5.0</v>
      </c>
    </row>
    <row r="4143" ht="15.75" customHeight="1">
      <c r="A4143" s="1">
        <v>4141.0</v>
      </c>
      <c r="B4143" s="3" t="s">
        <v>4143</v>
      </c>
      <c r="C4143" s="3" t="str">
        <f>IFERROR(__xludf.DUMMYFUNCTION("GOOGLETRANSLATE(B4143,""id"",""en"")"),"['Credit', 'application', 'game', 'enter', 'contents', 'application', 'fund', 'enter', 'back', 'money', ""]")</f>
        <v>['Credit', 'application', 'game', 'enter', 'contents', 'application', 'fund', 'enter', 'back', 'money', "]</v>
      </c>
      <c r="D4143" s="3">
        <v>1.0</v>
      </c>
    </row>
    <row r="4144" ht="15.75" customHeight="1">
      <c r="A4144" s="1">
        <v>4142.0</v>
      </c>
      <c r="B4144" s="3" t="s">
        <v>4144</v>
      </c>
      <c r="C4144" s="3" t="str">
        <f>IFERROR(__xludf.DUMMYFUNCTION("GOOGLETRANSLATE(B4144,""id"",""en"")"),"['Daru', 'Village', 'Lined', 'Thank you', 'Telkomsel', 'Telkomsel', 'Network', 'Perfered', 'Leg', 'Please', 'Quota', 'Mainmork', ' thank you']")</f>
        <v>['Daru', 'Village', 'Lined', 'Thank you', 'Telkomsel', 'Telkomsel', 'Network', 'Perfered', 'Leg', 'Please', 'Quota', 'Mainmork', ' thank you']</v>
      </c>
      <c r="D4144" s="3">
        <v>5.0</v>
      </c>
    </row>
    <row r="4145" ht="15.75" customHeight="1">
      <c r="A4145" s="1">
        <v>4143.0</v>
      </c>
      <c r="B4145" s="3" t="s">
        <v>4145</v>
      </c>
      <c r="C4145" s="3" t="str">
        <f>IFERROR(__xludf.DUMMYFUNCTION("GOOGLETRANSLATE(B4145,""id"",""en"")"),"['Customer', 'FAITH', 'GOLD', 'Telkomsel', 'Disappointed', 'Credit', 'Sucked', 'Ovald', 'Lost', 'Package', 'Active', 'Package', ' expensive ',' signal ',' downhill ',' thought ',' decided ',' replace ',' Indosat ',' price ',' package ',' normal ',' signal"&amp;" ',' Telkomsel ',' Spread ' , 'Group', 'fans', 'Telkomsel']")</f>
        <v>['Customer', 'FAITH', 'GOLD', 'Telkomsel', 'Disappointed', 'Credit', 'Sucked', 'Ovald', 'Lost', 'Package', 'Active', 'Package', ' expensive ',' signal ',' downhill ',' thought ',' decided ',' replace ',' Indosat ',' price ',' package ',' normal ',' signal ',' Telkomsel ',' Spread ' , 'Group', 'fans', 'Telkomsel']</v>
      </c>
      <c r="D4145" s="3">
        <v>1.0</v>
      </c>
    </row>
    <row r="4146" ht="15.75" customHeight="1">
      <c r="A4146" s="1">
        <v>4144.0</v>
      </c>
      <c r="B4146" s="3" t="s">
        <v>4146</v>
      </c>
      <c r="C4146" s="3" t="str">
        <f>IFERROR(__xludf.DUMMYFUNCTION("GOOGLETRANSLATE(B4146,""id"",""en"")"),"['Oklah', 'package', 'network', 'already', 'good', 'well', 'done', '']")</f>
        <v>['Oklah', 'package', 'network', 'already', 'good', 'well', 'done', '']</v>
      </c>
      <c r="D4146" s="3">
        <v>5.0</v>
      </c>
    </row>
    <row r="4147" ht="15.75" customHeight="1">
      <c r="A4147" s="1">
        <v>4145.0</v>
      </c>
      <c r="B4147" s="3" t="s">
        <v>4147</v>
      </c>
      <c r="C4147" s="3" t="str">
        <f>IFERROR(__xludf.DUMMYFUNCTION("GOOGLETRANSLATE(B4147,""id"",""en"")"),"['Please', 'Restore', 'System', 'Payment', 'Via', 'Linkaja', 'Application', 'MyTelkomsel', 'Direct', 'Input', 'PIN', 'Hang out', ' Quota ',' Out ',' Karna ',' Application ',' Linkaja ',' Quota ']")</f>
        <v>['Please', 'Restore', 'System', 'Payment', 'Via', 'Linkaja', 'Application', 'MyTelkomsel', 'Direct', 'Input', 'PIN', 'Hang out', ' Quota ',' Out ',' Karna ',' Application ',' Linkaja ',' Quota ']</v>
      </c>
      <c r="D4147" s="3">
        <v>2.0</v>
      </c>
    </row>
    <row r="4148" ht="15.75" customHeight="1">
      <c r="A4148" s="1">
        <v>4146.0</v>
      </c>
      <c r="B4148" s="3" t="s">
        <v>4148</v>
      </c>
      <c r="C4148" s="3" t="str">
        <f>IFERROR(__xludf.DUMMYFUNCTION("GOOGLETRANSLATE(B4148,""id"",""en"")"),"['bangs',' really ',' Telkomsel ',' quota ',' expensive ',' signal ',' kek ',' njing ',' just ',' Telkomsel ',' lost ',' Indonesia ',' ']")</f>
        <v>['bangs',' really ',' Telkomsel ',' quota ',' expensive ',' signal ',' kek ',' njing ',' just ',' Telkomsel ',' lost ',' Indonesia ',' ']</v>
      </c>
      <c r="D4148" s="3">
        <v>1.0</v>
      </c>
    </row>
    <row r="4149" ht="15.75" customHeight="1">
      <c r="A4149" s="1">
        <v>4147.0</v>
      </c>
      <c r="B4149" s="3" t="s">
        <v>4149</v>
      </c>
      <c r="C4149" s="3" t="str">
        <f>IFERROR(__xludf.DUMMYFUNCTION("GOOGLETRANSLATE(B4149,""id"",""en"")"),"['Season', 'see', 'buy', 'quota', 'balesan', 'internet', 'failed', 'activated', 'try', 'ehh', 'year "",' pulses ',' Cut ',' repeat ',' times', 'please', 'repaired', 'that's',' network ',' here ',' ugly ', ""]")</f>
        <v>['Season', 'see', 'buy', 'quota', 'balesan', 'internet', 'failed', 'activated', 'try', 'ehh', 'year ",' pulses ',' Cut ',' repeat ',' times', 'please', 'repaired', 'that's',' network ',' here ',' ugly ', "]</v>
      </c>
      <c r="D4149" s="3">
        <v>1.0</v>
      </c>
    </row>
    <row r="4150" ht="15.75" customHeight="1">
      <c r="A4150" s="1">
        <v>4148.0</v>
      </c>
      <c r="B4150" s="3" t="s">
        <v>4150</v>
      </c>
      <c r="C4150" s="3" t="str">
        <f>IFERROR(__xludf.DUMMYFUNCTION("GOOGLETRANSLATE(B4150,""id"",""en"")"),"['', 'already', 'wifi', 'pulse', 'sumps',' please ',' situation ',' cunning ',' wifi ',' cave ',' indihome ',' copied ',' cave ']")</f>
        <v>['', 'already', 'wifi', 'pulse', 'sumps',' please ',' situation ',' cunning ',' wifi ',' cave ',' indihome ',' copied ',' cave ']</v>
      </c>
      <c r="D4150" s="3">
        <v>1.0</v>
      </c>
    </row>
    <row r="4151" ht="15.75" customHeight="1">
      <c r="A4151" s="1">
        <v>4149.0</v>
      </c>
      <c r="B4151" s="3" t="s">
        <v>4151</v>
      </c>
      <c r="C4151" s="3" t="str">
        <f>IFERROR(__xludf.DUMMYFUNCTION("GOOGLETRANSLATE(B4151,""id"",""en"")"),"['Telkomsel', 'card', 'orsng', 'rich', 'signal', 'super', 'severe', 'bad', 'if', 'village', 'signal', 'laen', ' Change ',' card ',' PKET ',' Super ',' Cheap ']")</f>
        <v>['Telkomsel', 'card', 'orsng', 'rich', 'signal', 'super', 'severe', 'bad', 'if', 'village', 'signal', 'laen', ' Change ',' card ',' PKET ',' Super ',' Cheap ']</v>
      </c>
      <c r="D4151" s="3">
        <v>1.0</v>
      </c>
    </row>
    <row r="4152" ht="15.75" customHeight="1">
      <c r="A4152" s="1">
        <v>4150.0</v>
      </c>
      <c r="B4152" s="3" t="s">
        <v>4152</v>
      </c>
      <c r="C4152" s="3" t="str">
        <f>IFERROR(__xludf.DUMMYFUNCTION("GOOGLETRANSLATE(B4152,""id"",""en"")"),"['promo', 'internet', 'cheap', 'decent', 'a month', 'yesterday', 'use', 'GB', 'price', 'rb', 'save']")</f>
        <v>['promo', 'internet', 'cheap', 'decent', 'a month', 'yesterday', 'use', 'GB', 'price', 'rb', 'save']</v>
      </c>
      <c r="D4152" s="3">
        <v>4.0</v>
      </c>
    </row>
    <row r="4153" ht="15.75" customHeight="1">
      <c r="A4153" s="1">
        <v>4151.0</v>
      </c>
      <c r="B4153" s="3" t="s">
        <v>4153</v>
      </c>
      <c r="C4153" s="3" t="str">
        <f>IFERROR(__xludf.DUMMYFUNCTION("GOOGLETRANSLATE(B4153,""id"",""en"")"),"['', 'the application', 'heavy', 'area', 'signal', 'light', '']")</f>
        <v>['', 'the application', 'heavy', 'area', 'signal', 'light', '']</v>
      </c>
      <c r="D4153" s="3">
        <v>5.0</v>
      </c>
    </row>
    <row r="4154" ht="15.75" customHeight="1">
      <c r="A4154" s="1">
        <v>4152.0</v>
      </c>
      <c r="B4154" s="3" t="s">
        <v>4154</v>
      </c>
      <c r="C4154" s="3" t="str">
        <f>IFERROR(__xludf.DUMMYFUNCTION("GOOGLETRANSLATE(B4154,""id"",""en"")"),"['Network', 'Signal', 'Bad', 'Region', 'Captain', 'Yusup', 'Sawah', 'Cimanglid', 'Sukamantri', 'Tamansari', 'Bogor', ""]")</f>
        <v>['Network', 'Signal', 'Bad', 'Region', 'Captain', 'Yusup', 'Sawah', 'Cimanglid', 'Sukamantri', 'Tamansari', 'Bogor', "]</v>
      </c>
      <c r="D4154" s="3">
        <v>2.0</v>
      </c>
    </row>
    <row r="4155" ht="15.75" customHeight="1">
      <c r="A4155" s="1">
        <v>4153.0</v>
      </c>
      <c r="B4155" s="3" t="s">
        <v>4155</v>
      </c>
      <c r="C4155" s="3" t="str">
        <f>IFERROR(__xludf.DUMMYFUNCTION("GOOGLETRANSLATE(B4155,""id"",""en"")"),"['friend', 'friend', 'friend', 'loyal', 'loyal', 'no', 'friend', 'waste', 'cheats',' sky ',' take ',' friend ',' Bring ',' girlfriend ',' waste ',' Wakakakakak ']")</f>
        <v>['friend', 'friend', 'friend', 'loyal', 'loyal', 'no', 'friend', 'waste', 'cheats',' sky ',' take ',' friend ',' Bring ',' girlfriend ',' waste ',' Wakakakakak ']</v>
      </c>
      <c r="D4155" s="3">
        <v>1.0</v>
      </c>
    </row>
    <row r="4156" ht="15.75" customHeight="1">
      <c r="A4156" s="1">
        <v>4154.0</v>
      </c>
      <c r="B4156" s="3" t="s">
        <v>4156</v>
      </c>
      <c r="C4156" s="3" t="str">
        <f>IFERROR(__xludf.DUMMYFUNCTION("GOOGLETRANSLATE(B4156,""id"",""en"")"),"['like', 'buy', 'package', 'data', 'discount', 'help']")</f>
        <v>['like', 'buy', 'package', 'data', 'discount', 'help']</v>
      </c>
      <c r="D4156" s="3">
        <v>5.0</v>
      </c>
    </row>
    <row r="4157" ht="15.75" customHeight="1">
      <c r="A4157" s="1">
        <v>4155.0</v>
      </c>
      <c r="B4157" s="3" t="s">
        <v>4157</v>
      </c>
      <c r="C4157" s="3" t="str">
        <f>IFERROR(__xludf.DUMMYFUNCTION("GOOGLETRANSLATE(B4157,""id"",""en"")"),"['', 'Telkomsel', 'good', 'his own', 'signal', 'strong', 'use', 'card', 'telkomsel', 'th', 'ngak', 'replace', 'nomer ',' Telkomsel ',' service ',' good ',' sinynya ',' strong ',' satisfied ',' service ',' telkomsel ']")</f>
        <v>['', 'Telkomsel', 'good', 'his own', 'signal', 'strong', 'use', 'card', 'telkomsel', 'th', 'ngak', 'replace', 'nomer ',' Telkomsel ',' service ',' good ',' sinynya ',' strong ',' satisfied ',' service ',' telkomsel ']</v>
      </c>
      <c r="D4157" s="3">
        <v>2.0</v>
      </c>
    </row>
    <row r="4158" ht="15.75" customHeight="1">
      <c r="A4158" s="1">
        <v>4156.0</v>
      </c>
      <c r="B4158" s="3" t="s">
        <v>4158</v>
      </c>
      <c r="C4158" s="3" t="str">
        <f>IFERROR(__xludf.DUMMYFUNCTION("GOOGLETRANSLATE(B4158,""id"",""en"")"),"['Package', 'buy', 'GB', 'a week', 'knpa', 'skrng', 'udh', 'lgi', 'please', 'back', 'lgi', 'package']")</f>
        <v>['Package', 'buy', 'GB', 'a week', 'knpa', 'skrng', 'udh', 'lgi', 'please', 'back', 'lgi', 'package']</v>
      </c>
      <c r="D4158" s="3">
        <v>5.0</v>
      </c>
    </row>
    <row r="4159" ht="15.75" customHeight="1">
      <c r="A4159" s="1">
        <v>4157.0</v>
      </c>
      <c r="B4159" s="3" t="s">
        <v>4159</v>
      </c>
      <c r="C4159" s="3" t="str">
        <f>IFERROR(__xludf.DUMMYFUNCTION("GOOGLETRANSLATE(B4159,""id"",""en"")"),"['Package', 'promo', 'already', 'bought', 'kjngka', 'October']")</f>
        <v>['Package', 'promo', 'already', 'bought', 'kjngka', 'October']</v>
      </c>
      <c r="D4159" s="3">
        <v>1.0</v>
      </c>
    </row>
    <row r="4160" ht="15.75" customHeight="1">
      <c r="A4160" s="1">
        <v>4158.0</v>
      </c>
      <c r="B4160" s="3" t="s">
        <v>4160</v>
      </c>
      <c r="C4160" s="3" t="str">
        <f>IFERROR(__xludf.DUMMYFUNCTION("GOOGLETRANSLATE(B4160,""id"",""en"")"),"['Telkomsel', 'baguuuuuus',' really ',' tapiiiiiiiiiiiiiiiiiiiiiiiiiiiiiii ',' boooooooooooooo ',' ooooooooooooo ',' network ',' ugly ',' price ',' package ',' sampe ',' cellular ',' expensive ',' bang ',' slow ',' rich ',' snail ',' eat ',' quota ',' spe"&amp;"eding ',' match ',' star ',' choice ',' mnim ',' star ' , '']")</f>
        <v>['Telkomsel', 'baguuuuuus',' really ',' tapiiiiiiiiiiiiiiiiiiiiiiiiiiiiiii ',' boooooooooooooo ',' ooooooooooooo ',' network ',' ugly ',' price ',' package ',' sampe ',' cellular ',' expensive ',' bang ',' slow ',' rich ',' snail ',' eat ',' quota ',' speeding ',' match ',' star ',' choice ',' mnim ',' star ' , '']</v>
      </c>
      <c r="D4160" s="3">
        <v>1.0</v>
      </c>
    </row>
    <row r="4161" ht="15.75" customHeight="1">
      <c r="A4161" s="1">
        <v>4159.0</v>
      </c>
      <c r="B4161" s="3" t="s">
        <v>4161</v>
      </c>
      <c r="C4161" s="3" t="str">
        <f>IFERROR(__xludf.DUMMYFUNCTION("GOOGLETRANSLATE(B4161,""id"",""en"")"),"['Log', 'HRUS', 'PKE', 'Link', 'Kenpa', 'PKE', 'Code', 'Kayak', 'Ribet', 'Log', 'Use', 'Mail', ' How ',' Biking ',' Season ',' Sendri ']")</f>
        <v>['Log', 'HRUS', 'PKE', 'Link', 'Kenpa', 'PKE', 'Code', 'Kayak', 'Ribet', 'Log', 'Use', 'Mail', ' How ',' Biking ',' Season ',' Sendri ']</v>
      </c>
      <c r="D4161" s="3">
        <v>1.0</v>
      </c>
    </row>
    <row r="4162" ht="15.75" customHeight="1">
      <c r="A4162" s="1">
        <v>4160.0</v>
      </c>
      <c r="B4162" s="3" t="s">
        <v>4162</v>
      </c>
      <c r="C4162" s="3" t="str">
        <f>IFERROR(__xludf.DUMMYFUNCTION("GOOGLETRANSLATE(B4162,""id"",""en"")"),"['Network', 'Internet', 'Region', 'Abuki', 'Padangguni', 'Bad', 'Deliberate', 'Kasi', 'Bintang', 'Read', 'People']")</f>
        <v>['Network', 'Internet', 'Region', 'Abuki', 'Padangguni', 'Bad', 'Deliberate', 'Kasi', 'Bintang', 'Read', 'People']</v>
      </c>
      <c r="D4162" s="3">
        <v>5.0</v>
      </c>
    </row>
    <row r="4163" ht="15.75" customHeight="1">
      <c r="A4163" s="1">
        <v>4161.0</v>
      </c>
      <c r="B4163" s="3" t="s">
        <v>4163</v>
      </c>
      <c r="C4163" s="3" t="str">
        <f>IFERROR(__xludf.DUMMYFUNCTION("GOOGLETRANSLATE(B4163,""id"",""en"")"),"['application', 'good', 'How', 'good', 'package', 'data', 'internet', 'card', 'given', 'bonus',' discount ',' card ',' Survive ',' thank you ']")</f>
        <v>['application', 'good', 'How', 'good', 'package', 'data', 'internet', 'card', 'given', 'bonus',' discount ',' card ',' Survive ',' thank you ']</v>
      </c>
      <c r="D4163" s="3">
        <v>5.0</v>
      </c>
    </row>
    <row r="4164" ht="15.75" customHeight="1">
      <c r="A4164" s="1">
        <v>4162.0</v>
      </c>
      <c r="B4164" s="3" t="s">
        <v>4164</v>
      </c>
      <c r="C4164" s="3" t="str">
        <f>IFERROR(__xludf.DUMMYFUNCTION("GOOGLETRANSLATE(B4164,""id"",""en"")"),"['Sorry', 'ngactivein', 'card', 'already', 'dead', 'card', 'nua', 'already', 'lost', ""]")</f>
        <v>['Sorry', 'ngactivein', 'card', 'already', 'dead', 'card', 'nua', 'already', 'lost', "]</v>
      </c>
      <c r="D4164" s="3">
        <v>5.0</v>
      </c>
    </row>
    <row r="4165" ht="15.75" customHeight="1">
      <c r="A4165" s="1">
        <v>4163.0</v>
      </c>
      <c r="B4165" s="3" t="s">
        <v>4165</v>
      </c>
      <c r="C4165" s="3" t="str">
        <f>IFERROR(__xludf.DUMMYFUNCTION("GOOGLETRANSLATE(B4165,""id"",""en"")"),"['users',' Telkomsel ',' Disappointed ',' Karna ',' Matangan ',' Telkomsel ',' Sangangkin ',' Sumbin ',' Slow ',' Really ',' Region ',' Regency ',' Banyuasin ',' Subdistrict ',' Makarti ',' Jaya ']")</f>
        <v>['users',' Telkomsel ',' Disappointed ',' Karna ',' Matangan ',' Telkomsel ',' Sangangkin ',' Sumbin ',' Slow ',' Really ',' Region ',' Regency ',' Banyuasin ',' Subdistrict ',' Makarti ',' Jaya ']</v>
      </c>
      <c r="D4165" s="3">
        <v>5.0</v>
      </c>
    </row>
    <row r="4166" ht="15.75" customHeight="1">
      <c r="A4166" s="1">
        <v>4164.0</v>
      </c>
      <c r="B4166" s="3" t="s">
        <v>4166</v>
      </c>
      <c r="C4166" s="3" t="str">
        <f>IFERROR(__xludf.DUMMYFUNCTION("GOOGLETRANSLATE(B4166,""id"",""en"")"),"['Assalamualaikum', 'warahmatullah', 'wabarakaatuh', 'Please', 'repaired', 'network', 'telephone', 'internet', 'location', 'a week', 'condition', 'bad', ' Tks']")</f>
        <v>['Assalamualaikum', 'warahmatullah', 'wabarakaatuh', 'Please', 'repaired', 'network', 'telephone', 'internet', 'location', 'a week', 'condition', 'bad', ' Tks']</v>
      </c>
      <c r="D4166" s="3">
        <v>3.0</v>
      </c>
    </row>
    <row r="4167" ht="15.75" customHeight="1">
      <c r="A4167" s="1">
        <v>4165.0</v>
      </c>
      <c r="B4167" s="3" t="s">
        <v>4167</v>
      </c>
      <c r="C4167" s="3" t="str">
        <f>IFERROR(__xludf.DUMMYFUNCTION("GOOGLETRANSLATE(B4167,""id"",""en"")"),"['Severe', 'buy', 'package', 'gabisa', 'as a result', 'pulse', 'chick', 'pulse', 'buy', 'package', 'sakti', 'unlimited', ' rb ',' sms', 'pulse', 'signal', 'bad', 'really', 'class',' Telkomsel ',' expensive ',' signal ',' comfort ',' bad ']")</f>
        <v>['Severe', 'buy', 'package', 'gabisa', 'as a result', 'pulse', 'chick', 'pulse', 'buy', 'package', 'sakti', 'unlimited', ' rb ',' sms', 'pulse', 'signal', 'bad', 'really', 'class',' Telkomsel ',' expensive ',' signal ',' comfort ',' bad ']</v>
      </c>
      <c r="D4167" s="3">
        <v>1.0</v>
      </c>
    </row>
    <row r="4168" ht="15.75" customHeight="1">
      <c r="A4168" s="1">
        <v>4166.0</v>
      </c>
      <c r="B4168" s="3" t="s">
        <v>4168</v>
      </c>
      <c r="C4168" s="3" t="str">
        <f>IFERROR(__xludf.DUMMYFUNCTION("GOOGLETRANSLATE(B4168,""id"",""en"")"),"['knp', 'error', 'system', 'pdhl', 'already', 'load', 'reset', 'bbrp', 'times',' boot ',' reset ',' update ',' APK ',' INII ',' Mistake ',' System ',' Please ',' Help ',' Min ']")</f>
        <v>['knp', 'error', 'system', 'pdhl', 'already', 'load', 'reset', 'bbrp', 'times',' boot ',' reset ',' update ',' APK ',' INII ',' Mistake ',' System ',' Please ',' Help ',' Min ']</v>
      </c>
      <c r="D4168" s="3">
        <v>5.0</v>
      </c>
    </row>
    <row r="4169" ht="15.75" customHeight="1">
      <c r="A4169" s="1">
        <v>4167.0</v>
      </c>
      <c r="B4169" s="3" t="s">
        <v>4169</v>
      </c>
      <c r="C4169" s="3" t="str">
        <f>IFERROR(__xludf.DUMMYFUNCTION("GOOGLETRANSLATE(B4169,""id"",""en"")"),"['Service', 'Good', 'Satisfied', 'Points', 'Excited', 'Package', 'Enter', 'Enhanced', 'Thank', 'Love']")</f>
        <v>['Service', 'Good', 'Satisfied', 'Points', 'Excited', 'Package', 'Enter', 'Enhanced', 'Thank', 'Love']</v>
      </c>
      <c r="D4169" s="3">
        <v>5.0</v>
      </c>
    </row>
    <row r="4170" ht="15.75" customHeight="1">
      <c r="A4170" s="1">
        <v>4168.0</v>
      </c>
      <c r="B4170" s="3" t="s">
        <v>4170</v>
      </c>
      <c r="C4170" s="3" t="str">
        <f>IFERROR(__xludf.DUMMYFUNCTION("GOOGLETRANSLATE(B4170,""id"",""en"")"),"['Disappointed', 'Telkomsel', 'ugly', 'signal', 'hot', 'disorder', 'buy', 'package', 'internet', 'truncated', 'pulses',' package ',' active ',' contact ',' love ',' solution ',' disappointed ',' hope ',' repaired ',' in the future ', ""]")</f>
        <v>['Disappointed', 'Telkomsel', 'ugly', 'signal', 'hot', 'disorder', 'buy', 'package', 'internet', 'truncated', 'pulses',' package ',' active ',' contact ',' love ',' solution ',' disappointed ',' hope ',' repaired ',' in the future ', "]</v>
      </c>
      <c r="D4170" s="3">
        <v>1.0</v>
      </c>
    </row>
    <row r="4171" ht="15.75" customHeight="1">
      <c r="A4171" s="1">
        <v>4169.0</v>
      </c>
      <c r="B4171" s="3" t="s">
        <v>4171</v>
      </c>
      <c r="C4171" s="3" t="str">
        <f>IFERROR(__xludf.DUMMYFUNCTION("GOOGLETRANSLATE(B4171,""id"",""en"")"),"['The application', 'ugly', 'really', 'maketin', 'data', 'menu', 'vendor', 'Telkomsel', 'service', 'application', 'Seburuk', 'search', ' Employees', 'complete', 'development', 'application', '']")</f>
        <v>['The application', 'ugly', 'really', 'maketin', 'data', 'menu', 'vendor', 'Telkomsel', 'service', 'application', 'Seburuk', 'search', ' Employees', 'complete', 'development', 'application', '']</v>
      </c>
      <c r="D4171" s="3">
        <v>1.0</v>
      </c>
    </row>
    <row r="4172" ht="15.75" customHeight="1">
      <c r="A4172" s="1">
        <v>4170.0</v>
      </c>
      <c r="B4172" s="3" t="s">
        <v>4172</v>
      </c>
      <c r="C4172" s="3" t="str">
        <f>IFERROR(__xludf.DUMMYFUNCTION("GOOGLETRANSLATE(B4172,""id"",""en"")"),"['electricity', 'dead', 'internet', 'dead', 'fill in', 'quota', 'sometimes', 'operator', 'busy', 'minimal', 'sim', ""]")</f>
        <v>['electricity', 'dead', 'internet', 'dead', 'fill in', 'quota', 'sometimes', 'operator', 'busy', 'minimal', 'sim', "]</v>
      </c>
      <c r="D4172" s="3">
        <v>3.0</v>
      </c>
    </row>
    <row r="4173" ht="15.75" customHeight="1">
      <c r="A4173" s="1">
        <v>4171.0</v>
      </c>
      <c r="B4173" s="3" t="s">
        <v>4173</v>
      </c>
      <c r="C4173" s="3" t="str">
        <f>IFERROR(__xludf.DUMMYFUNCTION("GOOGLETRANSLATE(B4173,""id"",""en"")"),"['Please', 'Telkomsel', 'wise', 'buy', 'package', 'combo', 'already', 'paid', 'package', 'missing', 'please', 'pulses',' Already ',' perspective ']")</f>
        <v>['Please', 'Telkomsel', 'wise', 'buy', 'package', 'combo', 'already', 'paid', 'package', 'missing', 'please', 'pulses',' Already ',' perspective ']</v>
      </c>
      <c r="D4173" s="3">
        <v>1.0</v>
      </c>
    </row>
    <row r="4174" ht="15.75" customHeight="1">
      <c r="A4174" s="1">
        <v>4172.0</v>
      </c>
      <c r="B4174" s="3" t="s">
        <v>4174</v>
      </c>
      <c r="C4174" s="3" t="str">
        <f>IFERROR(__xludf.DUMMYFUNCTION("GOOGLETRANSLATE(B4174,""id"",""en"")"),"['area', 'network', 'area', 'remote', 'network', 'kenceng', 'price', 'package', 'internet', 'soar', 'expensive', ' really ',' according to ',' ad ',' woy ',' please ',' ']")</f>
        <v>['area', 'network', 'area', 'remote', 'network', 'kenceng', 'price', 'package', 'internet', 'soar', 'expensive', ' really ',' according to ',' ad ',' woy ',' please ',' ']</v>
      </c>
      <c r="D4174" s="3">
        <v>1.0</v>
      </c>
    </row>
    <row r="4175" ht="15.75" customHeight="1">
      <c r="A4175" s="1">
        <v>4173.0</v>
      </c>
      <c r="B4175" s="3" t="s">
        <v>4175</v>
      </c>
      <c r="C4175" s="3" t="str">
        <f>IFERROR(__xludf.DUMMYFUNCTION("GOOGLETRANSLATE(B4175,""id"",""en"")"),"['klw', 'price', 'package', 'data', 'collapse', 'little', 'jagan', 'trlalu', 'expensive', 'because', 'state', 'exposed', ' The outbreak of ',' Virus', 'Corona', 'citizens',' Dangang ',' home ',' income ',' finance ',' residents', 'thinning', 'Yng', 'have'"&amp;", 'willing' , 'Mnjual', 'have', 'Survive', 'Life']")</f>
        <v>['klw', 'price', 'package', 'data', 'collapse', 'little', 'jagan', 'trlalu', 'expensive', 'because', 'state', 'exposed', ' The outbreak of ',' Virus', 'Corona', 'citizens',' Dangang ',' home ',' income ',' finance ',' residents', 'thinning', 'Yng', 'have', 'willing' , 'Mnjual', 'have', 'Survive', 'Life']</v>
      </c>
      <c r="D4175" s="3">
        <v>5.0</v>
      </c>
    </row>
    <row r="4176" ht="15.75" customHeight="1">
      <c r="A4176" s="1">
        <v>4174.0</v>
      </c>
      <c r="B4176" s="3" t="s">
        <v>4176</v>
      </c>
      <c r="C4176" s="3" t="str">
        <f>IFERROR(__xludf.DUMMYFUNCTION("GOOGLETRANSLATE(B4176,""id"",""en"")"),"['response', 'slow', 'signal', 'here', 'threat', 'right', 'Telkomsel', 'smooth', 'smooth', 'rich', 'strange', 'disorder', ' response ',' Costemer ',' service ',' slow ',' really ']")</f>
        <v>['response', 'slow', 'signal', 'here', 'threat', 'right', 'Telkomsel', 'smooth', 'smooth', 'rich', 'strange', 'disorder', ' response ',' Costemer ',' service ',' slow ',' really ']</v>
      </c>
      <c r="D4176" s="3">
        <v>1.0</v>
      </c>
    </row>
    <row r="4177" ht="15.75" customHeight="1">
      <c r="A4177" s="1">
        <v>4175.0</v>
      </c>
      <c r="B4177" s="3" t="s">
        <v>4177</v>
      </c>
      <c r="C4177" s="3" t="str">
        <f>IFERROR(__xludf.DUMMYFUNCTION("GOOGLETRANSLATE(B4177,""id"",""en"")"),"['buy', 'package', 'internet', 'enter', 'package', 'pulse', 'cut']")</f>
        <v>['buy', 'package', 'internet', 'enter', 'package', 'pulse', 'cut']</v>
      </c>
      <c r="D4177" s="3">
        <v>1.0</v>
      </c>
    </row>
    <row r="4178" ht="15.75" customHeight="1">
      <c r="A4178" s="1">
        <v>4176.0</v>
      </c>
      <c r="B4178" s="3" t="s">
        <v>4178</v>
      </c>
      <c r="C4178" s="3" t="str">
        <f>IFERROR(__xludf.DUMMYFUNCTION("GOOGLETRANSLATE(B4178,""id"",""en"")"),"['meal', 'money', 'haram', 'already', 'buy', 'pulse', 'take', 'package', 'buy', 'directly', 'ilang']")</f>
        <v>['meal', 'money', 'haram', 'already', 'buy', 'pulse', 'take', 'package', 'buy', 'directly', 'ilang']</v>
      </c>
      <c r="D4178" s="3">
        <v>1.0</v>
      </c>
    </row>
    <row r="4179" ht="15.75" customHeight="1">
      <c r="A4179" s="1">
        <v>4177.0</v>
      </c>
      <c r="B4179" s="3" t="s">
        <v>4179</v>
      </c>
      <c r="C4179" s="3" t="str">
        <f>IFERROR(__xludf.DUMMYFUNCTION("GOOGLETRANSLATE(B4179,""id"",""en"")"),"['buy', 'package', 'succeed', 'knapa', 'quota', 'enter', 'sms',' transaction ',' success', 'right', 'see', 'apk', ' why ',' then ',' solution ',' how ',' buy ',' apk ',' error ',' right ',' buy ',' then ',' knapa ',' entry ',' quota ' , 'make a loss', '']")</f>
        <v>['buy', 'package', 'succeed', 'knapa', 'quota', 'enter', 'sms',' transaction ',' success', 'right', 'see', 'apk', ' why ',' then ',' solution ',' how ',' buy ',' apk ',' error ',' right ',' buy ',' then ',' knapa ',' entry ',' quota ' , 'make a loss', '']</v>
      </c>
      <c r="D4179" s="3">
        <v>1.0</v>
      </c>
    </row>
    <row r="4180" ht="15.75" customHeight="1">
      <c r="A4180" s="1">
        <v>4178.0</v>
      </c>
      <c r="B4180" s="3" t="s">
        <v>4180</v>
      </c>
      <c r="C4180" s="3" t="str">
        <f>IFERROR(__xludf.DUMMYFUNCTION("GOOGLETRANSLATE(B4180,""id"",""en"")"),"['hard', 'application', 'DRI', 'MINYING', 'PerPORMA', 'Crash', 'Lemot', 'Device', 'Mention', 'Naturally']")</f>
        <v>['hard', 'application', 'DRI', 'MINYING', 'PerPORMA', 'Crash', 'Lemot', 'Device', 'Mention', 'Naturally']</v>
      </c>
      <c r="D4180" s="3">
        <v>1.0</v>
      </c>
    </row>
    <row r="4181" ht="15.75" customHeight="1">
      <c r="A4181" s="1">
        <v>4179.0</v>
      </c>
      <c r="B4181" s="3" t="s">
        <v>4181</v>
      </c>
      <c r="C4181" s="3" t="str">
        <f>IFERROR(__xludf.DUMMYFUNCTION("GOOGLETRANSLATE(B4181,""id"",""en"")"),"['UDH', 'many years',' use ',' Telkomsel ',' times', 'buy', 'Package', 'System', 'Busy', 'Credit', 'Cut', 'Bizath', ' Telkomsel ',' Switch ',' ']")</f>
        <v>['UDH', 'many years',' use ',' Telkomsel ',' times', 'buy', 'Package', 'System', 'Busy', 'Credit', 'Cut', 'Bizath', ' Telkomsel ',' Switch ',' ']</v>
      </c>
      <c r="D4181" s="3">
        <v>1.0</v>
      </c>
    </row>
    <row r="4182" ht="15.75" customHeight="1">
      <c r="A4182" s="1">
        <v>4180.0</v>
      </c>
      <c r="B4182" s="3" t="s">
        <v>4182</v>
      </c>
      <c r="C4182" s="3" t="str">
        <f>IFERROR(__xludf.DUMMYFUNCTION("GOOGLETRANSLATE(B4182,""id"",""en"")"),"['Telkomsel', 'good', 'package', 'internet', 'pulse', 'truncated', 'gyma', 'have']")</f>
        <v>['Telkomsel', 'good', 'package', 'internet', 'pulse', 'truncated', 'gyma', 'have']</v>
      </c>
      <c r="D4182" s="3">
        <v>1.0</v>
      </c>
    </row>
    <row r="4183" ht="15.75" customHeight="1">
      <c r="A4183" s="1">
        <v>4181.0</v>
      </c>
      <c r="B4183" s="3" t="s">
        <v>4183</v>
      </c>
      <c r="C4183" s="3" t="str">
        <f>IFERROR(__xludf.DUMMYFUNCTION("GOOGLETRANSLATE(B4183,""id"",""en"")"),"['disappointed', 'provider', 'service', 'satisfying', 'because of', 'package', 'buy', 'pulse', 'lost', 'notif', 'sms',' congratulations', ' Activating ',' Package ',' Internet ',' Night ',' Hose ',' Minutes', 'Langaung', 'Eliminate', 'Package', 'Buy', 'Pl"&amp;"ease', 'Amburry', 'Please' , 'Fix', 'System', '']")</f>
        <v>['disappointed', 'provider', 'service', 'satisfying', 'because of', 'package', 'buy', 'pulse', 'lost', 'notif', 'sms',' congratulations', ' Activating ',' Package ',' Internet ',' Night ',' Hose ',' Minutes', 'Langaung', 'Eliminate', 'Package', 'Buy', 'Please', 'Amburry', 'Please' , 'Fix', 'System', '']</v>
      </c>
      <c r="D4183" s="3">
        <v>1.0</v>
      </c>
    </row>
    <row r="4184" ht="15.75" customHeight="1">
      <c r="A4184" s="1">
        <v>4182.0</v>
      </c>
      <c r="B4184" s="3" t="s">
        <v>4184</v>
      </c>
      <c r="C4184" s="3" t="str">
        <f>IFERROR(__xludf.DUMMYFUNCTION("GOOGLETRANSLATE(B4184,""id"",""en"")"),"['Notice', 'user', 'move', 'heart', 'promo', 'user', 'number']")</f>
        <v>['Notice', 'user', 'move', 'heart', 'promo', 'user', 'number']</v>
      </c>
      <c r="D4184" s="3">
        <v>5.0</v>
      </c>
    </row>
    <row r="4185" ht="15.75" customHeight="1">
      <c r="A4185" s="1">
        <v>4183.0</v>
      </c>
      <c r="B4185" s="3" t="s">
        <v>4185</v>
      </c>
      <c r="C4185" s="3" t="str">
        <f>IFERROR(__xludf.DUMMYFUNCTION("GOOGLETRANSLATE(B4185,""id"",""en"")"),"['Weh', 'telkosmel', 'defective', 'like', 'tbtb', 'sucked', 'pulse', 'return', 'minjem', 'dime', 'apk', 'like', ' Mendelek ',' signal ',' like ',' ilang ',' kirain ',' doang ',' father ',' like ',' contents', 'pulse', 'corrupt', ""]")</f>
        <v>['Weh', 'telkosmel', 'defective', 'like', 'tbtb', 'sucked', 'pulse', 'return', 'minjem', 'dime', 'apk', 'like', ' Mendelek ',' signal ',' like ',' ilang ',' kirain ',' doang ',' father ',' like ',' contents', 'pulse', 'corrupt', "]</v>
      </c>
      <c r="D4185" s="3">
        <v>1.0</v>
      </c>
    </row>
    <row r="4186" ht="15.75" customHeight="1">
      <c r="A4186" s="1">
        <v>4184.0</v>
      </c>
      <c r="B4186" s="3" t="s">
        <v>4186</v>
      </c>
      <c r="C4186" s="3" t="str">
        <f>IFERROR(__xludf.DUMMYFUNCTION("GOOGLETRANSLATE(B4186,""id"",""en"")"),"['hi', 'Telkomsel', 'your service', 'bad', 'pulses', 'missing', 'clarity', '']")</f>
        <v>['hi', 'Telkomsel', 'your service', 'bad', 'pulses', 'missing', 'clarity', '']</v>
      </c>
      <c r="D4186" s="3">
        <v>1.0</v>
      </c>
    </row>
    <row r="4187" ht="15.75" customHeight="1">
      <c r="A4187" s="1">
        <v>4185.0</v>
      </c>
      <c r="B4187" s="3" t="s">
        <v>4187</v>
      </c>
      <c r="C4187" s="3" t="str">
        <f>IFERROR(__xludf.DUMMYFUNCTION("GOOGLETRANSLATE(B4187,""id"",""en"")"),"['Disappointed', 'Service', 'Network', 'Heat', 'Ngilake', 'Bnyak', 'User', ""]")</f>
        <v>['Disappointed', 'Service', 'Network', 'Heat', 'Ngilake', 'Bnyak', 'User', "]</v>
      </c>
      <c r="D4187" s="3">
        <v>1.0</v>
      </c>
    </row>
    <row r="4188" ht="15.75" customHeight="1">
      <c r="A4188" s="1">
        <v>4186.0</v>
      </c>
      <c r="B4188" s="3" t="s">
        <v>4188</v>
      </c>
      <c r="C4188" s="3" t="str">
        <f>IFERROR(__xludf.DUMMYFUNCTION("GOOGLETRANSLATE(B4188,""id"",""en"")"),"['Sorry', 'min', 'Telkomsel', 'signal', 'ugly', 'yaa', 'package', 'expensive', 'good', 'disturbing', 'really', 'streaming', ' playing ',' game ',' satisfying ',' kayak ',' sorry ',' star ',' sampe ',' satisfying ',' improvement ',' improvement ',' the net"&amp;"work ',' price ',' quality ' , 'please follow up']")</f>
        <v>['Sorry', 'min', 'Telkomsel', 'signal', 'ugly', 'yaa', 'package', 'expensive', 'good', 'disturbing', 'really', 'streaming', ' playing ',' game ',' satisfying ',' kayak ',' sorry ',' star ',' sampe ',' satisfying ',' improvement ',' improvement ',' the network ',' price ',' quality ' , 'please follow up']</v>
      </c>
      <c r="D4188" s="3">
        <v>1.0</v>
      </c>
    </row>
    <row r="4189" ht="15.75" customHeight="1">
      <c r="A4189" s="1">
        <v>4187.0</v>
      </c>
      <c r="B4189" s="3" t="s">
        <v>4189</v>
      </c>
      <c r="C4189" s="3" t="str">
        <f>IFERROR(__xludf.DUMMYFUNCTION("GOOGLETRANSLATE(B4189,""id"",""en"")"),"['Claim', 'check', 'quota', 'knapa', 'ngak', 'entry', 'already', 'claim', 'pulse', 'already', 'cut', 'quota', ' How ',' Hayu ',' Telkomsel ']")</f>
        <v>['Claim', 'check', 'quota', 'knapa', 'ngak', 'entry', 'already', 'claim', 'pulse', 'already', 'cut', 'quota', ' How ',' Hayu ',' Telkomsel ']</v>
      </c>
      <c r="D4189" s="3">
        <v>2.0</v>
      </c>
    </row>
    <row r="4190" ht="15.75" customHeight="1">
      <c r="A4190" s="1">
        <v>4188.0</v>
      </c>
      <c r="B4190" s="3" t="s">
        <v>4190</v>
      </c>
      <c r="C4190" s="3" t="str">
        <f>IFERROR(__xludf.DUMMYFUNCTION("GOOGLETRANSLATE(B4190,""id"",""en"")"),"['min', 'please', 'add', 'feature', 'key', 'pulse', 'really', 'right', 'package', 'data', 'finished', 'deliberate', ' Open ',' browser ',' automatic ',' pulses', 'directly', 'Cut']")</f>
        <v>['min', 'please', 'add', 'feature', 'key', 'pulse', 'really', 'right', 'package', 'data', 'finished', 'deliberate', ' Open ',' browser ',' automatic ',' pulses', 'directly', 'Cut']</v>
      </c>
      <c r="D4190" s="3">
        <v>3.0</v>
      </c>
    </row>
    <row r="4191" ht="15.75" customHeight="1">
      <c r="A4191" s="1">
        <v>4189.0</v>
      </c>
      <c r="B4191" s="3" t="s">
        <v>4191</v>
      </c>
      <c r="C4191" s="3" t="str">
        <f>IFERROR(__xludf.DUMMYFUNCTION("GOOGLETRANSLATE(B4191,""id"",""en"")"),"['Buy', 'Package', 'Tsel', 'Package', 'Active', 'Money', 'Sumpot', 'Evidence', 'Transaction', 'Success',' Money ',' Package ',' Visit ',' active ',' poor ',' really ',' original ']")</f>
        <v>['Buy', 'Package', 'Tsel', 'Package', 'Active', 'Money', 'Sumpot', 'Evidence', 'Transaction', 'Success',' Money ',' Package ',' Visit ',' active ',' poor ',' really ',' original ']</v>
      </c>
      <c r="D4191" s="3">
        <v>1.0</v>
      </c>
    </row>
    <row r="4192" ht="15.75" customHeight="1">
      <c r="A4192" s="1">
        <v>4190.0</v>
      </c>
      <c r="B4192" s="3" t="s">
        <v>4192</v>
      </c>
      <c r="C4192" s="3" t="str">
        <f>IFERROR(__xludf.DUMMYFUNCTION("GOOGLETRANSLATE(B4192,""id"",""en"")"),"['Jam', 'Daei', 'Afternoon', 'Signal', 'Severe', 'Open', 'Telkomsel', 'Try', '']")</f>
        <v>['Jam', 'Daei', 'Afternoon', 'Signal', 'Severe', 'Open', 'Telkomsel', 'Try', '']</v>
      </c>
      <c r="D4192" s="3">
        <v>2.0</v>
      </c>
    </row>
    <row r="4193" ht="15.75" customHeight="1">
      <c r="A4193" s="1">
        <v>4191.0</v>
      </c>
      <c r="B4193" s="3" t="s">
        <v>4193</v>
      </c>
      <c r="C4193" s="3" t="str">
        <f>IFERROR(__xludf.DUMMYFUNCTION("GOOGLETRANSLATE(B4193,""id"",""en"")"),"['Network', 'already', 'slow', 'behavior', 'gangbanguna', 'system', 'buy', 'package', 'night', 'quota', 'no', 'pulses',' truncated ',' strange ',' easily ',' Telkomsel ']")</f>
        <v>['Network', 'already', 'slow', 'behavior', 'gangbanguna', 'system', 'buy', 'package', 'night', 'quota', 'no', 'pulses',' truncated ',' strange ',' easily ',' Telkomsel ']</v>
      </c>
      <c r="D4193" s="3">
        <v>1.0</v>
      </c>
    </row>
    <row r="4194" ht="15.75" customHeight="1">
      <c r="A4194" s="1">
        <v>4192.0</v>
      </c>
      <c r="B4194" s="3" t="s">
        <v>4194</v>
      </c>
      <c r="C4194" s="3" t="str">
        <f>IFERROR(__xludf.DUMMYFUNCTION("GOOGLETRANSLATE(B4194,""id"",""en"")"),"['Maintain', 'speed', 'signal', 'good', 'price', 'quota', 'expensive', '']")</f>
        <v>['Maintain', 'speed', 'signal', 'good', 'price', 'quota', 'expensive', '']</v>
      </c>
      <c r="D4194" s="3">
        <v>5.0</v>
      </c>
    </row>
    <row r="4195" ht="15.75" customHeight="1">
      <c r="A4195" s="1">
        <v>4193.0</v>
      </c>
      <c r="B4195" s="3" t="s">
        <v>4195</v>
      </c>
      <c r="C4195" s="3" t="str">
        <f>IFERROR(__xludf.DUMMYFUNCTION("GOOGLETRANSLATE(B4195,""id"",""en"")"),"['AJG', 'Ngelag', 'Monitor', 'Data', 'cellular', 'check', 'quota', ""]")</f>
        <v>['AJG', 'Ngelag', 'Monitor', 'Data', 'cellular', 'check', 'quota', "]</v>
      </c>
      <c r="D4195" s="3">
        <v>1.0</v>
      </c>
    </row>
    <row r="4196" ht="15.75" customHeight="1">
      <c r="A4196" s="1">
        <v>4194.0</v>
      </c>
      <c r="B4196" s="3" t="s">
        <v>4196</v>
      </c>
      <c r="C4196" s="3" t="str">
        <f>IFERROR(__xludf.DUMMYFUNCTION("GOOGLETRANSLATE(B4196,""id"",""en"")"),"['Disappointing', 'Satisfied', 'Credit', 'Telkomsel', 'Reduced', 'Loading', 'Slow', 'Following', 'DISPRENT', 'Update', ""]")</f>
        <v>['Disappointing', 'Satisfied', 'Credit', 'Telkomsel', 'Reduced', 'Loading', 'Slow', 'Following', 'DISPRENT', 'Update', "]</v>
      </c>
      <c r="D4196" s="3">
        <v>1.0</v>
      </c>
    </row>
    <row r="4197" ht="15.75" customHeight="1">
      <c r="A4197" s="1">
        <v>4195.0</v>
      </c>
      <c r="B4197" s="3" t="s">
        <v>4197</v>
      </c>
      <c r="C4197" s="3" t="str">
        <f>IFERROR(__xludf.DUMMYFUNCTION("GOOGLETRANSLATE(B4197,""id"",""en"")"),"['Please', 'package', 'separate', 'package', 'quota', 'main', 'quota', 'internet', 'night', '']")</f>
        <v>['Please', 'package', 'separate', 'package', 'quota', 'main', 'quota', 'internet', 'night', '']</v>
      </c>
      <c r="D4197" s="3">
        <v>1.0</v>
      </c>
    </row>
    <row r="4198" ht="15.75" customHeight="1">
      <c r="A4198" s="1">
        <v>4196.0</v>
      </c>
      <c r="B4198" s="3" t="s">
        <v>4198</v>
      </c>
      <c r="C4198" s="3" t="str">
        <f>IFERROR(__xludf.DUMMYFUNCTION("GOOGLETRANSLATE(B4198,""id"",""en"")"),"['Come', 'Telkomsel', 'strange', 'bills',' package ',' emergency ',' appears', 'message', 'gdk', 'skl', 'use', 'package', ' Emergency ',' UDH ',' GTU ',' TDI ',' Login ',' APP ',' SLL ',' Troubled ',' Buy ',' Package ',' App ',' Difficult ',' times' , 'fu"&amp;"nny', '']")</f>
        <v>['Come', 'Telkomsel', 'strange', 'bills',' package ',' emergency ',' appears', 'message', 'gdk', 'skl', 'use', 'package', ' Emergency ',' UDH ',' GTU ',' TDI ',' Login ',' APP ',' SLL ',' Troubled ',' Buy ',' Package ',' App ',' Difficult ',' times' , 'funny', '']</v>
      </c>
      <c r="D4198" s="3">
        <v>1.0</v>
      </c>
    </row>
    <row r="4199" ht="15.75" customHeight="1">
      <c r="A4199" s="1">
        <v>4197.0</v>
      </c>
      <c r="B4199" s="3" t="s">
        <v>4199</v>
      </c>
      <c r="C4199" s="3" t="str">
        <f>IFERROR(__xludf.DUMMYFUNCTION("GOOGLETRANSLATE(B4199,""id"",""en"")"),"['Application', 'Sometimes', 'Error', 'Signal', 'Good', 'Pas', 'Enter', 'Liat', 'Package']")</f>
        <v>['Application', 'Sometimes', 'Error', 'Signal', 'Good', 'Pas', 'Enter', 'Liat', 'Package']</v>
      </c>
      <c r="D4199" s="3">
        <v>1.0</v>
      </c>
    </row>
    <row r="4200" ht="15.75" customHeight="1">
      <c r="A4200" s="1">
        <v>4198.0</v>
      </c>
      <c r="B4200" s="3" t="s">
        <v>4200</v>
      </c>
      <c r="C4200" s="3" t="str">
        <f>IFERROR(__xludf.DUMMYFUNCTION("GOOGLETRANSLATE(B4200,""id"",""en"")"),"['ugly', 'buy', 'quota', 'right', 'check', 'have', 'quota', 'Telkomsel', 'good', 'error']")</f>
        <v>['ugly', 'buy', 'quota', 'right', 'check', 'have', 'quota', 'Telkomsel', 'good', 'error']</v>
      </c>
      <c r="D4200" s="3">
        <v>1.0</v>
      </c>
    </row>
    <row r="4201" ht="15.75" customHeight="1">
      <c r="A4201" s="1">
        <v>4199.0</v>
      </c>
      <c r="B4201" s="3" t="s">
        <v>4201</v>
      </c>
      <c r="C4201" s="3" t="str">
        <f>IFERROR(__xludf.DUMMYFUNCTION("GOOGLETRANSLATE(B4201,""id"",""en"")"),"['What', 'person', 'signal', 'stable', 'ilang', 'ilang', 'application', 'loading', 'right', 'already', 'appears',' info ',' Credit ',' quota ',' appears', 'just', 'writing', 'disorder', 'system', 'disorder', 'mulu', 'signal', 'disorder', 'application', 'd"&amp;"isorder' , 'disturbance', '']")</f>
        <v>['What', 'person', 'signal', 'stable', 'ilang', 'ilang', 'application', 'loading', 'right', 'already', 'appears',' info ',' Credit ',' quota ',' appears', 'just', 'writing', 'disorder', 'system', 'disorder', 'mulu', 'signal', 'disorder', 'application', 'disorder' , 'disturbance', '']</v>
      </c>
      <c r="D4201" s="3">
        <v>1.0</v>
      </c>
    </row>
    <row r="4202" ht="15.75" customHeight="1">
      <c r="A4202" s="1">
        <v>4200.0</v>
      </c>
      <c r="B4202" s="3" t="s">
        <v>4202</v>
      </c>
      <c r="C4202" s="3" t="str">
        <f>IFERROR(__xludf.DUMMYFUNCTION("GOOGLETRANSLATE(B4202,""id"",""en"")"),"['Telkomsel', 'sad', 'where', 'lemooot', 'quota', 'expensive', 'appeal', 'slow', 'rich', 'smooth', 'open', 'application', ' Telkomsel ',' update ',' Mulu ',' turn ',' signal ',' update ',' malem ',' card ',' smooth ',' Telkomsel ',' slow ',' seriously ','"&amp;" then ' , 'Online', 'noon', 'slow', 'morning', 'slow', 'afternoon', 'slow', 'mlm', 'child', 'online', 'duluan', 'first']")</f>
        <v>['Telkomsel', 'sad', 'where', 'lemooot', 'quota', 'expensive', 'appeal', 'slow', 'rich', 'smooth', 'open', 'application', ' Telkomsel ',' update ',' Mulu ',' turn ',' signal ',' update ',' malem ',' card ',' smooth ',' Telkomsel ',' slow ',' seriously ',' then ' , 'Online', 'noon', 'slow', 'morning', 'slow', 'afternoon', 'slow', 'mlm', 'child', 'online', 'duluan', 'first']</v>
      </c>
      <c r="D4202" s="3">
        <v>2.0</v>
      </c>
    </row>
    <row r="4203" ht="15.75" customHeight="1">
      <c r="A4203" s="1">
        <v>4201.0</v>
      </c>
      <c r="B4203" s="3" t="s">
        <v>4203</v>
      </c>
      <c r="C4203" s="3" t="str">
        <f>IFERROR(__xludf.DUMMYFUNCTION("GOOGLETRANSLATE(B4203,""id"",""en"")"),"['Telkomsel', 'good', 'sometimes',' like ',' missing ',' signal ',' like ',' happened to ',' system ',' suggestion ',' repair ',' network ',' Telkomsel ',' Application ',' Hold ',' Notification ',' User ',' Telkomsel ',' User ',' Comfortable ',' Karna ','"&amp;" Network ',' Lost ',' Network ',' Setabil ' , 'Please', 'DIRSTED', 'Bintang', '']")</f>
        <v>['Telkomsel', 'good', 'sometimes',' like ',' missing ',' signal ',' like ',' happened to ',' system ',' suggestion ',' repair ',' network ',' Telkomsel ',' Application ',' Hold ',' Notification ',' User ',' Telkomsel ',' User ',' Comfortable ',' Karna ',' Network ',' Lost ',' Network ',' Setabil ' , 'Please', 'DIRSTED', 'Bintang', '']</v>
      </c>
      <c r="D4203" s="3">
        <v>3.0</v>
      </c>
    </row>
    <row r="4204" ht="15.75" customHeight="1">
      <c r="A4204" s="1">
        <v>4202.0</v>
      </c>
      <c r="B4204" s="3" t="s">
        <v>4204</v>
      </c>
      <c r="C4204" s="3" t="str">
        <f>IFERROR(__xludf.DUMMYFUNCTION("GOOGLETRANSLATE(B4204,""id"",""en"")"),"['Sis',' buy ',' Package ',' Combo ',' Sakti ',' GB ',' Unlimited ',' TPI ',' Notification ',' FAILURE ',' Enabled ',' Balance ',' Cut ',' solution ',' ']")</f>
        <v>['Sis',' buy ',' Package ',' Combo ',' Sakti ',' GB ',' Unlimited ',' TPI ',' Notification ',' FAILURE ',' Enabled ',' Balance ',' Cut ',' solution ',' ']</v>
      </c>
      <c r="D4204" s="3">
        <v>3.0</v>
      </c>
    </row>
    <row r="4205" ht="15.75" customHeight="1">
      <c r="A4205" s="1">
        <v>4203.0</v>
      </c>
      <c r="B4205" s="3" t="s">
        <v>4205</v>
      </c>
      <c r="C4205" s="3" t="str">
        <f>IFERROR(__xludf.DUMMYFUNCTION("GOOGLETRANSLATE(B4205,""id"",""en"")"),"['maintenance', 'system', 'network', 'sudden', 'please', 'info', 'user', 'understand', 'repair', 'tsb', 'network', 'use', ' network ',' TSB ',' access', 'data', 'internet', '']")</f>
        <v>['maintenance', 'system', 'network', 'sudden', 'please', 'info', 'user', 'understand', 'repair', 'tsb', 'network', 'use', ' network ',' TSB ',' access', 'data', 'internet', '']</v>
      </c>
      <c r="D4205" s="3">
        <v>2.0</v>
      </c>
    </row>
    <row r="4206" ht="15.75" customHeight="1">
      <c r="A4206" s="1">
        <v>4204.0</v>
      </c>
      <c r="B4206" s="3" t="s">
        <v>4206</v>
      </c>
      <c r="C4206" s="3" t="str">
        <f>IFERROR(__xludf.DUMMYFUNCTION("GOOGLETRANSLATE(B4206,""id"",""en"")"),"['packagein', 'quota', 'cut', 'pulse', 'nga', 'debt', 'wifi', 'nga', 'sumps', 'pulses', 'ilang']")</f>
        <v>['packagein', 'quota', 'cut', 'pulse', 'nga', 'debt', 'wifi', 'nga', 'sumps', 'pulses', 'ilang']</v>
      </c>
      <c r="D4206" s="3">
        <v>2.0</v>
      </c>
    </row>
    <row r="4207" ht="15.75" customHeight="1">
      <c r="A4207" s="1">
        <v>4205.0</v>
      </c>
      <c r="B4207" s="3" t="s">
        <v>4207</v>
      </c>
      <c r="C4207" s="3" t="str">
        <f>IFERROR(__xludf.DUMMYFUNCTION("GOOGLETRANSLATE(B4207,""id"",""en"")"),"['quota', 'UTUHYA', 'ISI', 'Yesterday', 'Tibatiba', 'finished', 'sucked', 'Telkomsel', 'hah', 'I', 'uda', 'buy', ' expensive ',' per month ',' play ',' suck ', ""]")</f>
        <v>['quota', 'UTUHYA', 'ISI', 'Yesterday', 'Tibatiba', 'finished', 'sucked', 'Telkomsel', 'hah', 'I', 'uda', 'buy', ' expensive ',' per month ',' play ',' suck ', "]</v>
      </c>
      <c r="D4207" s="3">
        <v>1.0</v>
      </c>
    </row>
    <row r="4208" ht="15.75" customHeight="1">
      <c r="A4208" s="1">
        <v>4206.0</v>
      </c>
      <c r="B4208" s="3" t="s">
        <v>4208</v>
      </c>
      <c r="C4208" s="3" t="str">
        <f>IFERROR(__xludf.DUMMYFUNCTION("GOOGLETRANSLATE(B4208,""id"",""en"")"),"['Open', 'The application', 'Pingin', 'Liat', 'Package', 'Data', 'Credit']")</f>
        <v>['Open', 'The application', 'Pingin', 'Liat', 'Package', 'Data', 'Credit']</v>
      </c>
      <c r="D4208" s="3">
        <v>1.0</v>
      </c>
    </row>
    <row r="4209" ht="15.75" customHeight="1">
      <c r="A4209" s="1">
        <v>4207.0</v>
      </c>
      <c r="B4209" s="3" t="s">
        <v>4209</v>
      </c>
      <c r="C4209" s="3" t="str">
        <f>IFERROR(__xludf.DUMMYFUNCTION("GOOGLETRANSLATE(B4209,""id"",""en"")"),"['likes',' products', 'local', 'products',' local ',' kayak ',' telomsel ',' network ',' stable ',' price ',' quota ',' expensive ',' Thinking ',' times', 'like', 'products',' Local ',' Kayak ',' Gini ',' MENTORI ',' YNG ',' CUSTOMER ',' WKWKWKWKWK ']")</f>
        <v>['likes',' products', 'local', 'products',' local ',' kayak ',' telomsel ',' network ',' stable ',' price ',' quota ',' expensive ',' Thinking ',' times', 'like', 'products',' Local ',' Kayak ',' Gini ',' MENTORI ',' YNG ',' CUSTOMER ',' WKWKWKWKWK ']</v>
      </c>
      <c r="D4209" s="3">
        <v>3.0</v>
      </c>
    </row>
    <row r="4210" ht="15.75" customHeight="1">
      <c r="A4210" s="1">
        <v>4208.0</v>
      </c>
      <c r="B4210" s="3" t="s">
        <v>4210</v>
      </c>
      <c r="C4210" s="3" t="str">
        <f>IFERROR(__xludf.DUMMYFUNCTION("GOOGLETRANSLATE(B4210,""id"",""en"")"),"['MyTelkomsel', 'good', 'makes it easy', 'use', 'data', 'quota', 'truncated', 'signal', 'ugly', 'application', 'difficult', 'opened', ' gapapa ',' network ',' rare ',' problematic ']")</f>
        <v>['MyTelkomsel', 'good', 'makes it easy', 'use', 'data', 'quota', 'truncated', 'signal', 'ugly', 'application', 'difficult', 'opened', ' gapapa ',' network ',' rare ',' problematic ']</v>
      </c>
      <c r="D4210" s="3">
        <v>5.0</v>
      </c>
    </row>
    <row r="4211" ht="15.75" customHeight="1">
      <c r="A4211" s="1">
        <v>4209.0</v>
      </c>
      <c r="B4211" s="3" t="s">
        <v>4211</v>
      </c>
      <c r="C4211" s="3" t="str">
        <f>IFERROR(__xludf.DUMMYFUNCTION("GOOGLETRANSLATE(B4211,""id"",""en"")"),"['signal', 'BURIK', 'already', 'buy', 'quota', 'taunya', 'fail', 'pulse', 'suck', 'bangsd']")</f>
        <v>['signal', 'BURIK', 'already', 'buy', 'quota', 'taunya', 'fail', 'pulse', 'suck', 'bangsd']</v>
      </c>
      <c r="D4211" s="3">
        <v>1.0</v>
      </c>
    </row>
    <row r="4212" ht="15.75" customHeight="1">
      <c r="A4212" s="1">
        <v>4210.0</v>
      </c>
      <c r="B4212" s="3" t="s">
        <v>4212</v>
      </c>
      <c r="C4212" s="3" t="str">
        <f>IFERROR(__xludf.DUMMYFUNCTION("GOOGLETRANSLATE(B4212,""id"",""en"")"),"['card', 'here', 'difficult', 'network', 'mentally', 'disappointed', 'pokonya', 'network', 'widest', 'Indonesia', 'network', 'best' Indonesia ',' Severe ',' Network ',' night ',' Hadeuuhhh ']")</f>
        <v>['card', 'here', 'difficult', 'network', 'mentally', 'disappointed', 'pokonya', 'network', 'widest', 'Indonesia', 'network', 'best' Indonesia ',' Severe ',' Network ',' night ',' Hadeuuhhh ']</v>
      </c>
      <c r="D4212" s="3">
        <v>1.0</v>
      </c>
    </row>
    <row r="4213" ht="15.75" customHeight="1">
      <c r="A4213" s="1">
        <v>4211.0</v>
      </c>
      <c r="B4213" s="3" t="s">
        <v>4213</v>
      </c>
      <c r="C4213" s="3" t="str">
        <f>IFERROR(__xludf.DUMMYFUNCTION("GOOGLETRANSLATE(B4213,""id"",""en"")"),"['Males',' Telkomsel ',' Forced ',' Change ',' Gift ',' Daily ',' Check ',' UDH ',' Claimed ',' Prizes', 'Enter', 'right', ' Claims', 'how', 'please', 'repaired', 'system', 'here', 'good', 'ugly']")</f>
        <v>['Males',' Telkomsel ',' Forced ',' Change ',' Gift ',' Daily ',' Check ',' UDH ',' Claimed ',' Prizes', 'Enter', 'right', ' Claims', 'how', 'please', 'repaired', 'system', 'here', 'good', 'ugly']</v>
      </c>
      <c r="D4213" s="3">
        <v>1.0</v>
      </c>
    </row>
    <row r="4214" ht="15.75" customHeight="1">
      <c r="A4214" s="1">
        <v>4212.0</v>
      </c>
      <c r="B4214" s="3" t="s">
        <v>4214</v>
      </c>
      <c r="C4214" s="3" t="str">
        <f>IFERROR(__xludf.DUMMYFUNCTION("GOOGLETRANSLATE(B4214,""id"",""en"")"),"['application', 'bug', 'signal', 'Tempik', 'ugly', 'card', 'Please', 'fix', 'dizziness', 'gini']")</f>
        <v>['application', 'bug', 'signal', 'Tempik', 'ugly', 'card', 'Please', 'fix', 'dizziness', 'gini']</v>
      </c>
      <c r="D4214" s="3">
        <v>1.0</v>
      </c>
    </row>
    <row r="4215" ht="15.75" customHeight="1">
      <c r="A4215" s="1">
        <v>4213.0</v>
      </c>
      <c r="B4215" s="3" t="s">
        <v>4215</v>
      </c>
      <c r="C4215" s="3" t="str">
        <f>IFERROR(__xludf.DUMMYFUNCTION("GOOGLETRANSLATE(B4215,""id"",""en"")"),"['UDH', 'Times',' Register ',' Package ',' Night ',' FAILURE ',' Pursue ',' Promo ',' Telkomsel ',' Package ',' Out ',' Need ',' dilapidated ',' system ',' application ',' dilapidated ']")</f>
        <v>['UDH', 'Times',' Register ',' Package ',' Night ',' FAILURE ',' Pursue ',' Promo ',' Telkomsel ',' Package ',' Out ',' Need ',' dilapidated ',' system ',' application ',' dilapidated ']</v>
      </c>
      <c r="D4215" s="3">
        <v>1.0</v>
      </c>
    </row>
    <row r="4216" ht="15.75" customHeight="1">
      <c r="A4216" s="1">
        <v>4214.0</v>
      </c>
      <c r="B4216" s="3" t="s">
        <v>4216</v>
      </c>
      <c r="C4216" s="3" t="str">
        <f>IFERROR(__xludf.DUMMYFUNCTION("GOOGLETRANSLATE(B4216,""id"",""en"")"),"['Loading', 'yak', 'sometimes',' error ',' sympathy ',' know ',' work ',' sorry ',' error ',' system ',' mulu ',' AFK ',' Maen ',' Malem ',' BANGKE ',' Maintenance ',' Love ',' Info ',' Donk ',' LWT ',' Application ',' Costumer ',' Prepare ', ""]")</f>
        <v>['Loading', 'yak', 'sometimes',' error ',' sympathy ',' know ',' work ',' sorry ',' error ',' system ',' mulu ',' AFK ',' Maen ',' Malem ',' BANGKE ',' Maintenance ',' Love ',' Info ',' Donk ',' LWT ',' Application ',' Costumer ',' Prepare ', "]</v>
      </c>
      <c r="D4216" s="3">
        <v>1.0</v>
      </c>
    </row>
    <row r="4217" ht="15.75" customHeight="1">
      <c r="A4217" s="1">
        <v>4215.0</v>
      </c>
      <c r="B4217" s="3" t="s">
        <v>4217</v>
      </c>
      <c r="C4217" s="3" t="str">
        <f>IFERROR(__xludf.DUMMYFUNCTION("GOOGLETRANSLATE(B4217,""id"",""en"")"),"['', 'feeling', 'PERRH', 'MINJEM', 'SMS', 'Oulsa', 'Adequate', 'Pay', 'Package', 'Emergency', 'Gaje']")</f>
        <v>['', 'feeling', 'PERRH', 'MINJEM', 'SMS', 'Oulsa', 'Adequate', 'Pay', 'Package', 'Emergency', 'Gaje']</v>
      </c>
      <c r="D4217" s="3">
        <v>1.0</v>
      </c>
    </row>
    <row r="4218" ht="15.75" customHeight="1">
      <c r="A4218" s="1">
        <v>4216.0</v>
      </c>
      <c r="B4218" s="3" t="s">
        <v>4218</v>
      </c>
      <c r="C4218" s="3" t="str">
        <f>IFERROR(__xludf.DUMMYFUNCTION("GOOGLETRANSLATE(B4218,""id"",""en"")"),"['idiot', 'buy', 'package', 'data', 'application', 'balance', 'already', 'chair', 'transaction', 'failed', 'Telkomsel', 'stay', ' Crowded ',' crowded ',' custamer ',' signal ',' slow ',' ']")</f>
        <v>['idiot', 'buy', 'package', 'data', 'application', 'balance', 'already', 'chair', 'transaction', 'failed', 'Telkomsel', 'stay', ' Crowded ',' crowded ',' custamer ',' signal ',' slow ',' ']</v>
      </c>
      <c r="D4218" s="3">
        <v>1.0</v>
      </c>
    </row>
    <row r="4219" ht="15.75" customHeight="1">
      <c r="A4219" s="1">
        <v>4217.0</v>
      </c>
      <c r="B4219" s="3" t="s">
        <v>4219</v>
      </c>
      <c r="C4219" s="3" t="str">
        <f>IFERROR(__xludf.DUMMYFUNCTION("GOOGLETRANSLATE(B4219,""id"",""en"")"),"['kah', 'gerangan', 'signal', 'now', 'Nambah', 'Severe', 'package', 'GB', 'smooth', 'smooth', 'knpa', 'Pengaa', ' ugly ',' signal ',' Haduuhhh ',' severe ']")</f>
        <v>['kah', 'gerangan', 'signal', 'now', 'Nambah', 'Severe', 'package', 'GB', 'smooth', 'smooth', 'knpa', 'Pengaa', ' ugly ',' signal ',' Haduuhhh ',' severe ']</v>
      </c>
      <c r="D4219" s="3">
        <v>1.0</v>
      </c>
    </row>
    <row r="4220" ht="15.75" customHeight="1">
      <c r="A4220" s="1">
        <v>4218.0</v>
      </c>
      <c r="B4220" s="3" t="s">
        <v>4220</v>
      </c>
      <c r="C4220" s="3" t="str">
        <f>IFERROR(__xludf.DUMMYFUNCTION("GOOGLETRANSLATE(B4220,""id"",""en"")"),"['Heaven', 'disappointed', 'really', 'Telkomsel', 'network', 'Full', 'browsing', 'slow', 'really', 'oath', 'already', '' years ',' Pakek ',' Telkomsel ',' Network ',' That's', 'Slow', 'Cave', 'Recommendation', 'Change', 'Card', 'Love', 'Enter', 'Network',"&amp;" 'Good' , 'ugly', 'oath', 'buy', 'package', 'expensive', 'according to', 'network', 'change', 'card', 'mending', 'replace', 'card', ' Complaints', 'Denger', 'Sorry', 'Act', 'emng', 'card']")</f>
        <v>['Heaven', 'disappointed', 'really', 'Telkomsel', 'network', 'Full', 'browsing', 'slow', 'really', 'oath', 'already', '' years ',' Pakek ',' Telkomsel ',' Network ',' That's', 'Slow', 'Cave', 'Recommendation', 'Change', 'Card', 'Love', 'Enter', 'Network', 'Good' , 'ugly', 'oath', 'buy', 'package', 'expensive', 'according to', 'network', 'change', 'card', 'mending', 'replace', 'card', ' Complaints', 'Denger', 'Sorry', 'Act', 'emng', 'card']</v>
      </c>
      <c r="D4220" s="3">
        <v>1.0</v>
      </c>
    </row>
    <row r="4221" ht="15.75" customHeight="1">
      <c r="A4221" s="1">
        <v>4219.0</v>
      </c>
      <c r="B4221" s="3" t="s">
        <v>4221</v>
      </c>
      <c r="C4221" s="3" t="str">
        <f>IFERROR(__xludf.DUMMYFUNCTION("GOOGLETRANSLATE(B4221,""id"",""en"")"),"['min', 'check', 'package', 'try', 'try', 'then', 'network', 'kenceng', 'really', 'sorry', 'love', 'star']")</f>
        <v>['min', 'check', 'package', 'try', 'try', 'then', 'network', 'kenceng', 'really', 'sorry', 'love', 'star']</v>
      </c>
      <c r="D4221" s="3">
        <v>4.0</v>
      </c>
    </row>
    <row r="4222" ht="15.75" customHeight="1">
      <c r="A4222" s="1">
        <v>4220.0</v>
      </c>
      <c r="B4222" s="3" t="s">
        <v>4222</v>
      </c>
      <c r="C4222" s="3" t="str">
        <f>IFERROR(__xludf.DUMMYFUNCTION("GOOGLETRANSLATE(B4222,""id"",""en"")"),"['ugly', 'Telkomsel', 'signal', 'ugly', 'enter', 'disappointed']")</f>
        <v>['ugly', 'Telkomsel', 'signal', 'ugly', 'enter', 'disappointed']</v>
      </c>
      <c r="D4222" s="3">
        <v>2.0</v>
      </c>
    </row>
    <row r="4223" ht="15.75" customHeight="1">
      <c r="A4223" s="1">
        <v>4221.0</v>
      </c>
      <c r="B4223" s="3" t="s">
        <v>4223</v>
      </c>
      <c r="C4223" s="3" t="str">
        <f>IFERROR(__xludf.DUMMYFUNCTION("GOOGLETRANSLATE(B4223,""id"",""en"")"),"['Select', 'Telkomsel', 'Wetting', 'Severe', 'Network', 'Erratic', 'Bar', 'Signal', 'Full', 'Yes',' Slow ',' Severe ',' Check ',' quota ',' APK ',' Difficult ']")</f>
        <v>['Select', 'Telkomsel', 'Wetting', 'Severe', 'Network', 'Erratic', 'Bar', 'Signal', 'Full', 'Yes',' Slow ',' Severe ',' Check ',' quota ',' APK ',' Difficult ']</v>
      </c>
      <c r="D4223" s="3">
        <v>1.0</v>
      </c>
    </row>
    <row r="4224" ht="15.75" customHeight="1">
      <c r="A4224" s="1">
        <v>4222.0</v>
      </c>
      <c r="B4224" s="3" t="s">
        <v>4224</v>
      </c>
      <c r="C4224" s="3" t="str">
        <f>IFERROR(__xludf.DUMMYFUNCTION("GOOGLETRANSLATE(B4224,""id"",""en"")"),"['network', 'Telkomsel', 'ugly', 'really', 'please', 'repaired', 'network', 'customer', 'feel', 'convenience', 'trimakasih', ""]")</f>
        <v>['network', 'Telkomsel', 'ugly', 'really', 'please', 'repaired', 'network', 'customer', 'feel', 'convenience', 'trimakasih', "]</v>
      </c>
      <c r="D4224" s="3">
        <v>1.0</v>
      </c>
    </row>
    <row r="4225" ht="15.75" customHeight="1">
      <c r="A4225" s="1">
        <v>4223.0</v>
      </c>
      <c r="B4225" s="3" t="s">
        <v>4225</v>
      </c>
      <c r="C4225" s="3" t="str">
        <f>IFERROR(__xludf.DUMMYFUNCTION("GOOGLETRANSLATE(B4225,""id"",""en"")"),"['please', 'Telkomsel', 'return', 'credit', 'cut', 'pulse', 'debt', 'already', 'quality', 'bad', 'luck', 'number', ' beautiful']")</f>
        <v>['please', 'Telkomsel', 'return', 'credit', 'cut', 'pulse', 'debt', 'already', 'quality', 'bad', 'luck', 'number', ' beautiful']</v>
      </c>
      <c r="D4225" s="3">
        <v>1.0</v>
      </c>
    </row>
    <row r="4226" ht="15.75" customHeight="1">
      <c r="A4226" s="1">
        <v>4224.0</v>
      </c>
      <c r="B4226" s="3" t="s">
        <v>4226</v>
      </c>
      <c r="C4226" s="3" t="str">
        <f>IFERROR(__xludf.DUMMYFUNCTION("GOOGLETRANSLATE(B4226,""id"",""en"")"),"['Network', 'stable', 'comparable', 'price', 'expensive', '']")</f>
        <v>['Network', 'stable', 'comparable', 'price', 'expensive', '']</v>
      </c>
      <c r="D4226" s="3">
        <v>1.0</v>
      </c>
    </row>
    <row r="4227" ht="15.75" customHeight="1">
      <c r="A4227" s="1">
        <v>4225.0</v>
      </c>
      <c r="B4227" s="3" t="s">
        <v>4227</v>
      </c>
      <c r="C4227" s="3" t="str">
        <f>IFERROR(__xludf.DUMMYFUNCTION("GOOGLETRANSLATE(B4227,""id"",""en"")"),"['Rating', 'see', 'aware', 'package', 'expensive', 'Corona', 'rampant', 'dancok', 'package', 'pie', 'Lur']")</f>
        <v>['Rating', 'see', 'aware', 'package', 'expensive', 'Corona', 'rampant', 'dancok', 'package', 'pie', 'Lur']</v>
      </c>
      <c r="D4227" s="3">
        <v>1.0</v>
      </c>
    </row>
    <row r="4228" ht="15.75" customHeight="1">
      <c r="A4228" s="1">
        <v>4226.0</v>
      </c>
      <c r="B4228" s="3" t="s">
        <v>4228</v>
      </c>
      <c r="C4228" s="3" t="str">
        <f>IFERROR(__xludf.DUMMYFUNCTION("GOOGLETRANSLATE(B4228,""id"",""en"")"),"['Severe', 'expensive', 'signal', 'smooth', 'paraaaaahhhhh']")</f>
        <v>['Severe', 'expensive', 'signal', 'smooth', 'paraaaaahhhhh']</v>
      </c>
      <c r="D4228" s="3">
        <v>1.0</v>
      </c>
    </row>
    <row r="4229" ht="15.75" customHeight="1">
      <c r="A4229" s="1">
        <v>4227.0</v>
      </c>
      <c r="B4229" s="3" t="s">
        <v>4229</v>
      </c>
      <c r="C4229" s="3" t="str">
        <f>IFERROR(__xludf.DUMMYFUNCTION("GOOGLETRANSLATE(B4229,""id"",""en"")"),"['Errorrrr', 'Buy', 'Package', 'Most', 'Disagreement', '']")</f>
        <v>['Errorrrr', 'Buy', 'Package', 'Most', 'Disagreement', '']</v>
      </c>
      <c r="D4229" s="3">
        <v>1.0</v>
      </c>
    </row>
    <row r="4230" ht="15.75" customHeight="1">
      <c r="A4230" s="1">
        <v>4228.0</v>
      </c>
      <c r="B4230" s="3" t="s">
        <v>4230</v>
      </c>
      <c r="C4230" s="3" t="str">
        <f>IFERROR(__xludf.DUMMYFUNCTION("GOOGLETRANSLATE(B4230,""id"",""en"")"),"['signal', 'sometimes', 'missing', 'jelaass', 'disappointed', 'intend', 'move', 'literary', 'change']")</f>
        <v>['signal', 'sometimes', 'missing', 'jelaass', 'disappointed', 'intend', 'move', 'literary', 'change']</v>
      </c>
      <c r="D4230" s="3">
        <v>1.0</v>
      </c>
    </row>
    <row r="4231" ht="15.75" customHeight="1">
      <c r="A4231" s="1">
        <v>4229.0</v>
      </c>
      <c r="B4231" s="3" t="s">
        <v>4231</v>
      </c>
      <c r="C4231" s="3" t="str">
        <f>IFERROR(__xludf.DUMMYFUNCTION("GOOGLETRANSLATE(B4231,""id"",""en"")"),"['Kash', 'buy', 'pulse', 'package', 'HBS', 'BLM', 'WKTU', 'HBS', 'HBS', 'first', 'cewa', 'Telkomsel']")</f>
        <v>['Kash', 'buy', 'pulse', 'package', 'HBS', 'BLM', 'WKTU', 'HBS', 'HBS', 'first', 'cewa', 'Telkomsel']</v>
      </c>
      <c r="D4231" s="3">
        <v>1.0</v>
      </c>
    </row>
    <row r="4232" ht="15.75" customHeight="1">
      <c r="A4232" s="1">
        <v>4230.0</v>
      </c>
      <c r="B4232" s="3" t="s">
        <v>4232</v>
      </c>
      <c r="C4232" s="3" t="str">
        <f>IFERROR(__xludf.DUMMYFUNCTION("GOOGLETRANSLATE(B4232,""id"",""en"")"),"['Kasi', 'star', 'disappointed', 'Telkomsel', 'Krena', 'quota', 'unlimited', 'leftover', 'GB', 'out', 'Where', 'Sunday', ' Sunday ',' Quota ',' Restore ',' Quota ',' Lost ',' That's', 'Playkanan', 'Telkomsel', '']")</f>
        <v>['Kasi', 'star', 'disappointed', 'Telkomsel', 'Krena', 'quota', 'unlimited', 'leftover', 'GB', 'out', 'Where', 'Sunday', ' Sunday ',' Quota ',' Restore ',' Quota ',' Lost ',' That's', 'Playkanan', 'Telkomsel', '']</v>
      </c>
      <c r="D4232" s="3">
        <v>1.0</v>
      </c>
    </row>
    <row r="4233" ht="15.75" customHeight="1">
      <c r="A4233" s="1">
        <v>4231.0</v>
      </c>
      <c r="B4233" s="3" t="s">
        <v>4233</v>
      </c>
      <c r="C4233" s="3" t="str">
        <f>IFERROR(__xludf.DUMMYFUNCTION("GOOGLETRANSLATE(B4233,""id"",""en"")"),"['use', 'credit', 'emergency', 'pulse', 'suck', 'hah', 'then', 'signal', 'ilang', 'how', 'mending', 'search', ' ']")</f>
        <v>['use', 'credit', 'emergency', 'pulse', 'suck', 'hah', 'then', 'signal', 'ilang', 'how', 'mending', 'search', ' ']</v>
      </c>
      <c r="D4233" s="3">
        <v>1.0</v>
      </c>
    </row>
    <row r="4234" ht="15.75" customHeight="1">
      <c r="A4234" s="1">
        <v>4232.0</v>
      </c>
      <c r="B4234" s="3" t="s">
        <v>4234</v>
      </c>
      <c r="C4234" s="3" t="str">
        <f>IFERROR(__xludf.DUMMYFUNCTION("GOOGLETRANSLATE(B4234,""id"",""en"")"),"['Gini', 'Commissioner', 'deposit', 'buy', 'package', 'busy', 'busy', 'concert']")</f>
        <v>['Gini', 'Commissioner', 'deposit', 'buy', 'package', 'busy', 'busy', 'concert']</v>
      </c>
      <c r="D4234" s="3">
        <v>1.0</v>
      </c>
    </row>
    <row r="4235" ht="15.75" customHeight="1">
      <c r="A4235" s="1">
        <v>4233.0</v>
      </c>
      <c r="B4235" s="3" t="s">
        <v>4235</v>
      </c>
      <c r="C4235" s="3" t="str">
        <f>IFERROR(__xludf.DUMMYFUNCTION("GOOGLETRANSLATE(B4235,""id"",""en"")"),"['knapa', 'check', 'quota', 'error', 'pdhal', 'jaringn', 'good', 'mna', 'pulse', 'sumps',' then ',' feeling ',' Subscribe ',' Please ',' Fix ',' LGi ']")</f>
        <v>['knapa', 'check', 'quota', 'error', 'pdhal', 'jaringn', 'good', 'mna', 'pulse', 'sumps',' then ',' feeling ',' Subscribe ',' Please ',' Fix ',' LGi ']</v>
      </c>
      <c r="D4235" s="3">
        <v>1.0</v>
      </c>
    </row>
    <row r="4236" ht="15.75" customHeight="1">
      <c r="A4236" s="1">
        <v>4234.0</v>
      </c>
      <c r="B4236" s="3" t="s">
        <v>4236</v>
      </c>
      <c r="C4236" s="3" t="str">
        <f>IFERROR(__xludf.DUMMYFUNCTION("GOOGLETRANSLATE(B4236,""id"",""en"")"),"['already', 'many years', 'use', 'Telkomsel', 'times', 'disappointed', 'signal', 'difficult', 'times', 'please', 'repaired', 'ngelunjak']")</f>
        <v>['already', 'many years', 'use', 'Telkomsel', 'times', 'disappointed', 'signal', 'difficult', 'times', 'please', 'repaired', 'ngelunjak']</v>
      </c>
      <c r="D4236" s="3">
        <v>1.0</v>
      </c>
    </row>
    <row r="4237" ht="15.75" customHeight="1">
      <c r="A4237" s="1">
        <v>4235.0</v>
      </c>
      <c r="B4237" s="3" t="s">
        <v>4237</v>
      </c>
      <c r="C4237" s="3" t="str">
        <f>IFERROR(__xludf.DUMMYFUNCTION("GOOGLETRANSLATE(B4237,""id"",""en"")"),"['Credit', 'truncated', 'quota', 'data', 'please', 'service', 'enhanced', 'times', 'event']")</f>
        <v>['Credit', 'truncated', 'quota', 'data', 'please', 'service', 'enhanced', 'times', 'event']</v>
      </c>
      <c r="D4237" s="3">
        <v>1.0</v>
      </c>
    </row>
    <row r="4238" ht="15.75" customHeight="1">
      <c r="A4238" s="1">
        <v>4236.0</v>
      </c>
      <c r="B4238" s="3" t="s">
        <v>4238</v>
      </c>
      <c r="C4238" s="3" t="str">
        <f>IFERROR(__xludf.DUMMYFUNCTION("GOOGLETRANSLATE(B4238,""id"",""en"")"),"['update', 'open', 'detail', 'info', 'update', 'repair', 'service', 'veronika', 'typo', 'complaint', 'repeat', 'times',' solution']")</f>
        <v>['update', 'open', 'detail', 'info', 'update', 'repair', 'service', 'veronika', 'typo', 'complaint', 'repeat', 'times',' solution']</v>
      </c>
      <c r="D4238" s="3">
        <v>1.0</v>
      </c>
    </row>
    <row r="4239" ht="15.75" customHeight="1">
      <c r="A4239" s="1">
        <v>4237.0</v>
      </c>
      <c r="B4239" s="3" t="s">
        <v>4239</v>
      </c>
      <c r="C4239" s="3" t="str">
        <f>IFERROR(__xludf.DUMMYFUNCTION("GOOGLETRANSLATE(B4239,""id"",""en"")"),"['network', 'slow', 'buy', 'quota', 'difficult', 'Nian', 'disms',' sorry ',' system ',' busy ',' please ',' try ',' purchased ',' quota ',' buy ',' right ',' complicated ']")</f>
        <v>['network', 'slow', 'buy', 'quota', 'difficult', 'Nian', 'disms',' sorry ',' system ',' busy ',' please ',' try ',' purchased ',' quota ',' buy ',' right ',' complicated ']</v>
      </c>
      <c r="D4239" s="3">
        <v>1.0</v>
      </c>
    </row>
    <row r="4240" ht="15.75" customHeight="1">
      <c r="A4240" s="1">
        <v>4238.0</v>
      </c>
      <c r="B4240" s="3" t="s">
        <v>4240</v>
      </c>
      <c r="C4240" s="3" t="str">
        <f>IFERROR(__xludf.DUMMYFUNCTION("GOOGLETRANSLATE(B4240,""id"",""en"")"),"['signal', 'bad', 'Sometimes', 'signal', 'Lost', 'due to' signal ',' Lost ',' loss ',' package ',' internet ',' service ',' Assistant ',' virtual ',' reply ',' service ',' ']")</f>
        <v>['signal', 'bad', 'Sometimes', 'signal', 'Lost', 'due to' signal ',' Lost ',' loss ',' package ',' internet ',' service ',' Assistant ',' virtual ',' reply ',' service ',' ']</v>
      </c>
      <c r="D4240" s="3">
        <v>1.0</v>
      </c>
    </row>
    <row r="4241" ht="15.75" customHeight="1">
      <c r="A4241" s="1">
        <v>4239.0</v>
      </c>
      <c r="B4241" s="3" t="s">
        <v>4241</v>
      </c>
      <c r="C4241" s="3" t="str">
        <f>IFERROR(__xludf.DUMMYFUNCTION("GOOGLETRANSLATE(B4241,""id"",""en"")"),"['Severe', 'really', 'choose', 'love', 'gave', 'package', 'already', 'Telkomsel', 'moved', 'thanks',' imagination ',' Adilan ',' Promo ',' palette ',' internet ']")</f>
        <v>['Severe', 'really', 'choose', 'love', 'gave', 'package', 'already', 'Telkomsel', 'moved', 'thanks',' imagination ',' Adilan ',' Promo ',' palette ',' internet ']</v>
      </c>
      <c r="D4241" s="3">
        <v>1.0</v>
      </c>
    </row>
    <row r="4242" ht="15.75" customHeight="1">
      <c r="A4242" s="1">
        <v>4240.0</v>
      </c>
      <c r="B4242" s="3" t="s">
        <v>4242</v>
      </c>
      <c r="C4242" s="3" t="str">
        <f>IFERROR(__xludf.DUMMYFUNCTION("GOOGLETRANSLATE(B4242,""id"",""en"")"),"['Come', 'service', 'ugly', 'satisfying', 'signal', 'ugly', 'really', 'doang', 'good', 'now', 'jdi', 'bala', ' slow ',' price ',' doang ',' expensive ',' quality ',' ']")</f>
        <v>['Come', 'service', 'ugly', 'satisfying', 'signal', 'ugly', 'really', 'doang', 'good', 'now', 'jdi', 'bala', ' slow ',' price ',' doang ',' expensive ',' quality ',' ']</v>
      </c>
      <c r="D4242" s="3">
        <v>1.0</v>
      </c>
    </row>
    <row r="4243" ht="15.75" customHeight="1">
      <c r="A4243" s="1">
        <v>4241.0</v>
      </c>
      <c r="B4243" s="3" t="s">
        <v>4243</v>
      </c>
      <c r="C4243" s="3" t="str">
        <f>IFERROR(__xludf.DUMMYFUNCTION("GOOGLETRANSLATE(B4243,""id"",""en"")"),"['Telkomsel', 'use', 'Jaringa', 'network', 'lmot', 'slow', 'already', 'network', 'trus',' network ',' network ',' stable ',' Basic ',' Network ',' Koblok ']")</f>
        <v>['Telkomsel', 'use', 'Jaringa', 'network', 'lmot', 'slow', 'already', 'network', 'trus',' network ',' network ',' stable ',' Basic ',' Network ',' Koblok ']</v>
      </c>
      <c r="D4243" s="3">
        <v>1.0</v>
      </c>
    </row>
    <row r="4244" ht="15.75" customHeight="1">
      <c r="A4244" s="1">
        <v>4242.0</v>
      </c>
      <c r="B4244" s="3" t="s">
        <v>4244</v>
      </c>
      <c r="C4244" s="3" t="str">
        <f>IFERROR(__xludf.DUMMYFUNCTION("GOOGLETRANSLATE(B4244,""id"",""en"")"),"['min', 'signal', 'lag', 'rare', 'stable', 'rich', 'please', 'fix', 'user', 'telkomsel', 'influential', 'situation', ' Support ',' work ',' ']")</f>
        <v>['min', 'signal', 'lag', 'rare', 'stable', 'rich', 'please', 'fix', 'user', 'telkomsel', 'influential', 'situation', ' Support ',' work ',' ']</v>
      </c>
      <c r="D4244" s="3">
        <v>5.0</v>
      </c>
    </row>
    <row r="4245" ht="15.75" customHeight="1">
      <c r="A4245" s="1">
        <v>4243.0</v>
      </c>
      <c r="B4245" s="3" t="s">
        <v>4245</v>
      </c>
      <c r="C4245" s="3" t="str">
        <f>IFERROR(__xludf.DUMMYFUNCTION("GOOGLETRANSLATE(B4245,""id"",""en"")"),"['package', 'expensive', 'buy', 'voucher', 'system', 'busy', 'need', 'stabilan', 'speed']")</f>
        <v>['package', 'expensive', 'buy', 'voucher', 'system', 'busy', 'need', 'stabilan', 'speed']</v>
      </c>
      <c r="D4245" s="3">
        <v>1.0</v>
      </c>
    </row>
    <row r="4246" ht="15.75" customHeight="1">
      <c r="A4246" s="1">
        <v>4244.0</v>
      </c>
      <c r="B4246" s="3" t="s">
        <v>4246</v>
      </c>
      <c r="C4246" s="3" t="str">
        <f>IFERROR(__xludf.DUMMYFUNCTION("GOOGLETRANSLATE(B4246,""id"",""en"")"),"['quality', 'speed', 'decreases',' growth ',' facility ',' network ',' comparable ',' growth ',' user ',' slow ',' forgiveness', 'tower', ' Telkomsel ',' environment ',' operate ',' ']")</f>
        <v>['quality', 'speed', 'decreases',' growth ',' facility ',' network ',' comparable ',' growth ',' user ',' slow ',' forgiveness', 'tower', ' Telkomsel ',' environment ',' operate ',' ']</v>
      </c>
      <c r="D4246" s="3">
        <v>1.0</v>
      </c>
    </row>
    <row r="4247" ht="15.75" customHeight="1">
      <c r="A4247" s="1">
        <v>4245.0</v>
      </c>
      <c r="B4247" s="3" t="s">
        <v>4247</v>
      </c>
      <c r="C4247" s="3" t="str">
        <f>IFERROR(__xludf.DUMMYFUNCTION("GOOGLETRANSLATE(B4247,""id"",""en"")"),"['Please', 'Policy', 'On', 'Talkling', 'Jngn', 'Fast', 'Disappointed', 'Because', 'Gara', 'Gara', 'Tukang', 'Have', ' Grapari ',' Customer ',' postpaid ']")</f>
        <v>['Please', 'Policy', 'On', 'Talkling', 'Jngn', 'Fast', 'Disappointed', 'Because', 'Gara', 'Gara', 'Tukang', 'Have', ' Grapari ',' Customer ',' postpaid ']</v>
      </c>
      <c r="D4247" s="3">
        <v>2.0</v>
      </c>
    </row>
    <row r="4248" ht="15.75" customHeight="1">
      <c r="A4248" s="1">
        <v>4246.0</v>
      </c>
      <c r="B4248" s="3" t="s">
        <v>4248</v>
      </c>
      <c r="C4248" s="3" t="str">
        <f>IFERROR(__xludf.DUMMYFUNCTION("GOOGLETRANSLATE(B4248,""id"",""en"")"),"['Please', 'check', 'quota', 'difficult', 'really', 'error', 'system', 'network', 'game', 'slow', 'quota']")</f>
        <v>['Please', 'check', 'quota', 'difficult', 'really', 'error', 'system', 'network', 'game', 'slow', 'quota']</v>
      </c>
      <c r="D4248" s="3">
        <v>1.0</v>
      </c>
    </row>
    <row r="4249" ht="15.75" customHeight="1">
      <c r="A4249" s="1">
        <v>4247.0</v>
      </c>
      <c r="B4249" s="3" t="s">
        <v>4249</v>
      </c>
      <c r="C4249" s="3" t="str">
        <f>IFERROR(__xludf.DUMMYFUNCTION("GOOGLETRANSLATE(B4249,""id"",""en"")"),"['ugly', 'nee', 'pulse', 'abis',' mulu ',' case ',' quota ',' emergency ',' make ',' no ',' customer ',' moved ',' adjacent', '']")</f>
        <v>['ugly', 'nee', 'pulse', 'abis',' mulu ',' case ',' quota ',' emergency ',' make ',' no ',' customer ',' moved ',' adjacent', '']</v>
      </c>
      <c r="D4249" s="3">
        <v>1.0</v>
      </c>
    </row>
    <row r="4250" ht="15.75" customHeight="1">
      <c r="A4250" s="1">
        <v>4248.0</v>
      </c>
      <c r="B4250" s="3" t="s">
        <v>4250</v>
      </c>
      <c r="C4250" s="3" t="str">
        <f>IFERROR(__xludf.DUMMYFUNCTION("GOOGLETRANSLATE(B4250,""id"",""en"")"),"['improvement', 'signal', 'morning', 'range', 'clock', 'malem', 'already', 'online', 'task', 'signal', 'butek', 'approximately', ' Already ',' stable ',' brain ',' Atik ',' already ',' user ',' comfortable ',' ']")</f>
        <v>['improvement', 'signal', 'morning', 'range', 'clock', 'malem', 'already', 'online', 'task', 'signal', 'butek', 'approximately', ' Already ',' stable ',' brain ',' Atik ',' already ',' user ',' comfortable ',' ']</v>
      </c>
      <c r="D4250" s="3">
        <v>1.0</v>
      </c>
    </row>
    <row r="4251" ht="15.75" customHeight="1">
      <c r="A4251" s="1">
        <v>4249.0</v>
      </c>
      <c r="B4251" s="3" t="s">
        <v>4251</v>
      </c>
      <c r="C4251" s="3" t="str">
        <f>IFERROR(__xludf.DUMMYFUNCTION("GOOGLETRANSLATE(B4251,""id"",""en"")"),"['Paketan', 'Doang', 'Mahalin', 'Quality', 'Network', 'Bad', 'Severe', 'Min', 'Disappointed', 'Telkomsel', 'Safe', 'Comfortable', ' conditions', 'season', 'hot', 'difficult', 'right', 'season', 'rain', 'signal', 'direct', 'disorder']")</f>
        <v>['Paketan', 'Doang', 'Mahalin', 'Quality', 'Network', 'Bad', 'Severe', 'Min', 'Disappointed', 'Telkomsel', 'Safe', 'Comfortable', ' conditions', 'season', 'hot', 'difficult', 'right', 'season', 'rain', 'signal', 'direct', 'disorder']</v>
      </c>
      <c r="D4251" s="3">
        <v>1.0</v>
      </c>
    </row>
    <row r="4252" ht="15.75" customHeight="1">
      <c r="A4252" s="1">
        <v>4250.0</v>
      </c>
      <c r="B4252" s="3" t="s">
        <v>4252</v>
      </c>
      <c r="C4252" s="3" t="str">
        <f>IFERROR(__xludf.DUMMYFUNCTION("GOOGLETRANSLATE(B4252,""id"",""en"")"),"['Sorry', 'kasi', 'bntang', 'network', 'destroyed', 'open', 'application', 'difficult', 'please', 'increase', 'service', 'consumer', ' comfortable']")</f>
        <v>['Sorry', 'kasi', 'bntang', 'network', 'destroyed', 'open', 'application', 'difficult', 'please', 'increase', 'service', 'consumer', ' comfortable']</v>
      </c>
      <c r="D4252" s="3">
        <v>1.0</v>
      </c>
    </row>
    <row r="4253" ht="15.75" customHeight="1">
      <c r="A4253" s="1">
        <v>4251.0</v>
      </c>
      <c r="B4253" s="3" t="s">
        <v>4253</v>
      </c>
      <c r="C4253" s="3" t="str">
        <f>IFERROR(__xludf.DUMMYFUNCTION("GOOGLETRANSLATE(B4253,""id"",""en"")"),"['min', 'buy', 'package', 'GB', 'price', 'package', 'enter', 'balance', 'ovo', 'already', 'truncated', 'gmn', ' ']")</f>
        <v>['min', 'buy', 'package', 'GB', 'price', 'package', 'enter', 'balance', 'ovo', 'already', 'truncated', 'gmn', ' ']</v>
      </c>
      <c r="D4253" s="3">
        <v>1.0</v>
      </c>
    </row>
    <row r="4254" ht="15.75" customHeight="1">
      <c r="A4254" s="1">
        <v>4252.0</v>
      </c>
      <c r="B4254" s="3" t="s">
        <v>4254</v>
      </c>
      <c r="C4254" s="3" t="str">
        <f>IFERROR(__xludf.DUMMYFUNCTION("GOOGLETRANSLATE(B4254,""id"",""en"")"),"['TLSEL', 'HRGA', 'MAH', 'PAK', 'SMS', 'Nlpon', 'Data', 'TPI', 'Feel', 'Pecuma', 'sosmed', 'pending', ' YouTube ',' Loding ',' Trus', 'Kouta', 'Internet', 'HBIS', 'Unemployed', 'Telkomsel', 'Try', 'See', 'Kouta', 'Sebha', 'Hrga' , 'cheap', 'ping', 'good',"&amp;" 'jammed', 'tan', '']")</f>
        <v>['TLSEL', 'HRGA', 'MAH', 'PAK', 'SMS', 'Nlpon', 'Data', 'TPI', 'Feel', 'Pecuma', 'sosmed', 'pending', ' YouTube ',' Loding ',' Trus', 'Kouta', 'Internet', 'HBIS', 'Unemployed', 'Telkomsel', 'Try', 'See', 'Kouta', 'Sebha', 'Hrga' , 'cheap', 'ping', 'good', 'jammed', 'tan', '']</v>
      </c>
      <c r="D4254" s="3">
        <v>1.0</v>
      </c>
    </row>
    <row r="4255" ht="15.75" customHeight="1">
      <c r="A4255" s="1">
        <v>4253.0</v>
      </c>
      <c r="B4255" s="3" t="s">
        <v>4255</v>
      </c>
      <c r="C4255" s="3" t="str">
        <f>IFERROR(__xludf.DUMMYFUNCTION("GOOGLETRANSLATE(B4255,""id"",""en"")"),"['clock', 'clock', 'disruption', 'connection', 'internet', 'karawang']")</f>
        <v>['clock', 'clock', 'disruption', 'connection', 'internet', 'karawang']</v>
      </c>
      <c r="D4255" s="3">
        <v>1.0</v>
      </c>
    </row>
    <row r="4256" ht="15.75" customHeight="1">
      <c r="A4256" s="1">
        <v>4254.0</v>
      </c>
      <c r="B4256" s="3" t="s">
        <v>4256</v>
      </c>
      <c r="C4256" s="3" t="str">
        <f>IFERROR(__xludf.DUMMYFUNCTION("GOOGLETRANSLATE(B4256,""id"",""en"")"),"['Open', 'apk', 'difficult', 'really', 'difficult', 'enter', 'error', 'just', 'pdahal', 'check', 'left', 'quota', ' really ',' slow ']")</f>
        <v>['Open', 'apk', 'difficult', 'really', 'difficult', 'enter', 'error', 'just', 'pdahal', 'check', 'left', 'quota', ' really ',' slow ']</v>
      </c>
      <c r="D4256" s="3">
        <v>1.0</v>
      </c>
    </row>
    <row r="4257" ht="15.75" customHeight="1">
      <c r="A4257" s="1">
        <v>4255.0</v>
      </c>
      <c r="B4257" s="3" t="s">
        <v>4257</v>
      </c>
      <c r="C4257" s="3" t="str">
        <f>IFERROR(__xludf.DUMMYFUNCTION("GOOGLETRANSLATE(B4257,""id"",""en"")"),"['Telkomsel', 'Threat', 'Network', 'Please', 'Fix', 'Mao', 'Content', 'Package', 'Kaga', 'Mao', 'Check', 'Kouta', ' Kaga ',' fix ',' as fast ',' Jngan ',' Sampe ',' Customer ',' Telkomsel ',' Disappointed ']")</f>
        <v>['Telkomsel', 'Threat', 'Network', 'Please', 'Fix', 'Mao', 'Content', 'Package', 'Kaga', 'Mao', 'Check', 'Kouta', ' Kaga ',' fix ',' as fast ',' Jngan ',' Sampe ',' Customer ',' Telkomsel ',' Disappointed ']</v>
      </c>
      <c r="D4257" s="3">
        <v>1.0</v>
      </c>
    </row>
    <row r="4258" ht="15.75" customHeight="1">
      <c r="A4258" s="1">
        <v>4256.0</v>
      </c>
      <c r="B4258" s="3" t="s">
        <v>4258</v>
      </c>
      <c r="C4258" s="3" t="str">
        <f>IFERROR(__xludf.DUMMYFUNCTION("GOOGLETRANSLATE(B4258,""id"",""en"")"),"['knapa', 'network', 'Telkomsel', 'smakin', 'bad', 'because', 'BUMN', 'disorder', 'network', 'signal', ""]")</f>
        <v>['knapa', 'network', 'Telkomsel', 'smakin', 'bad', 'because', 'BUMN', 'disorder', 'network', 'signal', "]</v>
      </c>
      <c r="D4258" s="3">
        <v>1.0</v>
      </c>
    </row>
    <row r="4259" ht="15.75" customHeight="1">
      <c r="A4259" s="1">
        <v>4257.0</v>
      </c>
      <c r="B4259" s="3" t="s">
        <v>4259</v>
      </c>
      <c r="C4259" s="3" t="str">
        <f>IFERROR(__xludf.DUMMYFUNCTION("GOOGLETRANSLATE(B4259,""id"",""en"")"),"['expensive', 'Doank', 'package', 'bigger', 'severe', 'really', 'lemooot', 'abis',' abis', 'data', 'replace', 'Aah', ' Oprator ',' Next to ',' Bosss', 'Network', 'Telkomsel', 'Severe', 'AMAAT', 'ABIS', 'APDETE', 'Fucked', 'Open', 'Telkomsel', 'Benerin' , "&amp;"'Donk', 'his jar', 'thanks']")</f>
        <v>['expensive', 'Doank', 'package', 'bigger', 'severe', 'really', 'lemooot', 'abis',' abis', 'data', 'replace', 'Aah', ' Oprator ',' Next to ',' Bosss', 'Network', 'Telkomsel', 'Severe', 'AMAAT', 'ABIS', 'APDETE', 'Fucked', 'Open', 'Telkomsel', 'Benerin' , 'Donk', 'his jar', 'thanks']</v>
      </c>
      <c r="D4259" s="3">
        <v>1.0</v>
      </c>
    </row>
    <row r="4260" ht="15.75" customHeight="1">
      <c r="A4260" s="1">
        <v>4258.0</v>
      </c>
      <c r="B4260" s="3" t="s">
        <v>4260</v>
      </c>
      <c r="C4260" s="3" t="str">
        <f>IFERROR(__xludf.DUMMYFUNCTION("GOOGLETRANSLATE(B4260,""id"",""en"")"),"['Sorry', 'min', 'card', 'first', 'Telkomsel', 'comfortable', 'signal', 'bad', 'please', 'repair', 'min', 'signal', ' Progression ',' star ',' deh ']")</f>
        <v>['Sorry', 'min', 'card', 'first', 'Telkomsel', 'comfortable', 'signal', 'bad', 'please', 'repair', 'min', 'signal', ' Progression ',' star ',' deh ']</v>
      </c>
      <c r="D4260" s="3">
        <v>4.0</v>
      </c>
    </row>
    <row r="4261" ht="15.75" customHeight="1">
      <c r="A4261" s="1">
        <v>4259.0</v>
      </c>
      <c r="B4261" s="3" t="s">
        <v>4261</v>
      </c>
      <c r="C4261" s="3" t="str">
        <f>IFERROR(__xludf.DUMMYFUNCTION("GOOGLETRANSLATE(B4261,""id"",""en"")"),"['Disappointed', 'Telkomsel', 'Ancur', 'Please', 'Mimin', 'Operator', 'Work', 'Stop', 'Disappointed', 'At', 'Need', 'Internet', ' Trouble ',' Sundon ',' Sudh ',' Paying ',' Expensive ',' TPI ',' Satisfying ',' Reasons', 'What's',' Work ',' Mending ',' Cha"&amp;"nge ',' work ' , 'thanks', '']")</f>
        <v>['Disappointed', 'Telkomsel', 'Ancur', 'Please', 'Mimin', 'Operator', 'Work', 'Stop', 'Disappointed', 'At', 'Need', 'Internet', ' Trouble ',' Sundon ',' Sudh ',' Paying ',' Expensive ',' TPI ',' Satisfying ',' Reasons', 'What's',' Work ',' Mending ',' Change ',' work ' , 'thanks', '']</v>
      </c>
      <c r="D4261" s="3">
        <v>1.0</v>
      </c>
    </row>
    <row r="4262" ht="15.75" customHeight="1">
      <c r="A4262" s="1">
        <v>4260.0</v>
      </c>
      <c r="B4262" s="3" t="s">
        <v>4262</v>
      </c>
      <c r="C4262" s="3" t="str">
        <f>IFERROR(__xludf.DUMMYFUNCTION("GOOGLETRANSLATE(B4262,""id"",""en"")"),"['', 'Pekanbaru', 'Riau', 'Network', 'Telkomsel', 'ugly', 'Allowed', 'Fix']")</f>
        <v>['', 'Pekanbaru', 'Riau', 'Network', 'Telkomsel', 'ugly', 'Allowed', 'Fix']</v>
      </c>
      <c r="D4262" s="3">
        <v>1.0</v>
      </c>
    </row>
    <row r="4263" ht="15.75" customHeight="1">
      <c r="A4263" s="1">
        <v>4261.0</v>
      </c>
      <c r="B4263" s="3" t="s">
        <v>4263</v>
      </c>
      <c r="C4263" s="3" t="str">
        <f>IFERROR(__xludf.DUMMYFUNCTION("GOOGLETRANSLATE(B4263,""id"",""en"")"),"['', 'buy', 'package', 'use', 'data', 'pulse', 'drained', 'corruption', 'namanyaaa', '']")</f>
        <v>['', 'buy', 'package', 'use', 'data', 'pulse', 'drained', 'corruption', 'namanyaaa', '']</v>
      </c>
      <c r="D4263" s="3">
        <v>1.0</v>
      </c>
    </row>
    <row r="4264" ht="15.75" customHeight="1">
      <c r="A4264" s="1">
        <v>4262.0</v>
      </c>
      <c r="B4264" s="3" t="s">
        <v>4264</v>
      </c>
      <c r="C4264" s="3" t="str">
        <f>IFERROR(__xludf.DUMMYFUNCTION("GOOGLETRANSLATE(B4264,""id"",""en"")"),"['Region', 'Bekasi', 'here', 'severe', 'Intrnetan', 'room', 'then', 'room', 'region', 'area', 'industry', 'KNA', ' signal ',' region ',' village ']")</f>
        <v>['Region', 'Bekasi', 'here', 'severe', 'Intrnetan', 'room', 'then', 'room', 'region', 'area', 'industry', 'KNA', ' signal ',' region ',' village ']</v>
      </c>
      <c r="D4264" s="3">
        <v>2.0</v>
      </c>
    </row>
    <row r="4265" ht="15.75" customHeight="1">
      <c r="A4265" s="1">
        <v>4263.0</v>
      </c>
      <c r="B4265" s="3" t="s">
        <v>4265</v>
      </c>
      <c r="C4265" s="3" t="str">
        <f>IFERROR(__xludf.DUMMYFUNCTION("GOOGLETRANSLATE(B4265,""id"",""en"")"),"['Season', 'Telkomsel', 'org', 'owe', 'said', 'owe', 'people', 'Muslim', 'concerned', 'Telkomsel', 'later', 'accountability', ' before ',' God ',' Krna ',' like ',' cheats', 'customers', ""]")</f>
        <v>['Season', 'Telkomsel', 'org', 'owe', 'said', 'owe', 'people', 'Muslim', 'concerned', 'Telkomsel', 'later', 'accountability', ' before ',' God ',' Krna ',' like ',' cheats', 'customers', "]</v>
      </c>
      <c r="D4265" s="3">
        <v>1.0</v>
      </c>
    </row>
    <row r="4266" ht="15.75" customHeight="1">
      <c r="A4266" s="1">
        <v>4264.0</v>
      </c>
      <c r="B4266" s="3" t="s">
        <v>4266</v>
      </c>
      <c r="C4266" s="3" t="str">
        <f>IFERROR(__xludf.DUMMYFUNCTION("GOOGLETRANSLATE(B4266,""id"",""en"")"),"['Telkomsel', 'Service', 'Bad', 'Open', 'Telkomsel', 'Difficult', 'Forgiveness',' Package ',' Internet ',' Promo ',' SUCCESS ',' BAD ',' Telkomsel ',' Service ',' ']")</f>
        <v>['Telkomsel', 'Service', 'Bad', 'Open', 'Telkomsel', 'Difficult', 'Forgiveness',' Package ',' Internet ',' Promo ',' SUCCESS ',' BAD ',' Telkomsel ',' Service ',' ']</v>
      </c>
      <c r="D4266" s="3">
        <v>1.0</v>
      </c>
    </row>
    <row r="4267" ht="15.75" customHeight="1">
      <c r="A4267" s="1">
        <v>4265.0</v>
      </c>
      <c r="B4267" s="3" t="s">
        <v>4267</v>
      </c>
      <c r="C4267" s="3" t="str">
        <f>IFERROR(__xludf.DUMMYFUNCTION("GOOGLETRANSLATE(B4267,""id"",""en"")"),"['price', 'package', 'expensive', 'expensive', 'quality', 'signal', 'ugly', 'nyesel', 'min', 'moved', 'next door']")</f>
        <v>['price', 'package', 'expensive', 'expensive', 'quality', 'signal', 'ugly', 'nyesel', 'min', 'moved', 'next door']</v>
      </c>
      <c r="D4267" s="3">
        <v>1.0</v>
      </c>
    </row>
    <row r="4268" ht="15.75" customHeight="1">
      <c r="A4268" s="1">
        <v>4266.0</v>
      </c>
      <c r="B4268" s="3" t="s">
        <v>4268</v>
      </c>
      <c r="C4268" s="3" t="str">
        <f>IFERROR(__xludf.DUMMYFUNCTION("GOOGLETRANSLATE(B4268,""id"",""en"")"),"['Network', 'ugly', 'severe', 'here', 'ugly', 'stabilin', 'network', 'rich', 'try', 'move', 'gini', 'network', ' ']")</f>
        <v>['Network', 'ugly', 'severe', 'here', 'ugly', 'stabilin', 'network', 'rich', 'try', 'move', 'gini', 'network', ' ']</v>
      </c>
      <c r="D4268" s="3">
        <v>1.0</v>
      </c>
    </row>
    <row r="4269" ht="15.75" customHeight="1">
      <c r="A4269" s="1">
        <v>4267.0</v>
      </c>
      <c r="B4269" s="3" t="s">
        <v>4269</v>
      </c>
      <c r="C4269" s="3" t="str">
        <f>IFERROR(__xludf.DUMMYFUNCTION("GOOGLETRANSLATE(B4269,""id"",""en"")"),"['Telkomsel', 'knapa', 'disappointed', 'really', 'times', 'already', 'packagein', 'quota', 'pulse', 'uda', 'chopped', 'checked' quota ',' has', 'quota', 'don't know', 'knapa', 'application', 'knapa', 'error', 'mulu', 'salt', 'cave', ""]")</f>
        <v>['Telkomsel', 'knapa', 'disappointed', 'really', 'times', 'already', 'packagein', 'quota', 'pulse', 'uda', 'chopped', 'checked' quota ',' has', 'quota', 'don't know', 'knapa', 'application', 'knapa', 'error', 'mulu', 'salt', 'cave', "]</v>
      </c>
      <c r="D4269" s="3">
        <v>1.0</v>
      </c>
    </row>
    <row r="4270" ht="15.75" customHeight="1">
      <c r="A4270" s="1">
        <v>4268.0</v>
      </c>
      <c r="B4270" s="3" t="s">
        <v>4270</v>
      </c>
      <c r="C4270" s="3" t="str">
        <f>IFERROR(__xludf.DUMMYFUNCTION("GOOGLETRANSLATE(B4270,""id"",""en"")"),"['slow', 'really', 'really', 'system', 'error', 'please', 'fix', '']")</f>
        <v>['slow', 'really', 'really', 'system', 'error', 'please', 'fix', '']</v>
      </c>
      <c r="D4270" s="3">
        <v>1.0</v>
      </c>
    </row>
    <row r="4271" ht="15.75" customHeight="1">
      <c r="A4271" s="1">
        <v>4269.0</v>
      </c>
      <c r="B4271" s="3" t="s">
        <v>4271</v>
      </c>
      <c r="C4271" s="3" t="str">
        <f>IFERROR(__xludf.DUMMYFUNCTION("GOOGLETRANSLATE(B4271,""id"",""en"")"),"['application', 'difficult', 'open', 'loading', 'just', 'see', 'quota', 'nampil', 'until', 'click', 'many', 'info', ' Repair ',' Group ',' Jabaw ',' Repair ',' Sampe ',' Change ',' Gada ',' Change ']")</f>
        <v>['application', 'difficult', 'open', 'loading', 'just', 'see', 'quota', 'nampil', 'until', 'click', 'many', 'info', ' Repair ',' Group ',' Jabaw ',' Repair ',' Sampe ',' Change ',' Gada ',' Change ']</v>
      </c>
      <c r="D4271" s="3">
        <v>1.0</v>
      </c>
    </row>
    <row r="4272" ht="15.75" customHeight="1">
      <c r="A4272" s="1">
        <v>4270.0</v>
      </c>
      <c r="B4272" s="3" t="s">
        <v>4272</v>
      </c>
      <c r="C4272" s="3" t="str">
        <f>IFERROR(__xludf.DUMMYFUNCTION("GOOGLETRANSLATE(B4272,""id"",""en"")"),"['Lost', 'Respect', 'Telkomsel', 'Filling', 'Credit', 'Register', 'Package', 'Internet', 'Price', 'Cheap', 'Filling', 'Credit', ' nominal ',' price ',' mean ', ""]")</f>
        <v>['Lost', 'Respect', 'Telkomsel', 'Filling', 'Credit', 'Register', 'Package', 'Internet', 'Price', 'Cheap', 'Filling', 'Credit', ' nominal ',' price ',' mean ', "]</v>
      </c>
      <c r="D4272" s="3">
        <v>1.0</v>
      </c>
    </row>
    <row r="4273" ht="15.75" customHeight="1">
      <c r="A4273" s="1">
        <v>4271.0</v>
      </c>
      <c r="B4273" s="3" t="s">
        <v>4273</v>
      </c>
      <c r="C4273" s="3" t="str">
        <f>IFERROR(__xludf.DUMMYFUNCTION("GOOGLETRANSLATE(B4273,""id"",""en"")"),"['update', 'the latest', 'buy', 'quota', 'failed', 'mulu', 'turn', 'kebeli', 'disappointed', 'really', 'Telkomsel', 'buy', ' Package ',' enter ',' package ',' hope ',' customer ',' survive ', ""]")</f>
        <v>['update', 'the latest', 'buy', 'quota', 'failed', 'mulu', 'turn', 'kebeli', 'disappointed', 'really', 'Telkomsel', 'buy', ' Package ',' enter ',' package ',' hope ',' customer ',' survive ', "]</v>
      </c>
      <c r="D4273" s="3">
        <v>1.0</v>
      </c>
    </row>
    <row r="4274" ht="15.75" customHeight="1">
      <c r="A4274" s="1">
        <v>4272.0</v>
      </c>
      <c r="B4274" s="3" t="s">
        <v>4274</v>
      </c>
      <c r="C4274" s="3" t="str">
        <f>IFERROR(__xludf.DUMMYFUNCTION("GOOGLETRANSLATE(B4274,""id"",""en"")"),"['', 'Approaching', 'quota', 'run out', 'like', 'check', 'quota', 'pulse', 'main', 'sumps',' at the time ',' streaming ',' Medsos ',' Please ',' repaired ',' cunning ',' ']")</f>
        <v>['', 'Approaching', 'quota', 'run out', 'like', 'check', 'quota', 'pulse', 'main', 'sumps',' at the time ',' streaming ',' Medsos ',' Please ',' repaired ',' cunning ',' ']</v>
      </c>
      <c r="D4274" s="3">
        <v>1.0</v>
      </c>
    </row>
    <row r="4275" ht="15.75" customHeight="1">
      <c r="A4275" s="1">
        <v>4273.0</v>
      </c>
      <c r="B4275" s="3" t="s">
        <v>4275</v>
      </c>
      <c r="C4275" s="3" t="str">
        <f>IFERROR(__xludf.DUMMYFUNCTION("GOOGLETRANSLATE(B4275,""id"",""en"")"),"['Severe', 'Install', 'APK', 'Karna', 'check', 'quota', 'I', 'Kaga', 'enter', 'error', 'Mulu', 'then', ' run out ',' updt ',' message ',' enter ',' package ',' thousand ',' active ',' kaga ',' activated ',' package ',' notification ',' enter ',' ']")</f>
        <v>['Severe', 'Install', 'APK', 'Karna', 'check', 'quota', 'I', 'Kaga', 'enter', 'error', 'Mulu', 'then', ' run out ',' updt ',' message ',' enter ',' package ',' thousand ',' active ',' kaga ',' activated ',' package ',' notification ',' enter ',' ']</v>
      </c>
      <c r="D4275" s="3">
        <v>1.0</v>
      </c>
    </row>
    <row r="4276" ht="15.75" customHeight="1">
      <c r="A4276" s="1">
        <v>4274.0</v>
      </c>
      <c r="B4276" s="3" t="s">
        <v>4276</v>
      </c>
      <c r="C4276" s="3" t="str">
        <f>IFERROR(__xludf.DUMMYFUNCTION("GOOGLETRANSLATE(B4276,""id"",""en"")"),"['Telkomsel', 'bad', 'network', 'package', 'data', 'expensive', 'network', 'ugly', 'disappointing', 'online', 'network', 'ugly', ' Kasi ',' star ',' ']")</f>
        <v>['Telkomsel', 'bad', 'network', 'package', 'data', 'expensive', 'network', 'ugly', 'disappointing', 'online', 'network', 'ugly', ' Kasi ',' star ',' ']</v>
      </c>
      <c r="D4276" s="3">
        <v>1.0</v>
      </c>
    </row>
    <row r="4277" ht="15.75" customHeight="1">
      <c r="A4277" s="1">
        <v>4275.0</v>
      </c>
      <c r="B4277" s="3" t="s">
        <v>4277</v>
      </c>
      <c r="C4277" s="3" t="str">
        <f>IFERROR(__xludf.DUMMYFUNCTION("GOOGLETRANSLATE(B4277,""id"",""en"")"),"['signal', 'Telkomsel', 'signal', 'said', 'good', 'price', 'package', 'strange', 'check', 'left', 'quota', 'error', ' Removed ',' App ',' Sampe ',' Download ',' Error ',' ']")</f>
        <v>['signal', 'Telkomsel', 'signal', 'said', 'good', 'price', 'package', 'strange', 'check', 'left', 'quota', 'error', ' Removed ',' App ',' Sampe ',' Download ',' Error ',' ']</v>
      </c>
      <c r="D4277" s="3">
        <v>1.0</v>
      </c>
    </row>
    <row r="4278" ht="15.75" customHeight="1">
      <c r="A4278" s="1">
        <v>4276.0</v>
      </c>
      <c r="B4278" s="3" t="s">
        <v>4278</v>
      </c>
      <c r="C4278" s="3" t="str">
        <f>IFERROR(__xludf.DUMMYFUNCTION("GOOGLETRANSLATE(B4278,""id"",""en"")"),"['Error', 'Mulu', 'Ujan', 'Wind', 'Package', 'Expensive', 'Strange', ""]")</f>
        <v>['Error', 'Mulu', 'Ujan', 'Wind', 'Package', 'Expensive', 'Strange', "]</v>
      </c>
      <c r="D4278" s="3">
        <v>1.0</v>
      </c>
    </row>
    <row r="4279" ht="15.75" customHeight="1">
      <c r="A4279" s="1">
        <v>4277.0</v>
      </c>
      <c r="B4279" s="3" t="s">
        <v>4279</v>
      </c>
      <c r="C4279" s="3" t="str">
        <f>IFERROR(__xludf.DUMMYFUNCTION("GOOGLETRANSLATE(B4279,""id"",""en"")"),"['relationship', 'Telkomsel', 'ugly', 'really', 'cave', 'check', 'quota', 'tlkms',' signal ',' pretty ',' good ',' open ',' check ']")</f>
        <v>['relationship', 'Telkomsel', 'ugly', 'really', 'cave', 'check', 'quota', 'tlkms',' signal ',' pretty ',' good ',' open ',' check ']</v>
      </c>
      <c r="D4279" s="3">
        <v>1.0</v>
      </c>
    </row>
    <row r="4280" ht="15.75" customHeight="1">
      <c r="A4280" s="1">
        <v>4278.0</v>
      </c>
      <c r="B4280" s="3" t="s">
        <v>4280</v>
      </c>
      <c r="C4280" s="3" t="str">
        <f>IFERROR(__xludf.DUMMYFUNCTION("GOOGLETRANSLATE(B4280,""id"",""en"")"),"['Disappointed', 'because', 'Can't', 'buy', 'quota', 'failed', 'check', 'disappointed']")</f>
        <v>['Disappointed', 'because', 'Can't', 'buy', 'quota', 'failed', 'check', 'disappointed']</v>
      </c>
      <c r="D4280" s="3">
        <v>1.0</v>
      </c>
    </row>
    <row r="4281" ht="15.75" customHeight="1">
      <c r="A4281" s="1">
        <v>4279.0</v>
      </c>
      <c r="B4281" s="3" t="s">
        <v>4281</v>
      </c>
      <c r="C4281" s="3" t="str">
        <f>IFERROR(__xludf.DUMMYFUNCTION("GOOGLETRANSLATE(B4281,""id"",""en"")"),"['Disappointed', 'pulse', 'Sumpot', 'Rupiah', 'pay', 'credit', 'emergency', 'borrow', 'appear', 'automatic', 'please', 'repaired', ' Credit ',' Sumpot ',' Lumps', 'Credit', 'Rupiah', 'Sumpot', 'Take', 'Automatic', 'Please', 'Jngn', 'Histolled', 'Automatic"&amp;"', 'Change' , 'System', 'Trims', '']")</f>
        <v>['Disappointed', 'pulse', 'Sumpot', 'Rupiah', 'pay', 'credit', 'emergency', 'borrow', 'appear', 'automatic', 'please', 'repaired', ' Credit ',' Sumpot ',' Lumps', 'Credit', 'Rupiah', 'Sumpot', 'Take', 'Automatic', 'Please', 'Jngn', 'Histolled', 'Automatic', 'Change' , 'System', 'Trims', '']</v>
      </c>
      <c r="D4281" s="3">
        <v>3.0</v>
      </c>
    </row>
    <row r="4282" ht="15.75" customHeight="1">
      <c r="A4282" s="1">
        <v>4280.0</v>
      </c>
      <c r="B4282" s="3" t="s">
        <v>4282</v>
      </c>
      <c r="C4282" s="3" t="str">
        <f>IFERROR(__xludf.DUMMYFUNCTION("GOOGLETRANSLATE(B4282,""id"",""en"")"),"['Hadeh', 'application', 'owned', 'BUMN', 'already', 'lalod', 'package', 'muaaaahaalll', 'expensive', 'upgrade', 'change', 'upgrade', ' Loading ',' disappointing ',' fix ',' donk ',' lose ',' application ',' abal ', ""]")</f>
        <v>['Hadeh', 'application', 'owned', 'BUMN', 'already', 'lalod', 'package', 'muaaaahaalll', 'expensive', 'upgrade', 'change', 'upgrade', ' Loading ',' disappointing ',' fix ',' donk ',' lose ',' application ',' abal ', "]</v>
      </c>
      <c r="D4282" s="3">
        <v>1.0</v>
      </c>
    </row>
    <row r="4283" ht="15.75" customHeight="1">
      <c r="A4283" s="1">
        <v>4281.0</v>
      </c>
      <c r="B4283" s="3" t="s">
        <v>4283</v>
      </c>
      <c r="C4283" s="3" t="str">
        <f>IFERROR(__xludf.DUMMYFUNCTION("GOOGLETRANSLATE(B4283,""id"",""en"")"),"['Application', 'idiot', 'upgrade', 'me', 'upgrade', 'abis',' upgrade ',' open ',' me ',' delete ',' download ',' open ',' download ',' ntar ',' ease ',' application ',' failed ']")</f>
        <v>['Application', 'idiot', 'upgrade', 'me', 'upgrade', 'abis',' upgrade ',' open ',' me ',' delete ',' download ',' open ',' download ',' ntar ',' ease ',' application ',' failed ']</v>
      </c>
      <c r="D4283" s="3">
        <v>1.0</v>
      </c>
    </row>
    <row r="4284" ht="15.75" customHeight="1">
      <c r="A4284" s="1">
        <v>4282.0</v>
      </c>
      <c r="B4284" s="3" t="s">
        <v>4284</v>
      </c>
      <c r="C4284" s="3" t="str">
        <f>IFERROR(__xludf.DUMMYFUNCTION("GOOGLETRANSLATE(B4284,""id"",""en"")"),"['Disappointed', 'Network', 'Application', 'Telkomsel', 'Kouta', 'Credit', 'Life', 'Today', 'Stone', 'Lost', 'Operator']")</f>
        <v>['Disappointed', 'Network', 'Application', 'Telkomsel', 'Kouta', 'Credit', 'Life', 'Today', 'Stone', 'Lost', 'Operator']</v>
      </c>
      <c r="D4284" s="3">
        <v>1.0</v>
      </c>
    </row>
    <row r="4285" ht="15.75" customHeight="1">
      <c r="A4285" s="1">
        <v>4283.0</v>
      </c>
      <c r="B4285" s="3" t="s">
        <v>4285</v>
      </c>
      <c r="C4285" s="3" t="str">
        <f>IFERROR(__xludf.DUMMYFUNCTION("GOOGLETRANSLATE(B4285,""id"",""en"")"),"['Ngatur', 'Telkomsel', 'Meet', 'Claw', 'His face', 'Banklah', 'Turn', 'Package', 'Already', 'Live', 'Contents',' Package ',' No "", 'buy', 'Package', 'Banklah', 'Wait', 'Suck', 'thousand', 'Kayak', 'buy', 'package', 'no', 'buy', 'package' , 'Emergency', "&amp;"'Credit', 'Cut', 'Sorry', 'Rough', 'Telkomsel', 'because', 'Ngatur', 'Telkomsel', 'Corruption', 'Looks',' ']")</f>
        <v>['Ngatur', 'Telkomsel', 'Meet', 'Claw', 'His face', 'Banklah', 'Turn', 'Package', 'Already', 'Live', 'Contents',' Package ',' No ", 'buy', 'Package', 'Banklah', 'Wait', 'Suck', 'thousand', 'Kayak', 'buy', 'package', 'no', 'buy', 'package' , 'Emergency', 'Credit', 'Cut', 'Sorry', 'Rough', 'Telkomsel', 'because', 'Ngatur', 'Telkomsel', 'Corruption', 'Looks',' ']</v>
      </c>
      <c r="D4285" s="3">
        <v>1.0</v>
      </c>
    </row>
    <row r="4286" ht="15.75" customHeight="1">
      <c r="A4286" s="1">
        <v>4284.0</v>
      </c>
      <c r="B4286" s="3" t="s">
        <v>4286</v>
      </c>
      <c r="C4286" s="3" t="str">
        <f>IFERROR(__xludf.DUMMYFUNCTION("GOOGLETRANSLATE(B4286,""id"",""en"")"),"['', 'Pay', 'package', 'emergency', 'send', 'sms',' mulu ',' contents', 'pulse', 'kaga', 'take', 'pulse', 'abis ',' Check ',' quota ',' Ama ',' Veronika ',' App ',' Telkomsel ',' Please ',' Lahh ',' Jngan ',' Ribet ']")</f>
        <v>['', 'Pay', 'package', 'emergency', 'send', 'sms',' mulu ',' contents', 'pulse', 'kaga', 'take', 'pulse', 'abis ',' Check ',' quota ',' Ama ',' Veronika ',' App ',' Telkomsel ',' Please ',' Lahh ',' Jngan ',' Ribet ']</v>
      </c>
      <c r="D4286" s="3">
        <v>3.0</v>
      </c>
    </row>
    <row r="4287" ht="15.75" customHeight="1">
      <c r="A4287" s="1">
        <v>4285.0</v>
      </c>
      <c r="B4287" s="3" t="s">
        <v>4287</v>
      </c>
      <c r="C4287" s="3" t="str">
        <f>IFERROR(__xludf.DUMMYFUNCTION("GOOGLETRANSLATE(B4287,""id"",""en"")"),"['Telkomsel', 'missing', 'Singnal', 'Network', 'Jakarta', 'Network', 'Stable', 'Telkomsel', 'Disappointed']")</f>
        <v>['Telkomsel', 'missing', 'Singnal', 'Network', 'Jakarta', 'Network', 'Stable', 'Telkomsel', 'Disappointed']</v>
      </c>
      <c r="D4287" s="3">
        <v>1.0</v>
      </c>
    </row>
    <row r="4288" ht="15.75" customHeight="1">
      <c r="A4288" s="1">
        <v>4286.0</v>
      </c>
      <c r="B4288" s="3" t="s">
        <v>4288</v>
      </c>
      <c r="C4288" s="3" t="str">
        <f>IFERROR(__xludf.DUMMYFUNCTION("GOOGLETRANSLATE(B4288,""id"",""en"")"),"['heavy', 'open', 'Dihp', 'potatoes', 'smooth', 'Jaya', '']")</f>
        <v>['heavy', 'open', 'Dihp', 'potatoes', 'smooth', 'Jaya', '']</v>
      </c>
      <c r="D4288" s="3">
        <v>1.0</v>
      </c>
    </row>
    <row r="4289" ht="15.75" customHeight="1">
      <c r="A4289" s="1">
        <v>4287.0</v>
      </c>
      <c r="B4289" s="3" t="s">
        <v>4289</v>
      </c>
      <c r="C4289" s="3" t="str">
        <f>IFERROR(__xludf.DUMMYFUNCTION("GOOGLETRANSLATE(B4289,""id"",""en"")"),"['dlu', 'star', 'skarang', 'dlu', 'just' now, 'buy', 'quota', 'slow', 'bsa', 'open', 'Mytekkomsel', 'Please', ' repaired ',' as soon as possible ',' depends', 'operated', 'network', 'fast', 'safe', '']")</f>
        <v>['dlu', 'star', 'skarang', 'dlu', 'just' now, 'buy', 'quota', 'slow', 'bsa', 'open', 'Mytekkomsel', 'Please', ' repaired ',' as soon as possible ',' depends', 'operated', 'network', 'fast', 'safe', '']</v>
      </c>
      <c r="D4289" s="3">
        <v>1.0</v>
      </c>
    </row>
    <row r="4290" ht="15.75" customHeight="1">
      <c r="A4290" s="1">
        <v>4288.0</v>
      </c>
      <c r="B4290" s="3" t="s">
        <v>4290</v>
      </c>
      <c r="C4290" s="3" t="str">
        <f>IFERROR(__xludf.DUMMYFUNCTION("GOOGLETRANSLATE(B4290,""id"",""en"")"),"['Network', 'Telkomsel', 'already', 'Kek', 'BI', 'Network', 'Lost', 'City', 'Telkomsel', 'Please', 'Notice', 'Customer', ' blur ',' special ']")</f>
        <v>['Network', 'Telkomsel', 'already', 'Kek', 'BI', 'Network', 'Lost', 'City', 'Telkomsel', 'Please', 'Notice', 'Customer', ' blur ',' special ']</v>
      </c>
      <c r="D4290" s="3">
        <v>1.0</v>
      </c>
    </row>
    <row r="4291" ht="15.75" customHeight="1">
      <c r="A4291" s="1">
        <v>4289.0</v>
      </c>
      <c r="B4291" s="3" t="s">
        <v>4291</v>
      </c>
      <c r="C4291" s="3" t="str">
        <f>IFERROR(__xludf.DUMMYFUNCTION("GOOGLETRANSLATE(B4291,""id"",""en"")"),"['Cape', 'Nigging', 'Solution', 'Suru', 'Nomersin', 'Step', 'Ribet', 'Already', 'Follow', 'Tetep', 'Sinyal', 'Tetep', ' slow ',' just ',' sorry ',' signal ',' Benerin ',' buy ',' quota ',' pay ',' money ',' owe ',' conditionin ',' product ', ""]")</f>
        <v>['Cape', 'Nigging', 'Solution', 'Suru', 'Nomersin', 'Step', 'Ribet', 'Already', 'Follow', 'Tetep', 'Sinyal', 'Tetep', ' slow ',' just ',' sorry ',' signal ',' Benerin ',' buy ',' quota ',' pay ',' money ',' owe ',' conditionin ',' product ', "]</v>
      </c>
      <c r="D4291" s="3">
        <v>1.0</v>
      </c>
    </row>
    <row r="4292" ht="15.75" customHeight="1">
      <c r="A4292" s="1">
        <v>4290.0</v>
      </c>
      <c r="B4292" s="3" t="s">
        <v>4292</v>
      </c>
      <c r="C4292" s="3" t="str">
        <f>IFERROR(__xludf.DUMMYFUNCTION("GOOGLETRANSLATE(B4292,""id"",""en"")"),"['Comfortable', 'Card', 'Telkomsel', 'Karna', 'Region', 'Sinya', 'Available', 'Where', 'Thank you', 'Service', 'Telkomsel', 'card', ' Telkomsel ',' wherever ', ""]")</f>
        <v>['Comfortable', 'Card', 'Telkomsel', 'Karna', 'Region', 'Sinya', 'Available', 'Where', 'Thank you', 'Service', 'Telkomsel', 'card', ' Telkomsel ',' wherever ', "]</v>
      </c>
      <c r="D4292" s="3">
        <v>5.0</v>
      </c>
    </row>
    <row r="4293" ht="15.75" customHeight="1">
      <c r="A4293" s="1">
        <v>4291.0</v>
      </c>
      <c r="B4293" s="3" t="s">
        <v>4293</v>
      </c>
      <c r="C4293" s="3" t="str">
        <f>IFERROR(__xludf.DUMMYFUNCTION("GOOGLETRANSLATE(B4293,""id"",""en"")"),"['Honest', 'Telkomsel', 'network', 'stable', 'contents',' pulse ',' Cut ',' reasons', 'tariff', 'nonpacket', 'ngapain', ' Disappointed ',' Telkomsel ',' please ',' Kasi ',' solution ',' thanks']")</f>
        <v>['Honest', 'Telkomsel', 'network', 'stable', 'contents',' pulse ',' Cut ',' reasons', 'tariff', 'nonpacket', 'ngapain', ' Disappointed ',' Telkomsel ',' please ',' Kasi ',' solution ',' thanks']</v>
      </c>
      <c r="D4293" s="3">
        <v>1.0</v>
      </c>
    </row>
    <row r="4294" ht="15.75" customHeight="1">
      <c r="A4294" s="1">
        <v>4292.0</v>
      </c>
      <c r="B4294" s="3" t="s">
        <v>4294</v>
      </c>
      <c r="C4294" s="3" t="str">
        <f>IFERROR(__xludf.DUMMYFUNCTION("GOOGLETRANSLATE(B4294,""id"",""en"")"),"['Try', 'repaired', 'network', 'already', 'buy', 'expensive', 'quota', 'signal', 'ilang', 'maen', 'game', 'open', ' SOSMED ',' Laq ',' buffering ',' disturbing ',' convenience ']")</f>
        <v>['Try', 'repaired', 'network', 'already', 'buy', 'expensive', 'quota', 'signal', 'ilang', 'maen', 'game', 'open', ' SOSMED ',' Laq ',' buffering ',' disturbing ',' convenience ']</v>
      </c>
      <c r="D4294" s="3">
        <v>1.0</v>
      </c>
    </row>
    <row r="4295" ht="15.75" customHeight="1">
      <c r="A4295" s="1">
        <v>4293.0</v>
      </c>
      <c r="B4295" s="3" t="s">
        <v>4295</v>
      </c>
      <c r="C4295" s="3" t="str">
        <f>IFERROR(__xludf.DUMMYFUNCTION("GOOGLETRANSLATE(B4295,""id"",""en"")"),"['Contents', 'Quota', 'right', 'Alah', 'Posts', 'Credit', 'Successful', 'Please', 'Repaired', 'Synthm', ""]")</f>
        <v>['Contents', 'Quota', 'right', 'Alah', 'Posts', 'Credit', 'Successful', 'Please', 'Repaired', 'Synthm', "]</v>
      </c>
      <c r="D4295" s="3">
        <v>1.0</v>
      </c>
    </row>
    <row r="4296" ht="15.75" customHeight="1">
      <c r="A4296" s="1">
        <v>4294.0</v>
      </c>
      <c r="B4296" s="3" t="s">
        <v>4296</v>
      </c>
      <c r="C4296" s="3" t="str">
        <f>IFERROR(__xludf.DUMMYFUNCTION("GOOGLETRANSLATE(B4296,""id"",""en"")"),"['Telkom', 'strange', 'bat', 'network', 'slow', 'network', 'apk', 'mytelkomsel', 'error', 'pulse', 'sumps',' apk ',' telkom ',' no ',' access', 'right', 'check', 'pulse', 'already', 'cool', 'replace', 'card', 'deh']")</f>
        <v>['Telkom', 'strange', 'bat', 'network', 'slow', 'network', 'apk', 'mytelkomsel', 'error', 'pulse', 'sumps',' apk ',' telkom ',' no ',' access', 'right', 'check', 'pulse', 'already', 'cool', 'replace', 'card', 'deh']</v>
      </c>
      <c r="D4296" s="3">
        <v>1.0</v>
      </c>
    </row>
    <row r="4297" ht="15.75" customHeight="1">
      <c r="A4297" s="1">
        <v>4295.0</v>
      </c>
      <c r="B4297" s="3" t="s">
        <v>4297</v>
      </c>
      <c r="C4297" s="3" t="str">
        <f>IFERROR(__xludf.DUMMYFUNCTION("GOOGLETRANSLATE(B4297,""id"",""en"")"),"['application', 'efficient', 'price', 'expensive', 'response', 'overcome', 'impressed', 'slow', '']")</f>
        <v>['application', 'efficient', 'price', 'expensive', 'response', 'overcome', 'impressed', 'slow', '']</v>
      </c>
      <c r="D4297" s="3">
        <v>1.0</v>
      </c>
    </row>
    <row r="4298" ht="15.75" customHeight="1">
      <c r="A4298" s="1">
        <v>4296.0</v>
      </c>
      <c r="B4298" s="3" t="s">
        <v>4298</v>
      </c>
      <c r="C4298" s="3" t="str">
        <f>IFERROR(__xludf.DUMMYFUNCTION("GOOGLETRANSLATE(B4298,""id"",""en"")"),"['buy', 'quota', 'expensive', 'signal', 'ugly', 'good', 'ugly', 'tired', 'provider', 'rich', 'quota', 'cheap', ' signal ',' good ',' recomment ',' really ',' price ',' quota ',' suits', 'quality', 'signal', ""]")</f>
        <v>['buy', 'quota', 'expensive', 'signal', 'ugly', 'good', 'ugly', 'tired', 'provider', 'rich', 'quota', 'cheap', ' signal ',' good ',' recomment ',' really ',' price ',' quota ',' suits', 'quality', 'signal', "]</v>
      </c>
      <c r="D4298" s="3">
        <v>1.0</v>
      </c>
    </row>
    <row r="4299" ht="15.75" customHeight="1">
      <c r="A4299" s="1">
        <v>4297.0</v>
      </c>
      <c r="B4299" s="3" t="s">
        <v>4299</v>
      </c>
      <c r="C4299" s="3" t="str">
        <f>IFERROR(__xludf.DUMMYFUNCTION("GOOGLETRANSLATE(B4299,""id"",""en"")"),"['network', 'destroyed', 'parahhhhh', 'expensive', 'useful', 'lossii', 'udh', 'byr', 'expensive', 'use', 'card', 'hello', ' Network ',' cheap ',' ']")</f>
        <v>['network', 'destroyed', 'parahhhhh', 'expensive', 'useful', 'lossii', 'udh', 'byr', 'expensive', 'use', 'card', 'hello', ' Network ',' cheap ',' ']</v>
      </c>
      <c r="D4299" s="3">
        <v>1.0</v>
      </c>
    </row>
    <row r="4300" ht="15.75" customHeight="1">
      <c r="A4300" s="1">
        <v>4298.0</v>
      </c>
      <c r="B4300" s="3" t="s">
        <v>4300</v>
      </c>
      <c r="C4300" s="3" t="str">
        <f>IFERROR(__xludf.DUMMYFUNCTION("GOOGLETRANSLATE(B4300,""id"",""en"")"),"['Low', 'Response', 'App', 'Network', 'Sometimes',' Error ',' Bileh ',' Input ',' Plis', 'Adin', 'Promo', 'Package', ' Price ',' Satisfied ',' Customer ',' Duration ',' Package ',' Already ',' Make ',' Promo ',' Disappointed ',' Class', 'Telkomsel', 'Litu"&amp;"']")</f>
        <v>['Low', 'Response', 'App', 'Network', 'Sometimes',' Error ',' Bileh ',' Input ',' Plis', 'Adin', 'Promo', 'Package', ' Price ',' Satisfied ',' Customer ',' Duration ',' Package ',' Already ',' Make ',' Promo ',' Disappointed ',' Class', 'Telkomsel', 'Litu']</v>
      </c>
      <c r="D4300" s="3">
        <v>2.0</v>
      </c>
    </row>
    <row r="4301" ht="15.75" customHeight="1">
      <c r="A4301" s="1">
        <v>4299.0</v>
      </c>
      <c r="B4301" s="3" t="s">
        <v>4301</v>
      </c>
      <c r="C4301" s="3" t="str">
        <f>IFERROR(__xludf.DUMMYFUNCTION("GOOGLETRANSLATE(B4301,""id"",""en"")"),"['disappointed', 'service', 'Telkomsel', 'rating', 'heavy', 'ad', 'sms',' open ',' simcard ',' blocked ',' number ',' appears', ' Advertisements', 'numbers',' different ',' privacy ',' consumers', 'valued', 'responded', 'telephone', 'operator', 'telkall',"&amp;" 'msh', 'appear', 'ad' , 'offering', 'loan', 'pesugihan', 'etc.', 'no', 'ethically', 'sorry', 'sympathy', 'telkomsel', 'signal', 'udik', 'survive', ' Used ',' ']")</f>
        <v>['disappointed', 'service', 'Telkomsel', 'rating', 'heavy', 'ad', 'sms',' open ',' simcard ',' blocked ',' number ',' appears', ' Advertisements', 'numbers',' different ',' privacy ',' consumers', 'valued', 'responded', 'telephone', 'operator', 'telkall', 'msh', 'appear', 'ad' , 'offering', 'loan', 'pesugihan', 'etc.', 'no', 'ethically', 'sorry', 'sympathy', 'telkomsel', 'signal', 'udik', 'survive', ' Used ',' ']</v>
      </c>
      <c r="D4301" s="3">
        <v>2.0</v>
      </c>
    </row>
    <row r="4302" ht="15.75" customHeight="1">
      <c r="A4302" s="1">
        <v>4300.0</v>
      </c>
      <c r="B4302" s="3" t="s">
        <v>4302</v>
      </c>
      <c r="C4302" s="3" t="str">
        <f>IFERROR(__xludf.DUMMYFUNCTION("GOOGLETRANSLATE(B4302,""id"",""en"")"),"['already', 'jaesana', 'ugly', 'quota', 'expensive', 'really', 'application', 'already', 'ugly', 'slow', 'error', 'me', ' Love ',' Bintang ',' App ',' ugly ',' GERFEDAH ',' ']")</f>
        <v>['already', 'jaesana', 'ugly', 'quota', 'expensive', 'really', 'application', 'already', 'ugly', 'slow', 'error', 'me', ' Love ',' Bintang ',' App ',' ugly ',' GERFEDAH ',' ']</v>
      </c>
      <c r="D4302" s="3">
        <v>1.0</v>
      </c>
    </row>
    <row r="4303" ht="15.75" customHeight="1">
      <c r="A4303" s="1">
        <v>4301.0</v>
      </c>
      <c r="B4303" s="3" t="s">
        <v>4303</v>
      </c>
      <c r="C4303" s="3" t="str">
        <f>IFERROR(__xludf.DUMMYFUNCTION("GOOGLETRANSLATE(B4303,""id"",""en"")"),"['Severe', 'signal', 'Telkomsel', 'cam', 'BURIK', 'price', 'package', 'expensive', 'service', 'signal', 'cheap', '']")</f>
        <v>['Severe', 'signal', 'Telkomsel', 'cam', 'BURIK', 'price', 'package', 'expensive', 'service', 'signal', 'cheap', '']</v>
      </c>
      <c r="D4303" s="3">
        <v>1.0</v>
      </c>
    </row>
    <row r="4304" ht="15.75" customHeight="1">
      <c r="A4304" s="1">
        <v>4302.0</v>
      </c>
      <c r="B4304" s="3" t="s">
        <v>4304</v>
      </c>
      <c r="C4304" s="3" t="str">
        <f>IFERROR(__xludf.DUMMYFUNCTION("GOOGLETRANSLATE(B4304,""id"",""en"")"),"['Network', 'Benerin', 'expensive', 'Doang', 'package', 'network', 'according to', 'price', 'package', 'sad', 'waiter', 'consumer', ' slow ',' shy ',' Indonesia ',' on the Arrester ',' Java ',' Nge ',' lag ',' Ngilak ', ""]")</f>
        <v>['Network', 'Benerin', 'expensive', 'Doang', 'package', 'network', 'according to', 'price', 'package', 'sad', 'waiter', 'consumer', ' slow ',' shy ',' Indonesia ',' on the Arrester ',' Java ',' Nge ',' lag ',' Ngilak ', "]</v>
      </c>
      <c r="D4304" s="3">
        <v>1.0</v>
      </c>
    </row>
    <row r="4305" ht="15.75" customHeight="1">
      <c r="A4305" s="1">
        <v>4303.0</v>
      </c>
      <c r="B4305" s="3" t="s">
        <v>4305</v>
      </c>
      <c r="C4305" s="3" t="str">
        <f>IFERROR(__xludf.DUMMYFUNCTION("GOOGLETRANSLATE(B4305,""id"",""en"")"),"['check', 'pulse', 'quota', 'comfortable', 'easy', 'Telkomsel', 'turn', 'appear', 'wkwkwk']")</f>
        <v>['check', 'pulse', 'quota', 'comfortable', 'easy', 'Telkomsel', 'turn', 'appear', 'wkwkwk']</v>
      </c>
      <c r="D4305" s="3">
        <v>1.0</v>
      </c>
    </row>
    <row r="4306" ht="15.75" customHeight="1">
      <c r="A4306" s="1">
        <v>4304.0</v>
      </c>
      <c r="B4306" s="3" t="s">
        <v>4306</v>
      </c>
      <c r="C4306" s="3" t="str">
        <f>IFERROR(__xludf.DUMMYFUNCTION("GOOGLETRANSLATE(B4306,""id"",""en"")"),"['application', 'bad', 'Different', 'like', 'tasty', 'see', 'leftover', 'package', 'buy', 'package', 'data', 'right', ' Update ',' see ',' leftover ',' package ',' error ',' already ',' expensive ',' network ',' pulp ', ""]")</f>
        <v>['application', 'bad', 'Different', 'like', 'tasty', 'see', 'leftover', 'package', 'buy', 'package', 'data', 'right', ' Update ',' see ',' leftover ',' package ',' error ',' already ',' expensive ',' network ',' pulp ', "]</v>
      </c>
      <c r="D4306" s="3">
        <v>1.0</v>
      </c>
    </row>
    <row r="4307" ht="15.75" customHeight="1">
      <c r="A4307" s="1">
        <v>4305.0</v>
      </c>
      <c r="B4307" s="3" t="s">
        <v>4307</v>
      </c>
      <c r="C4307" s="3" t="str">
        <f>IFERROR(__xludf.DUMMYFUNCTION("GOOGLETRANSLATE(B4307,""id"",""en"")"),"['Network', 'chaotic', 'KEK', 'KON', 'buy', 'package', 'rb', 'usage', 'until', 'a month', 'run out', 'Papa', ' network ',' good ',' network ',' rich ',' play ',' game ',' ajh ',' signal ',' jumping ',' then ',' nuru ',' paid ',' expensive ' , 'network', '"&amp;"kek', 'that's',' it's like ',' weve ',' Must ',' move ',' card ',' next door ',' capital ',' rb ',' get ',' GB ',' Telkoksel ',' RB ',' GB ',' Advertising ',' Ajh ',' Rich ',' yes', 'Network', 'Burik', 'Telkomsel', 'Rich', 'Gini' , 'then', 'change', 'sell"&amp;"', 'shares', '']")</f>
        <v>['Network', 'chaotic', 'KEK', 'KON', 'buy', 'package', 'rb', 'usage', 'until', 'a month', 'run out', 'Papa', ' network ',' good ',' network ',' rich ',' play ',' game ',' ajh ',' signal ',' jumping ',' then ',' nuru ',' paid ',' expensive ' , 'network', 'kek', 'that's',' it's like ',' weve ',' Must ',' move ',' card ',' next door ',' capital ',' rb ',' get ',' GB ',' Telkoksel ',' RB ',' GB ',' Advertising ',' Ajh ',' Rich ',' yes', 'Network', 'Burik', 'Telkomsel', 'Rich', 'Gini' , 'then', 'change', 'sell', 'shares', '']</v>
      </c>
      <c r="D4307" s="3">
        <v>1.0</v>
      </c>
    </row>
    <row r="4308" ht="15.75" customHeight="1">
      <c r="A4308" s="1">
        <v>4306.0</v>
      </c>
      <c r="B4308" s="3" t="s">
        <v>4308</v>
      </c>
      <c r="C4308" s="3" t="str">
        <f>IFERROR(__xludf.DUMMYFUNCTION("GOOGLETRANSLATE(B4308,""id"",""en"")"),"['Iih', 'Season', 'Bet', 'oath', 'Dipukunjak', 'Telkomsel', 'Tomorrow', 'Mending', 'Aksis', 'Deh', ""]")</f>
        <v>['Iih', 'Season', 'Bet', 'oath', 'Dipukunjak', 'Telkomsel', 'Tomorrow', 'Mending', 'Aksis', 'Deh', "]</v>
      </c>
      <c r="D4308" s="3">
        <v>1.0</v>
      </c>
    </row>
    <row r="4309" ht="15.75" customHeight="1">
      <c r="A4309" s="1">
        <v>4307.0</v>
      </c>
      <c r="B4309" s="3" t="s">
        <v>4309</v>
      </c>
      <c r="C4309" s="3" t="str">
        <f>IFERROR(__xludf.DUMMYFUNCTION("GOOGLETRANSLATE(B4309,""id"",""en"")"),"['Application', 'MyTelkomsel', 'Ngak', 'Open', 'Please', 'Fix', 'Application']")</f>
        <v>['Application', 'MyTelkomsel', 'Ngak', 'Open', 'Please', 'Fix', 'Application']</v>
      </c>
      <c r="D4309" s="3">
        <v>1.0</v>
      </c>
    </row>
    <row r="4310" ht="15.75" customHeight="1">
      <c r="A4310" s="1">
        <v>4308.0</v>
      </c>
      <c r="B4310" s="3" t="s">
        <v>4310</v>
      </c>
      <c r="C4310" s="3" t="str">
        <f>IFERROR(__xludf.DUMMYFUNCTION("GOOGLETRANSLATE(B4310,""id"",""en"")"),"['Telkomsel', 'chaotic', 'pdhl', 'stay', 'city', 'network', 'udh', 'rich', 'forest', 'please', 'fix', 'customer', ' Faithful ',' Telkomsel ',' Move ',' Provider ', ""]")</f>
        <v>['Telkomsel', 'chaotic', 'pdhl', 'stay', 'city', 'network', 'udh', 'rich', 'forest', 'please', 'fix', 'customer', ' Faithful ',' Telkomsel ',' Move ',' Provider ', "]</v>
      </c>
      <c r="D4310" s="3">
        <v>1.0</v>
      </c>
    </row>
    <row r="4311" ht="15.75" customHeight="1">
      <c r="A4311" s="1">
        <v>4309.0</v>
      </c>
      <c r="B4311" s="3" t="s">
        <v>4311</v>
      </c>
      <c r="C4311" s="3" t="str">
        <f>IFERROR(__xludf.DUMMYFUNCTION("GOOGLETRANSLATE(B4311,""id"",""en"")"),"['WOI', 'updated', 'then', 'network', 'updated', 'package', 'expensive', 'network', 'supports',' customer ',' moved ',' neighbor ',' I']")</f>
        <v>['WOI', 'updated', 'then', 'network', 'updated', 'package', 'expensive', 'network', 'supports',' customer ',' moved ',' neighbor ',' I']</v>
      </c>
      <c r="D4311" s="3">
        <v>1.0</v>
      </c>
    </row>
    <row r="4312" ht="15.75" customHeight="1">
      <c r="A4312" s="1">
        <v>4310.0</v>
      </c>
      <c r="B4312" s="3" t="s">
        <v>4312</v>
      </c>
      <c r="C4312" s="3" t="str">
        <f>IFERROR(__xludf.DUMMYFUNCTION("GOOGLETRANSLATE(B4312,""id"",""en"")"),"['good', 'high school', 'signal', 'nie', 'intention', 'seh', 'open', 'network', 'internet', 'network', 'legitimate', 'sell', ' package ',' internet ',' deh ',' sell ',' package ',' pulse ',' change ',' card ',' darling ',' msih ',' kyak ',' gini ',' biari"&amp;"n ' , 'card', 'PDA', 'emotion', 'mnding', 'moved', 'card']")</f>
        <v>['good', 'high school', 'signal', 'nie', 'intention', 'seh', 'open', 'network', 'internet', 'network', 'legitimate', 'sell', ' package ',' internet ',' deh ',' sell ',' package ',' pulse ',' change ',' card ',' darling ',' msih ',' kyak ',' gini ',' biarin ' , 'card', 'PDA', 'emotion', 'mnding', 'moved', 'card']</v>
      </c>
      <c r="D4312" s="3">
        <v>1.0</v>
      </c>
    </row>
    <row r="4313" ht="15.75" customHeight="1">
      <c r="A4313" s="1">
        <v>4311.0</v>
      </c>
      <c r="B4313" s="3" t="s">
        <v>4313</v>
      </c>
      <c r="C4313" s="3" t="str">
        <f>IFERROR(__xludf.DUMMYFUNCTION("GOOGLETRANSLATE(B4313,""id"",""en"")"),"['crazy', 'price', 'expensive', 'connection', 'slow', 'severe', 'quota', 'rich', 'slow']")</f>
        <v>['crazy', 'price', 'expensive', 'connection', 'slow', 'severe', 'quota', 'rich', 'slow']</v>
      </c>
      <c r="D4313" s="3">
        <v>1.0</v>
      </c>
    </row>
    <row r="4314" ht="15.75" customHeight="1">
      <c r="A4314" s="1">
        <v>4312.0</v>
      </c>
      <c r="B4314" s="3" t="s">
        <v>4314</v>
      </c>
      <c r="C4314" s="3" t="str">
        <f>IFERROR(__xludf.DUMMYFUNCTION("GOOGLETRANSLATE(B4314,""id"",""en"")"),"['Please', 'Telkomsel', 'Benerin', 'The network', 'check', 'Telkomsel', 'quota', 'GB', 'right', 'open', 'Instagram', 'Tetiba', ' Muter ',' Video ',' Check ',' Telkomsel ',' Telkomsel ',' Follow ',' Opened ',' Lord ',' Village ',' Kampung ',' Cuman ',' Tel"&amp;"komsel ',' Telkomsel ' , 'Doang', 'because', 'village', 'Telkomsel', 'please', 'really', 'mah', 'Telkomsel']")</f>
        <v>['Please', 'Telkomsel', 'Benerin', 'The network', 'check', 'Telkomsel', 'quota', 'GB', 'right', 'open', 'Instagram', 'Tetiba', ' Muter ',' Video ',' Check ',' Telkomsel ',' Telkomsel ',' Follow ',' Opened ',' Lord ',' Village ',' Kampung ',' Cuman ',' Telkomsel ',' Telkomsel ' , 'Doang', 'because', 'village', 'Telkomsel', 'please', 'really', 'mah', 'Telkomsel']</v>
      </c>
      <c r="D4314" s="3">
        <v>1.0</v>
      </c>
    </row>
    <row r="4315" ht="15.75" customHeight="1">
      <c r="A4315" s="1">
        <v>4313.0</v>
      </c>
      <c r="B4315" s="3" t="s">
        <v>4315</v>
      </c>
      <c r="C4315" s="3" t="str">
        <f>IFERROR(__xludf.DUMMYFUNCTION("GOOGLETRANSLATE(B4315,""id"",""en"")"),"['yeah', 'jakarta', 'signal', 'rotten', 'ngegame', 'anjingg', 'package', 'internet', 'expensive', 'doang', 'signal', 'internet', ' rotten', '']")</f>
        <v>['yeah', 'jakarta', 'signal', 'rotten', 'ngegame', 'anjingg', 'package', 'internet', 'expensive', 'doang', 'signal', 'internet', ' rotten', '']</v>
      </c>
      <c r="D4315" s="3">
        <v>1.0</v>
      </c>
    </row>
    <row r="4316" ht="15.75" customHeight="1">
      <c r="A4316" s="1">
        <v>4314.0</v>
      </c>
      <c r="B4316" s="3" t="s">
        <v>4316</v>
      </c>
      <c r="C4316" s="3" t="str">
        <f>IFERROR(__xludf.DUMMYFUNCTION("GOOGLETRANSLATE(B4316,""id"",""en"")"),"['Telkomsel', 'Taik', 'package', 'expensive', 'ngak', 'according to', 'quality', 'nying', 'kalok', 'ngak', 'family', 'already', ' Discard ',' Got ',' Card ']")</f>
        <v>['Telkomsel', 'Taik', 'package', 'expensive', 'ngak', 'according to', 'quality', 'nying', 'kalok', 'ngak', 'family', 'already', ' Discard ',' Got ',' Card ']</v>
      </c>
      <c r="D4316" s="3">
        <v>1.0</v>
      </c>
    </row>
    <row r="4317" ht="15.75" customHeight="1">
      <c r="A4317" s="1">
        <v>4315.0</v>
      </c>
      <c r="B4317" s="3" t="s">
        <v>4317</v>
      </c>
      <c r="C4317" s="3" t="str">
        <f>IFERROR(__xludf.DUMMYFUNCTION("GOOGLETRANSLATE(B4317,""id"",""en"")"),"['Msh', 'star', 'Telkomsel', 'The network', 'Severe', 'Ghitu', 'Different', 'price', 'Paketan', 'friend', 'buy', 'GB', ' HNY ',' RB ',' MLH ',' GB ',' RB ',' card ',' Wrong ',' card ',' friend ',' ']")</f>
        <v>['Msh', 'star', 'Telkomsel', 'The network', 'Severe', 'Ghitu', 'Different', 'price', 'Paketan', 'friend', 'buy', 'GB', ' HNY ',' RB ',' MLH ',' GB ',' RB ',' card ',' Wrong ',' card ',' friend ',' ']</v>
      </c>
      <c r="D4317" s="3">
        <v>1.0</v>
      </c>
    </row>
    <row r="4318" ht="15.75" customHeight="1">
      <c r="A4318" s="1">
        <v>4316.0</v>
      </c>
      <c r="B4318" s="3" t="s">
        <v>4318</v>
      </c>
      <c r="C4318" s="3" t="str">
        <f>IFERROR(__xludf.DUMMYFUNCTION("GOOGLETRANSLATE(B4318,""id"",""en"")"),"['oath', 'disappointed', 'Severe', 'Telkomsel', 'Jakarta', 'signal', 'internet', 'ilang', 'already', 'mah', 'expensive', 'package', ' Quality ',' Sinyal ',' ugly ',' poor ',' disappointing ',' ']")</f>
        <v>['oath', 'disappointed', 'Severe', 'Telkomsel', 'Jakarta', 'signal', 'internet', 'ilang', 'already', 'mah', 'expensive', 'package', ' Quality ',' Sinyal ',' ugly ',' poor ',' disappointing ',' ']</v>
      </c>
      <c r="D4318" s="3">
        <v>1.0</v>
      </c>
    </row>
    <row r="4319" ht="15.75" customHeight="1">
      <c r="A4319" s="1">
        <v>4317.0</v>
      </c>
      <c r="B4319" s="3" t="s">
        <v>4319</v>
      </c>
      <c r="C4319" s="3" t="str">
        <f>IFERROR(__xludf.DUMMYFUNCTION("GOOGLETRANSLATE(B4319,""id"",""en"")"),"['expensive', 'package', 'doang', 'network', 'rotten', 'maen', 'game', 'lag', 'mulu', 'clock', 'noon', 'sampe', ' hours', 'mlm', 'please', 'really', 'just', 'price', 'doang', 'expensive', 'quality', 'conditionin', 'customer', 'satisfied']")</f>
        <v>['expensive', 'package', 'doang', 'network', 'rotten', 'maen', 'game', 'lag', 'mulu', 'clock', 'noon', 'sampe', ' hours', 'mlm', 'please', 'really', 'just', 'price', 'doang', 'expensive', 'quality', 'conditionin', 'customer', 'satisfied']</v>
      </c>
      <c r="D4319" s="3">
        <v>1.0</v>
      </c>
    </row>
    <row r="4320" ht="15.75" customHeight="1">
      <c r="A4320" s="1">
        <v>4318.0</v>
      </c>
      <c r="B4320" s="3" t="s">
        <v>4320</v>
      </c>
      <c r="C4320" s="3" t="str">
        <f>IFERROR(__xludf.DUMMYFUNCTION("GOOGLETRANSLATE(B4320,""id"",""en"")"),"['disruption', 'kah', 'signal', 'ilang', 'package', 'unlimited', 'sosmed', 'bsa']")</f>
        <v>['disruption', 'kah', 'signal', 'ilang', 'package', 'unlimited', 'sosmed', 'bsa']</v>
      </c>
      <c r="D4320" s="3">
        <v>2.0</v>
      </c>
    </row>
    <row r="4321" ht="15.75" customHeight="1">
      <c r="A4321" s="1">
        <v>4319.0</v>
      </c>
      <c r="B4321" s="3" t="s">
        <v>4321</v>
      </c>
      <c r="C4321" s="3" t="str">
        <f>IFERROR(__xludf.DUMMYFUNCTION("GOOGLETRANSLATE(B4321,""id"",""en"")"),"['Disruption', 'teroolooooooooooooooooooooossssssssssssssssss', 'UDH', 'Jago', 'dioprek', 'fill in', 'quota', 'difficult', 'disorder', ""]")</f>
        <v>['Disruption', 'teroolooooooooooooooooooooossssssssssssssssss', 'UDH', 'Jago', 'dioprek', 'fill in', 'quota', 'difficult', 'disorder', "]</v>
      </c>
      <c r="D4321" s="3">
        <v>3.0</v>
      </c>
    </row>
    <row r="4322" ht="15.75" customHeight="1">
      <c r="A4322" s="1">
        <v>4320.0</v>
      </c>
      <c r="B4322" s="3" t="s">
        <v>4322</v>
      </c>
      <c r="C4322" s="3" t="str">
        <f>IFERROR(__xludf.DUMMYFUNCTION("GOOGLETRANSLATE(B4322,""id"",""en"")"),"['Disappointed', 'use', 'Telkomsel', 'pulse', 'truncated', 'internet', 'activated', 'pulse', 'filled', 'direct', 'lost', 'package', ' Internet ',' Telkomsel ',' Like ',' Nyolong ',' Credit ',' Reasons', 'Network', 'Errr', 'Males',' Subscriptions', 'Rich',"&amp;" 'Gini', 'Network' , 'ugly', 'quality', 'price', 'package', 'already', 'expensive', 'the application', 'slow', 'basically', 'ORDER', 'disappointing']")</f>
        <v>['Disappointed', 'use', 'Telkomsel', 'pulse', 'truncated', 'internet', 'activated', 'pulse', 'filled', 'direct', 'lost', 'package', ' Internet ',' Telkomsel ',' Like ',' Nyolong ',' Credit ',' Reasons', 'Network', 'Errr', 'Males',' Subscriptions', 'Rich', 'Gini', 'Network' , 'ugly', 'quality', 'price', 'package', 'already', 'expensive', 'the application', 'slow', 'basically', 'ORDER', 'disappointing']</v>
      </c>
      <c r="D4322" s="3">
        <v>1.0</v>
      </c>
    </row>
    <row r="4323" ht="15.75" customHeight="1">
      <c r="A4323" s="1">
        <v>4321.0</v>
      </c>
      <c r="B4323" s="3" t="s">
        <v>4323</v>
      </c>
      <c r="C4323" s="3" t="str">
        <f>IFERROR(__xludf.DUMMYFUNCTION("GOOGLETRANSLATE(B4323,""id"",""en"")"),"['here', 'BURIK', 'signal', 'already', 'that's',' pulse ',' missing ',' thousand ',' term ',' a week ',' stay ',' silver ',' Bill ',' cave ',' owe ']")</f>
        <v>['here', 'BURIK', 'signal', 'already', 'that's',' pulse ',' missing ',' thousand ',' term ',' a week ',' stay ',' silver ',' Bill ',' cave ',' owe ']</v>
      </c>
      <c r="D4323" s="3">
        <v>3.0</v>
      </c>
    </row>
    <row r="4324" ht="15.75" customHeight="1">
      <c r="A4324" s="1">
        <v>4322.0</v>
      </c>
      <c r="B4324" s="3" t="s">
        <v>4324</v>
      </c>
      <c r="C4324" s="3" t="str">
        <f>IFERROR(__xludf.DUMMYFUNCTION("GOOGLETRANSLATE(B4324,""id"",""en"")"),"['regret', 'pakek', 'card', 'network', 'ilang', 'then', 'yesterday', 'buy', 'pulse', 'mnt', 'ilang', 'sumps',' message ',' congratulations', 'quota', 'local', 'watch', 'drama', 'active', 'run out', 'quota', 'gabisa', 'pakek', 'gblg', 'signal' , 'ilang', '"&amp;"dlu', 'smooth', 'move', 'card', 'ilang', 'signal', ""]")</f>
        <v>['regret', 'pakek', 'card', 'network', 'ilang', 'then', 'yesterday', 'buy', 'pulse', 'mnt', 'ilang', 'sumps',' message ',' congratulations', 'quota', 'local', 'watch', 'drama', 'active', 'run out', 'quota', 'gabisa', 'pakek', 'gblg', 'signal' , 'ilang', 'dlu', 'smooth', 'move', 'card', 'ilang', 'signal', "]</v>
      </c>
      <c r="D4324" s="3">
        <v>1.0</v>
      </c>
    </row>
    <row r="4325" ht="15.75" customHeight="1">
      <c r="A4325" s="1">
        <v>4323.0</v>
      </c>
      <c r="B4325" s="3" t="s">
        <v>4325</v>
      </c>
      <c r="C4325" s="3" t="str">
        <f>IFERROR(__xludf.DUMMYFUNCTION("GOOGLETRANSLATE(B4325,""id"",""en"")"),"['Sorry', 'given', 'star', 'unfortunate', 'class', 'Telkomsel', 'performance', 'disappointing', 'thank you', ""]")</f>
        <v>['Sorry', 'given', 'star', 'unfortunate', 'class', 'Telkomsel', 'performance', 'disappointing', 'thank you', "]</v>
      </c>
      <c r="D4325" s="3">
        <v>1.0</v>
      </c>
    </row>
    <row r="4326" ht="15.75" customHeight="1">
      <c r="A4326" s="1">
        <v>4324.0</v>
      </c>
      <c r="B4326" s="3" t="s">
        <v>4326</v>
      </c>
      <c r="C4326" s="3" t="str">
        <f>IFERROR(__xludf.DUMMYFUNCTION("GOOGLETRANSLATE(B4326,""id"",""en"")"),"['Please', 'min', 'already', 'a year', 'customers',' Telkomsel ',' network ',' according to ',' price ',' expensive ',' expensive ',' buy ',' quota ',' signal ',' delay ',' sometimes', 'gabisa', 'turn on', 'data', 'play', 'game', 'signal', 'bad', 'really'"&amp;", 'haduhhh' , 'Gada', 'proof', '']")</f>
        <v>['Please', 'min', 'already', 'a year', 'customers',' Telkomsel ',' network ',' according to ',' price ',' expensive ',' expensive ',' buy ',' quota ',' signal ',' delay ',' sometimes', 'gabisa', 'turn on', 'data', 'play', 'game', 'signal', 'bad', 'really', 'haduhhh' , 'Gada', 'proof', '']</v>
      </c>
      <c r="D4326" s="3">
        <v>1.0</v>
      </c>
    </row>
    <row r="4327" ht="15.75" customHeight="1">
      <c r="A4327" s="1">
        <v>4325.0</v>
      </c>
      <c r="B4327" s="3" t="s">
        <v>4327</v>
      </c>
      <c r="C4327" s="3" t="str">
        <f>IFERROR(__xludf.DUMMYFUNCTION("GOOGLETRANSLATE(B4327,""id"",""en"")"),"['signal', 'garbage', 'here', 'severe', 'sick', 'ATI', 'Make', 'Telkomsel', 'signal', 'pulp', 'severe', 'ngakunya', ' signal ',' best ',' ilang ',' mulu ']")</f>
        <v>['signal', 'garbage', 'here', 'severe', 'sick', 'ATI', 'Make', 'Telkomsel', 'signal', 'pulp', 'severe', 'ngakunya', ' signal ',' best ',' ilang ',' mulu ']</v>
      </c>
      <c r="D4327" s="3">
        <v>1.0</v>
      </c>
    </row>
    <row r="4328" ht="15.75" customHeight="1">
      <c r="A4328" s="1">
        <v>4326.0</v>
      </c>
      <c r="B4328" s="3" t="s">
        <v>4328</v>
      </c>
      <c r="C4328" s="3" t="str">
        <f>IFERROR(__xludf.DUMMYFUNCTION("GOOGLETRANSLATE(B4328,""id"",""en"")"),"['Icon', 'Cool', 'price', 'package', 'expensive', 'network', 'deteriorating', 'please', 'repaired', 'compete', 'brand']")</f>
        <v>['Icon', 'Cool', 'price', 'package', 'expensive', 'network', 'deteriorating', 'please', 'repaired', 'compete', 'brand']</v>
      </c>
      <c r="D4328" s="3">
        <v>4.0</v>
      </c>
    </row>
    <row r="4329" ht="15.75" customHeight="1">
      <c r="A4329" s="1">
        <v>4327.0</v>
      </c>
      <c r="B4329" s="3" t="s">
        <v>4329</v>
      </c>
      <c r="C4329" s="3" t="str">
        <f>IFERROR(__xludf.DUMMYFUNCTION("GOOGLETRANSLATE(B4329,""id"",""en"")"),"['cave', 'make', 'tasty', 'really', 'just', 'price', 'package', 'quota', 'expensive', 'expensive', 'boss', '']")</f>
        <v>['cave', 'make', 'tasty', 'really', 'just', 'price', 'package', 'quota', 'expensive', 'expensive', 'boss', '']</v>
      </c>
      <c r="D4329" s="3">
        <v>5.0</v>
      </c>
    </row>
    <row r="4330" ht="15.75" customHeight="1">
      <c r="A4330" s="1">
        <v>4328.0</v>
      </c>
      <c r="B4330" s="3" t="s">
        <v>4330</v>
      </c>
      <c r="C4330" s="3" t="str">
        <f>IFERROR(__xludf.DUMMYFUNCTION("GOOGLETRANSLATE(B4330,""id"",""en"")"),"['disappointing', 'most', 'slow', 'quality', 'network', 'according to', 'price']")</f>
        <v>['disappointing', 'most', 'slow', 'quality', 'network', 'according to', 'price']</v>
      </c>
      <c r="D4330" s="3">
        <v>1.0</v>
      </c>
    </row>
    <row r="4331" ht="15.75" customHeight="1">
      <c r="A4331" s="1">
        <v>4329.0</v>
      </c>
      <c r="B4331" s="3" t="s">
        <v>4331</v>
      </c>
      <c r="C4331" s="3" t="str">
        <f>IFERROR(__xludf.DUMMYFUNCTION("GOOGLETRANSLATE(B4331,""id"",""en"")"),"['bad', 'network', 'like', 'lost', 'data', 'detrimental', 'disappointed']")</f>
        <v>['bad', 'network', 'like', 'lost', 'data', 'detrimental', 'disappointed']</v>
      </c>
      <c r="D4331" s="3">
        <v>1.0</v>
      </c>
    </row>
    <row r="4332" ht="15.75" customHeight="1">
      <c r="A4332" s="1">
        <v>4330.0</v>
      </c>
      <c r="B4332" s="3" t="s">
        <v>4332</v>
      </c>
      <c r="C4332" s="3" t="str">
        <f>IFERROR(__xludf.DUMMYFUNCTION("GOOGLETRANSLATE(B4332,""id"",""en"")"),"['What', 'Tide', 'TPI', 'Check', 'Quota', 'CRI', 'Google', 'NTI', 'Nongol', 'Page', 'Main', 'TPI', ' Page ',' main ',' writing ',' try ',' please ',' donk ',' bli ',' package ',' semalem ',' pke ',' pulse ',' rb ',' tpi ' , 'right', 'check', 'telephone', "&amp;"'sms', 'package', 'please', 'returned', 'packetan']")</f>
        <v>['What', 'Tide', 'TPI', 'Check', 'Quota', 'CRI', 'Google', 'NTI', 'Nongol', 'Page', 'Main', 'TPI', ' Page ',' main ',' writing ',' try ',' please ',' donk ',' bli ',' package ',' semalem ',' pke ',' pulse ',' rb ',' tpi ' , 'right', 'check', 'telephone', 'sms', 'package', 'please', 'returned', 'packetan']</v>
      </c>
      <c r="D4332" s="3">
        <v>1.0</v>
      </c>
    </row>
    <row r="4333" ht="15.75" customHeight="1">
      <c r="A4333" s="1">
        <v>4331.0</v>
      </c>
      <c r="B4333" s="3" t="s">
        <v>4333</v>
      </c>
      <c r="C4333" s="3" t="str">
        <f>IFERROR(__xludf.DUMMYFUNCTION("GOOGLETRANSLATE(B4333,""id"",""en"")"),"['buy', 'package', 'TPI', 'run out', 'validity', 'please', 'Telkomsel', 'difficult', 'burden', 'Costumer', ""]")</f>
        <v>['buy', 'package', 'TPI', 'run out', 'validity', 'please', 'Telkomsel', 'difficult', 'burden', 'Costumer', "]</v>
      </c>
      <c r="D4333" s="3">
        <v>1.0</v>
      </c>
    </row>
    <row r="4334" ht="15.75" customHeight="1">
      <c r="A4334" s="1">
        <v>4332.0</v>
      </c>
      <c r="B4334" s="3" t="s">
        <v>4334</v>
      </c>
      <c r="C4334" s="3" t="str">
        <f>IFERROR(__xludf.DUMMYFUNCTION("GOOGLETRANSLATE(B4334,""id"",""en"")"),"['MAYAL', 'Doang', 'Network', 'Kaga', 'Stable', 'City', 'Lamalama', 'Lined', 'Consumers',' Gini ',' already ',' Tsel ',' Teros']")</f>
        <v>['MAYAL', 'Doang', 'Network', 'Kaga', 'Stable', 'City', 'Lamalama', 'Lined', 'Consumers',' Gini ',' already ',' Tsel ',' Teros']</v>
      </c>
      <c r="D4334" s="3">
        <v>1.0</v>
      </c>
    </row>
    <row r="4335" ht="15.75" customHeight="1">
      <c r="A4335" s="1">
        <v>4333.0</v>
      </c>
      <c r="B4335" s="3" t="s">
        <v>4335</v>
      </c>
      <c r="C4335" s="3" t="str">
        <f>IFERROR(__xludf.DUMMYFUNCTION("GOOGLETRANSLATE(B4335,""id"",""en"")"),"['Stay', 'in the city', 'already', 'use', 'network', 'Telkomsel', '']")</f>
        <v>['Stay', 'in the city', 'already', 'use', 'network', 'Telkomsel', '']</v>
      </c>
      <c r="D4335" s="3">
        <v>1.0</v>
      </c>
    </row>
    <row r="4336" ht="15.75" customHeight="1">
      <c r="A4336" s="1">
        <v>4334.0</v>
      </c>
      <c r="B4336" s="3" t="s">
        <v>4336</v>
      </c>
      <c r="C4336" s="3" t="str">
        <f>IFERROR(__xludf.DUMMYFUNCTION("GOOGLETRANSLATE(B4336,""id"",""en"")"),"['Disappointing', 'Telkomsel', 'TPI', 'right', 'Play', 'Moba', 'Legend', 'Sinya', 'friend', 'smooth', 'Kga', 'lag', ' Even a bit ',' already ',' replace ',' TPI ',' slow ',' forgiveness', 'users',' Telkomsel ',' Bedakn ',' signal ',' disappointed ',' disa"&amp;"ppointed ']")</f>
        <v>['Disappointing', 'Telkomsel', 'TPI', 'right', 'Play', 'Moba', 'Legend', 'Sinya', 'friend', 'smooth', 'Kga', 'lag', ' Even a bit ',' already ',' replace ',' TPI ',' slow ',' forgiveness', 'users',' Telkomsel ',' Bedakn ',' signal ',' disappointed ',' disappointed ']</v>
      </c>
      <c r="D4336" s="3">
        <v>1.0</v>
      </c>
    </row>
    <row r="4337" ht="15.75" customHeight="1">
      <c r="A4337" s="1">
        <v>4335.0</v>
      </c>
      <c r="B4337" s="3" t="s">
        <v>4337</v>
      </c>
      <c r="C4337" s="3" t="str">
        <f>IFERROR(__xludf.DUMMYFUNCTION("GOOGLETRANSLATE(B4337,""id"",""en"")"),"['', 'pay attention', 'taking', 'quota', 'internet', 'usage', 'data', 'already', 'pilah', '']")</f>
        <v>['', 'pay attention', 'taking', 'quota', 'internet', 'usage', 'data', 'already', 'pilah', '']</v>
      </c>
      <c r="D4337" s="3">
        <v>4.0</v>
      </c>
    </row>
    <row r="4338" ht="15.75" customHeight="1">
      <c r="A4338" s="1">
        <v>4336.0</v>
      </c>
      <c r="B4338" s="3" t="s">
        <v>4338</v>
      </c>
      <c r="C4338" s="3" t="str">
        <f>IFERROR(__xludf.DUMMYFUNCTION("GOOGLETRANSLATE(B4338,""id"",""en"")"),"['purchase', 'price', 'package', 'according to', 'quality', 'signal', 'produced', 'quality', 'result', 'maximum', 'nominal', 'satisfied', ' dominant ',' telephone ',' cellular ',' tuk ',' data ',' internet ',' data ',' internet ',' right ',' severe ',' or"&amp;"iginal ',' ']")</f>
        <v>['purchase', 'price', 'package', 'according to', 'quality', 'signal', 'produced', 'quality', 'result', 'maximum', 'nominal', 'satisfied', ' dominant ',' telephone ',' cellular ',' tuk ',' data ',' internet ',' data ',' internet ',' right ',' severe ',' original ',' ']</v>
      </c>
      <c r="D4338" s="3">
        <v>1.0</v>
      </c>
    </row>
    <row r="4339" ht="15.75" customHeight="1">
      <c r="A4339" s="1">
        <v>4337.0</v>
      </c>
      <c r="B4339" s="3" t="s">
        <v>4339</v>
      </c>
      <c r="C4339" s="3" t="str">
        <f>IFERROR(__xludf.DUMMYFUNCTION("GOOGLETRANSLATE(B4339,""id"",""en"")"),"['signal', 'Telkomsel', 'rich', 'no', 'good', 'bangse', 'signal']")</f>
        <v>['signal', 'Telkomsel', 'rich', 'no', 'good', 'bangse', 'signal']</v>
      </c>
      <c r="D4339" s="3">
        <v>1.0</v>
      </c>
    </row>
    <row r="4340" ht="15.75" customHeight="1">
      <c r="A4340" s="1">
        <v>4338.0</v>
      </c>
      <c r="B4340" s="3" t="s">
        <v>4340</v>
      </c>
      <c r="C4340" s="3" t="str">
        <f>IFERROR(__xludf.DUMMYFUNCTION("GOOGLETRANSLATE(B4340,""id"",""en"")"),"['Yok', 'Flocking', 'Blanion', 'Moving', 'Operator', 'Next', 'There', 'Cheap', 'Bro', 'Quality', 'Network', 'Good', ' GB ',' Hurry ',' Ngeapain ',' Survive ',' Dsini ']")</f>
        <v>['Yok', 'Flocking', 'Blanion', 'Moving', 'Operator', 'Next', 'There', 'Cheap', 'Bro', 'Quality', 'Network', 'Good', ' GB ',' Hurry ',' Ngeapain ',' Survive ',' Dsini ']</v>
      </c>
      <c r="D4340" s="3">
        <v>1.0</v>
      </c>
    </row>
    <row r="4341" ht="15.75" customHeight="1">
      <c r="A4341" s="1">
        <v>4339.0</v>
      </c>
      <c r="B4341" s="3" t="s">
        <v>4341</v>
      </c>
      <c r="C4341" s="3" t="str">
        <f>IFERROR(__xludf.DUMMYFUNCTION("GOOGLETRANSLATE(B4341,""id"",""en"")"),"['Less', 'Star', 'Update', 'Dego', 'Gabisa', 'Open', 'Try', 'Continating', 'Gada', 'Dead']")</f>
        <v>['Less', 'Star', 'Update', 'Dego', 'Gabisa', 'Open', 'Try', 'Continating', 'Gada', 'Dead']</v>
      </c>
      <c r="D4341" s="3">
        <v>1.0</v>
      </c>
    </row>
    <row r="4342" ht="15.75" customHeight="1">
      <c r="A4342" s="1">
        <v>4340.0</v>
      </c>
      <c r="B4342" s="3" t="s">
        <v>4342</v>
      </c>
      <c r="C4342" s="3" t="str">
        <f>IFERROR(__xludf.DUMMYFUNCTION("GOOGLETRANSLATE(B4342,""id"",""en"")"),"['gajelas',' peculah ',' system ',' mulu ',' udh ',' that's', 'package', 'expensive', 'price', 'according to', 'signal', 'ilang', ' Mulu ']")</f>
        <v>['gajelas',' peculah ',' system ',' mulu ',' udh ',' that's', 'package', 'expensive', 'price', 'according to', 'signal', 'ilang', ' Mulu ']</v>
      </c>
      <c r="D4342" s="3">
        <v>1.0</v>
      </c>
    </row>
    <row r="4343" ht="15.75" customHeight="1">
      <c r="A4343" s="1">
        <v>4341.0</v>
      </c>
      <c r="B4343" s="3" t="s">
        <v>4343</v>
      </c>
      <c r="C4343" s="3" t="str">
        <f>IFERROR(__xludf.DUMMYFUNCTION("GOOGLETRANSLATE(B4343,""id"",""en"")"),"['Dear', 'provider', 'expensive', 'update', 'Search', 'profit', 'network', 'problematic', 'please', 'network', 'rich', 'garbage', ' network ',' sell ']")</f>
        <v>['Dear', 'provider', 'expensive', 'update', 'Search', 'profit', 'network', 'problematic', 'please', 'network', 'rich', 'garbage', ' network ',' sell ']</v>
      </c>
      <c r="D4343" s="3">
        <v>1.0</v>
      </c>
    </row>
    <row r="4344" ht="15.75" customHeight="1">
      <c r="A4344" s="1">
        <v>4342.0</v>
      </c>
      <c r="B4344" s="3" t="s">
        <v>4344</v>
      </c>
      <c r="C4344" s="3" t="str">
        <f>IFERROR(__xludf.DUMMYFUNCTION("GOOGLETRANSLATE(B4344,""id"",""en"")"),"['strange', 'contents', 'package', 'vocher', 'notification', 'error', 'busy', 'try', ""]")</f>
        <v>['strange', 'contents', 'package', 'vocher', 'notification', 'error', 'busy', 'try', "]</v>
      </c>
      <c r="D4344" s="3">
        <v>1.0</v>
      </c>
    </row>
    <row r="4345" ht="15.75" customHeight="1">
      <c r="A4345" s="1">
        <v>4343.0</v>
      </c>
      <c r="B4345" s="3" t="s">
        <v>4345</v>
      </c>
      <c r="C4345" s="3" t="str">
        <f>IFERROR(__xludf.DUMMYFUNCTION("GOOGLETRANSLATE(B4345,""id"",""en"")"),"['KNPA', 'signal', 'Telkomsel', 'here', 'deteriorates', 'kmrn', 'contents', 'pulses', 'reduced', 'disappointed', 'disappointed']")</f>
        <v>['KNPA', 'signal', 'Telkomsel', 'here', 'deteriorates', 'kmrn', 'contents', 'pulses', 'reduced', 'disappointed', 'disappointed']</v>
      </c>
      <c r="D4345" s="3">
        <v>1.0</v>
      </c>
    </row>
    <row r="4346" ht="15.75" customHeight="1">
      <c r="A4346" s="1">
        <v>4344.0</v>
      </c>
      <c r="B4346" s="3" t="s">
        <v>4346</v>
      </c>
      <c r="C4346" s="3" t="str">
        <f>IFERROR(__xludf.DUMMYFUNCTION("GOOGLETRANSLATE(B4346,""id"",""en"")"),"['sympathy', 'Signal', 'Severe', 'really', 'already', 'rich', 'era', 'times',' buffring ',' mulu ',' signal ',' severe ',' How ',' Comfortable ',' Customer ',' Rich ',' Gini ']")</f>
        <v>['sympathy', 'Signal', 'Severe', 'really', 'already', 'rich', 'era', 'times',' buffring ',' mulu ',' signal ',' severe ',' How ',' Comfortable ',' Customer ',' Rich ',' Gini ']</v>
      </c>
      <c r="D4346" s="3">
        <v>1.0</v>
      </c>
    </row>
    <row r="4347" ht="15.75" customHeight="1">
      <c r="A4347" s="1">
        <v>4345.0</v>
      </c>
      <c r="B4347" s="3" t="s">
        <v>4347</v>
      </c>
      <c r="C4347" s="3" t="str">
        <f>IFERROR(__xludf.DUMMYFUNCTION("GOOGLETRANSLATE(B4347,""id"",""en"")"),"['Please', 'admin', 'fix', 'quality', 'your signal', '']")</f>
        <v>['Please', 'admin', 'fix', 'quality', 'your signal', '']</v>
      </c>
      <c r="D4347" s="3">
        <v>1.0</v>
      </c>
    </row>
    <row r="4348" ht="15.75" customHeight="1">
      <c r="A4348" s="1">
        <v>4346.0</v>
      </c>
      <c r="B4348" s="3" t="s">
        <v>4348</v>
      </c>
      <c r="C4348" s="3" t="str">
        <f>IFERROR(__xludf.DUMMYFUNCTION("GOOGLETRANSLATE(B4348,""id"",""en"")"),"['slow', 'really', 'skrg', 'quota', 'msih', 'pulse', 'suck', 'strange', '']")</f>
        <v>['slow', 'really', 'skrg', 'quota', 'msih', 'pulse', 'suck', 'strange', '']</v>
      </c>
      <c r="D4348" s="3">
        <v>1.0</v>
      </c>
    </row>
    <row r="4349" ht="15.75" customHeight="1">
      <c r="A4349" s="1">
        <v>4347.0</v>
      </c>
      <c r="B4349" s="3" t="s">
        <v>4349</v>
      </c>
      <c r="C4349" s="3" t="str">
        <f>IFERROR(__xludf.DUMMYFUNCTION("GOOGLETRANSLATE(B4349,""id"",""en"")"),"['signal', 'ilang', 'price', 'package', 'price', 'doang', 'comparable', 'ama', 'signal', 'ngerak']")</f>
        <v>['signal', 'ilang', 'price', 'package', 'price', 'doang', 'comparable', 'ama', 'signal', 'ngerak']</v>
      </c>
      <c r="D4349" s="3">
        <v>1.0</v>
      </c>
    </row>
    <row r="4350" ht="15.75" customHeight="1">
      <c r="A4350" s="1">
        <v>4348.0</v>
      </c>
      <c r="B4350" s="3" t="s">
        <v>4350</v>
      </c>
      <c r="C4350" s="3" t="str">
        <f>IFERROR(__xludf.DUMMYFUNCTION("GOOGLETRANSLATE(B4350,""id"",""en"")"),"['The network', 'Kenceng', 'really', 'expensive', 'cave', 'Jabanin', 'slow', 'boss', 'soft']")</f>
        <v>['The network', 'Kenceng', 'really', 'expensive', 'cave', 'Jabanin', 'slow', 'boss', 'soft']</v>
      </c>
      <c r="D4350" s="3">
        <v>5.0</v>
      </c>
    </row>
    <row r="4351" ht="15.75" customHeight="1">
      <c r="A4351" s="1">
        <v>4349.0</v>
      </c>
      <c r="B4351" s="3" t="s">
        <v>4351</v>
      </c>
      <c r="C4351" s="3" t="str">
        <f>IFERROR(__xludf.DUMMYFUNCTION("GOOGLETRANSLATE(B4351,""id"",""en"")"),"['buy', 'pulse', 'package', 'easy', 'cheap', 'road', 'go', 'conter', 'stall', 'pulse', ""]")</f>
        <v>['buy', 'pulse', 'package', 'easy', 'cheap', 'road', 'go', 'conter', 'stall', 'pulse', "]</v>
      </c>
      <c r="D4351" s="3">
        <v>5.0</v>
      </c>
    </row>
    <row r="4352" ht="15.75" customHeight="1">
      <c r="A4352" s="1">
        <v>4350.0</v>
      </c>
      <c r="B4352" s="3" t="s">
        <v>4352</v>
      </c>
      <c r="C4352" s="3" t="str">
        <f>IFERROR(__xludf.DUMMYFUNCTION("GOOGLETRANSLATE(B4352,""id"",""en"")"),"['lag', 'Telkomsel', 'buy', 'package', 'data', '']")</f>
        <v>['lag', 'Telkomsel', 'buy', 'package', 'data', '']</v>
      </c>
      <c r="D4352" s="3">
        <v>1.0</v>
      </c>
    </row>
    <row r="4353" ht="15.75" customHeight="1">
      <c r="A4353" s="1">
        <v>4351.0</v>
      </c>
      <c r="B4353" s="3" t="s">
        <v>4353</v>
      </c>
      <c r="C4353" s="3" t="str">
        <f>IFERROR(__xludf.DUMMYFUNCTION("GOOGLETRANSLATE(B4353,""id"",""en"")"),"['', 'Telkomsel', 'Complent', 'response', 'kah', 'good', 'network', 'good', 'lost', 'network', 'package', 'expensive']")</f>
        <v>['', 'Telkomsel', 'Complent', 'response', 'kah', 'good', 'network', 'good', 'lost', 'network', 'package', 'expensive']</v>
      </c>
      <c r="D4353" s="3">
        <v>1.0</v>
      </c>
    </row>
    <row r="4354" ht="15.75" customHeight="1">
      <c r="A4354" s="1">
        <v>4352.0</v>
      </c>
      <c r="B4354" s="3" t="s">
        <v>4354</v>
      </c>
      <c r="C4354" s="3" t="str">
        <f>IFERROR(__xludf.DUMMYFUNCTION("GOOGLETRANSLATE(B4354,""id"",""en"")"),"['Woy', 'signal', 'Telkomsel', 'slow', 'package', 'expensive', 'right', 'play', 'game', 'signal', 'already', 'taste', ' Main ',' era ',' stone ']")</f>
        <v>['Woy', 'signal', 'Telkomsel', 'slow', 'package', 'expensive', 'right', 'play', 'game', 'signal', 'already', 'taste', ' Main ',' era ',' stone ']</v>
      </c>
      <c r="D4354" s="3">
        <v>1.0</v>
      </c>
    </row>
    <row r="4355" ht="15.75" customHeight="1">
      <c r="A4355" s="1">
        <v>4353.0</v>
      </c>
      <c r="B4355" s="3" t="s">
        <v>4355</v>
      </c>
      <c r="C4355" s="3" t="str">
        <f>IFERROR(__xludf.DUMMYFUNCTION("GOOGLETRANSLATE(B4355,""id"",""en"")"),"['menu', 'changed', 'times', 'update', 'package', 'data', 'rates', 'consistent', '']")</f>
        <v>['menu', 'changed', 'times', 'update', 'package', 'data', 'rates', 'consistent', '']</v>
      </c>
      <c r="D4355" s="3">
        <v>2.0</v>
      </c>
    </row>
    <row r="4356" ht="15.75" customHeight="1">
      <c r="A4356" s="1">
        <v>4354.0</v>
      </c>
      <c r="B4356" s="3" t="s">
        <v>4356</v>
      </c>
      <c r="C4356" s="3" t="str">
        <f>IFERROR(__xludf.DUMMYFUNCTION("GOOGLETRANSLATE(B4356,""id"",""en"")"),"['expensive', 'doang', 'network', 'ugly', 'really', 'package', 'mahalin', 'network', 'bener', ""]")</f>
        <v>['expensive', 'doang', 'network', 'ugly', 'really', 'package', 'mahalin', 'network', 'bener', "]</v>
      </c>
      <c r="D4356" s="3">
        <v>1.0</v>
      </c>
    </row>
    <row r="4357" ht="15.75" customHeight="1">
      <c r="A4357" s="1">
        <v>4355.0</v>
      </c>
      <c r="B4357" s="3" t="s">
        <v>4357</v>
      </c>
      <c r="C4357" s="3" t="str">
        <f>IFERROR(__xludf.DUMMYFUNCTION("GOOGLETRANSLATE(B4357,""id"",""en"")"),"['Bad', 'Network', 'Prasaan', 'cave', 'buy', 'money', 'leaves', '']")</f>
        <v>['Bad', 'Network', 'Prasaan', 'cave', 'buy', 'money', 'leaves', '']</v>
      </c>
      <c r="D4357" s="3">
        <v>1.0</v>
      </c>
    </row>
    <row r="4358" ht="15.75" customHeight="1">
      <c r="A4358" s="1">
        <v>4356.0</v>
      </c>
      <c r="B4358" s="3" t="s">
        <v>4358</v>
      </c>
      <c r="C4358" s="3" t="str">
        <f>IFERROR(__xludf.DUMMYFUNCTION("GOOGLETRANSLATE(B4358,""id"",""en"")"),"['Sorry', 'user', 'Exchange', 'Points', 'BNR', 'DPT', 'Gift', 'Love', 'Star', ""]")</f>
        <v>['Sorry', 'user', 'Exchange', 'Points', 'BNR', 'DPT', 'Gift', 'Love', 'Star', "]</v>
      </c>
      <c r="D4358" s="3">
        <v>3.0</v>
      </c>
    </row>
    <row r="4359" ht="15.75" customHeight="1">
      <c r="A4359" s="1">
        <v>4357.0</v>
      </c>
      <c r="B4359" s="3" t="s">
        <v>4359</v>
      </c>
      <c r="C4359" s="3" t="str">
        <f>IFERROR(__xludf.DUMMYFUNCTION("GOOGLETRANSLATE(B4359,""id"",""en"")"),"['hope', 'promo', 'really', 'no', 'hoax', 'hope', 'game', 'person', 'right', 'pure', 'pure', 'promo', ' Real ',' card ',' Hello ',' Customer ',' Nidak ',' Disappointed ',' Use ',' Card ',' Haloo ',' Telkom ',' Cell ',' Hope ',' Ridho ' , 'Allah', 'swt', '"&amp;"car', 'Avanza', 'child', 'baby', 'born', 'happy', 'aamiin', 'pray for', 'employee', 'card' Hello ',' Telkomsel ',' Protection ',' Allah ',' SWT ',' Aamiin ',' Hopefully ',' Employee ',' Card ',' Hello ',' Sukse ']")</f>
        <v>['hope', 'promo', 'really', 'no', 'hoax', 'hope', 'game', 'person', 'right', 'pure', 'pure', 'promo', ' Real ',' card ',' Hello ',' Customer ',' Nidak ',' Disappointed ',' Use ',' Card ',' Haloo ',' Telkom ',' Cell ',' Hope ',' Ridho ' , 'Allah', 'swt', 'car', 'Avanza', 'child', 'baby', 'born', 'happy', 'aamiin', 'pray for', 'employee', 'card' Hello ',' Telkomsel ',' Protection ',' Allah ',' SWT ',' Aamiin ',' Hopefully ',' Employee ',' Card ',' Hello ',' Sukse ']</v>
      </c>
      <c r="D4359" s="3">
        <v>5.0</v>
      </c>
    </row>
    <row r="4360" ht="15.75" customHeight="1">
      <c r="A4360" s="1">
        <v>4358.0</v>
      </c>
      <c r="B4360" s="3" t="s">
        <v>4360</v>
      </c>
      <c r="C4360" s="3" t="str">
        <f>IFERROR(__xludf.DUMMYFUNCTION("GOOGLETRANSLATE(B4360,""id"",""en"")"),"['', 'Allooohhh', 'Telkomsel', 'Paketan', 'expensive', 'really', 'gangbouang', 'network', 'Lemooott', 'Tower', 'Telkomsel', 'slowly', 'strangling ',' People ',' ']")</f>
        <v>['', 'Allooohhh', 'Telkomsel', 'Paketan', 'expensive', 'really', 'gangbouang', 'network', 'Lemooott', 'Tower', 'Telkomsel', 'slowly', 'strangling ',' People ',' ']</v>
      </c>
      <c r="D4360" s="3">
        <v>1.0</v>
      </c>
    </row>
    <row r="4361" ht="15.75" customHeight="1">
      <c r="A4361" s="1">
        <v>4359.0</v>
      </c>
      <c r="B4361" s="3" t="s">
        <v>4361</v>
      </c>
      <c r="C4361" s="3" t="str">
        <f>IFERROR(__xludf.DUMMYFUNCTION("GOOGLETRANSLATE(B4361,""id"",""en"")"),"['Easy', 'Makai', 'TPI', 'KLU', 'Language', 'Indonesia', 'KALANGA', 'EASY', '']")</f>
        <v>['Easy', 'Makai', 'TPI', 'KLU', 'Language', 'Indonesia', 'KALANGA', 'EASY', '']</v>
      </c>
      <c r="D4361" s="3">
        <v>5.0</v>
      </c>
    </row>
    <row r="4362" ht="15.75" customHeight="1">
      <c r="A4362" s="1">
        <v>4360.0</v>
      </c>
      <c r="B4362" s="3" t="s">
        <v>4362</v>
      </c>
      <c r="C4362" s="3" t="str">
        <f>IFERROR(__xludf.DUMMYFUNCTION("GOOGLETRANSLATE(B4362,""id"",""en"")"),"['entry', 'difficult', 'quota', 'Telkomsel', 'Wait', 'entry', 'really', 'think', 'replace', 'provider', 'good', 'city', ' Bandung', '']")</f>
        <v>['entry', 'difficult', 'quota', 'Telkomsel', 'Wait', 'entry', 'really', 'think', 'replace', 'provider', 'good', 'city', ' Bandung', '']</v>
      </c>
      <c r="D4362" s="3">
        <v>1.0</v>
      </c>
    </row>
    <row r="4363" ht="15.75" customHeight="1">
      <c r="A4363" s="1">
        <v>4361.0</v>
      </c>
      <c r="B4363" s="3" t="s">
        <v>4363</v>
      </c>
      <c r="C4363" s="3" t="str">
        <f>IFERROR(__xludf.DUMMYFUNCTION("GOOGLETRANSLATE(B4363,""id"",""en"")"),"['Credit', 'Taken', 'Sometimes',' Rb ',' Rb ',' Rb ',' Kuotaku ',' Gapernah ',' SMS ',' telephone ',' already ',' no ',' Pulsely ',' ']")</f>
        <v>['Credit', 'Taken', 'Sometimes',' Rb ',' Rb ',' Rb ',' Kuotaku ',' Gapernah ',' SMS ',' telephone ',' already ',' no ',' Pulsely ',' ']</v>
      </c>
      <c r="D4363" s="3">
        <v>1.0</v>
      </c>
    </row>
    <row r="4364" ht="15.75" customHeight="1">
      <c r="A4364" s="1">
        <v>4362.0</v>
      </c>
      <c r="B4364" s="3" t="s">
        <v>4364</v>
      </c>
      <c r="C4364" s="3" t="str">
        <f>IFERROR(__xludf.DUMMYFUNCTION("GOOGLETRANSLATE(B4364,""id"",""en"")"),"['here', 'severe', 'signal', 'Sampe', 'Pegel', 'Nelfonin', 'Telkomsel', 'Case', 'Signal', 'Buy', 'Package', 'Internet', ' above ',' GB ',' please ',' inniin ',' report ',' Customer ',' Ampe ',' Repeat ',' repeat ']")</f>
        <v>['here', 'severe', 'signal', 'Sampe', 'Pegel', 'Nelfonin', 'Telkomsel', 'Case', 'Signal', 'Buy', 'Package', 'Internet', ' above ',' GB ',' please ',' inniin ',' report ',' Customer ',' Ampe ',' Repeat ',' repeat ']</v>
      </c>
      <c r="D4364" s="3">
        <v>1.0</v>
      </c>
    </row>
    <row r="4365" ht="15.75" customHeight="1">
      <c r="A4365" s="1">
        <v>4363.0</v>
      </c>
      <c r="B4365" s="3" t="s">
        <v>4365</v>
      </c>
      <c r="C4365" s="3" t="str">
        <f>IFERROR(__xludf.DUMMYFUNCTION("GOOGLETRANSLATE(B4365,""id"",""en"")"),"['Help', 'The application', 'good', 'difficult']")</f>
        <v>['Help', 'The application', 'good', 'difficult']</v>
      </c>
      <c r="D4365" s="3">
        <v>5.0</v>
      </c>
    </row>
    <row r="4366" ht="15.75" customHeight="1">
      <c r="A4366" s="1">
        <v>4364.0</v>
      </c>
      <c r="B4366" s="3" t="s">
        <v>4366</v>
      </c>
      <c r="C4366" s="3" t="str">
        <f>IFERROR(__xludf.DUMMYFUNCTION("GOOGLETRANSLATE(B4366,""id"",""en"")"),"['Network', 'Telkomsel', 'good', 'wanted', 'replace']")</f>
        <v>['Network', 'Telkomsel', 'good', 'wanted', 'replace']</v>
      </c>
      <c r="D4366" s="3">
        <v>4.0</v>
      </c>
    </row>
    <row r="4367" ht="15.75" customHeight="1">
      <c r="A4367" s="1">
        <v>4365.0</v>
      </c>
      <c r="B4367" s="3" t="s">
        <v>4367</v>
      </c>
      <c r="C4367" s="3" t="str">
        <f>IFERROR(__xludf.DUMMYFUNCTION("GOOGLETRANSLATE(B4367,""id"",""en"")"),"['price', 'package', 'quality', 'improved', 'decreases',' signal ',' class', 'Telkomsel', 'Profaid', 'Bener', 'Disappointed', 'mind', ' price ',' package ',' entry ',' sense ',' buy ',' package ',' price ',' already ',' get ',' many years', 'use', 'Telkom"&amp;"sel', 'think' , 'Change', 'Profaidi']")</f>
        <v>['price', 'package', 'quality', 'improved', 'decreases',' signal ',' class', 'Telkomsel', 'Profaid', 'Bener', 'Disappointed', 'mind', ' price ',' package ',' entry ',' sense ',' buy ',' package ',' price ',' already ',' get ',' many years', 'use', 'Telkomsel', 'think' , 'Change', 'Profaidi']</v>
      </c>
      <c r="D4367" s="3">
        <v>1.0</v>
      </c>
    </row>
    <row r="4368" ht="15.75" customHeight="1">
      <c r="A4368" s="1">
        <v>4366.0</v>
      </c>
      <c r="B4368" s="3" t="s">
        <v>4368</v>
      </c>
      <c r="C4368" s="3" t="str">
        <f>IFERROR(__xludf.DUMMYFUNCTION("GOOGLETRANSLATE(B4368,""id"",""en"")"),"['Telkomsel', 'signal', 'YouTube', 'Loading', 'Internet', 'Difficult', 'Class', 'Telkomsel', 'Star', 'Reduce', '']")</f>
        <v>['Telkomsel', 'signal', 'YouTube', 'Loading', 'Internet', 'Difficult', 'Class', 'Telkomsel', 'Star', 'Reduce', '']</v>
      </c>
      <c r="D4368" s="3">
        <v>1.0</v>
      </c>
    </row>
    <row r="4369" ht="15.75" customHeight="1">
      <c r="A4369" s="1">
        <v>4367.0</v>
      </c>
      <c r="B4369" s="3" t="s">
        <v>4369</v>
      </c>
      <c r="C4369" s="3" t="str">
        <f>IFERROR(__xludf.DUMMYFUNCTION("GOOGLETRANSLATE(B4369,""id"",""en"")"),"['Thank you', 'Telkomsel', 'Reasons',' Love ',' Star ',' GraPARI ',' CS ',' Having ',' Solution ',' Problems', 'Complete', 'GraPARI', ' card ',' physical ',' used ',' number ',' scorched ',' returned ',' overcome ',' overcome ',' restore ',' number ',' ch"&amp;"arred ',' call ',' call ' , 'center', 'counterstrike', 'point', 'blank', 'told', 'grapari', 'repeat', 'number', 'thank you', 'Telkomsel', 'destroy', 'my business']")</f>
        <v>['Thank you', 'Telkomsel', 'Reasons',' Love ',' Star ',' GraPARI ',' CS ',' Having ',' Solution ',' Problems', 'Complete', 'GraPARI', ' card ',' physical ',' used ',' number ',' scorched ',' returned ',' overcome ',' overcome ',' restore ',' number ',' charred ',' call ',' call ' , 'center', 'counterstrike', 'point', 'blank', 'told', 'grapari', 'repeat', 'number', 'thank you', 'Telkomsel', 'destroy', 'my business']</v>
      </c>
      <c r="D4369" s="3">
        <v>1.0</v>
      </c>
    </row>
    <row r="4370" ht="15.75" customHeight="1">
      <c r="A4370" s="1">
        <v>4368.0</v>
      </c>
      <c r="B4370" s="3" t="s">
        <v>4370</v>
      </c>
      <c r="C4370" s="3" t="str">
        <f>IFERROR(__xludf.DUMMYFUNCTION("GOOGLETRANSLATE(B4370,""id"",""en"")"),"['Severe', 'disappointing', 'enter', 'Telkomsel', 'pulse', 'truncated', 'jua', 'responsibility', 'responsibility', 'thousand', 'cut']")</f>
        <v>['Severe', 'disappointing', 'enter', 'Telkomsel', 'pulse', 'truncated', 'jua', 'responsibility', 'responsibility', 'thousand', 'cut']</v>
      </c>
      <c r="D4370" s="3">
        <v>1.0</v>
      </c>
    </row>
    <row r="4371" ht="15.75" customHeight="1">
      <c r="A4371" s="1">
        <v>4369.0</v>
      </c>
      <c r="B4371" s="3" t="s">
        <v>4371</v>
      </c>
      <c r="C4371" s="3" t="str">
        <f>IFERROR(__xludf.DUMMYFUNCTION("GOOGLETRANSLATE(B4371,""id"",""en"")"),"['Disappointed', 'Telkomsel', 'Uda', 'night', 'network', 'slow', 'really', 'game', 'motion', 'special', 'area', 'Perawang', ' Kab ',' Siak ',' Riau ',' Improvment ',' Netting ',' Region ',' Disappointed ',' Tens', 'Use', 'Tlkomsel', ""]")</f>
        <v>['Disappointed', 'Telkomsel', 'Uda', 'night', 'network', 'slow', 'really', 'game', 'motion', 'special', 'area', 'Perawang', ' Kab ',' Siak ',' Riau ',' Improvment ',' Netting ',' Region ',' Disappointed ',' Tens', 'Use', 'Tlkomsel', "]</v>
      </c>
      <c r="D4371" s="3">
        <v>1.0</v>
      </c>
    </row>
    <row r="4372" ht="15.75" customHeight="1">
      <c r="A4372" s="1">
        <v>4370.0</v>
      </c>
      <c r="B4372" s="3" t="s">
        <v>4372</v>
      </c>
      <c r="C4372" s="3" t="str">
        <f>IFERROR(__xludf.DUMMYFUNCTION("GOOGLETRANSLATE(B4372,""id"",""en"")"),"['kerity', 'network', 'Telkomsel', 'ugly', 'really', 'rich', 'smartfren', 'network', 'ugly', 'cheap', 'provider', 'expensive', ' network ',' asssyyyuuuu ',' expensive ',' doank ',' network ',' nyeselll ',' buy ',' quota ',' network ',' ajah ',' rich ',' s"&amp;"ignal ',' smartfren ' , 'Price', 'murahh', '']")</f>
        <v>['kerity', 'network', 'Telkomsel', 'ugly', 'really', 'rich', 'smartfren', 'network', 'ugly', 'cheap', 'provider', 'expensive', ' network ',' asssyyyuuuu ',' expensive ',' doank ',' network ',' nyeselll ',' buy ',' quota ',' network ',' ajah ',' rich ',' signal ',' smartfren ' , 'Price', 'murahh', '']</v>
      </c>
      <c r="D4372" s="3">
        <v>1.0</v>
      </c>
    </row>
    <row r="4373" ht="15.75" customHeight="1">
      <c r="A4373" s="1">
        <v>4371.0</v>
      </c>
      <c r="B4373" s="3" t="s">
        <v>4373</v>
      </c>
      <c r="C4373" s="3" t="str">
        <f>IFERROR(__xludf.DUMMYFUNCTION("GOOGLETRANSLATE(B4373,""id"",""en"")"),"['Services',' Service ',' Telkomsel ',' Registration ',' Installation ',' Change ',' Number ',' Charging ',' Pulse ',' Package ',' Data ',' Etc. ',' Buy ',' Pulse ',' Telkomsel ',' Rating ',' Application ']")</f>
        <v>['Services',' Service ',' Telkomsel ',' Registration ',' Installation ',' Change ',' Number ',' Charging ',' Pulse ',' Package ',' Data ',' Etc. ',' Buy ',' Pulse ',' Telkomsel ',' Rating ',' Application ']</v>
      </c>
      <c r="D4373" s="3">
        <v>4.0</v>
      </c>
    </row>
    <row r="4374" ht="15.75" customHeight="1">
      <c r="A4374" s="1">
        <v>4372.0</v>
      </c>
      <c r="B4374" s="3" t="s">
        <v>4374</v>
      </c>
      <c r="C4374" s="3" t="str">
        <f>IFERROR(__xludf.DUMMYFUNCTION("GOOGLETRANSLATE(B4374,""id"",""en"")"),"['here', 'Telkomsel', 'package', 'expensive', 'really', 'plus',' signal ',' ugly ',' according to ',' expected ',' Please ',' fix ',' signal ']")</f>
        <v>['here', 'Telkomsel', 'package', 'expensive', 'really', 'plus',' signal ',' ugly ',' according to ',' expected ',' Please ',' fix ',' signal ']</v>
      </c>
      <c r="D4374" s="3">
        <v>1.0</v>
      </c>
    </row>
    <row r="4375" ht="15.75" customHeight="1">
      <c r="A4375" s="1">
        <v>4373.0</v>
      </c>
      <c r="B4375" s="3" t="s">
        <v>4375</v>
      </c>
      <c r="C4375" s="3" t="str">
        <f>IFERROR(__xludf.DUMMYFUNCTION("GOOGLETRANSLATE(B4375,""id"",""en"")"),"['Sousinyal', 'ugly', 'severe', 'send', 'work', 'failure', 'mere', 'jakarta', 'price', 'expensive', 'signal', 'lose', ' Providers', 'Love', 'Price', 'Cheap', '']")</f>
        <v>['Sousinyal', 'ugly', 'severe', 'send', 'work', 'failure', 'mere', 'jakarta', 'price', 'expensive', 'signal', 'lose', ' Providers', 'Love', 'Price', 'Cheap', '']</v>
      </c>
      <c r="D4375" s="3">
        <v>1.0</v>
      </c>
    </row>
    <row r="4376" ht="15.75" customHeight="1">
      <c r="A4376" s="1">
        <v>4374.0</v>
      </c>
      <c r="B4376" s="3" t="s">
        <v>4376</v>
      </c>
      <c r="C4376" s="3" t="str">
        <f>IFERROR(__xludf.DUMMYFUNCTION("GOOGLETRANSLATE(B4376,""id"",""en"")"),"['friend', 'buy', 'package', 'quota', 'outlet', 'Alfamart', 'paid', 'his receipt', 'pulses',' enter ',' orbit ',' confirmed ',' Masi ',' GMN ',' Nyanol ',' DMN ',' GB ',' Trusted ',' Graha ',' Pari ',' Telkomsel ', ""]")</f>
        <v>['friend', 'buy', 'package', 'quota', 'outlet', 'Alfamart', 'paid', 'his receipt', 'pulses',' enter ',' orbit ',' confirmed ',' Masi ',' GMN ',' Nyanol ',' DMN ',' GB ',' Trusted ',' Graha ',' Pari ',' Telkomsel ', "]</v>
      </c>
      <c r="D4376" s="3">
        <v>1.0</v>
      </c>
    </row>
    <row r="4377" ht="15.75" customHeight="1">
      <c r="A4377" s="1">
        <v>4375.0</v>
      </c>
      <c r="B4377" s="3" t="s">
        <v>4377</v>
      </c>
      <c r="C4377" s="3" t="str">
        <f>IFERROR(__xludf.DUMMYFUNCTION("GOOGLETRANSLATE(B4377,""id"",""en"")"),"['Network', 'difficult', 'region', 'Bali', 'may', 'slow', 'break up', 'broke', 'list', 'Cobo', 'UDH', 'AFFIF', ' KOG ',' BSA ',' Connk ',' Internet ',' Cell ',' Tsel ',' Your Network ']")</f>
        <v>['Network', 'difficult', 'region', 'Bali', 'may', 'slow', 'break up', 'broke', 'list', 'Cobo', 'UDH', 'AFFIF', ' KOG ',' BSA ',' Connk ',' Internet ',' Cell ',' Tsel ',' Your Network ']</v>
      </c>
      <c r="D4377" s="3">
        <v>1.0</v>
      </c>
    </row>
    <row r="4378" ht="15.75" customHeight="1">
      <c r="A4378" s="1">
        <v>4376.0</v>
      </c>
      <c r="B4378" s="3" t="s">
        <v>4378</v>
      </c>
      <c r="C4378" s="3" t="str">
        <f>IFERROR(__xludf.DUMMYFUNCTION("GOOGLETRANSLATE(B4378,""id"",""en"")"),"['Hello', 'kak', 'admin', 'number', 'pulses',' increase ',' contents', 'RB', 'credit', 'enter', 'afraid', 'number', ' Dead ',' nomer ',' really ',' school ',' please ',' open ',' apk ',' written ',' loading ',' page ',' wifi ',' already ',' repasse ' , 't"&amp;"imes', 'refresh', 'please', 'help', ""]")</f>
        <v>['Hello', 'kak', 'admin', 'number', 'pulses',' increase ',' contents', 'RB', 'credit', 'enter', 'afraid', 'number', ' Dead ',' nomer ',' really ',' school ',' please ',' open ',' apk ',' written ',' loading ',' page ',' wifi ',' already ',' repasse ' , 'times', 'refresh', 'please', 'help', "]</v>
      </c>
      <c r="D4378" s="3">
        <v>1.0</v>
      </c>
    </row>
    <row r="4379" ht="15.75" customHeight="1">
      <c r="A4379" s="1">
        <v>4377.0</v>
      </c>
      <c r="B4379" s="3" t="s">
        <v>4379</v>
      </c>
      <c r="C4379" s="3" t="str">
        <f>IFERROR(__xludf.DUMMYFUNCTION("GOOGLETRANSLATE(B4379,""id"",""en"")"),"['Telkomsel', 'chaotic', 'subscribe', 'package', 'call', 'confirm', 'sms',' pantesan ',' pulse ',' fast ',' run out ',' pdh ',' Rarely ',' telkomsel ',' Telkomsel ',' how ',' nich ',' his responsibilities', 'no', 'better', 'Dubarin', 'Loss',' ']")</f>
        <v>['Telkomsel', 'chaotic', 'subscribe', 'package', 'call', 'confirm', 'sms',' pantesan ',' pulse ',' fast ',' run out ',' pdh ',' Rarely ',' telkomsel ',' Telkomsel ',' how ',' nich ',' his responsibilities', 'no', 'better', 'Dubarin', 'Loss',' ']</v>
      </c>
      <c r="D4379" s="3">
        <v>1.0</v>
      </c>
    </row>
    <row r="4380" ht="15.75" customHeight="1">
      <c r="A4380" s="1">
        <v>4378.0</v>
      </c>
      <c r="B4380" s="3" t="s">
        <v>4380</v>
      </c>
      <c r="C4380" s="3" t="str">
        <f>IFERROR(__xludf.DUMMYFUNCTION("GOOGLETRANSLATE(B4380,""id"",""en"")"),"['Erick', 'Tohir', 'Please', 'Telkomsel', 'Audit', 'Cook', 'Pulse', 'Expensive', 'Application', 'Lemot', 'Gara', 'Gara', ' slow ',' right ',' contents', 'package', 'data', 'pulseku', 'run out', 'sumps',' left ',' ']")</f>
        <v>['Erick', 'Tohir', 'Please', 'Telkomsel', 'Audit', 'Cook', 'Pulse', 'Expensive', 'Application', 'Lemot', 'Gara', 'Gara', ' slow ',' right ',' contents', 'package', 'data', 'pulseku', 'run out', 'sumps',' left ',' ']</v>
      </c>
      <c r="D4380" s="3">
        <v>1.0</v>
      </c>
    </row>
    <row r="4381" ht="15.75" customHeight="1">
      <c r="A4381" s="1">
        <v>4379.0</v>
      </c>
      <c r="B4381" s="3" t="s">
        <v>4381</v>
      </c>
      <c r="C4381" s="3" t="str">
        <f>IFERROR(__xludf.DUMMYFUNCTION("GOOGLETRANSLATE(B4381,""id"",""en"")"),"['making easier', 'transact', 'level', 'bonus', 'level', 'confidentiality', 'private', 'data', 'app', 'link']")</f>
        <v>['making easier', 'transact', 'level', 'bonus', 'level', 'confidentiality', 'private', 'data', 'app', 'link']</v>
      </c>
      <c r="D4381" s="3">
        <v>5.0</v>
      </c>
    </row>
    <row r="4382" ht="15.75" customHeight="1">
      <c r="A4382" s="1">
        <v>4380.0</v>
      </c>
      <c r="B4382" s="3" t="s">
        <v>4382</v>
      </c>
      <c r="C4382" s="3" t="str">
        <f>IFERROR(__xludf.DUMMYFUNCTION("GOOGLETRANSLATE(B4382,""id"",""en"")"),"['Enhanced', 'Performance', 'User', 'Server', 'HRS', 'Gedhe', '']")</f>
        <v>['Enhanced', 'Performance', 'User', 'Server', 'HRS', 'Gedhe', '']</v>
      </c>
      <c r="D4382" s="3">
        <v>5.0</v>
      </c>
    </row>
    <row r="4383" ht="15.75" customHeight="1">
      <c r="A4383" s="1">
        <v>4381.0</v>
      </c>
      <c r="B4383" s="3" t="s">
        <v>4383</v>
      </c>
      <c r="C4383" s="3" t="str">
        <f>IFERROR(__xludf.DUMMYFUNCTION("GOOGLETRANSLATE(B4383,""id"",""en"")"),"['Please', 'ksh', 'officials',' love ',' package ',' cheap ',' signal ',' ugly ',' already ',' entry ',' clock ',' location ',' Housing ',' Bumi ',' Citra ',' Lestari ',' Cikarang ',' North ',' Kab ',' Bekasi ']")</f>
        <v>['Please', 'ksh', 'officials',' love ',' package ',' cheap ',' signal ',' ugly ',' already ',' entry ',' clock ',' location ',' Housing ',' Bumi ',' Citra ',' Lestari ',' Cikarang ',' North ',' Kab ',' Bekasi ']</v>
      </c>
      <c r="D4383" s="3">
        <v>1.0</v>
      </c>
    </row>
    <row r="4384" ht="15.75" customHeight="1">
      <c r="A4384" s="1">
        <v>4382.0</v>
      </c>
      <c r="B4384" s="3" t="s">
        <v>4384</v>
      </c>
      <c r="C4384" s="3" t="str">
        <f>IFERROR(__xludf.DUMMYFUNCTION("GOOGLETRANSLATE(B4384,""id"",""en"")"),"['Telkomsel', 'card', 'Hello', 'disappointing', 'quota', 'wasteful', 'fast', 'really', 'sucked', 'a month', 'regret', 'migration', ' kartu Halo', '']")</f>
        <v>['Telkomsel', 'card', 'Hello', 'disappointing', 'quota', 'wasteful', 'fast', 'really', 'sucked', 'a month', 'regret', 'migration', ' kartu Halo', '']</v>
      </c>
      <c r="D4384" s="3">
        <v>1.0</v>
      </c>
    </row>
    <row r="4385" ht="15.75" customHeight="1">
      <c r="A4385" s="1">
        <v>4383.0</v>
      </c>
      <c r="B4385" s="3" t="s">
        <v>4385</v>
      </c>
      <c r="C4385" s="3" t="str">
        <f>IFERROR(__xludf.DUMMYFUNCTION("GOOGLETRANSLATE(B4385,""id"",""en"")"),"['Mohan', 'Mahaf', 'Application', 'Disappointing', 'Uda', 'Buy', 'Package', 'Pakek', 'Pulse', 'Katya', 'Clock', 'Enter', ' hours', 'Wait', 'enter']")</f>
        <v>['Mohan', 'Mahaf', 'Application', 'Disappointing', 'Uda', 'Buy', 'Package', 'Pakek', 'Pulse', 'Katya', 'Clock', 'Enter', ' hours', 'Wait', 'enter']</v>
      </c>
      <c r="D4385" s="3">
        <v>1.0</v>
      </c>
    </row>
    <row r="4386" ht="15.75" customHeight="1">
      <c r="A4386" s="1">
        <v>4384.0</v>
      </c>
      <c r="B4386" s="3" t="s">
        <v>4386</v>
      </c>
      <c r="C4386" s="3" t="str">
        <f>IFERROR(__xludf.DUMMYFUNCTION("GOOGLETRANSLATE(B4386,""id"",""en"")"),"['Sometimes',' slow ',' bandwidth ',' sometimes', 'stable', 'blank', 'spot', 'exchange', 'point', 'quota', 'GB', 'Redem', ' The reason ',' system ',' busy ',' telephone ',' minutes', 'dead', 'Telkomsel']")</f>
        <v>['Sometimes',' slow ',' bandwidth ',' sometimes', 'stable', 'blank', 'spot', 'exchange', 'point', 'quota', 'GB', 'Redem', ' The reason ',' system ',' busy ',' telephone ',' minutes', 'dead', 'Telkomsel']</v>
      </c>
      <c r="D4386" s="3">
        <v>1.0</v>
      </c>
    </row>
    <row r="4387" ht="15.75" customHeight="1">
      <c r="A4387" s="1">
        <v>4385.0</v>
      </c>
      <c r="B4387" s="3" t="s">
        <v>4387</v>
      </c>
      <c r="C4387" s="3" t="str">
        <f>IFERROR(__xludf.DUMMYFUNCTION("GOOGLETRANSLATE(B4387,""id"",""en"")"),"['Love', 'Star', 'Krna', 'Network', 'Telkomsel', 'Skarang', 'Jdi', 'Lelot', 'Severe', 'Please', 'Telkomsel', 'Fix', ' The application ',' ']")</f>
        <v>['Love', 'Star', 'Krna', 'Network', 'Telkomsel', 'Skarang', 'Jdi', 'Lelot', 'Severe', 'Please', 'Telkomsel', 'Fix', ' The application ',' ']</v>
      </c>
      <c r="D4387" s="3">
        <v>2.0</v>
      </c>
    </row>
    <row r="4388" ht="15.75" customHeight="1">
      <c r="A4388" s="1">
        <v>4386.0</v>
      </c>
      <c r="B4388" s="3" t="s">
        <v>4388</v>
      </c>
      <c r="C4388" s="3" t="str">
        <f>IFERROR(__xludf.DUMMYFUNCTION("GOOGLETRANSLATE(B4388,""id"",""en"")"),"['Star', 'Reason', 'Telkomsel', 'Sinyal', 'Lemot', 'Katya', 'Increases',' Quality ',' Increases', 'Price', 'Package', 'Internet', ' NOT ',' The network ',' Bolh ',' Love ',' Bintang ',' TPI ',' Dumerants', 'user', 'Disappointed', 'Price', 'Package', 'Powe"&amp;"r', 'Expensive' , 'Net', 'cheap', 'fix', 'network', 'disappointed', 'telkomsel', 'nati', 'love', 'star', 'sleep', ""]")</f>
        <v>['Star', 'Reason', 'Telkomsel', 'Sinyal', 'Lemot', 'Katya', 'Increases',' Quality ',' Increases', 'Price', 'Package', 'Internet', ' NOT ',' The network ',' Bolh ',' Love ',' Bintang ',' TPI ',' Dumerants', 'user', 'Disappointed', 'Price', 'Package', 'Power', 'Expensive' , 'Net', 'cheap', 'fix', 'network', 'disappointed', 'telkomsel', 'nati', 'love', 'star', 'sleep', "]</v>
      </c>
      <c r="D4388" s="3">
        <v>1.0</v>
      </c>
    </row>
    <row r="4389" ht="15.75" customHeight="1">
      <c r="A4389" s="1">
        <v>4387.0</v>
      </c>
      <c r="B4389" s="3" t="s">
        <v>4389</v>
      </c>
      <c r="C4389" s="3" t="str">
        <f>IFERROR(__xludf.DUMMYFUNCTION("GOOGLETRANSLATE(B4389,""id"",""en"")"),"['strange', 'fill in', 'pulse', 'abis',' until ',' fill ',' times', 'tetlalu', 'pulse', 'takein', 'Telkomsel', 'I said', ' ']")</f>
        <v>['strange', 'fill in', 'pulse', 'abis',' until ',' fill ',' times', 'tetlalu', 'pulse', 'takein', 'Telkomsel', 'I said', ' ']</v>
      </c>
      <c r="D4389" s="3">
        <v>1.0</v>
      </c>
    </row>
    <row r="4390" ht="15.75" customHeight="1">
      <c r="A4390" s="1">
        <v>4388.0</v>
      </c>
      <c r="B4390" s="3" t="s">
        <v>4390</v>
      </c>
      <c r="C4390" s="3" t="str">
        <f>IFERROR(__xludf.DUMMYFUNCTION("GOOGLETRANSLATE(B4390,""id"",""en"")"),"['cave', 'buy', 'quota', 'cheap', 'network', 'bad', 'fast', 'kelarin', 'already', 'a month', 'region', 'Bali', ' ']")</f>
        <v>['cave', 'buy', 'quota', 'cheap', 'network', 'bad', 'fast', 'kelarin', 'already', 'a month', 'region', 'Bali', ' ']</v>
      </c>
      <c r="D4390" s="3">
        <v>1.0</v>
      </c>
    </row>
    <row r="4391" ht="15.75" customHeight="1">
      <c r="A4391" s="1">
        <v>4389.0</v>
      </c>
      <c r="B4391" s="3" t="s">
        <v>4391</v>
      </c>
      <c r="C4391" s="3" t="str">
        <f>IFERROR(__xludf.DUMMYFUNCTION("GOOGLETRANSLATE(B4391,""id"",""en"")"),"['Use', 'Telkomsel', 'Road', 'Road', 'there', 'here', 'Nyari', 'Network']")</f>
        <v>['Use', 'Telkomsel', 'Road', 'Road', 'there', 'here', 'Nyari', 'Network']</v>
      </c>
      <c r="D4391" s="3">
        <v>1.0</v>
      </c>
    </row>
    <row r="4392" ht="15.75" customHeight="1">
      <c r="A4392" s="1">
        <v>4390.0</v>
      </c>
      <c r="B4392" s="3" t="s">
        <v>4392</v>
      </c>
      <c r="C4392" s="3" t="str">
        <f>IFERROR(__xludf.DUMMYFUNCTION("GOOGLETRANSLATE(B4392,""id"",""en"")"),"['Network', 'Internet', 'Telkomsel', 'lag', 'Severe', 'APL', 'APL', 'Game', 'Online', 'evenly', 'lag']")</f>
        <v>['Network', 'Internet', 'Telkomsel', 'lag', 'Severe', 'APL', 'APL', 'Game', 'Online', 'evenly', 'lag']</v>
      </c>
      <c r="D4392" s="3">
        <v>1.0</v>
      </c>
    </row>
    <row r="4393" ht="15.75" customHeight="1">
      <c r="A4393" s="1">
        <v>4391.0</v>
      </c>
      <c r="B4393" s="3" t="s">
        <v>4393</v>
      </c>
      <c r="C4393" s="3" t="str">
        <f>IFERROR(__xludf.DUMMYFUNCTION("GOOGLETRANSLATE(B4393,""id"",""en"")"),"['Disappointed', 'Telkomsel', 'Sekrg', 'Credit', 'Emergency', 'Sya', 'SMS', 'Bayr', 'Credit', 'Emergency', 'GIMN', 'Fill', ' Credit ',' Direct ',' Cut ',' GIMN ',' Telkomsel ',' ']")</f>
        <v>['Disappointed', 'Telkomsel', 'Sekrg', 'Credit', 'Emergency', 'Sya', 'SMS', 'Bayr', 'Credit', 'Emergency', 'GIMN', 'Fill', ' Credit ',' Direct ',' Cut ',' GIMN ',' Telkomsel ',' ']</v>
      </c>
      <c r="D4393" s="3">
        <v>1.0</v>
      </c>
    </row>
    <row r="4394" ht="15.75" customHeight="1">
      <c r="A4394" s="1">
        <v>4392.0</v>
      </c>
      <c r="B4394" s="3" t="s">
        <v>4394</v>
      </c>
      <c r="C4394" s="3" t="str">
        <f>IFERROR(__xludf.DUMMYFUNCTION("GOOGLETRANSLATE(B4394,""id"",""en"")"),"['Disappointed', 'Telkomsel', 'buy', 'package', 'data', 'package', 'data', 'multimedia', 'package', 'internet', 'bterkuras',' run out ',' ']")</f>
        <v>['Disappointed', 'Telkomsel', 'buy', 'package', 'data', 'package', 'data', 'multimedia', 'package', 'internet', 'bterkuras',' run out ',' ']</v>
      </c>
      <c r="D4394" s="3">
        <v>1.0</v>
      </c>
    </row>
    <row r="4395" ht="15.75" customHeight="1">
      <c r="A4395" s="1">
        <v>4393.0</v>
      </c>
      <c r="B4395" s="3" t="s">
        <v>4395</v>
      </c>
      <c r="C4395" s="3" t="str">
        <f>IFERROR(__xludf.DUMMYFUNCTION("GOOGLETRANSLATE(B4395,""id"",""en"")"),"['woi', 'please', 'fix', 'signal', 'telkomsel', 'ngeleg', 'me', 'happy', 'ngeleg', 'mulu', 'udh', 'expensive', ' ngeleg ',' axis', 'cheap', 'strong', 'see', 'ICT', 'Tok', 'March', 'March', 'Wrong', 'fix', 'as fast', 'heavy' , 'please', 'fix', 'buy', 'quot"&amp;"a', 'expensive', '']")</f>
        <v>['woi', 'please', 'fix', 'signal', 'telkomsel', 'ngeleg', 'me', 'happy', 'ngeleg', 'mulu', 'udh', 'expensive', ' ngeleg ',' axis', 'cheap', 'strong', 'see', 'ICT', 'Tok', 'March', 'March', 'Wrong', 'fix', 'as fast', 'heavy' , 'please', 'fix', 'buy', 'quota', 'expensive', '']</v>
      </c>
      <c r="D4395" s="3">
        <v>1.0</v>
      </c>
    </row>
    <row r="4396" ht="15.75" customHeight="1">
      <c r="A4396" s="1">
        <v>4394.0</v>
      </c>
      <c r="B4396" s="3" t="s">
        <v>4396</v>
      </c>
      <c r="C4396" s="3" t="str">
        <f>IFERROR(__xludf.DUMMYFUNCTION("GOOGLETRANSLATE(B4396,""id"",""en"")"),"['Sorry', 'star', 'Reduce', 'restrictions',' quota ',' data ',' pulse ',' quota ',' data ',' run out ',' sucking ',' pulses', ' detrimental ',' users ',' list ',' package ',' quota ',' right ',' check ',' pulse ',' eee ',' pulses ',' run out ',' because '"&amp;"Nda' , 'Deliberate', 'Data', 'Road', '']")</f>
        <v>['Sorry', 'star', 'Reduce', 'restrictions',' quota ',' data ',' pulse ',' quota ',' data ',' run out ',' sucking ',' pulses', ' detrimental ',' users ',' list ',' package ',' quota ',' right ',' check ',' pulse ',' eee ',' pulses ',' run out ',' because 'Nda' , 'Deliberate', 'Data', 'Road', '']</v>
      </c>
      <c r="D4396" s="3">
        <v>1.0</v>
      </c>
    </row>
    <row r="4397" ht="15.75" customHeight="1">
      <c r="A4397" s="1">
        <v>4395.0</v>
      </c>
      <c r="B4397" s="3" t="s">
        <v>4397</v>
      </c>
      <c r="C4397" s="3" t="str">
        <f>IFERROR(__xludf.DUMMYFUNCTION("GOOGLETRANSLATE(B4397,""id"",""en"")"),"['buy', 'package', 'emergency', 'told', 'pay', 'emergency', 'what', '']")</f>
        <v>['buy', 'package', 'emergency', 'told', 'pay', 'emergency', 'what', '']</v>
      </c>
      <c r="D4397" s="3">
        <v>1.0</v>
      </c>
    </row>
    <row r="4398" ht="15.75" customHeight="1">
      <c r="A4398" s="1">
        <v>4396.0</v>
      </c>
      <c r="B4398" s="3" t="s">
        <v>4398</v>
      </c>
      <c r="C4398" s="3" t="str">
        <f>IFERROR(__xludf.DUMMYFUNCTION("GOOGLETRANSLATE(B4398,""id"",""en"")"),"['Disappointed', 'Service', 'Telkomsel', 'Network', 'Troubled']")</f>
        <v>['Disappointed', 'Service', 'Telkomsel', 'Network', 'Troubled']</v>
      </c>
      <c r="D4398" s="3">
        <v>3.0</v>
      </c>
    </row>
    <row r="4399" ht="15.75" customHeight="1">
      <c r="A4399" s="1">
        <v>4397.0</v>
      </c>
      <c r="B4399" s="3" t="s">
        <v>4399</v>
      </c>
      <c r="C4399" s="3" t="str">
        <f>IFERROR(__xludf.DUMMYFUNCTION("GOOGLETRANSLATE(B4399,""id"",""en"")"),"['DANCOK', 'Min', 'Open', 'Deliberate', 'Free', 'Wrong', 'Distent', 'Borrow', 'Direct', 'AKTIP', 'Quota', 'Package', ' Data ',' Ngeta ',' Direct ',' Aktip ', ""]")</f>
        <v>['DANCOK', 'Min', 'Open', 'Deliberate', 'Free', 'Wrong', 'Distent', 'Borrow', 'Direct', 'AKTIP', 'Quota', 'Package', ' Data ',' Ngeta ',' Direct ',' Aktip ', "]</v>
      </c>
      <c r="D4399" s="3">
        <v>1.0</v>
      </c>
    </row>
    <row r="4400" ht="15.75" customHeight="1">
      <c r="A4400" s="1">
        <v>4398.0</v>
      </c>
      <c r="B4400" s="3" t="s">
        <v>4400</v>
      </c>
      <c r="C4400" s="3" t="str">
        <f>IFERROR(__xludf.DUMMYFUNCTION("GOOGLETRANSLATE(B4400,""id"",""en"")"),"['Thank you', 'Telkomsel', 'service', 'best', 'application', 'easy', 'users',' provider ',' expanding ',' network ',' strong ',' suggestion ',' represents', 'complaints',' users', 'Telkomsel', 'please', 'multiply', 'promo', 'discount', 'interesting', 'pac"&amp;"kage', 'internet', 'call', 'please' , 'Package', 'Cheap', 'Call', 'Card', 'Annual', 'Thank you', ""]")</f>
        <v>['Thank you', 'Telkomsel', 'service', 'best', 'application', 'easy', 'users',' provider ',' expanding ',' network ',' strong ',' suggestion ',' represents', 'complaints',' users', 'Telkomsel', 'please', 'multiply', 'promo', 'discount', 'interesting', 'package', 'internet', 'call', 'please' , 'Package', 'Cheap', 'Call', 'Card', 'Annual', 'Thank you', "]</v>
      </c>
      <c r="D4400" s="3">
        <v>5.0</v>
      </c>
    </row>
    <row r="4401" ht="15.75" customHeight="1">
      <c r="A4401" s="1">
        <v>4399.0</v>
      </c>
      <c r="B4401" s="3" t="s">
        <v>4401</v>
      </c>
      <c r="C4401" s="3" t="str">
        <f>IFERROR(__xludf.DUMMYFUNCTION("GOOGLETRANSLATE(B4401,""id"",""en"")"),"['sorry', 'love', 'star', 'confused', 'application', 'Telkomsel', 'right', 'open', 'the application', 'appears',' white ',' nnti ',' Delete ',' Application ',' Open ',' Close ',' then ',' Open ',' Application ',' White ',' Open ',' Application ',' Delete "&amp;"',' Download ', ""]")</f>
        <v>['sorry', 'love', 'star', 'confused', 'application', 'Telkomsel', 'right', 'open', 'the application', 'appears',' white ',' nnti ',' Delete ',' Application ',' Open ',' Close ',' then ',' Open ',' Application ',' White ',' Open ',' Application ',' Delete ',' Download ', "]</v>
      </c>
      <c r="D4401" s="3">
        <v>3.0</v>
      </c>
    </row>
    <row r="4402" ht="15.75" customHeight="1">
      <c r="A4402" s="1">
        <v>4400.0</v>
      </c>
      <c r="B4402" s="3" t="s">
        <v>4402</v>
      </c>
      <c r="C4402" s="3" t="str">
        <f>IFERROR(__xludf.DUMMYFUNCTION("GOOGLETRANSLATE(B4402,""id"",""en"")"),"['', 'update', 'kli', 'failed', 'quota', 'hit', 'price', 'package', 'expensive', 'signal', 'city', 'doang', 'village ',' ugly ',' Telkomsel ',' buy ',' package ',' week ',' unlimited ',' right ',' appears', 'falter', 'quota', 'get', 'cost', 'Strange', 'Te"&amp;"lkomsel', 'Mending', 'Switch', 'Card', 'Competent', 'Telkomsel']")</f>
        <v>['', 'update', 'kli', 'failed', 'quota', 'hit', 'price', 'package', 'expensive', 'signal', 'city', 'doang', 'village ',' ugly ',' Telkomsel ',' buy ',' package ',' week ',' unlimited ',' right ',' appears', 'falter', 'quota', 'get', 'cost', 'Strange', 'Telkomsel', 'Mending', 'Switch', 'Card', 'Competent', 'Telkomsel']</v>
      </c>
      <c r="D4402" s="3">
        <v>1.0</v>
      </c>
    </row>
    <row r="4403" ht="15.75" customHeight="1">
      <c r="A4403" s="1">
        <v>4401.0</v>
      </c>
      <c r="B4403" s="3" t="s">
        <v>4403</v>
      </c>
      <c r="C4403" s="3" t="str">
        <f>IFERROR(__xludf.DUMMYFUNCTION("GOOGLETRANSLATE(B4403,""id"",""en"")"),"['quota', 'internet', 'Telkomsel', 'for', 'Sultan', 'Network', 'ngeleg', 'package', 'expensive', 'difficult', 'really', 'promo', ' according to ',' price ']")</f>
        <v>['quota', 'internet', 'Telkomsel', 'for', 'Sultan', 'Network', 'ngeleg', 'package', 'expensive', 'difficult', 'really', 'promo', ' according to ',' price ']</v>
      </c>
      <c r="D4403" s="3">
        <v>1.0</v>
      </c>
    </row>
    <row r="4404" ht="15.75" customHeight="1">
      <c r="A4404" s="1">
        <v>4402.0</v>
      </c>
      <c r="B4404" s="3" t="s">
        <v>4404</v>
      </c>
      <c r="C4404" s="3" t="str">
        <f>IFERROR(__xludf.DUMMYFUNCTION("GOOGLETRANSLATE(B4404,""id"",""en"")"),"['Feelings',' Mnjem ',' Credit ',' Emergency ',' Should ',' Pay ',' Credit ',' Emergency ',' thousand ',' Dlu ',' CUMN ',' Claim ',' pulses', 'thousand', 'daily', 'check', 'pulse', 'cut', 'point', 'pay', 'lgian', 'pulse', 'goceng', 'kagak', 'nyet' , 'Nges"&amp;"elin', 'Salkomsel', 'UDH', 'Network', 'Rich', 'Pig', 'Think', 'Good']")</f>
        <v>['Feelings',' Mnjem ',' Credit ',' Emergency ',' Should ',' Pay ',' Credit ',' Emergency ',' thousand ',' Dlu ',' CUMN ',' Claim ',' pulses', 'thousand', 'daily', 'check', 'pulse', 'cut', 'point', 'pay', 'lgian', 'pulse', 'goceng', 'kagak', 'nyet' , 'Ngeselin', 'Salkomsel', 'UDH', 'Network', 'Rich', 'Pig', 'Think', 'Good']</v>
      </c>
      <c r="D4404" s="3">
        <v>1.0</v>
      </c>
    </row>
    <row r="4405" ht="15.75" customHeight="1">
      <c r="A4405" s="1">
        <v>4403.0</v>
      </c>
      <c r="B4405" s="3" t="s">
        <v>4405</v>
      </c>
      <c r="C4405" s="3" t="str">
        <f>IFERROR(__xludf.DUMMYFUNCTION("GOOGLETRANSLATE(B4405,""id"",""en"")"),"['Jaringn', 'Famous',' Putok ',' Province ',' Indonesia ',' TPI ',' Name ',' NGK ',' Keep ',' Network ',' Leet ',' Leet ',' Ujan ',' Ouch ',' chaotic ',' package ',' quota ',' internet ',' expensive ',' TPI ',' JRINGAN ',' NGAK ',' CONSTRUCTION ',' HELP '"&amp;",' CONSTRUCTION ' , 'Network', 'priority', 'satisfaction', 'users', 'Telkomsel', 'greetings']")</f>
        <v>['Jaringn', 'Famous',' Putok ',' Province ',' Indonesia ',' TPI ',' Name ',' NGK ',' Keep ',' Network ',' Leet ',' Leet ',' Ujan ',' Ouch ',' chaotic ',' package ',' quota ',' internet ',' expensive ',' TPI ',' JRINGAN ',' NGAK ',' CONSTRUCTION ',' HELP ',' CONSTRUCTION ' , 'Network', 'priority', 'satisfaction', 'users', 'Telkomsel', 'greetings']</v>
      </c>
      <c r="D4405" s="3">
        <v>4.0</v>
      </c>
    </row>
    <row r="4406" ht="15.75" customHeight="1">
      <c r="A4406" s="1">
        <v>4404.0</v>
      </c>
      <c r="B4406" s="3" t="s">
        <v>4406</v>
      </c>
      <c r="C4406" s="3" t="str">
        <f>IFERROR(__xludf.DUMMYFUNCTION("GOOGLETRANSLATE(B4406,""id"",""en"")"),"['Good', 'Increases', 'Quality', 'Network', 'City', 'Remote', 'Village', 'Tks', ""]")</f>
        <v>['Good', 'Increases', 'Quality', 'Network', 'City', 'Remote', 'Village', 'Tks', "]</v>
      </c>
      <c r="D4406" s="3">
        <v>5.0</v>
      </c>
    </row>
    <row r="4407" ht="15.75" customHeight="1">
      <c r="A4407" s="1">
        <v>4405.0</v>
      </c>
      <c r="B4407" s="3" t="s">
        <v>4407</v>
      </c>
      <c r="C4407" s="3" t="str">
        <f>IFERROR(__xludf.DUMMYFUNCTION("GOOGLETRANSLATE(B4407,""id"",""en"")"),"['Telkomsel', 'gymna', 'udh', 'fill in', 'reset', 'pulse', 'udhahah', 'aneeh', 'application', 'udh', 'jijas',' mending ',' Application ',' Delete ',' Deeh ',' Ntar ',' Overcome ',' ']")</f>
        <v>['Telkomsel', 'gymna', 'udh', 'fill in', 'reset', 'pulse', 'udhahah', 'aneeh', 'application', 'udh', 'jijas',' mending ',' Application ',' Delete ',' Deeh ',' Ntar ',' Overcome ',' ']</v>
      </c>
      <c r="D4407" s="3">
        <v>1.0</v>
      </c>
    </row>
    <row r="4408" ht="15.75" customHeight="1">
      <c r="A4408" s="1">
        <v>4406.0</v>
      </c>
      <c r="B4408" s="3" t="s">
        <v>4408</v>
      </c>
      <c r="C4408" s="3" t="str">
        <f>IFERROR(__xludf.DUMMYFUNCTION("GOOGLETRANSLATE(B4408,""id"",""en"")"),"['Please', 'The network', 'Increase', 'Maximum', 'Thank', 'Love']")</f>
        <v>['Please', 'The network', 'Increase', 'Maximum', 'Thank', 'Love']</v>
      </c>
      <c r="D4408" s="3">
        <v>5.0</v>
      </c>
    </row>
    <row r="4409" ht="15.75" customHeight="1">
      <c r="A4409" s="1">
        <v>4407.0</v>
      </c>
      <c r="B4409" s="3" t="s">
        <v>4409</v>
      </c>
      <c r="C4409" s="3" t="str">
        <f>IFERROR(__xludf.DUMMYFUNCTION("GOOGLETRANSLATE(B4409,""id"",""en"")"),"['Please', 'fix', 'related', 'charging', 'package', 'app', 'telk', 'pulse', 'rb', 'fill', 'package', 'rb', ' pulses', 'sufficient', 'try', 'pulse', 'leftover', 'so', 'succeed', 'leftover', 'pulse', 'please', 'repaired', 'thank you', ""]")</f>
        <v>['Please', 'fix', 'related', 'charging', 'package', 'app', 'telk', 'pulse', 'rb', 'fill', 'package', 'rb', ' pulses', 'sufficient', 'try', 'pulse', 'leftover', 'so', 'succeed', 'leftover', 'pulse', 'please', 'repaired', 'thank you', "]</v>
      </c>
      <c r="D4409" s="3">
        <v>3.0</v>
      </c>
    </row>
    <row r="4410" ht="15.75" customHeight="1">
      <c r="A4410" s="1">
        <v>4408.0</v>
      </c>
      <c r="B4410" s="3" t="s">
        <v>4410</v>
      </c>
      <c r="C4410" s="3" t="str">
        <f>IFERROR(__xludf.DUMMYFUNCTION("GOOGLETRANSLATE(B4410,""id"",""en"")"),"['quality', 'signal', 'area', 'kab', 'brass',' java ',' west ',' ugly ',' signal ',' lost ',' buy ',' quota ',' Package ',' expensive ',' Please ',' repaired ',' satisfying ',' Customer ',' ']")</f>
        <v>['quality', 'signal', 'area', 'kab', 'brass',' java ',' west ',' ugly ',' signal ',' lost ',' buy ',' quota ',' Package ',' expensive ',' Please ',' repaired ',' satisfying ',' Customer ',' ']</v>
      </c>
      <c r="D4410" s="3">
        <v>3.0</v>
      </c>
    </row>
    <row r="4411" ht="15.75" customHeight="1">
      <c r="A4411" s="1">
        <v>4409.0</v>
      </c>
      <c r="B4411" s="3" t="s">
        <v>4411</v>
      </c>
      <c r="C4411" s="3" t="str">
        <f>IFERROR(__xludf.DUMMYFUNCTION("GOOGLETRANSLATE(B4411,""id"",""en"")"),"['function', 'really', 'sip', 'obstacles', 'dialed', 'sometimes', 'Lola', '']")</f>
        <v>['function', 'really', 'sip', 'obstacles', 'dialed', 'sometimes', 'Lola', '']</v>
      </c>
      <c r="D4411" s="3">
        <v>5.0</v>
      </c>
    </row>
    <row r="4412" ht="15.75" customHeight="1">
      <c r="A4412" s="1">
        <v>4410.0</v>
      </c>
      <c r="B4412" s="3" t="s">
        <v>4412</v>
      </c>
      <c r="C4412" s="3" t="str">
        <f>IFERROR(__xludf.DUMMYFUNCTION("GOOGLETRANSLATE(B4412,""id"",""en"")"),"['', 'star', 'dlu', 'function', 'optimal', 'restrictions',' quota ',' data ',' credit ',' truncated ',' direct ',' package ',' exceed ',' quota ',' usage ',' value ',' plus', 'user', 'application', 'Telkomsel', 'package', 'data', 'cheap', 'compete', 'outl"&amp;"et', 'Kiosk', 'seller', 'quota', '']")</f>
        <v>['', 'star', 'dlu', 'function', 'optimal', 'restrictions',' quota ',' data ',' credit ',' truncated ',' direct ',' package ',' exceed ',' quota ',' usage ',' value ',' plus', 'user', 'application', 'Telkomsel', 'package', 'data', 'cheap', 'compete', 'outlet', 'Kiosk', 'seller', 'quota', '']</v>
      </c>
      <c r="D4412" s="3">
        <v>3.0</v>
      </c>
    </row>
    <row r="4413" ht="15.75" customHeight="1">
      <c r="A4413" s="1">
        <v>4411.0</v>
      </c>
      <c r="B4413" s="3" t="s">
        <v>4413</v>
      </c>
      <c r="C4413" s="3" t="str">
        <f>IFERROR(__xludf.DUMMYFUNCTION("GOOGLETRANSLATE(B4413,""id"",""en"")"),"['steady', 'signal', 'Lewot', 'Thank you', 'Telkomsel', 'Hopefully', 'Disappointing', 'Customer', 'Telkomsel', 'Success', 'Slalu']")</f>
        <v>['steady', 'signal', 'Lewot', 'Thank you', 'Telkomsel', 'Hopefully', 'Disappointing', 'Customer', 'Telkomsel', 'Success', 'Slalu']</v>
      </c>
      <c r="D4413" s="3">
        <v>5.0</v>
      </c>
    </row>
    <row r="4414" ht="15.75" customHeight="1">
      <c r="A4414" s="1">
        <v>4412.0</v>
      </c>
      <c r="B4414" s="3" t="s">
        <v>4414</v>
      </c>
      <c r="C4414" s="3" t="str">
        <f>IFERROR(__xludf.DUMMYFUNCTION("GOOGLETRANSLATE(B4414,""id"",""en"")"),"['signal', 'good', 'week', 'a week', 'disorder', 'pulse', 'appeal', 'provider', 'Telkomsel', 'expensive']")</f>
        <v>['signal', 'good', 'week', 'a week', 'disorder', 'pulse', 'appeal', 'provider', 'Telkomsel', 'expensive']</v>
      </c>
      <c r="D4414" s="3">
        <v>1.0</v>
      </c>
    </row>
    <row r="4415" ht="15.75" customHeight="1">
      <c r="A4415" s="1">
        <v>4413.0</v>
      </c>
      <c r="B4415" s="3" t="s">
        <v>4415</v>
      </c>
      <c r="C4415" s="3" t="str">
        <f>IFERROR(__xludf.DUMMYFUNCTION("GOOGLETRANSLATE(B4415,""id"",""en"")"),"['Please', 'Network', 'Stable', 'Dead', 'Lights',' Rain ',' Lost ',' How ',' Condition ',' Emergency ',' Difficult ',' Accept ',' love', '']")</f>
        <v>['Please', 'Network', 'Stable', 'Dead', 'Lights',' Rain ',' Lost ',' How ',' Condition ',' Emergency ',' Difficult ',' Accept ',' love', '']</v>
      </c>
      <c r="D4415" s="3">
        <v>3.0</v>
      </c>
    </row>
    <row r="4416" ht="15.75" customHeight="1">
      <c r="A4416" s="1">
        <v>4414.0</v>
      </c>
      <c r="B4416" s="3" t="s">
        <v>4416</v>
      </c>
      <c r="C4416" s="3" t="str">
        <f>IFERROR(__xludf.DUMMYFUNCTION("GOOGLETRANSLATE(B4416,""id"",""en"")"),"['Gosha', 'Telkomsel', 'Hold', 'Features',' Key ',' Credit ',' Geram ',' silliness', 'pulse', 'Lost', 'given', 'era', ' use ',' pulse ',' access', 'internet', 'hope', 'pay attention', 'complaints',' customer ',' star ',' Saju ',' settled ',' features', 's"&amp;"afety' , 'pulse', '']")</f>
        <v>['Gosha', 'Telkomsel', 'Hold', 'Features',' Key ',' Credit ',' Geram ',' silliness', 'pulse', 'Lost', 'given', 'era', ' use ',' pulse ',' access', 'internet', 'hope', 'pay attention', 'complaints',' customer ',' star ',' Saju ',' settled ',' features', 'safety' , 'pulse', '']</v>
      </c>
      <c r="D4416" s="3">
        <v>1.0</v>
      </c>
    </row>
    <row r="4417" ht="15.75" customHeight="1">
      <c r="A4417" s="1">
        <v>4415.0</v>
      </c>
      <c r="B4417" s="3" t="s">
        <v>4417</v>
      </c>
      <c r="C4417" s="3" t="str">
        <f>IFERROR(__xludf.DUMMYFUNCTION("GOOGLETRANSLATE(B4417,""id"",""en"")"),"['signal', 'play', 'game', 'green', 'code', 'ping', 'yellow', 'direct', 'red', 'package', 'price', 'official' signal ',' ngeleg ']")</f>
        <v>['signal', 'play', 'game', 'green', 'code', 'ping', 'yellow', 'direct', 'red', 'package', 'price', 'official' signal ',' ngeleg ']</v>
      </c>
      <c r="D4417" s="3">
        <v>1.0</v>
      </c>
    </row>
    <row r="4418" ht="15.75" customHeight="1">
      <c r="A4418" s="1">
        <v>4416.0</v>
      </c>
      <c r="B4418" s="3" t="s">
        <v>4418</v>
      </c>
      <c r="C4418" s="3" t="str">
        <f>IFERROR(__xludf.DUMMYFUNCTION("GOOGLETRANSLATE(B4418,""id"",""en"")"),"['Package', 'GB', 'already', 'buy', 'TPI', 'notification', 'pulse', 'cut', 'already', 'buy', 'ampe', ""]")</f>
        <v>['Package', 'GB', 'already', 'buy', 'TPI', 'notification', 'pulse', 'cut', 'already', 'buy', 'ampe', "]</v>
      </c>
      <c r="D4418" s="3">
        <v>1.0</v>
      </c>
    </row>
    <row r="4419" ht="15.75" customHeight="1">
      <c r="A4419" s="1">
        <v>4417.0</v>
      </c>
      <c r="B4419" s="3" t="s">
        <v>4419</v>
      </c>
      <c r="C4419" s="3" t="str">
        <f>IFERROR(__xludf.DUMMYFUNCTION("GOOGLETRANSLATE(B4419,""id"",""en"")"),"['Severe', 'Network', 'Telkomsel', 'Destroyed', 'Males',' Make ',' Card ',' Telkomsel ',' Kota ',' Network ',' Tetep ',' ilang ',' Please ',' fix ']")</f>
        <v>['Severe', 'Network', 'Telkomsel', 'Destroyed', 'Males',' Make ',' Card ',' Telkomsel ',' Kota ',' Network ',' Tetep ',' ilang ',' Please ',' fix ']</v>
      </c>
      <c r="D4419" s="3">
        <v>2.0</v>
      </c>
    </row>
    <row r="4420" ht="15.75" customHeight="1">
      <c r="A4420" s="1">
        <v>4418.0</v>
      </c>
      <c r="B4420" s="3" t="s">
        <v>4420</v>
      </c>
      <c r="C4420" s="3" t="str">
        <f>IFERROR(__xludf.DUMMYFUNCTION("GOOGLETRANSLATE(B4420,""id"",""en"")"),"['Make it easier', 'users',' buy ',' package ',' Not bad ',' cheap ',' card ',' loop ',' segini ',' klok ',' expensive ',' all ',' thanks', '']")</f>
        <v>['Make it easier', 'users',' buy ',' package ',' Not bad ',' cheap ',' card ',' loop ',' segini ',' klok ',' expensive ',' all ',' thanks', '']</v>
      </c>
      <c r="D4420" s="3">
        <v>5.0</v>
      </c>
    </row>
    <row r="4421" ht="15.75" customHeight="1">
      <c r="A4421" s="1">
        <v>4419.0</v>
      </c>
      <c r="B4421" s="3" t="s">
        <v>4421</v>
      </c>
      <c r="C4421" s="3" t="str">
        <f>IFERROR(__xludf.DUMMYFUNCTION("GOOGLETRANSLATE(B4421,""id"",""en"")"),"['Good', 'The network', 'right', 'here', 'ugly', 'love', 'star', '']")</f>
        <v>['Good', 'The network', 'right', 'here', 'ugly', 'love', 'star', '']</v>
      </c>
      <c r="D4421" s="3">
        <v>3.0</v>
      </c>
    </row>
    <row r="4422" ht="15.75" customHeight="1">
      <c r="A4422" s="1">
        <v>4420.0</v>
      </c>
      <c r="B4422" s="3" t="s">
        <v>4422</v>
      </c>
      <c r="C4422" s="3" t="str">
        <f>IFERROR(__xludf.DUMMYFUNCTION("GOOGLETRANSLATE(B4422,""id"",""en"")"),"['signal', 'like', 'ilang', 'evenly', 'friend', 'cheering', 'change', 'card', 'yes',' giman ',' ngak ',' Jebgkel ',' cool ',' play ',' signal ',' ilang ',' feeling ',' pegen ',' slamming ',' hp ',' face ',' you ']")</f>
        <v>['signal', 'like', 'ilang', 'evenly', 'friend', 'cheering', 'change', 'card', 'yes',' giman ',' ngak ',' Jebgkel ',' cool ',' play ',' signal ',' ilang ',' feeling ',' pegen ',' slamming ',' hp ',' face ',' you ']</v>
      </c>
      <c r="D4422" s="3">
        <v>1.0</v>
      </c>
    </row>
    <row r="4423" ht="15.75" customHeight="1">
      <c r="A4423" s="1">
        <v>4421.0</v>
      </c>
      <c r="B4423" s="3" t="s">
        <v>4423</v>
      </c>
      <c r="C4423" s="3" t="str">
        <f>IFERROR(__xludf.DUMMYFUNCTION("GOOGLETRANSLATE(B4423,""id"",""en"")"),"['Satt', 'shocked', 'asw', 'contents',' pulse ',' contents', 'package', 'ehh', 'ilang', 'sattt', 'gpp', 'briefly', ' Discard ',' card ',' asw ',' replace ',' friend ',' operator ',' trusted ',' get ',' sms', 'fraud', 'Jancoook', ""]")</f>
        <v>['Satt', 'shocked', 'asw', 'contents',' pulse ',' contents', 'package', 'ehh', 'ilang', 'sattt', 'gpp', 'briefly', ' Discard ',' card ',' asw ',' replace ',' friend ',' operator ',' trusted ',' get ',' sms', 'fraud', 'Jancoook', "]</v>
      </c>
      <c r="D4423" s="3">
        <v>1.0</v>
      </c>
    </row>
    <row r="4424" ht="15.75" customHeight="1">
      <c r="A4424" s="1">
        <v>4422.0</v>
      </c>
      <c r="B4424" s="3" t="s">
        <v>4424</v>
      </c>
      <c r="C4424" s="3" t="str">
        <f>IFERROR(__xludf.DUMMYFUNCTION("GOOGLETRANSLATE(B4424,""id"",""en"")"),"['Woy', 'return', 'pulses',' base ',' fraudsters', 'quota', 'pulse', 'fill', 'thousand', 'run out', 'sumps',' signal ',' ugly ',' really ',' quota ',' expensive ',' slow ',' detrimental ',' be careful ',' change ',' loss', 'heart', 'Telkomsel', 'cheater']")</f>
        <v>['Woy', 'return', 'pulses',' base ',' fraudsters', 'quota', 'pulse', 'fill', 'thousand', 'run out', 'sumps',' signal ',' ugly ',' really ',' quota ',' expensive ',' slow ',' detrimental ',' be careful ',' change ',' loss', 'heart', 'Telkomsel', 'cheater']</v>
      </c>
      <c r="D4424" s="3">
        <v>1.0</v>
      </c>
    </row>
    <row r="4425" ht="15.75" customHeight="1">
      <c r="A4425" s="1">
        <v>4423.0</v>
      </c>
      <c r="B4425" s="3" t="s">
        <v>4425</v>
      </c>
      <c r="C4425" s="3" t="str">
        <f>IFERROR(__xludf.DUMMYFUNCTION("GOOGLETRANSLATE(B4425,""id"",""en"")"),"['Telkomsel', 'Severe', 'COK', 'Price', 'Package', 'Selangit', 'Jarinhan', 'Kayak', 'WKWKWKW', 'Telkomsel', 'just', 'Delicious',' Doang ',' Customer ',' Disappointed ',' Gini ',' then ',' boss']")</f>
        <v>['Telkomsel', 'Severe', 'COK', 'Price', 'Package', 'Selangit', 'Jarinhan', 'Kayak', 'WKWKWKW', 'Telkomsel', 'just', 'Delicious',' Doang ',' Customer ',' Disappointed ',' Gini ',' then ',' boss']</v>
      </c>
      <c r="D4425" s="3">
        <v>1.0</v>
      </c>
    </row>
    <row r="4426" ht="15.75" customHeight="1">
      <c r="A4426" s="1">
        <v>4424.0</v>
      </c>
      <c r="B4426" s="3" t="s">
        <v>4426</v>
      </c>
      <c r="C4426" s="3" t="str">
        <f>IFERROR(__xludf.DUMMYFUNCTION("GOOGLETRANSLATE(B4426,""id"",""en"")"),"['update', 'apk', 'error', 'transaction', 'buy', 'package', 'package', 'promo', 'buy', 'telkomsel', 'joking', 'fix', ' ']")</f>
        <v>['update', 'apk', 'error', 'transaction', 'buy', 'package', 'package', 'promo', 'buy', 'telkomsel', 'joking', 'fix', ' ']</v>
      </c>
      <c r="D4426" s="3">
        <v>3.0</v>
      </c>
    </row>
    <row r="4427" ht="15.75" customHeight="1">
      <c r="A4427" s="1">
        <v>4425.0</v>
      </c>
      <c r="B4427" s="3" t="s">
        <v>4427</v>
      </c>
      <c r="C4427" s="3" t="str">
        <f>IFERROR(__xludf.DUMMYFUNCTION("GOOGLETRANSLATE(B4427,""id"",""en"")"),"['Telkomsel', 'Leet', 'Costs', 'Buy', 'Quota', 'Data', 'Price', 'RB', 'Selected', 'Rb', 'Rb', ""]")</f>
        <v>['Telkomsel', 'Leet', 'Costs', 'Buy', 'Quota', 'Data', 'Price', 'RB', 'Selected', 'Rb', 'Rb', "]</v>
      </c>
      <c r="D4427" s="3">
        <v>1.0</v>
      </c>
    </row>
    <row r="4428" ht="15.75" customHeight="1">
      <c r="A4428" s="1">
        <v>4426.0</v>
      </c>
      <c r="B4428" s="3" t="s">
        <v>4428</v>
      </c>
      <c r="C4428" s="3" t="str">
        <f>IFERROR(__xludf.DUMMYFUNCTION("GOOGLETRANSLATE(B4428,""id"",""en"")"),"['Assalamualaikum', 'Sis',' talk ',' right ',' Points', 'Telkomsel', 'run out', 'fill', 'pulses',' get ',' Points', 'ehh', ' already ',' content ',' update ',' get ',' Points', 'please', 'coin', 'contents',' thank you ',' hope ',' comment ',' people ' , '"&amp;"People', 'Download', 'Telkomsel', '']")</f>
        <v>['Assalamualaikum', 'Sis',' talk ',' right ',' Points', 'Telkomsel', 'run out', 'fill', 'pulses',' get ',' Points', 'ehh', ' already ',' content ',' update ',' get ',' Points', 'please', 'coin', 'contents',' thank you ',' hope ',' comment ',' people ' , 'People', 'Download', 'Telkomsel', '']</v>
      </c>
      <c r="D4428" s="3">
        <v>4.0</v>
      </c>
    </row>
    <row r="4429" ht="15.75" customHeight="1">
      <c r="A4429" s="1">
        <v>4427.0</v>
      </c>
      <c r="B4429" s="3" t="s">
        <v>4429</v>
      </c>
      <c r="C4429" s="3" t="str">
        <f>IFERROR(__xludf.DUMMYFUNCTION("GOOGLETRANSLATE(B4429,""id"",""en"")"),"['Debt', 'Telkomsel', 'yes', 'pulse', 'stay', 'rupiah', 'cut', 'balance', 'rupiah', 'reason', 'debt', 'how' ']")</f>
        <v>['Debt', 'Telkomsel', 'yes', 'pulse', 'stay', 'rupiah', 'cut', 'balance', 'rupiah', 'reason', 'debt', 'how' ']</v>
      </c>
      <c r="D4429" s="3">
        <v>1.0</v>
      </c>
    </row>
    <row r="4430" ht="15.75" customHeight="1">
      <c r="A4430" s="1">
        <v>4428.0</v>
      </c>
      <c r="B4430" s="3" t="s">
        <v>4430</v>
      </c>
      <c r="C4430" s="3" t="str">
        <f>IFERROR(__xludf.DUMMYFUNCTION("GOOGLETRANSLATE(B4430,""id"",""en"")"),"['Kasi', 'star', 'signal', 'ngak', 'good', 'area', 'pare', 'special', 'area', 'outskirts',' please ',' lined ',' I ',' already ',' use ',' Telkomsel ',' disturbed ',' game ',' slow ',' ksih ']")</f>
        <v>['Kasi', 'star', 'signal', 'ngak', 'good', 'area', 'pare', 'special', 'area', 'outskirts',' please ',' lined ',' I ',' already ',' use ',' Telkomsel ',' disturbed ',' game ',' slow ',' ksih ']</v>
      </c>
      <c r="D4430" s="3">
        <v>4.0</v>
      </c>
    </row>
    <row r="4431" ht="15.75" customHeight="1">
      <c r="A4431" s="1">
        <v>4429.0</v>
      </c>
      <c r="B4431" s="3" t="s">
        <v>4431</v>
      </c>
      <c r="C4431" s="3" t="str">
        <f>IFERROR(__xludf.DUMMYFUNCTION("GOOGLETRANSLATE(B4431,""id"",""en"")"),"['Severe', 'Telkomsel', 'Signal', 'Taste', 'Signal', 'Sometimes',' Good ',' Wonder ',' BDG ',' West ',' Citapen ',' Cihamplas', ' Please, 'signal', 'Strengthen', 'Tower', 'Tower', 'Telkomsel', 'KMN', 'it works', 'just', 'Send', 'photo', 'Control', 'sad' ,"&amp;" 'Network', 'boss']")</f>
        <v>['Severe', 'Telkomsel', 'Signal', 'Taste', 'Signal', 'Sometimes',' Good ',' Wonder ',' BDG ',' West ',' Citapen ',' Cihamplas', ' Please, 'signal', 'Strengthen', 'Tower', 'Tower', 'Telkomsel', 'KMN', 'it works', 'just', 'Send', 'photo', 'Control', 'sad' , 'Network', 'boss']</v>
      </c>
      <c r="D4431" s="3">
        <v>2.0</v>
      </c>
    </row>
    <row r="4432" ht="15.75" customHeight="1">
      <c r="A4432" s="1">
        <v>4430.0</v>
      </c>
      <c r="B4432" s="3" t="s">
        <v>4432</v>
      </c>
      <c r="C4432" s="3" t="str">
        <f>IFERROR(__xludf.DUMMYFUNCTION("GOOGLETRANSLATE(B4432,""id"",""en"")"),"['Help', 'Thank you', 'Telkomsel', 'Hopefully', 'Moving', 'Edit', 'September', 'Review', 'Application', 'MyTelkomsel', 'Render', 'Page', ' Heavy ',' Open ',' Application ',' Sampe ',' Speed ​​',' Mbps', 'Loading', 'Sometimes',' Error ',' Please ',' Filai "&amp;"',' Fast ',' Loading ' , 'page', 'thank you']")</f>
        <v>['Help', 'Thank you', 'Telkomsel', 'Hopefully', 'Moving', 'Edit', 'September', 'Review', 'Application', 'MyTelkomsel', 'Render', 'Page', ' Heavy ',' Open ',' Application ',' Sampe ',' Speed ​​',' Mbps', 'Loading', 'Sometimes',' Error ',' Please ',' Filai ',' Fast ',' Loading ' , 'page', 'thank you']</v>
      </c>
      <c r="D4432" s="3">
        <v>4.0</v>
      </c>
    </row>
    <row r="4433" ht="15.75" customHeight="1">
      <c r="A4433" s="1">
        <v>4431.0</v>
      </c>
      <c r="B4433" s="3" t="s">
        <v>4433</v>
      </c>
      <c r="C4433" s="3" t="str">
        <f>IFERROR(__xludf.DUMMYFUNCTION("GOOGLETRANSLATE(B4433,""id"",""en"")"),"['makes it easier', 'community', 'purchase', 'package', 'internet', 'help', '']")</f>
        <v>['makes it easier', 'community', 'purchase', 'package', 'internet', 'help', '']</v>
      </c>
      <c r="D4433" s="3">
        <v>5.0</v>
      </c>
    </row>
    <row r="4434" ht="15.75" customHeight="1">
      <c r="A4434" s="1">
        <v>4432.0</v>
      </c>
      <c r="B4434" s="3" t="s">
        <v>4434</v>
      </c>
      <c r="C4434" s="3" t="str">
        <f>IFERROR(__xludf.DUMMYFUNCTION("GOOGLETRANSLATE(B4434,""id"",""en"")"),"['open', 'Telkomsel', 'sucked', 'pulse', 'buy', 'package', 'love', 'free', 'kek', 'open', 'application', 'kek', ' APK ',' in '' Roli ',' opened ',' sucked ',' pulse ',' Aduhhh ', ""]")</f>
        <v>['open', 'Telkomsel', 'sucked', 'pulse', 'buy', 'package', 'love', 'free', 'kek', 'open', 'application', 'kek', ' APK ',' in '' Roli ',' opened ',' sucked ',' pulse ',' Aduhhh ', "]</v>
      </c>
      <c r="D4434" s="3">
        <v>3.0</v>
      </c>
    </row>
    <row r="4435" ht="15.75" customHeight="1">
      <c r="A4435" s="1">
        <v>4433.0</v>
      </c>
      <c r="B4435" s="3" t="s">
        <v>4435</v>
      </c>
      <c r="C4435" s="3" t="str">
        <f>IFERROR(__xludf.DUMMYFUNCTION("GOOGLETRANSLATE(B4435,""id"",""en"")"),"['Package', 'expensive', 'expensive', 'network', 'expanded', 'remote', 'country', 'dilapidated', 'package', 'crazy', 'affordable', ' ']")</f>
        <v>['Package', 'expensive', 'expensive', 'network', 'expanded', 'remote', 'country', 'dilapidated', 'package', 'crazy', 'affordable', ' ']</v>
      </c>
      <c r="D4435" s="3">
        <v>1.0</v>
      </c>
    </row>
    <row r="4436" ht="15.75" customHeight="1">
      <c r="A4436" s="1">
        <v>4434.0</v>
      </c>
      <c r="B4436" s="3" t="s">
        <v>4436</v>
      </c>
      <c r="C4436" s="3" t="str">
        <f>IFERROR(__xludf.DUMMYFUNCTION("GOOGLETRANSLATE(B4436,""id"",""en"")"),"['price', 'package', 'signal', 'satisfying', 'report', 'no', 'change']")</f>
        <v>['price', 'package', 'signal', 'satisfying', 'report', 'no', 'change']</v>
      </c>
      <c r="D4436" s="3">
        <v>2.0</v>
      </c>
    </row>
    <row r="4437" ht="15.75" customHeight="1">
      <c r="A4437" s="1">
        <v>4435.0</v>
      </c>
      <c r="B4437" s="3" t="s">
        <v>4437</v>
      </c>
      <c r="C4437" s="3" t="str">
        <f>IFERROR(__xludf.DUMMYFUNCTION("GOOGLETRANSLATE(B4437,""id"",""en"")"),"['expensive', 'expensive', 'promo', '']")</f>
        <v>['expensive', 'expensive', 'promo', '']</v>
      </c>
      <c r="D4437" s="3">
        <v>4.0</v>
      </c>
    </row>
    <row r="4438" ht="15.75" customHeight="1">
      <c r="A4438" s="1">
        <v>4436.0</v>
      </c>
      <c r="B4438" s="3" t="s">
        <v>4438</v>
      </c>
      <c r="C4438" s="3" t="str">
        <f>IFERROR(__xludf.DUMMYFUNCTION("GOOGLETRANSLATE(B4438,""id"",""en"")"),"['payment', 'card', 'Hello', 'bln', 'biasanyw', 'seblm', 'date', 'date', 'disappointed', 'wakes',' card ',' Halya ',' ']")</f>
        <v>['payment', 'card', 'Hello', 'bln', 'biasanyw', 'seblm', 'date', 'date', 'disappointed', 'wakes',' card ',' Halya ',' ']</v>
      </c>
      <c r="D4438" s="3">
        <v>3.0</v>
      </c>
    </row>
    <row r="4439" ht="15.75" customHeight="1">
      <c r="A4439" s="1">
        <v>4437.0</v>
      </c>
      <c r="B4439" s="3" t="s">
        <v>4439</v>
      </c>
      <c r="C4439" s="3" t="str">
        <f>IFERROR(__xludf.DUMMYFUNCTION("GOOGLETRANSLATE(B4439,""id"",""en"")"),"['min', 'card', 'sympathy', 'bsa', 'bli', 'package', 'internet', 'magic', 'package', 'paset', 'card', 'my friend', ' Tlong ',' min ',' fix ',' system ']")</f>
        <v>['min', 'card', 'sympathy', 'bsa', 'bli', 'package', 'internet', 'magic', 'package', 'paset', 'card', 'my friend', ' Tlong ',' min ',' fix ',' system ']</v>
      </c>
      <c r="D4439" s="3">
        <v>1.0</v>
      </c>
    </row>
    <row r="4440" ht="15.75" customHeight="1">
      <c r="A4440" s="1">
        <v>4438.0</v>
      </c>
      <c r="B4440" s="3" t="s">
        <v>4440</v>
      </c>
      <c r="C4440" s="3" t="str">
        <f>IFERROR(__xludf.DUMMYFUNCTION("GOOGLETRANSLATE(B4440,""id"",""en"")"),"['Please', 'Active', 'UDH', 'Out', 'Remnant', 'Quota', 'Disademed', 'PLIS', 'Saved', 'Remnant', 'quota', 'Gunain', ' Buy ',' Credit ',' Nambah ',' Active ',' Paketan ',' Internet ',' Active ',' Following ',' Active ',' The card ',' Anyway ',' remaining ',"&amp;"' quota ' , 'scorched', 'loss', 'leftover', 'quota', 'scorched', 'that's', '']")</f>
        <v>['Please', 'Active', 'UDH', 'Out', 'Remnant', 'Quota', 'Disademed', 'PLIS', 'Saved', 'Remnant', 'quota', 'Gunain', ' Buy ',' Credit ',' Nambah ',' Active ',' Paketan ',' Internet ',' Active ',' Following ',' Active ',' The card ',' Anyway ',' remaining ',' quota ' , 'scorched', 'loss', 'leftover', 'quota', 'scorched', 'that's', '']</v>
      </c>
      <c r="D4440" s="3">
        <v>1.0</v>
      </c>
    </row>
    <row r="4441" ht="15.75" customHeight="1">
      <c r="A4441" s="1">
        <v>4439.0</v>
      </c>
      <c r="B4441" s="3" t="s">
        <v>4441</v>
      </c>
      <c r="C4441" s="3" t="str">
        <f>IFERROR(__xludf.DUMMYFUNCTION("GOOGLETRANSLATE(B4441,""id"",""en"")"),"['good', 'share', 'application', 'love', 'package', 'data', 'free']")</f>
        <v>['good', 'share', 'application', 'love', 'package', 'data', 'free']</v>
      </c>
      <c r="D4441" s="3">
        <v>5.0</v>
      </c>
    </row>
    <row r="4442" ht="15.75" customHeight="1">
      <c r="A4442" s="1">
        <v>4440.0</v>
      </c>
      <c r="B4442" s="3" t="s">
        <v>4442</v>
      </c>
      <c r="C4442" s="3" t="str">
        <f>IFERROR(__xludf.DUMMYFUNCTION("GOOGLETRANSLATE(B4442,""id"",""en"")"),"['application', 'good', 'buy', 'quota', 'cheap', 'promo', '']")</f>
        <v>['application', 'good', 'buy', 'quota', 'cheap', 'promo', '']</v>
      </c>
      <c r="D4442" s="3">
        <v>5.0</v>
      </c>
    </row>
    <row r="4443" ht="15.75" customHeight="1">
      <c r="A4443" s="1">
        <v>4441.0</v>
      </c>
      <c r="B4443" s="3" t="s">
        <v>4443</v>
      </c>
      <c r="C4443" s="3" t="str">
        <f>IFERROR(__xludf.DUMMYFUNCTION("GOOGLETRANSLATE(B4443,""id"",""en"")"),"['Network', 'Telkomsel', 'Severe', 'Use', 'Telkomsel', 'Network', 'Leet', 'Network', 'Telkomsel', 'People', 'Nge', 'Network', ' Severe ',' Spread ',' Network ',' Telkomsel ',' Network ',' Leet ']")</f>
        <v>['Network', 'Telkomsel', 'Severe', 'Use', 'Telkomsel', 'Network', 'Leet', 'Network', 'Telkomsel', 'People', 'Nge', 'Network', ' Severe ',' Spread ',' Network ',' Telkomsel ',' Network ',' Leet ']</v>
      </c>
      <c r="D4443" s="3">
        <v>1.0</v>
      </c>
    </row>
    <row r="4444" ht="15.75" customHeight="1">
      <c r="A4444" s="1">
        <v>4442.0</v>
      </c>
      <c r="B4444" s="3" t="s">
        <v>4444</v>
      </c>
      <c r="C4444" s="3" t="str">
        <f>IFERROR(__xludf.DUMMYFUNCTION("GOOGLETRANSLATE(B4444,""id"",""en"")"),"['application', 'good', 'makes it easy', 'bother', 'anywhere', ""]")</f>
        <v>['application', 'good', 'makes it easy', 'bother', 'anywhere', "]</v>
      </c>
      <c r="D4444" s="3">
        <v>5.0</v>
      </c>
    </row>
    <row r="4445" ht="15.75" customHeight="1">
      <c r="A4445" s="1">
        <v>4443.0</v>
      </c>
      <c r="B4445" s="3" t="s">
        <v>4445</v>
      </c>
      <c r="C4445" s="3" t="str">
        <f>IFERROR(__xludf.DUMMYFUNCTION("GOOGLETRANSLATE(B4445,""id"",""en"")"),"['Telkomsel', 'how', 'emotions',' forced ',' use ',' package ',' emergency ',' then ',' contents', 'rb', 'lngsung', 'lost', ' eeehh ',' msh ',' get ',' sms', 'told', 'pay off', 'then', 'contents',' rb ',' lngsung ',' lost ',' eaten ',' mouse ' , 'How', 'y"&amp;"aa', 'please', 'explained', 'cell', 'Telkomsel', ""]")</f>
        <v>['Telkomsel', 'how', 'emotions',' forced ',' use ',' package ',' emergency ',' then ',' contents', 'rb', 'lngsung', 'lost', ' eeehh ',' msh ',' get ',' sms', 'told', 'pay off', 'then', 'contents',' rb ',' lngsung ',' lost ',' eaten ',' mouse ' , 'How', 'yaa', 'please', 'explained', 'cell', 'Telkomsel', "]</v>
      </c>
      <c r="D4445" s="3">
        <v>1.0</v>
      </c>
    </row>
    <row r="4446" ht="15.75" customHeight="1">
      <c r="A4446" s="1">
        <v>4444.0</v>
      </c>
      <c r="B4446" s="3" t="s">
        <v>4446</v>
      </c>
      <c r="C4446" s="3" t="str">
        <f>IFERROR(__xludf.DUMMYFUNCTION("GOOGLETRANSLATE(B4446,""id"",""en"")"),"['Disappointed', 'already', 'fill in', 'pulse', 'package', 'feeling', 'yesterday', 'Lho', 'fill in', 'package', 'fill', 'already', ' Heavy ',' min ',' nebeng ',' friend ',' confusion ',' package ',' Telkomsel ', ""]")</f>
        <v>['Disappointed', 'already', 'fill in', 'pulse', 'package', 'feeling', 'yesterday', 'Lho', 'fill in', 'package', 'fill', 'already', ' Heavy ',' min ',' nebeng ',' friend ',' confusion ',' package ',' Telkomsel ', "]</v>
      </c>
      <c r="D4446" s="3">
        <v>1.0</v>
      </c>
    </row>
    <row r="4447" ht="15.75" customHeight="1">
      <c r="A4447" s="1">
        <v>4445.0</v>
      </c>
      <c r="B4447" s="3" t="s">
        <v>4447</v>
      </c>
      <c r="C4447" s="3" t="str">
        <f>IFERROR(__xludf.DUMMYFUNCTION("GOOGLETRANSLATE(B4447,""id"",""en"")"),"['Method', 'Login', 'TPI', 'Function', 'Login', 'Function', 'Already', 'Deploy', 'Function', 'Blum', 'Function', 'Hide', ' Button ',' Envi ',' prod ',' Benerin ',' Dlu ',' Envi ',' Dev ',' Tester ',' weird ']")</f>
        <v>['Method', 'Login', 'TPI', 'Function', 'Login', 'Function', 'Already', 'Deploy', 'Function', 'Blum', 'Function', 'Hide', ' Button ',' Envi ',' prod ',' Benerin ',' Dlu ',' Envi ',' Dev ',' Tester ',' weird ']</v>
      </c>
      <c r="D4447" s="3">
        <v>1.0</v>
      </c>
    </row>
    <row r="4448" ht="15.75" customHeight="1">
      <c r="A4448" s="1">
        <v>4446.0</v>
      </c>
      <c r="B4448" s="3" t="s">
        <v>4448</v>
      </c>
      <c r="C4448" s="3" t="str">
        <f>IFERROR(__xludf.DUMMYFUNCTION("GOOGLETRANSLATE(B4448,""id"",""en"")"),"['Please', 'fix', 'signal', 'Tlkomsel', 'smooth', 'jammed', 'signal', 'smooth', 'sometimes',' changed ',' poor ',' Tlkomsel ',' Lost ',' card ',' signal ',' promo ',' quota ',' internet ']")</f>
        <v>['Please', 'fix', 'signal', 'Tlkomsel', 'smooth', 'jammed', 'signal', 'smooth', 'sometimes',' changed ',' poor ',' Tlkomsel ',' Lost ',' card ',' signal ',' promo ',' quota ',' internet ']</v>
      </c>
      <c r="D4448" s="3">
        <v>1.0</v>
      </c>
    </row>
    <row r="4449" ht="15.75" customHeight="1">
      <c r="A4449" s="1">
        <v>4447.0</v>
      </c>
      <c r="B4449" s="3" t="s">
        <v>4449</v>
      </c>
      <c r="C4449" s="3" t="str">
        <f>IFERROR(__xludf.DUMMYFUNCTION("GOOGLETRANSLATE(B4449,""id"",""en"")"),"['quota', 'doang', 'expensive', 'quality', 'network', 'ugly', 'tlng', 'fix', 'network', 'internet', 'tmpat', 'sya', ' bad ',' quality ',' internet ',' CMA ',' take ',' money ',' tlng ',' bnerin ',' signal ',' internet ',' lose ',' high school ',' vendor '"&amp;" , '']")</f>
        <v>['quota', 'doang', 'expensive', 'quality', 'network', 'ugly', 'tlng', 'fix', 'network', 'internet', 'tmpat', 'sya', ' bad ',' quality ',' internet ',' CMA ',' take ',' money ',' tlng ',' bnerin ',' signal ',' internet ',' lose ',' high school ',' vendor ' , '']</v>
      </c>
      <c r="D4449" s="3">
        <v>1.0</v>
      </c>
    </row>
    <row r="4450" ht="15.75" customHeight="1">
      <c r="A4450" s="1">
        <v>4448.0</v>
      </c>
      <c r="B4450" s="3" t="s">
        <v>4450</v>
      </c>
      <c r="C4450" s="3" t="str">
        <f>IFERROR(__xludf.DUMMYFUNCTION("GOOGLETRANSLATE(B4450,""id"",""en"")"),"['network', 'play', 'game', 'ngelag', 'package', 'expensive', 'expensive', 'use', 'package', 'multimedia', 'klau', 'speed', ' Restricted ',' MS ',' Function ',' Untung ',' My Area ',' Network ',' Klaw ',' Network ',' Already ',' Move ', ""]")</f>
        <v>['network', 'play', 'game', 'ngelag', 'package', 'expensive', 'expensive', 'use', 'package', 'multimedia', 'klau', 'speed', ' Restricted ',' MS ',' Function ',' Untung ',' My Area ',' Network ',' Klaw ',' Network ',' Already ',' Move ', "]</v>
      </c>
      <c r="D4450" s="3">
        <v>1.0</v>
      </c>
    </row>
    <row r="4451" ht="15.75" customHeight="1">
      <c r="A4451" s="1">
        <v>4449.0</v>
      </c>
      <c r="B4451" s="3" t="s">
        <v>4451</v>
      </c>
      <c r="C4451" s="3" t="str">
        <f>IFERROR(__xludf.DUMMYFUNCTION("GOOGLETRANSLATE(B4451,""id"",""en"")"),"['hmmmmmm', 'deficiencies',' pulse ',' sumps', 'transaction', 'anything', 'sumps',' pulses', 'Is there', 'service', 'customer', 'report', ' ']")</f>
        <v>['hmmmmmm', 'deficiencies',' pulse ',' sumps', 'transaction', 'anything', 'sumps',' pulses', 'Is there', 'service', 'customer', 'report', ' ']</v>
      </c>
      <c r="D4451" s="3">
        <v>1.0</v>
      </c>
    </row>
    <row r="4452" ht="15.75" customHeight="1">
      <c r="A4452" s="1">
        <v>4450.0</v>
      </c>
      <c r="B4452" s="3" t="s">
        <v>4452</v>
      </c>
      <c r="C4452" s="3" t="str">
        <f>IFERROR(__xludf.DUMMYFUNCTION("GOOGLETRANSLATE(B4452,""id"",""en"")"),"['application', 'heavy', 'repaired', 'light', 'on', 'Loading', 'page', '']")</f>
        <v>['application', 'heavy', 'repaired', 'light', 'on', 'Loading', 'page', '']</v>
      </c>
      <c r="D4452" s="3">
        <v>3.0</v>
      </c>
    </row>
    <row r="4453" ht="15.75" customHeight="1">
      <c r="A4453" s="1">
        <v>4451.0</v>
      </c>
      <c r="B4453" s="3" t="s">
        <v>4453</v>
      </c>
      <c r="C4453" s="3" t="str">
        <f>IFERROR(__xludf.DUMMYFUNCTION("GOOGLETRANSLATE(B4453,""id"",""en"")"),"['Telkomsel', 'skrg', 'slow', 'city', 'card', 'area', 'Tanjung', 'Karang', 'East', 'Kodya', 'Lho', 'subscribe', ' Competing ',' Mending ',' Closed ',' Office ',' Buy ',' Quality ',' Solution ',' Help ',' Migration ',' Card ',' Hello ',' Child ',' Tirikan "&amp;"' , 'card', '']")</f>
        <v>['Telkomsel', 'skrg', 'slow', 'city', 'card', 'area', 'Tanjung', 'Karang', 'East', 'Kodya', 'Lho', 'subscribe', ' Competing ',' Mending ',' Closed ',' Office ',' Buy ',' Quality ',' Solution ',' Help ',' Migration ',' Card ',' Hello ',' Child ',' Tirikan ' , 'card', '']</v>
      </c>
      <c r="D4453" s="3">
        <v>1.0</v>
      </c>
    </row>
    <row r="4454" ht="15.75" customHeight="1">
      <c r="A4454" s="1">
        <v>4452.0</v>
      </c>
      <c r="B4454" s="3" t="s">
        <v>4454</v>
      </c>
      <c r="C4454" s="3" t="str">
        <f>IFERROR(__xludf.DUMMYFUNCTION("GOOGLETRANSLATE(B4454,""id"",""en"")"),"['hope', 'Telkomsel', 'best', 'hope', 'promo', 'promo']")</f>
        <v>['hope', 'Telkomsel', 'best', 'hope', 'promo', 'promo']</v>
      </c>
      <c r="D4454" s="3">
        <v>5.0</v>
      </c>
    </row>
    <row r="4455" ht="15.75" customHeight="1">
      <c r="A4455" s="1">
        <v>4453.0</v>
      </c>
      <c r="B4455" s="3" t="s">
        <v>4455</v>
      </c>
      <c r="C4455" s="3" t="str">
        <f>IFERROR(__xludf.DUMMYFUNCTION("GOOGLETRANSLATE(B4455,""id"",""en"")"),"['Telkomsel', 'Kalimantan', 'ugly', 'kah', 'fasting', 'good', 'paid', 'expensive', 'signal', 'abal', 'stable', 'star', ' love']")</f>
        <v>['Telkomsel', 'Kalimantan', 'ugly', 'kah', 'fasting', 'good', 'paid', 'expensive', 'signal', 'abal', 'stable', 'star', ' love']</v>
      </c>
      <c r="D4455" s="3">
        <v>1.0</v>
      </c>
    </row>
    <row r="4456" ht="15.75" customHeight="1">
      <c r="A4456" s="1">
        <v>4454.0</v>
      </c>
      <c r="B4456" s="3" t="s">
        <v>4456</v>
      </c>
      <c r="C4456" s="3" t="str">
        <f>IFERROR(__xludf.DUMMYFUNCTION("GOOGLETRANSLATE(B4456,""id"",""en"")"),"['Disappointed', 'service', 'buy', 'package', 'data', 'disorder', 'pulse', 'cut', 'ket', 'dongkol', 'money', 'right', ' Buy ',' pulse ',' right ',' Tsel ',' You ',' Silit ',' Credding ',' Credit ',' Org ',' Males', 'Notif', 'Skipsipskip', ""]")</f>
        <v>['Disappointed', 'service', 'buy', 'package', 'data', 'disorder', 'pulse', 'cut', 'ket', 'dongkol', 'money', 'right', ' Buy ',' pulse ',' right ',' Tsel ',' You ',' Silit ',' Credding ',' Credit ',' Org ',' Males', 'Notif', 'Skipsipskip', "]</v>
      </c>
      <c r="D4456" s="3">
        <v>1.0</v>
      </c>
    </row>
    <row r="4457" ht="15.75" customHeight="1">
      <c r="A4457" s="1">
        <v>4455.0</v>
      </c>
      <c r="B4457" s="3" t="s">
        <v>4457</v>
      </c>
      <c r="C4457" s="3" t="str">
        <f>IFERROR(__xludf.DUMMYFUNCTION("GOOGLETRANSLATE(B4457,""id"",""en"")"),"['Tsel', 'SGT', 'bad', 'employees',' tsel ',' jerk ',' hooked ',' take ',' credit ',' customer ',' quota ',' tsel ',' tsel ',' bad ',' buy ',' package ',' call ',' all ',' operator ',' call ',' operator ',' suck ',' pulse ',' thousand ',' sdgkan ' , 'Pack"&amp;"age', 'call', 'pull', 'aka', 'intact', 'pulse', 'suck', ""]")</f>
        <v>['Tsel', 'SGT', 'bad', 'employees',' tsel ',' jerk ',' hooked ',' take ',' credit ',' customer ',' quota ',' tsel ',' tsel ',' bad ',' buy ',' package ',' call ',' all ',' operator ',' call ',' operator ',' suck ',' pulse ',' thousand ',' sdgkan ' , 'Package', 'call', 'pull', 'aka', 'intact', 'pulse', 'suck', "]</v>
      </c>
      <c r="D4457" s="3">
        <v>1.0</v>
      </c>
    </row>
    <row r="4458" ht="15.75" customHeight="1">
      <c r="A4458" s="1">
        <v>4456.0</v>
      </c>
      <c r="B4458" s="3" t="s">
        <v>4458</v>
      </c>
      <c r="C4458" s="3" t="str">
        <f>IFERROR(__xludf.DUMMYFUNCTION("GOOGLETRANSLATE(B4458,""id"",""en"")"),"['Application', 'update', 'just', 'update', 'enter', 'PlayStore', 'update', 'latest', 'installed', 'date', 'open', 'update', ' ']")</f>
        <v>['Application', 'update', 'just', 'update', 'enter', 'PlayStore', 'update', 'latest', 'installed', 'date', 'open', 'update', ' ']</v>
      </c>
      <c r="D4458" s="3">
        <v>2.0</v>
      </c>
    </row>
    <row r="4459" ht="15.75" customHeight="1">
      <c r="A4459" s="1">
        <v>4457.0</v>
      </c>
      <c r="B4459" s="3" t="s">
        <v>4459</v>
      </c>
      <c r="C4459" s="3" t="str">
        <f>IFERROR(__xludf.DUMMYFUNCTION("GOOGLETRANSLATE(B4459,""id"",""en"")"),"['promo', 'okay', 'price', 'package', 'expensive', 'expensive', 'Telkomsel', 'package', 'internet', 'mmg', 'price', 'compete', ' continue', '']")</f>
        <v>['promo', 'okay', 'price', 'package', 'expensive', 'expensive', 'Telkomsel', 'package', 'internet', 'mmg', 'price', 'compete', ' continue', '']</v>
      </c>
      <c r="D4459" s="3">
        <v>5.0</v>
      </c>
    </row>
    <row r="4460" ht="15.75" customHeight="1">
      <c r="A4460" s="1">
        <v>4458.0</v>
      </c>
      <c r="B4460" s="3" t="s">
        <v>4460</v>
      </c>
      <c r="C4460" s="3" t="str">
        <f>IFERROR(__xludf.DUMMYFUNCTION("GOOGLETRANSLATE(B4460,""id"",""en"")"),"['Disappointed', 'Schedule', 'Bill', 'Advanced', 'Schedule', 'Date', 'Changed', 'DIES', 'Price', 'Bill', 'also', 'Different', ' ']")</f>
        <v>['Disappointed', 'Schedule', 'Bill', 'Advanced', 'Schedule', 'Date', 'Changed', 'DIES', 'Price', 'Bill', 'also', 'Different', ' ']</v>
      </c>
      <c r="D4460" s="3">
        <v>1.0</v>
      </c>
    </row>
    <row r="4461" ht="15.75" customHeight="1">
      <c r="A4461" s="1">
        <v>4459.0</v>
      </c>
      <c r="B4461" s="3" t="s">
        <v>4461</v>
      </c>
      <c r="C4461" s="3" t="str">
        <f>IFERROR(__xludf.DUMMYFUNCTION("GOOGLETRANSLATE(B4461,""id"",""en"")"),"['Stiap', 'contents',' pulse ',' cut ',' trs', 'debt', 'pls',' right ',' check ',' pls', 'already', 'cut', ' mna ',' network ',' soft ',' kek ',' taik ',' smalem ',' contents', 'pls',' minute ',' right ',' check ',' already ',' drift ' , 'brapa', 'thousan"&amp;"d', 'taik', 'laa']")</f>
        <v>['Stiap', 'contents',' pulse ',' cut ',' trs', 'debt', 'pls',' right ',' check ',' pls', 'already', 'cut', ' mna ',' network ',' soft ',' kek ',' taik ',' smalem ',' contents', 'pls',' minute ',' right ',' check ',' already ',' drift ' , 'brapa', 'thousand', 'taik', 'laa']</v>
      </c>
      <c r="D4461" s="3">
        <v>1.0</v>
      </c>
    </row>
    <row r="4462" ht="15.75" customHeight="1">
      <c r="A4462" s="1">
        <v>4460.0</v>
      </c>
      <c r="B4462" s="3" t="s">
        <v>4462</v>
      </c>
      <c r="C4462" s="3" t="str">
        <f>IFERROR(__xludf.DUMMYFUNCTION("GOOGLETRANSLATE(B4462,""id"",""en"")"),"['buy', 'quota', 'cheap', 'yesterday', 'quota', 'expensive', 'see', 'apk', 'ugly', 'regret', 'donlot', 'uda', ' Delete ',' APK ']")</f>
        <v>['buy', 'quota', 'cheap', 'yesterday', 'quota', 'expensive', 'see', 'apk', 'ugly', 'regret', 'donlot', 'uda', ' Delete ',' APK ']</v>
      </c>
      <c r="D4462" s="3">
        <v>1.0</v>
      </c>
    </row>
    <row r="4463" ht="15.75" customHeight="1">
      <c r="A4463" s="1">
        <v>4461.0</v>
      </c>
      <c r="B4463" s="3" t="s">
        <v>4463</v>
      </c>
      <c r="C4463" s="3" t="str">
        <f>IFERROR(__xludf.DUMMYFUNCTION("GOOGLETRANSLATE(B4463,""id"",""en"")"),"['Choose', 'combo', 'Sakti', 'choice', 'buy', 'combo', 'saktinya', 'just', 'combo', 'sakti', 'please', 'Telkomsel', ' Increase ',' combo ',' saktinya ',' just ',' ']")</f>
        <v>['Choose', 'combo', 'Sakti', 'choice', 'buy', 'combo', 'saktinya', 'just', 'combo', 'sakti', 'please', 'Telkomsel', ' Increase ',' combo ',' saktinya ',' just ',' ']</v>
      </c>
      <c r="D4463" s="3">
        <v>1.0</v>
      </c>
    </row>
    <row r="4464" ht="15.75" customHeight="1">
      <c r="A4464" s="1">
        <v>4462.0</v>
      </c>
      <c r="B4464" s="3" t="s">
        <v>4464</v>
      </c>
      <c r="C4464" s="3" t="str">
        <f>IFERROR(__xludf.DUMMYFUNCTION("GOOGLETRANSLATE(B4464,""id"",""en"")"),"['', 'love', 'star', 'application', 'login', 'strange', 'email', 'blom', 'trdftr', 'email', 'login', 'application', 'mlah ',' strange ',' Login ',' Mke ',' Trjadi ',' Pekaahan ',' Application ',' MNA ',' Login ',' Mke ',' Account ',' ADLH ',' CRA ', 'Logi"&amp;"n', 'pling', 'easy', '']")</f>
        <v>['', 'love', 'star', 'application', 'login', 'strange', 'email', 'blom', 'trdftr', 'email', 'login', 'application', 'mlah ',' strange ',' Login ',' Mke ',' Trjadi ',' Pekaahan ',' Application ',' MNA ',' Login ',' Mke ',' Account ',' ADLH ',' CRA ', 'Login', 'pling', 'easy', '']</v>
      </c>
      <c r="D4464" s="3">
        <v>1.0</v>
      </c>
    </row>
    <row r="4465" ht="15.75" customHeight="1">
      <c r="A4465" s="1">
        <v>4463.0</v>
      </c>
      <c r="B4465" s="3" t="s">
        <v>4465</v>
      </c>
      <c r="C4465" s="3" t="str">
        <f>IFERROR(__xludf.DUMMYFUNCTION("GOOGLETRANSLATE(B4465,""id"",""en"")"),"['', 'district', 'Garut', 'sub-district', 'Banyuresmi', 'connection', 'ugly', 'district', 'Tasikmalaya', 'sub-district', 'ciawi', 'connection', 'threat ',' ']")</f>
        <v>['', 'district', 'Garut', 'sub-district', 'Banyuresmi', 'connection', 'ugly', 'district', 'Tasikmalaya', 'sub-district', 'ciawi', 'connection', 'threat ',' ']</v>
      </c>
      <c r="D4465" s="3">
        <v>1.0</v>
      </c>
    </row>
    <row r="4466" ht="15.75" customHeight="1">
      <c r="A4466" s="1">
        <v>4464.0</v>
      </c>
      <c r="B4466" s="3" t="s">
        <v>4466</v>
      </c>
      <c r="C4466" s="3" t="str">
        <f>IFERROR(__xludf.DUMMYFUNCTION("GOOGLETRANSLATE(B4466,""id"",""en"")"),"['Love', 'Bintang', 'Network', 'Severe', 'Different', 'Already', 'Good', 'Love', 'Star']")</f>
        <v>['Love', 'Bintang', 'Network', 'Severe', 'Different', 'Already', 'Good', 'Love', 'Star']</v>
      </c>
      <c r="D4466" s="3">
        <v>1.0</v>
      </c>
    </row>
    <row r="4467" ht="15.75" customHeight="1">
      <c r="A4467" s="1">
        <v>4465.0</v>
      </c>
      <c r="B4467" s="3" t="s">
        <v>4467</v>
      </c>
      <c r="C4467" s="3" t="str">
        <f>IFERROR(__xludf.DUMMYFUNCTION("GOOGLETRANSLATE(B4467,""id"",""en"")"),"['Disappointed', 'service', 'Telkomsel', 'contents',' pulse ',' buy ',' kouta ',' inedible ',' pulse ',' turn on ',' data ',' cellular ',' ']")</f>
        <v>['Disappointed', 'service', 'Telkomsel', 'contents',' pulse ',' buy ',' kouta ',' inedible ',' pulse ',' turn on ',' data ',' cellular ',' ']</v>
      </c>
      <c r="D4467" s="3">
        <v>1.0</v>
      </c>
    </row>
    <row r="4468" ht="15.75" customHeight="1">
      <c r="A4468" s="1">
        <v>4466.0</v>
      </c>
      <c r="B4468" s="3" t="s">
        <v>4468</v>
      </c>
      <c r="C4468" s="3" t="str">
        <f>IFERROR(__xludf.DUMMYFUNCTION("GOOGLETRANSLATE(B4468,""id"",""en"")"),"['Comfort', 'Communication', 'Telkomsel', 'Easy', 'Galanya', 'Increase', 'Service', 'Make', 'Telkomsel', 'Tool', 'Telecommunications',' Best ',' Indonesia']")</f>
        <v>['Comfort', 'Communication', 'Telkomsel', 'Easy', 'Galanya', 'Increase', 'Service', 'Make', 'Telkomsel', 'Tool', 'Telecommunications',' Best ',' Indonesia']</v>
      </c>
      <c r="D4468" s="3">
        <v>4.0</v>
      </c>
    </row>
    <row r="4469" ht="15.75" customHeight="1">
      <c r="A4469" s="1">
        <v>4467.0</v>
      </c>
      <c r="B4469" s="3" t="s">
        <v>4469</v>
      </c>
      <c r="C4469" s="3" t="str">
        <f>IFERROR(__xludf.DUMMYFUNCTION("GOOGLETRANSLATE(B4469,""id"",""en"")"),"['Good', 'really', 'help', 'use', 'Telkomsel', 'smpai', 'sekrang', 'just', 'Telkomsel', 'heart', ""]")</f>
        <v>['Good', 'really', 'help', 'use', 'Telkomsel', 'smpai', 'sekrang', 'just', 'Telkomsel', 'heart', "]</v>
      </c>
      <c r="D4469" s="3">
        <v>5.0</v>
      </c>
    </row>
    <row r="4470" ht="15.75" customHeight="1">
      <c r="A4470" s="1">
        <v>4468.0</v>
      </c>
      <c r="B4470" s="3" t="s">
        <v>4470</v>
      </c>
      <c r="C4470" s="3" t="str">
        <f>IFERROR(__xludf.DUMMYFUNCTION("GOOGLETRANSLATE(B4470,""id"",""en"")"),"['Hello', 'developer', 'credit', 'leftover', 'missing', 'ngalamin', 'pulses',' kmn ',' valuable ',' group ',' bwh ',' use ',' card ',' Please ',' made ',' Lock ',' Button ',' pulse ',' missing ',' application ',' Please ',' followed up ',' complaint ',' c"&amp;"onsumer ',' turned ' , 'card', 'thank', 'love', ""]")</f>
        <v>['Hello', 'developer', 'credit', 'leftover', 'missing', 'ngalamin', 'pulses',' kmn ',' valuable ',' group ',' bwh ',' use ',' card ',' Please ',' made ',' Lock ',' Button ',' pulse ',' missing ',' application ',' Please ',' followed up ',' complaint ',' consumer ',' turned ' , 'card', 'thank', 'love', "]</v>
      </c>
      <c r="D4470" s="3">
        <v>1.0</v>
      </c>
    </row>
    <row r="4471" ht="15.75" customHeight="1">
      <c r="A4471" s="1">
        <v>4469.0</v>
      </c>
      <c r="B4471" s="3" t="s">
        <v>4471</v>
      </c>
      <c r="C4471" s="3" t="str">
        <f>IFERROR(__xludf.DUMMYFUNCTION("GOOGLETRANSLATE(B4471,""id"",""en"")"),"['love', 'star', 'complain', 'network', 'ugly', 'like', 'good', 'please', 'fix', ""]")</f>
        <v>['love', 'star', 'complain', 'network', 'ugly', 'like', 'good', 'please', 'fix', "]</v>
      </c>
      <c r="D4471" s="3">
        <v>3.0</v>
      </c>
    </row>
    <row r="4472" ht="15.75" customHeight="1">
      <c r="A4472" s="1">
        <v>4470.0</v>
      </c>
      <c r="B4472" s="3" t="s">
        <v>4472</v>
      </c>
      <c r="C4472" s="3" t="str">
        <f>IFERROR(__xludf.DUMMYFUNCTION("GOOGLETRANSLATE(B4472,""id"",""en"")"),"['System', 'check', 'MyTelkomsel', 'cheat', 'really', 'yaa', 'check', 'position', 'number', 'times',' no ',' get ',' GB ',' deh ',' wkwkwk ',' cheating ',' really ',' playing ',' developer ',' applicator ',' ']")</f>
        <v>['System', 'check', 'MyTelkomsel', 'cheat', 'really', 'yaa', 'check', 'position', 'number', 'times',' no ',' get ',' GB ',' deh ',' wkwkwk ',' cheating ',' really ',' playing ',' developer ',' applicator ',' ']</v>
      </c>
      <c r="D4472" s="3">
        <v>1.0</v>
      </c>
    </row>
    <row r="4473" ht="15.75" customHeight="1">
      <c r="A4473" s="1">
        <v>4471.0</v>
      </c>
      <c r="B4473" s="3" t="s">
        <v>4473</v>
      </c>
      <c r="C4473" s="3" t="str">
        <f>IFERROR(__xludf.DUMMYFUNCTION("GOOGLETRANSLATE(B4473,""id"",""en"")"),"['Maintain', 'package', 'internet', 'cheap', 'people', 'earn', 'low']")</f>
        <v>['Maintain', 'package', 'internet', 'cheap', 'people', 'earn', 'low']</v>
      </c>
      <c r="D4473" s="3">
        <v>5.0</v>
      </c>
    </row>
    <row r="4474" ht="15.75" customHeight="1">
      <c r="A4474" s="1">
        <v>4472.0</v>
      </c>
      <c r="B4474" s="3" t="s">
        <v>4474</v>
      </c>
      <c r="C4474" s="3" t="str">
        <f>IFERROR(__xludf.DUMMYFUNCTION("GOOGLETRANSLATE(B4474,""id"",""en"")"),"['suck', 'pulse', 'terooos',' gini ',' change ',' card ',' gini ',' strong ',' already ',' expensive ',' play ',' suck ',' Credit ',' Change ',' Indosat ',' Indonesia ', ""]")</f>
        <v>['suck', 'pulse', 'terooos',' gini ',' change ',' card ',' gini ',' strong ',' already ',' expensive ',' play ',' suck ',' Credit ',' Change ',' Indosat ',' Indonesia ', "]</v>
      </c>
      <c r="D4474" s="3">
        <v>1.0</v>
      </c>
    </row>
    <row r="4475" ht="15.75" customHeight="1">
      <c r="A4475" s="1">
        <v>4473.0</v>
      </c>
      <c r="B4475" s="3" t="s">
        <v>4475</v>
      </c>
      <c r="C4475" s="3" t="str">
        <f>IFERROR(__xludf.DUMMYFUNCTION("GOOGLETRANSLATE(B4475,""id"",""en"")"),"['Hopefully', 'in the future', 'signal', 'stable', 'work', 'spirit']")</f>
        <v>['Hopefully', 'in the future', 'signal', 'stable', 'work', 'spirit']</v>
      </c>
      <c r="D4475" s="3">
        <v>1.0</v>
      </c>
    </row>
    <row r="4476" ht="15.75" customHeight="1">
      <c r="A4476" s="1">
        <v>4474.0</v>
      </c>
      <c r="B4476" s="3" t="s">
        <v>4476</v>
      </c>
      <c r="C4476" s="3" t="str">
        <f>IFERROR(__xludf.DUMMYFUNCTION("GOOGLETRANSLATE(B4476,""id"",""en"")"),"['Hopefully', 'Cheap', 'Promo', 'Newuu', 'Affordable', '']")</f>
        <v>['Hopefully', 'Cheap', 'Promo', 'Newuu', 'Affordable', '']</v>
      </c>
      <c r="D4476" s="3">
        <v>4.0</v>
      </c>
    </row>
    <row r="4477" ht="15.75" customHeight="1">
      <c r="A4477" s="1">
        <v>4475.0</v>
      </c>
      <c r="B4477" s="3" t="s">
        <v>4477</v>
      </c>
      <c r="C4477" s="3" t="str">
        <f>IFERROR(__xludf.DUMMYFUNCTION("GOOGLETRANSLATE(B4477,""id"",""en"")"),"['Application', 'Young', 'Diaceses', 'Upload', 'Fast', 'Avoid', 'Advertising', 'Process', 'Upload', 'Thank you', ""]")</f>
        <v>['Application', 'Young', 'Diaceses', 'Upload', 'Fast', 'Avoid', 'Advertising', 'Process', 'Upload', 'Thank you', "]</v>
      </c>
      <c r="D4477" s="3">
        <v>4.0</v>
      </c>
    </row>
    <row r="4478" ht="15.75" customHeight="1">
      <c r="A4478" s="1">
        <v>4476.0</v>
      </c>
      <c r="B4478" s="3" t="s">
        <v>4478</v>
      </c>
      <c r="C4478" s="3" t="str">
        <f>IFERROR(__xludf.DUMMYFUNCTION("GOOGLETRANSLATE(B4478,""id"",""en"")"),"['Application', 'makes it easier', 'customers', 'Telkomsel', 'Mksh', 'Telkomsel', ""]")</f>
        <v>['Application', 'makes it easier', 'customers', 'Telkomsel', 'Mksh', 'Telkomsel', "]</v>
      </c>
      <c r="D4478" s="3">
        <v>5.0</v>
      </c>
    </row>
    <row r="4479" ht="15.75" customHeight="1">
      <c r="A4479" s="1">
        <v>4477.0</v>
      </c>
      <c r="B4479" s="3" t="s">
        <v>4479</v>
      </c>
      <c r="C4479" s="3" t="str">
        <f>IFERROR(__xludf.DUMMYFUNCTION("GOOGLETRANSLATE(B4479,""id"",""en"")"),"['Migration', 'Telkomsel', 'card', 'Hello', 'guarantee', 'run out', 'quota', 'credit', 'emergency']")</f>
        <v>['Migration', 'Telkomsel', 'card', 'Hello', 'guarantee', 'run out', 'quota', 'credit', 'emergency']</v>
      </c>
      <c r="D4479" s="3">
        <v>5.0</v>
      </c>
    </row>
    <row r="4480" ht="15.75" customHeight="1">
      <c r="A4480" s="1">
        <v>4478.0</v>
      </c>
      <c r="B4480" s="3" t="s">
        <v>4480</v>
      </c>
      <c r="C4480" s="3" t="str">
        <f>IFERROR(__xludf.DUMMYFUNCTION("GOOGLETRANSLATE(B4480,""id"",""en"")"),"['strange', 'check', 'reset', 'mmg', 'hoax', 'program', 'signal', 'telkomsel', 'as good']")</f>
        <v>['strange', 'check', 'reset', 'mmg', 'hoax', 'program', 'signal', 'telkomsel', 'as good']</v>
      </c>
      <c r="D4480" s="3">
        <v>3.0</v>
      </c>
    </row>
    <row r="4481" ht="15.75" customHeight="1">
      <c r="A4481" s="1">
        <v>4479.0</v>
      </c>
      <c r="B4481" s="3" t="s">
        <v>4481</v>
      </c>
      <c r="C4481" s="3" t="str">
        <f>IFERROR(__xludf.DUMMYFUNCTION("GOOGLETRANSLATE(B4481,""id"",""en"")"),"['', 'Activities', 'World', 'Maya', 'Disappointed', 'MUCH', 'Quota', 'Distribution', ""]")</f>
        <v>['', 'Activities', 'World', 'Maya', 'Disappointed', 'MUCH', 'Quota', 'Distribution', "]</v>
      </c>
      <c r="D4481" s="3">
        <v>1.0</v>
      </c>
    </row>
    <row r="4482" ht="15.75" customHeight="1">
      <c r="A4482" s="1">
        <v>4480.0</v>
      </c>
      <c r="B4482" s="3" t="s">
        <v>4482</v>
      </c>
      <c r="C4482" s="3" t="str">
        <f>IFERROR(__xludf.DUMMYFUNCTION("GOOGLETRANSLATE(B4482,""id"",""en"")"),"['buy', 'package', 'unlimited', 'right', 'unlimited', 'slow', 'really', 'streaming', 'smooth', 'direct', 'loading', 'muter']")</f>
        <v>['buy', 'package', 'unlimited', 'right', 'unlimited', 'slow', 'really', 'streaming', 'smooth', 'direct', 'loading', 'muter']</v>
      </c>
      <c r="D4482" s="3">
        <v>2.0</v>
      </c>
    </row>
    <row r="4483" ht="15.75" customHeight="1">
      <c r="A4483" s="1">
        <v>4481.0</v>
      </c>
      <c r="B4483" s="3" t="s">
        <v>4483</v>
      </c>
      <c r="C4483" s="3" t="str">
        <f>IFERROR(__xludf.DUMMYFUNCTION("GOOGLETRANSLATE(B4483,""id"",""en"")"),"['buy', 'pulse', 'activation', 'package', 'data', 'promoted', 'application', 'enter', 'application', 'notification', 'error', 'system', ' Try ',' Awaited ',' Check ',' Credit ',' Via ',' UMB ',' Used ',' Credit ',' Buy ',' Package ',' Data ',' Selected ',"&amp;"' Enter ' , 'application', 'free', 'quota', 'data', 'pulse', 'application', 'provider', 'check', 'buy', 'transaction', 'point', 'features',' application ',' pulse ',' quota ',' data ',' active ',' run out ',' ']")</f>
        <v>['buy', 'pulse', 'activation', 'package', 'data', 'promoted', 'application', 'enter', 'application', 'notification', 'error', 'system', ' Try ',' Awaited ',' Check ',' Credit ',' Via ',' UMB ',' Used ',' Credit ',' Buy ',' Package ',' Data ',' Selected ',' Enter ' , 'application', 'free', 'quota', 'data', 'pulse', 'application', 'provider', 'check', 'buy', 'transaction', 'point', 'features',' application ',' pulse ',' quota ',' data ',' active ',' run out ',' ']</v>
      </c>
      <c r="D4483" s="3">
        <v>1.0</v>
      </c>
    </row>
    <row r="4484" ht="15.75" customHeight="1">
      <c r="A4484" s="1">
        <v>4482.0</v>
      </c>
      <c r="B4484" s="3" t="s">
        <v>4484</v>
      </c>
      <c r="C4484" s="3" t="str">
        <f>IFERROR(__xludf.DUMMYFUNCTION("GOOGLETRANSLATE(B4484,""id"",""en"")"),"['Veronica', 'Service', 'Kayak', 'Robot', 'BLI', 'Package', 'Enter']")</f>
        <v>['Veronica', 'Service', 'Kayak', 'Robot', 'BLI', 'Package', 'Enter']</v>
      </c>
      <c r="D4484" s="3">
        <v>1.0</v>
      </c>
    </row>
    <row r="4485" ht="15.75" customHeight="1">
      <c r="A4485" s="1">
        <v>4483.0</v>
      </c>
      <c r="B4485" s="3" t="s">
        <v>4485</v>
      </c>
      <c r="C4485" s="3" t="str">
        <f>IFERROR(__xludf.DUMMYFUNCTION("GOOGLETRANSLATE(B4485,""id"",""en"")"),"['Overall', 'Good', 'App', 'Please', 'Price', 'Package', 'Internet', 'Cheap', 'Thanks']")</f>
        <v>['Overall', 'Good', 'App', 'Please', 'Price', 'Package', 'Internet', 'Cheap', 'Thanks']</v>
      </c>
      <c r="D4485" s="3">
        <v>4.0</v>
      </c>
    </row>
    <row r="4486" ht="15.75" customHeight="1">
      <c r="A4486" s="1">
        <v>4484.0</v>
      </c>
      <c r="B4486" s="3" t="s">
        <v>4486</v>
      </c>
      <c r="C4486" s="3" t="str">
        <f>IFERROR(__xludf.DUMMYFUNCTION("GOOGLETRANSLATE(B4486,""id"",""en"")"),"['Helping', 'pulse', 'run out', 'loan', 'paying', 'pulse', 'easy', 'hopefully', 'in the future', 'Telkomsel', 'best', 'community', ' Indonesia ',' Promo ',' Affordable ',' People ',' Thank "", 'Love', 'Telkomsel', 'Telkomsel', 'Meet', 'Needs', 'Child', 'S"&amp;"tate', 'Success' , 'Telkomsel', '']")</f>
        <v>['Helping', 'pulse', 'run out', 'loan', 'paying', 'pulse', 'easy', 'hopefully', 'in the future', 'Telkomsel', 'best', 'community', ' Indonesia ',' Promo ',' Affordable ',' People ',' Thank ", 'Love', 'Telkomsel', 'Telkomsel', 'Meet', 'Needs', 'Child', 'State', 'Success' , 'Telkomsel', '']</v>
      </c>
      <c r="D4486" s="3">
        <v>5.0</v>
      </c>
    </row>
    <row r="4487" ht="15.75" customHeight="1">
      <c r="A4487" s="1">
        <v>4485.0</v>
      </c>
      <c r="B4487" s="3" t="s">
        <v>4487</v>
      </c>
      <c r="C4487" s="3" t="str">
        <f>IFERROR(__xludf.DUMMYFUNCTION("GOOGLETRANSLATE(B4487,""id"",""en"")"),"['Telkomsel', 'disappointing', 'use', 'wifi', 'pulse', 'chick', 'then', 'try', 'pakek', 'package', 'lap', 'notification', ' pulse ',' pls', 'strange', 'cicil', 'pulse', 'chick', 'then', 'solution', 'customer', 'hate', 'user', 'Telkomsel', 'uda' , '']")</f>
        <v>['Telkomsel', 'disappointing', 'use', 'wifi', 'pulse', 'chick', 'then', 'try', 'pakek', 'package', 'lap', 'notification', ' pulse ',' pls', 'strange', 'cicil', 'pulse', 'chick', 'then', 'solution', 'customer', 'hate', 'user', 'Telkomsel', 'uda' , '']</v>
      </c>
      <c r="D4487" s="3">
        <v>1.0</v>
      </c>
    </row>
    <row r="4488" ht="15.75" customHeight="1">
      <c r="A4488" s="1">
        <v>4486.0</v>
      </c>
      <c r="B4488" s="3" t="s">
        <v>4488</v>
      </c>
      <c r="C4488" s="3" t="str">
        <f>IFERROR(__xludf.DUMMYFUNCTION("GOOGLETRANSLATE(B4488,""id"",""en"")"),"['Telkom', 'Gaje', 'yeah', 'contents',' pulse ',' dark ',' in ',' lose ',' until ',' crazy ',' difficult ',' Buy ',' Credit ',' Data ',' Sinalin ',' Event ',' NSP ',' Litu ',' Please ',' Involved ',' Disah ',' Help ',' Loss', ""]")</f>
        <v>['Telkom', 'Gaje', 'yeah', 'contents',' pulse ',' dark ',' in ',' lose ',' until ',' crazy ',' difficult ',' Buy ',' Credit ',' Data ',' Sinalin ',' Event ',' NSP ',' Litu ',' Please ',' Involved ',' Disah ',' Help ',' Loss', "]</v>
      </c>
      <c r="D4488" s="3">
        <v>1.0</v>
      </c>
    </row>
    <row r="4489" ht="15.75" customHeight="1">
      <c r="A4489" s="1">
        <v>4487.0</v>
      </c>
      <c r="B4489" s="3" t="s">
        <v>4489</v>
      </c>
      <c r="C4489" s="3" t="str">
        <f>IFERROR(__xludf.DUMMYFUNCTION("GOOGLETRANSLATE(B4489,""id"",""en"")"),"['Useful', 'really', 'slow', 'response', 'times',' buy ',' quota ',' direct ',' message ',' thank ',' love ',' apk ',' useful']")</f>
        <v>['Useful', 'really', 'slow', 'response', 'times',' buy ',' quota ',' direct ',' message ',' thank ',' love ',' apk ',' useful']</v>
      </c>
      <c r="D4489" s="3">
        <v>5.0</v>
      </c>
    </row>
    <row r="4490" ht="15.75" customHeight="1">
      <c r="A4490" s="1">
        <v>4488.0</v>
      </c>
      <c r="B4490" s="3" t="s">
        <v>4490</v>
      </c>
      <c r="C4490" s="3" t="str">
        <f>IFERROR(__xludf.DUMMYFUNCTION("GOOGLETRANSLATE(B4490,""id"",""en"")"),"['as',' customer ',' disappointed ',' service ',' confirmation ',' customer ',' honest ',' waste ',' sim ',' card ',' Telkomsel ',' tsb ',' Avoid ',' effect ',' Contract ',' Telkomsel ',' Select ',' SIM ',' Card ',' Telkomsel ',' Your Customer ',' Satisfi"&amp;"ed ',' Increase ',' Service ',' Bravo ' , 'Telkomsel', '']")</f>
        <v>['as',' customer ',' disappointed ',' service ',' confirmation ',' customer ',' honest ',' waste ',' sim ',' card ',' Telkomsel ',' tsb ',' Avoid ',' effect ',' Contract ',' Telkomsel ',' Select ',' SIM ',' Card ',' Telkomsel ',' Your Customer ',' Satisfied ',' Increase ',' Service ',' Bravo ' , 'Telkomsel', '']</v>
      </c>
      <c r="D4490" s="3">
        <v>5.0</v>
      </c>
    </row>
    <row r="4491" ht="15.75" customHeight="1">
      <c r="A4491" s="1">
        <v>4489.0</v>
      </c>
      <c r="B4491" s="3" t="s">
        <v>4491</v>
      </c>
      <c r="C4491" s="3" t="str">
        <f>IFERROR(__xludf.DUMMYFUNCTION("GOOGLETRANSLATE(B4491,""id"",""en"")"),"['quota', 'GB', 'signal', 'slow', 'missing', 'signal', 'missing', 'application', '']")</f>
        <v>['quota', 'GB', 'signal', 'slow', 'missing', 'signal', 'missing', 'application', '']</v>
      </c>
      <c r="D4491" s="3">
        <v>1.0</v>
      </c>
    </row>
    <row r="4492" ht="15.75" customHeight="1">
      <c r="A4492" s="1">
        <v>4490.0</v>
      </c>
      <c r="B4492" s="3" t="s">
        <v>4492</v>
      </c>
      <c r="C4492" s="3" t="str">
        <f>IFERROR(__xludf.DUMMYFUNCTION("GOOGLETRANSLATE(B4492,""id"",""en"")"),"['Credit', 'truncated', 'RB', 'activated', 'package', 'emergency', 'skrg', 'pket', 'unlimited', 'speed', 'limit', 'kbps',' Sya ',' PKE ',' Platform ',' expensive ',' here ',' service ',' bad ',' wrong ',' Kominsaris', 'Director', 'in', 'take', 'policy' , "&amp;"'please', 'fix', 'dlu', 'aspect', 'service', 'company', 'BUMN', 'BUMN', 'owned', 'government', 'ugly', ' Eyes', 'community', '']")</f>
        <v>['Credit', 'truncated', 'RB', 'activated', 'package', 'emergency', 'skrg', 'pket', 'unlimited', 'speed', 'limit', 'kbps',' Sya ',' PKE ',' Platform ',' expensive ',' here ',' service ',' bad ',' wrong ',' Kominsaris', 'Director', 'in', 'take', 'policy' , 'please', 'fix', 'dlu', 'aspect', 'service', 'company', 'BUMN', 'BUMN', 'owned', 'government', 'ugly', ' Eyes', 'community', '']</v>
      </c>
      <c r="D4492" s="3">
        <v>1.0</v>
      </c>
    </row>
    <row r="4493" ht="15.75" customHeight="1">
      <c r="A4493" s="1">
        <v>4491.0</v>
      </c>
      <c r="B4493" s="3" t="s">
        <v>4493</v>
      </c>
      <c r="C4493" s="3" t="str">
        <f>IFERROR(__xludf.DUMMYFUNCTION("GOOGLETRANSLATE(B4493,""id"",""en"")"),"['sorry', 'love', 'star', 'right', 'migration', 'card', 'happy', 'can', 'bonus',' quota ',' quota ',' jrgan ',' automatically ',' changed ',' network ',' automatic ',' pulse ',' suck ',' heart ',' heart ',' friend ',' trap ',' Batman ', ""]")</f>
        <v>['sorry', 'love', 'star', 'right', 'migration', 'card', 'happy', 'can', 'bonus',' quota ',' quota ',' jrgan ',' automatically ',' changed ',' network ',' automatic ',' pulse ',' suck ',' heart ',' heart ',' friend ',' trap ',' Batman ', "]</v>
      </c>
      <c r="D4493" s="3">
        <v>1.0</v>
      </c>
    </row>
    <row r="4494" ht="15.75" customHeight="1">
      <c r="A4494" s="1">
        <v>4492.0</v>
      </c>
      <c r="B4494" s="3" t="s">
        <v>4494</v>
      </c>
      <c r="C4494" s="3" t="str">
        <f>IFERROR(__xludf.DUMMYFUNCTION("GOOGLETRANSLATE(B4494,""id"",""en"")"),"['', 'Telkomsel', 'Help', 'Peguna', 'Telkomsel', 'Telkomsel', 'Package', 'Data', 'Expensive']")</f>
        <v>['', 'Telkomsel', 'Help', 'Peguna', 'Telkomsel', 'Telkomsel', 'Package', 'Data', 'Expensive']</v>
      </c>
      <c r="D4494" s="3">
        <v>5.0</v>
      </c>
    </row>
    <row r="4495" ht="15.75" customHeight="1">
      <c r="A4495" s="1">
        <v>4493.0</v>
      </c>
      <c r="B4495" s="3" t="s">
        <v>4495</v>
      </c>
      <c r="C4495" s="3" t="str">
        <f>IFERROR(__xludf.DUMMYFUNCTION("GOOGLETRANSLATE(B4495,""id"",""en"")"),"['Application', 'Helpful', 'Help', 'People', 'Download', 'Application', 'Hurry', 'Download', 'Application', 'Nga', 'Raying', 'Like', ' MyTelkomsel ',' Trima ',' Kasih ']")</f>
        <v>['Application', 'Helpful', 'Help', 'People', 'Download', 'Application', 'Hurry', 'Download', 'Application', 'Nga', 'Raying', 'Like', ' MyTelkomsel ',' Trima ',' Kasih ']</v>
      </c>
      <c r="D4495" s="3">
        <v>5.0</v>
      </c>
    </row>
    <row r="4496" ht="15.75" customHeight="1">
      <c r="A4496" s="1">
        <v>4494.0</v>
      </c>
      <c r="B4496" s="3" t="s">
        <v>4496</v>
      </c>
      <c r="C4496" s="3" t="str">
        <f>IFERROR(__xludf.DUMMYFUNCTION("GOOGLETRANSLATE(B4496,""id"",""en"")"),"['love', 'rating', 'service', 'Telkomsel', 'ugly', 'expensive', 'provider', 'star', 'love', 'package', 'Halokick', 'Rb', ' Pay ',' Bill ',' Slalu ',' RB ',' Rare ',' Bangettt ',' Package ',' Nelp ',' SMS ',' MAYAL ',' Package ',' internet ',' Telkomsel ' "&amp;", 'Slalu', 'save', 'use', 'every month', 'month', 'bill', 'slalu', 'migration', 'sympathy', 'Called', 'Hello', ' poor']")</f>
        <v>['love', 'rating', 'service', 'Telkomsel', 'ugly', 'expensive', 'provider', 'star', 'love', 'package', 'Halokick', 'Rb', ' Pay ',' Bill ',' Slalu ',' RB ',' Rare ',' Bangettt ',' Package ',' Nelp ',' SMS ',' MAYAL ',' Package ',' internet ',' Telkomsel ' , 'Slalu', 'save', 'use', 'every month', 'month', 'bill', 'slalu', 'migration', 'sympathy', 'Called', 'Hello', ' poor']</v>
      </c>
      <c r="D4496" s="3">
        <v>1.0</v>
      </c>
    </row>
    <row r="4497" ht="15.75" customHeight="1">
      <c r="A4497" s="1">
        <v>4495.0</v>
      </c>
      <c r="B4497" s="3" t="s">
        <v>4497</v>
      </c>
      <c r="C4497" s="3" t="str">
        <f>IFERROR(__xludf.DUMMYFUNCTION("GOOGLETRANSLATE(B4497,""id"",""en"")"),"['Package', 'Data', 'Operator', 'Credit', 'Telkomsel', 'Cut', 'Continuous', 'Bizhh']")</f>
        <v>['Package', 'Data', 'Operator', 'Credit', 'Telkomsel', 'Cut', 'Continuous', 'Bizhh']</v>
      </c>
      <c r="D4497" s="3">
        <v>1.0</v>
      </c>
    </row>
    <row r="4498" ht="15.75" customHeight="1">
      <c r="A4498" s="1">
        <v>4496.0</v>
      </c>
      <c r="B4498" s="3" t="s">
        <v>4498</v>
      </c>
      <c r="C4498" s="3" t="str">
        <f>IFERROR(__xludf.DUMMYFUNCTION("GOOGLETRANSLATE(B4498,""id"",""en"")"),"['How', 'the story', 'Redemp', 'Points',' balance ',' Bonus', 'Linkaja', 'Notification', 'Congratulations',' Success', 'Redemp', 'Points',' please ',' check ',' balance ',' bonus', 'APK', 'Linkaja', 'check', 'strange', 'balance', 'bonus',' entry ',' what "&amp;"'is' accountable' , 'already', 'Points', 'Cut', 'balance', 'bonus', 'please', 'explanation', ""]")</f>
        <v>['How', 'the story', 'Redemp', 'Points',' balance ',' Bonus', 'Linkaja', 'Notification', 'Congratulations',' Success', 'Redemp', 'Points',' please ',' check ',' balance ',' bonus', 'APK', 'Linkaja', 'check', 'strange', 'balance', 'bonus',' entry ',' what 'is' accountable' , 'already', 'Points', 'Cut', 'balance', 'bonus', 'please', 'explanation', "]</v>
      </c>
      <c r="D4498" s="3">
        <v>1.0</v>
      </c>
    </row>
    <row r="4499" ht="15.75" customHeight="1">
      <c r="A4499" s="1">
        <v>4497.0</v>
      </c>
      <c r="B4499" s="3" t="s">
        <v>4499</v>
      </c>
      <c r="C4499" s="3" t="str">
        <f>IFERROR(__xludf.DUMMYFUNCTION("GOOGLETRANSLATE(B4499,""id"",""en"")"),"['Exchange', 'Point', 'Please', 'Fix', 'Kasian', 'Consumer', 'Hoping', 'Exchange', 'Point']")</f>
        <v>['Exchange', 'Point', 'Please', 'Fix', 'Kasian', 'Consumer', 'Hoping', 'Exchange', 'Point']</v>
      </c>
      <c r="D4499" s="3">
        <v>2.0</v>
      </c>
    </row>
    <row r="4500" ht="15.75" customHeight="1">
      <c r="A4500" s="1">
        <v>4498.0</v>
      </c>
      <c r="B4500" s="3" t="s">
        <v>4500</v>
      </c>
      <c r="C4500" s="3" t="str">
        <f>IFERROR(__xludf.DUMMYFUNCTION("GOOGLETRANSLATE(B4500,""id"",""en"")"),"['Love', 'Bintang', 'Telkom', 'Application', 'Bad', 'Buy', 'Credit', 'Cut', 'Padahl', 'Debt', 'Please', 'Repaired', ' Open ',' application ',' update ']")</f>
        <v>['Love', 'Bintang', 'Telkom', 'Application', 'Bad', 'Buy', 'Credit', 'Cut', 'Padahl', 'Debt', 'Please', 'Repaired', ' Open ',' application ',' update ']</v>
      </c>
      <c r="D4500" s="3">
        <v>1.0</v>
      </c>
    </row>
    <row r="4501" ht="15.75" customHeight="1">
      <c r="A4501" s="1">
        <v>4499.0</v>
      </c>
      <c r="B4501" s="3" t="s">
        <v>4501</v>
      </c>
      <c r="C4501" s="3" t="str">
        <f>IFERROR(__xludf.DUMMYFUNCTION("GOOGLETRANSLATE(B4501,""id"",""en"")"),"['signal', 'kek', 'pig', 'open', 'application', 'Telkomsel', 'doang', 'speed', 'open', 'application', 'ngentit']")</f>
        <v>['signal', 'kek', 'pig', 'open', 'application', 'Telkomsel', 'doang', 'speed', 'open', 'application', 'ngentit']</v>
      </c>
      <c r="D4501" s="3">
        <v>1.0</v>
      </c>
    </row>
    <row r="4502" ht="15.75" customHeight="1">
      <c r="A4502" s="1">
        <v>4500.0</v>
      </c>
      <c r="B4502" s="3" t="s">
        <v>4502</v>
      </c>
      <c r="C4502" s="3" t="str">
        <f>IFERROR(__xludf.DUMMYFUNCTION("GOOGLETRANSLATE(B4502,""id"",""en"")"),"['Disappointed', 'Telkomsel', 'Disorders', 'Moor', 'Fill', 'Credit', 'Difficult']")</f>
        <v>['Disappointed', 'Telkomsel', 'Disorders', 'Moor', 'Fill', 'Credit', 'Difficult']</v>
      </c>
      <c r="D4502" s="3">
        <v>1.0</v>
      </c>
    </row>
    <row r="4503" ht="15.75" customHeight="1">
      <c r="A4503" s="1">
        <v>4501.0</v>
      </c>
      <c r="B4503" s="3" t="s">
        <v>4503</v>
      </c>
      <c r="C4503" s="3" t="str">
        <f>IFERROR(__xludf.DUMMYFUNCTION("GOOGLETRANSLATE(B4503,""id"",""en"")"),"['Update', 'Version', 'Good', 'Opened', 'The Application', '']")</f>
        <v>['Update', 'Version', 'Good', 'Opened', 'The Application', '']</v>
      </c>
      <c r="D4503" s="3">
        <v>3.0</v>
      </c>
    </row>
    <row r="4504" ht="15.75" customHeight="1">
      <c r="A4504" s="1">
        <v>4502.0</v>
      </c>
      <c r="B4504" s="3" t="s">
        <v>4504</v>
      </c>
      <c r="C4504" s="3" t="str">
        <f>IFERROR(__xludf.DUMMYFUNCTION("GOOGLETRANSLATE(B4504,""id"",""en"")"),"['contents',' pulse ',' Ludes', 'keeleli', 'package', 'order', 'package', 'repeat', 'times',' email ',' Telkomsel ',' response ',' ']")</f>
        <v>['contents',' pulse ',' Ludes', 'keeleli', 'package', 'order', 'package', 'repeat', 'times',' email ',' Telkomsel ',' response ',' ']</v>
      </c>
      <c r="D4504" s="3">
        <v>1.0</v>
      </c>
    </row>
    <row r="4505" ht="15.75" customHeight="1">
      <c r="A4505" s="1">
        <v>4503.0</v>
      </c>
      <c r="B4505" s="3" t="s">
        <v>4505</v>
      </c>
      <c r="C4505" s="3" t="str">
        <f>IFERROR(__xludf.DUMMYFUNCTION("GOOGLETRANSLATE(B4505,""id"",""en"")"),"['Disappointed', 'buy', 'package', 'buy', 'Telkomsel', 'easy', ""]")</f>
        <v>['Disappointed', 'buy', 'package', 'buy', 'Telkomsel', 'easy', "]</v>
      </c>
      <c r="D4505" s="3">
        <v>5.0</v>
      </c>
    </row>
    <row r="4506" ht="15.75" customHeight="1">
      <c r="A4506" s="1">
        <v>4504.0</v>
      </c>
      <c r="B4506" s="3" t="s">
        <v>4506</v>
      </c>
      <c r="C4506" s="3" t="str">
        <f>IFERROR(__xludf.DUMMYFUNCTION("GOOGLETRANSLATE(B4506,""id"",""en"")"),"['Display', 'Application', 'Home', 'Application', 'Details',' Please ',' Show ',' Promo ',' Promo ',' Price ',' Quota ',' Data ',' Cheap ',' the rest ',' satisfying ']")</f>
        <v>['Display', 'Application', 'Home', 'Application', 'Details',' Please ',' Show ',' Promo ',' Promo ',' Price ',' Quota ',' Data ',' Cheap ',' the rest ',' satisfying ']</v>
      </c>
      <c r="D4506" s="3">
        <v>4.0</v>
      </c>
    </row>
    <row r="4507" ht="15.75" customHeight="1">
      <c r="A4507" s="1">
        <v>4505.0</v>
      </c>
      <c r="B4507" s="3" t="s">
        <v>4507</v>
      </c>
      <c r="C4507" s="3" t="str">
        <f>IFERROR(__xludf.DUMMYFUNCTION("GOOGLETRANSLATE(B4507,""id"",""en"")"),"['Please', 'repaired', 'network', 'Telkomsel', 'muter', 'muter', 'rich', 'people', 'stresss', ""]")</f>
        <v>['Please', 'repaired', 'network', 'Telkomsel', 'muter', 'muter', 'rich', 'people', 'stresss', "]</v>
      </c>
      <c r="D4507" s="3">
        <v>1.0</v>
      </c>
    </row>
    <row r="4508" ht="15.75" customHeight="1">
      <c r="A4508" s="1">
        <v>4506.0</v>
      </c>
      <c r="B4508" s="3" t="s">
        <v>4508</v>
      </c>
      <c r="C4508" s="3" t="str">
        <f>IFERROR(__xludf.DUMMYFUNCTION("GOOGLETRANSLATE(B4508,""id"",""en"")"),"['Thank you', 'MyTelkomsel', 'Fix', 'application', 'makes it easy', 'really', 'buy', 'pulse', 'package', 'internet', 'have', 'really', ' Bid ',' bid ',' interesting ',' recommendation ',' really ',' download ',' bakes', 'regret', '']")</f>
        <v>['Thank you', 'MyTelkomsel', 'Fix', 'application', 'makes it easy', 'really', 'buy', 'pulse', 'package', 'internet', 'have', 'really', ' Bid ',' bid ',' interesting ',' recommendation ',' really ',' download ',' bakes', 'regret', '']</v>
      </c>
      <c r="D4508" s="3">
        <v>5.0</v>
      </c>
    </row>
    <row r="4509" ht="15.75" customHeight="1">
      <c r="A4509" s="1">
        <v>4507.0</v>
      </c>
      <c r="B4509" s="3" t="s">
        <v>4509</v>
      </c>
      <c r="C4509" s="3" t="str">
        <f>IFERROR(__xludf.DUMMYFUNCTION("GOOGLETRANSLATE(B4509,""id"",""en"")"),"['signal', 'Telkomsel', 'Severe', 'really', 'no', 'I think about', 'repay', ""]")</f>
        <v>['signal', 'Telkomsel', 'Severe', 'really', 'no', 'I think about', 'repay', "]</v>
      </c>
      <c r="D4509" s="3">
        <v>1.0</v>
      </c>
    </row>
    <row r="4510" ht="15.75" customHeight="1">
      <c r="A4510" s="1">
        <v>4508.0</v>
      </c>
      <c r="B4510" s="3" t="s">
        <v>4510</v>
      </c>
      <c r="C4510" s="3" t="str">
        <f>IFERROR(__xludf.DUMMYFUNCTION("GOOGLETRANSLATE(B4510,""id"",""en"")"),"['card', 'good', 'card', 'just', 'Telkomsel', 'expensive', 'slow', 'network', 'sllu', 'mulu', ""]")</f>
        <v>['card', 'good', 'card', 'just', 'Telkomsel', 'expensive', 'slow', 'network', 'sllu', 'mulu', "]</v>
      </c>
      <c r="D4510" s="3">
        <v>1.0</v>
      </c>
    </row>
    <row r="4511" ht="15.75" customHeight="1">
      <c r="A4511" s="1">
        <v>4509.0</v>
      </c>
      <c r="B4511" s="3" t="s">
        <v>4511</v>
      </c>
      <c r="C4511" s="3" t="str">
        <f>IFERROR(__xludf.DUMMYFUNCTION("GOOGLETRANSLATE(B4511,""id"",""en"")"),"['Please', 'subscribe', 'use', 'Telkomsel', 'Literable', 'rich', 'friend', 'named', 'Revelation', 'pecir', 'expensive', 'expensive', ' Really ',' please ',' please ']")</f>
        <v>['Please', 'subscribe', 'use', 'Telkomsel', 'Literable', 'rich', 'friend', 'named', 'Revelation', 'pecir', 'expensive', 'expensive', ' Really ',' please ',' please ']</v>
      </c>
      <c r="D4511" s="3">
        <v>1.0</v>
      </c>
    </row>
    <row r="4512" ht="15.75" customHeight="1">
      <c r="A4512" s="1">
        <v>4510.0</v>
      </c>
      <c r="B4512" s="3" t="s">
        <v>4512</v>
      </c>
      <c r="C4512" s="3" t="str">
        <f>IFERROR(__xludf.DUMMYFUNCTION("GOOGLETRANSLATE(B4512,""id"",""en"")"),"['Severe', 'network', 'Dalem', 'home', 'missing', 'home', 'Ciman', 'Pay', 'expensive', 'quality', 'plump', 'quality']")</f>
        <v>['Severe', 'network', 'Dalem', 'home', 'missing', 'home', 'Ciman', 'Pay', 'expensive', 'quality', 'plump', 'quality']</v>
      </c>
      <c r="D4512" s="3">
        <v>1.0</v>
      </c>
    </row>
    <row r="4513" ht="15.75" customHeight="1">
      <c r="A4513" s="1">
        <v>4511.0</v>
      </c>
      <c r="B4513" s="3" t="s">
        <v>4513</v>
      </c>
      <c r="C4513" s="3" t="str">
        <f>IFERROR(__xludf.DUMMYFUNCTION("GOOGLETRANSLATE(B4513,""id"",""en"")"),"['Help', 'buy', 'package', 'and see', 'promo', 'Telkomsel', 'newest']")</f>
        <v>['Help', 'buy', 'package', 'and see', 'promo', 'Telkomsel', 'newest']</v>
      </c>
      <c r="D4513" s="3">
        <v>5.0</v>
      </c>
    </row>
    <row r="4514" ht="15.75" customHeight="1">
      <c r="A4514" s="1">
        <v>4512.0</v>
      </c>
      <c r="B4514" s="3" t="s">
        <v>4514</v>
      </c>
      <c r="C4514" s="3" t="str">
        <f>IFERROR(__xludf.DUMMYFUNCTION("GOOGLETRANSLATE(B4514,""id"",""en"")"),"['Package', 'expensive', 'Provider', 'RB', 'GB', '']")</f>
        <v>['Package', 'expensive', 'Provider', 'RB', 'GB', '']</v>
      </c>
      <c r="D4514" s="3">
        <v>3.0</v>
      </c>
    </row>
    <row r="4515" ht="15.75" customHeight="1">
      <c r="A4515" s="1">
        <v>4513.0</v>
      </c>
      <c r="B4515" s="3" t="s">
        <v>4515</v>
      </c>
      <c r="C4515" s="3" t="str">
        <f>IFERROR(__xludf.DUMMYFUNCTION("GOOGLETRANSLATE(B4515,""id"",""en"")"),"['Maff', 'love', 'star', 'Telkomsel', 'Masah', 'buy', 'package', 'date', 'August', 'date', 'September', 'leftover', ' Quota ',' MB ',' Telkomsel ',' Severe ',' Disappointed ',' Lei ',' Tree ',' Cheap ',' Meria ']")</f>
        <v>['Maff', 'love', 'star', 'Telkomsel', 'Masah', 'buy', 'package', 'date', 'August', 'date', 'September', 'leftover', ' Quota ',' MB ',' Telkomsel ',' Severe ',' Disappointed ',' Lei ',' Tree ',' Cheap ',' Meria ']</v>
      </c>
      <c r="D4515" s="3">
        <v>1.0</v>
      </c>
    </row>
    <row r="4516" ht="15.75" customHeight="1">
      <c r="A4516" s="1">
        <v>4514.0</v>
      </c>
      <c r="B4516" s="3" t="s">
        <v>4516</v>
      </c>
      <c r="C4516" s="3" t="str">
        <f>IFERROR(__xludf.DUMMYFUNCTION("GOOGLETRANSLATE(B4516,""id"",""en"")"),"['Disappointed', 'Top', 'credit', 'failed', 'really', 'like', 'gini', 'provider', 'elite', 'system', 'bad', 'love', ' Minus', 'Star', 'Click', 'Bintang', 'mah', '']")</f>
        <v>['Disappointed', 'Top', 'credit', 'failed', 'really', 'like', 'gini', 'provider', 'elite', 'system', 'bad', 'love', ' Minus', 'Star', 'Click', 'Bintang', 'mah', '']</v>
      </c>
      <c r="D4516" s="3">
        <v>1.0</v>
      </c>
    </row>
    <row r="4517" ht="15.75" customHeight="1">
      <c r="A4517" s="1">
        <v>4515.0</v>
      </c>
      <c r="B4517" s="3" t="s">
        <v>4517</v>
      </c>
      <c r="C4517" s="3" t="str">
        <f>IFERROR(__xludf.DUMMYFUNCTION("GOOGLETRANSLATE(B4517,""id"",""en"")"),"['Please', 'Sorry', 'Disappointed', 'Very', 'Comfortable', 'Very', 'The story', 'buy', 'pulse', 'fill', 'pulse', 'replace', ' network ',' data ',' SIM ',' NTah ',' warning ',' shocked ',' what ',' gada ',' info ',' truss', 'reduced', 'big', 'really' , 'Rp"&amp;"', 'knp', 'time', 'quota', 'telkom', 'expensive', 'dripping', 'bag', 'student', 'ntahlah']")</f>
        <v>['Please', 'Sorry', 'Disappointed', 'Very', 'Comfortable', 'Very', 'The story', 'buy', 'pulse', 'fill', 'pulse', 'replace', ' network ',' data ',' SIM ',' NTah ',' warning ',' shocked ',' what ',' gada ',' info ',' truss', 'reduced', 'big', 'really' , 'Rp', 'knp', 'time', 'quota', 'telkom', 'expensive', 'dripping', 'bag', 'student', 'ntahlah']</v>
      </c>
      <c r="D4517" s="3">
        <v>1.0</v>
      </c>
    </row>
    <row r="4518" ht="15.75" customHeight="1">
      <c r="A4518" s="1">
        <v>4516.0</v>
      </c>
      <c r="B4518" s="3" t="s">
        <v>4518</v>
      </c>
      <c r="C4518" s="3" t="str">
        <f>IFERROR(__xludf.DUMMYFUNCTION("GOOGLETRANSLATE(B4518,""id"",""en"")"),"['makes it easier', 'transaction', 'increase', 'quality', 'network', '']")</f>
        <v>['makes it easier', 'transaction', 'increase', 'quality', 'network', '']</v>
      </c>
      <c r="D4518" s="3">
        <v>4.0</v>
      </c>
    </row>
    <row r="4519" ht="15.75" customHeight="1">
      <c r="A4519" s="1">
        <v>4517.0</v>
      </c>
      <c r="B4519" s="3" t="s">
        <v>4519</v>
      </c>
      <c r="C4519" s="3" t="str">
        <f>IFERROR(__xludf.DUMMYFUNCTION("GOOGLETRANSLATE(B4519,""id"",""en"")"),"['Original', 'Disappointed', 'Telkomsel', 'Skrng', 'Network', 'Good', 'Skrng', 'Stable', 'Open', 'Game', 'Mulu', 'Quota', ' Telkomsel ',' barring ',' package ',' quota ',' sosmed ',' application ',' like ',' Facebook ',' Instagram ',' etc. ',' quota ',' m"&amp;"ain ',' quota ' , 'main', 'used', 'purpose', 'buy', 'package', 'usage', 'wasteful', 'quota', 'main', 'use', 'beg', 'optimize', ' Trmksh ']")</f>
        <v>['Original', 'Disappointed', 'Telkomsel', 'Skrng', 'Network', 'Good', 'Skrng', 'Stable', 'Open', 'Game', 'Mulu', 'Quota', ' Telkomsel ',' barring ',' package ',' quota ',' sosmed ',' application ',' like ',' Facebook ',' Instagram ',' etc. ',' quota ',' main ',' quota ' , 'main', 'used', 'purpose', 'buy', 'package', 'usage', 'wasteful', 'quota', 'main', 'use', 'beg', 'optimize', ' Trmksh ']</v>
      </c>
      <c r="D4519" s="3">
        <v>1.0</v>
      </c>
    </row>
    <row r="4520" ht="15.75" customHeight="1">
      <c r="A4520" s="1">
        <v>4518.0</v>
      </c>
      <c r="B4520" s="3" t="s">
        <v>4520</v>
      </c>
      <c r="C4520" s="3" t="str">
        <f>IFERROR(__xludf.DUMMYFUNCTION("GOOGLETRANSLATE(B4520,""id"",""en"")"),"['ugly', 'pang', 'Telkomsel', 'run out', 'updated', 'promo', 'no', 'bought', 'ugly', 'package', 'cheerful', 'found', ' No ',' bought ']")</f>
        <v>['ugly', 'pang', 'Telkomsel', 'run out', 'updated', 'promo', 'no', 'bought', 'ugly', 'package', 'cheerful', 'found', ' No ',' bought ']</v>
      </c>
      <c r="D4520" s="3">
        <v>1.0</v>
      </c>
    </row>
    <row r="4521" ht="15.75" customHeight="1">
      <c r="A4521" s="1">
        <v>4519.0</v>
      </c>
      <c r="B4521" s="3" t="s">
        <v>4521</v>
      </c>
      <c r="C4521" s="3" t="str">
        <f>IFERROR(__xludf.DUMMYFUNCTION("GOOGLETRANSLATE(B4521,""id"",""en"")"),"['Network', 'play', 'game', 'broken', 'watch', 'YouTube', 'Loading', 'here', 'bad', ""]")</f>
        <v>['Network', 'play', 'game', 'broken', 'watch', 'YouTube', 'Loading', 'here', 'bad', "]</v>
      </c>
      <c r="D4521" s="3">
        <v>1.0</v>
      </c>
    </row>
    <row r="4522" ht="15.75" customHeight="1">
      <c r="A4522" s="1">
        <v>4520.0</v>
      </c>
      <c r="B4522" s="3" t="s">
        <v>4522</v>
      </c>
      <c r="C4522" s="3" t="str">
        <f>IFERROR(__xludf.DUMMYFUNCTION("GOOGLETRANSLATE(B4522,""id"",""en"")"),"['times',' contents', 'credit', 'buy', 'pulse', 'pulse', 'enter', 'according to', 'contents',' Rbu ',' entry ',' thousand ',' As a result ',' contents', 'package', 'balance', 'Kompine', 'Twitter', 'reply', 'hang', 'hung', 'ngk', 'reply', 'disappointed', '"&amp;"']")</f>
        <v>['times',' contents', 'credit', 'buy', 'pulse', 'pulse', 'enter', 'according to', 'contents',' Rbu ',' entry ',' thousand ',' As a result ',' contents', 'package', 'balance', 'Kompine', 'Twitter', 'reply', 'hang', 'hung', 'ngk', 'reply', 'disappointed', '']</v>
      </c>
      <c r="D4522" s="3">
        <v>1.0</v>
      </c>
    </row>
    <row r="4523" ht="15.75" customHeight="1">
      <c r="A4523" s="1">
        <v>4521.0</v>
      </c>
      <c r="B4523" s="3" t="s">
        <v>4523</v>
      </c>
      <c r="C4523" s="3" t="str">
        <f>IFERROR(__xludf.DUMMYFUNCTION("GOOGLETRANSLATE(B4523,""id"",""en"")"),"['service', 'Telkomsel', 'slow', 'like', 'responds',' complaints', 'poker', 'Telkomsel', 'package', 'data', 'expensive', 'mahalin', ' package ',' speed ',' internet ',' good ',' package ',' expensive ',' internet ',' slow ',' ngerak ', ""]")</f>
        <v>['service', 'Telkomsel', 'slow', 'like', 'responds',' complaints', 'poker', 'Telkomsel', 'package', 'data', 'expensive', 'mahalin', ' package ',' speed ',' internet ',' good ',' package ',' expensive ',' internet ',' slow ',' ngerak ', "]</v>
      </c>
      <c r="D4523" s="3">
        <v>1.0</v>
      </c>
    </row>
    <row r="4524" ht="15.75" customHeight="1">
      <c r="A4524" s="1">
        <v>4522.0</v>
      </c>
      <c r="B4524" s="3" t="s">
        <v>4524</v>
      </c>
      <c r="C4524" s="3" t="str">
        <f>IFERROR(__xludf.DUMMYFUNCTION("GOOGLETRANSLATE(B4524,""id"",""en"")"),"['signal', 'in the future', 'severe', 'bad', 'lose', 'in the area', 'in the city', 'slow']")</f>
        <v>['signal', 'in the future', 'severe', 'bad', 'lose', 'in the area', 'in the city', 'slow']</v>
      </c>
      <c r="D4524" s="3">
        <v>1.0</v>
      </c>
    </row>
    <row r="4525" ht="15.75" customHeight="1">
      <c r="A4525" s="1">
        <v>4523.0</v>
      </c>
      <c r="B4525" s="3" t="s">
        <v>4525</v>
      </c>
      <c r="C4525" s="3" t="str">
        <f>IFERROR(__xludf.DUMMYFUNCTION("GOOGLETRANSLATE(B4525,""id"",""en"")"),"['Kasi', 'star', 'Di Consed', 'Package', 'Cheap', 'Package', 'Sultan']")</f>
        <v>['Kasi', 'star', 'Di Consed', 'Package', 'Cheap', 'Package', 'Sultan']</v>
      </c>
      <c r="D4525" s="3">
        <v>1.0</v>
      </c>
    </row>
    <row r="4526" ht="15.75" customHeight="1">
      <c r="A4526" s="1">
        <v>4524.0</v>
      </c>
      <c r="B4526" s="3" t="s">
        <v>4526</v>
      </c>
      <c r="C4526" s="3" t="str">
        <f>IFERROR(__xludf.DUMMYFUNCTION("GOOGLETRANSLATE(B4526,""id"",""en"")"),"['strange', 'UDH', 'buy', 'pulse', 'pay', 'package', 'emergency', 'anjg', 'gmna', 'pay', ""]")</f>
        <v>['strange', 'UDH', 'buy', 'pulse', 'pay', 'package', 'emergency', 'anjg', 'gmna', 'pay', "]</v>
      </c>
      <c r="D4526" s="3">
        <v>2.0</v>
      </c>
    </row>
    <row r="4527" ht="15.75" customHeight="1">
      <c r="A4527" s="1">
        <v>4525.0</v>
      </c>
      <c r="B4527" s="3" t="s">
        <v>4527</v>
      </c>
      <c r="C4527" s="3" t="str">
        <f>IFERROR(__xludf.DUMMYFUNCTION("GOOGLETRANSLATE(B4527,""id"",""en"")"),"['Sorry', 'Love', 'Bintamg', 'Network', 'Severe', 'Please', 'Fix', 'Disappointed', 'Hope', 'Stable', 'Network', 'Move', ' heart']")</f>
        <v>['Sorry', 'Love', 'Bintamg', 'Network', 'Severe', 'Please', 'Fix', 'Disappointed', 'Hope', 'Stable', 'Network', 'Move', ' heart']</v>
      </c>
      <c r="D4527" s="3">
        <v>1.0</v>
      </c>
    </row>
    <row r="4528" ht="15.75" customHeight="1">
      <c r="A4528" s="1">
        <v>4526.0</v>
      </c>
      <c r="B4528" s="3" t="s">
        <v>4528</v>
      </c>
      <c r="C4528" s="3" t="str">
        <f>IFERROR(__xludf.DUMMYFUNCTION("GOOGLETRANSLATE(B4528,""id"",""en"")"),"['Help', 'sssssssssssseeeeeeeeekkkkkkkkkkkkkkkkaaaaaaaaaaaallllllllllllllllllllllllliiiiiiiiIII ...")</f>
        <v>['Help', 'sssssssssssseeeeeeeeekkkkkkkkkkkkkkkkaaaaaaaaaaaallllllllllllllllllllllllliiiiiiiiIII ...</v>
      </c>
      <c r="D4528" s="3">
        <v>5.0</v>
      </c>
    </row>
    <row r="4529" ht="15.75" customHeight="1">
      <c r="A4529" s="1">
        <v>4527.0</v>
      </c>
      <c r="B4529" s="3" t="s">
        <v>4529</v>
      </c>
      <c r="C4529" s="3" t="str">
        <f>IFERROR(__xludf.DUMMYFUNCTION("GOOGLETRANSLATE(B4529,""id"",""en"")"),"['signal', 'Low', 'Watch', 'YouTube', 'No "",' BSA ',' Loading ',' Location ',' Cikarang ',' Pay ',' Expensive ',' Quality ',' Cheap ']")</f>
        <v>['signal', 'Low', 'Watch', 'YouTube', 'No ",' BSA ',' Loading ',' Location ',' Cikarang ',' Pay ',' Expensive ',' Quality ',' Cheap ']</v>
      </c>
      <c r="D4529" s="3">
        <v>1.0</v>
      </c>
    </row>
    <row r="4530" ht="15.75" customHeight="1">
      <c r="A4530" s="1">
        <v>4528.0</v>
      </c>
      <c r="B4530" s="3" t="s">
        <v>4530</v>
      </c>
      <c r="C4530" s="3" t="str">
        <f>IFERROR(__xludf.DUMMYFUNCTION("GOOGLETRANSLATE(B4530,""id"",""en"")"),"['Telkomsel', 'lllllllllllllllllllllllllllllllllllllll,' doang ',' network ',' rich ',' smooth ',' anti ',' leg ',' skrng ',' network ',' low ',' Next ',' Gakan ',' buy ',' package ',' quota ',' Telkomsel ',' parahh ',' Benerrrrrr ',' quota ',' update ','"&amp;" expensive ',' signal ', ""]")</f>
        <v>['Telkomsel', 'lllllllllllllllllllllllllllllllllllllll,' doang ',' network ',' rich ',' smooth ',' anti ',' leg ',' skrng ',' network ',' low ',' Next ',' Gakan ',' buy ',' package ',' quota ',' Telkomsel ',' parahh ',' Benerrrrrr ',' quota ',' update ',' expensive ',' signal ', "]</v>
      </c>
      <c r="D4530" s="3">
        <v>1.0</v>
      </c>
    </row>
    <row r="4531" ht="15.75" customHeight="1">
      <c r="A4531" s="1">
        <v>4529.0</v>
      </c>
      <c r="B4531" s="3" t="s">
        <v>4531</v>
      </c>
      <c r="C4531" s="3" t="str">
        <f>IFERROR(__xludf.DUMMYFUNCTION("GOOGLETRANSLATE(B4531,""id"",""en"")"),"['Severe', 'The name', 'Telkomsel', 'near', 'Tower', 'Telkomsel', 'Ganguan', 'Disconnect', 'Disconnect', 'his net', 'expensive', 'package', ' The data ',' the price ',' his net ',' Normal ',' Please ',' repaired ',' Pelangan ',' Disappointed ',' Thank ','"&amp;" Love ']")</f>
        <v>['Severe', 'The name', 'Telkomsel', 'near', 'Tower', 'Telkomsel', 'Ganguan', 'Disconnect', 'Disconnect', 'his net', 'expensive', 'package', ' The data ',' the price ',' his net ',' Normal ',' Please ',' repaired ',' Pelangan ',' Disappointed ',' Thank ',' Love ']</v>
      </c>
      <c r="D4531" s="3">
        <v>2.0</v>
      </c>
    </row>
    <row r="4532" ht="15.75" customHeight="1">
      <c r="A4532" s="1">
        <v>4530.0</v>
      </c>
      <c r="B4532" s="3" t="s">
        <v>4532</v>
      </c>
      <c r="C4532" s="3" t="str">
        <f>IFERROR(__xludf.DUMMYFUNCTION("GOOGLETRANSLATE(B4532,""id"",""en"")"),"['Success', 'Telkomsel', 'Terbimah', 'Love', 'Package', 'Cheap', 'Card', '']")</f>
        <v>['Success', 'Telkomsel', 'Terbimah', 'Love', 'Package', 'Cheap', 'Card', '']</v>
      </c>
      <c r="D4532" s="3">
        <v>5.0</v>
      </c>
    </row>
    <row r="4533" ht="15.75" customHeight="1">
      <c r="A4533" s="1">
        <v>4531.0</v>
      </c>
      <c r="B4533" s="3" t="s">
        <v>4533</v>
      </c>
      <c r="C4533" s="3" t="str">
        <f>IFERROR(__xludf.DUMMYFUNCTION("GOOGLETRANSLATE(B4533,""id"",""en"")"),"['Tlong', 'Donk', 'Telkomsel', 'repay', 'network', 'slow', 'internet', 'amid "",' city ',' msh ',' like ',' right ',' blik ',' kampung ',' trs', 'it costs',' kyk ',' nlp ',' sms', 'pursued', 'little', 'donk', 'kyk', 'operator' , 'Next', 'skrg', 'community"&amp;"', 'UDH', 'smart', 'choose', 'smpai', 'org', 'moved', 'car', 'heart', ""]")</f>
        <v>['Tlong', 'Donk', 'Telkomsel', 'repay', 'network', 'slow', 'internet', 'amid ",' city ',' msh ',' like ',' right ',' blik ',' kampung ',' trs', 'it costs',' kyk ',' nlp ',' sms', 'pursued', 'little', 'donk', 'kyk', 'operator' , 'Next', 'skrg', 'community', 'UDH', 'smart', 'choose', 'smpai', 'org', 'moved', 'car', 'heart', "]</v>
      </c>
      <c r="D4533" s="3">
        <v>3.0</v>
      </c>
    </row>
    <row r="4534" ht="15.75" customHeight="1">
      <c r="A4534" s="1">
        <v>4532.0</v>
      </c>
      <c r="B4534" s="3" t="s">
        <v>4534</v>
      </c>
      <c r="C4534" s="3" t="str">
        <f>IFERROR(__xludf.DUMMYFUNCTION("GOOGLETRANSLATE(B4534,""id"",""en"")"),"['Thanks',' Yesterday ',' Help ',' Annual ',' Use ',' Combo ',' Sakti ',' Comfortable ',' Comfortable ',' Signal ',' ilang ',' Severe ',' lag ',' application ',' login ',' just ',' package ',' multimedia ',' right ',' lecture ',' zoom ',' multimedian ',' "&amp;"reduced ',' mlh ',' internet ' , 'Nurry', 'price', 'package', 'already', 'RB', 'RB', 'okay', 'Douaribu', 'thousand', 'thousand', 'combo', 'Sakti', ' GB ',' Missing ',' Minimal ',' Select ',' OMG ',' GB ',' Difference ',' BRP ',' Thousand ',' stress', ""]")</f>
        <v>['Thanks',' Yesterday ',' Help ',' Annual ',' Use ',' Combo ',' Sakti ',' Comfortable ',' Comfortable ',' Signal ',' ilang ',' Severe ',' lag ',' application ',' login ',' just ',' package ',' multimedia ',' right ',' lecture ',' zoom ',' multimedian ',' reduced ',' mlh ',' internet ' , 'Nurry', 'price', 'package', 'already', 'RB', 'RB', 'okay', 'Douaribu', 'thousand', 'thousand', 'combo', 'Sakti', ' GB ',' Missing ',' Minimal ',' Select ',' OMG ',' GB ',' Difference ',' BRP ',' Thousand ',' stress', "]</v>
      </c>
      <c r="D4534" s="3">
        <v>1.0</v>
      </c>
    </row>
    <row r="4535" ht="15.75" customHeight="1">
      <c r="A4535" s="1">
        <v>4533.0</v>
      </c>
      <c r="B4535" s="3" t="s">
        <v>4535</v>
      </c>
      <c r="C4535" s="3" t="str">
        <f>IFERROR(__xludf.DUMMYFUNCTION("GOOGLETRANSLATE(B4535,""id"",""en"")"),"['times',' satisfied ',' times', 'disappointed', 'pulse', 'already', 'contents',' chopped ',' anything ',' package ',' Ntah ',' APK ',' Promo ',' activated ',' promo ',' activated ']")</f>
        <v>['times',' satisfied ',' times', 'disappointed', 'pulse', 'already', 'contents',' chopped ',' anything ',' package ',' Ntah ',' APK ',' Promo ',' activated ',' promo ',' activated ']</v>
      </c>
      <c r="D4535" s="3">
        <v>1.0</v>
      </c>
    </row>
    <row r="4536" ht="15.75" customHeight="1">
      <c r="A4536" s="1">
        <v>4534.0</v>
      </c>
      <c r="B4536" s="3" t="s">
        <v>4536</v>
      </c>
      <c r="C4536" s="3" t="str">
        <f>IFERROR(__xludf.DUMMYFUNCTION("GOOGLETRANSLATE(B4536,""id"",""en"")"),"['Customer', 'YTH', 'Package', 'Extra', 'Credit', 'Rp', 'Date', 'Clock', 'WIB', 'Register', 'Posts',' SMS ',' ']")</f>
        <v>['Customer', 'YTH', 'Package', 'Extra', 'Credit', 'Rp', 'Date', 'Clock', 'WIB', 'Register', 'Posts',' SMS ',' ']</v>
      </c>
      <c r="D4536" s="3">
        <v>1.0</v>
      </c>
    </row>
    <row r="4537" ht="15.75" customHeight="1">
      <c r="A4537" s="1">
        <v>4535.0</v>
      </c>
      <c r="B4537" s="3" t="s">
        <v>4537</v>
      </c>
      <c r="C4537" s="3" t="str">
        <f>IFERROR(__xludf.DUMMYFUNCTION("GOOGLETRANSLATE(B4537,""id"",""en"")"),"['Review', 'contents', 'complain', 'just', 'concerned', 'hope', 'attention', 'improve', 'quality']")</f>
        <v>['Review', 'contents', 'complain', 'just', 'concerned', 'hope', 'attention', 'improve', 'quality']</v>
      </c>
      <c r="D4537" s="3">
        <v>1.0</v>
      </c>
    </row>
    <row r="4538" ht="15.75" customHeight="1">
      <c r="A4538" s="1">
        <v>4536.0</v>
      </c>
      <c r="B4538" s="3" t="s">
        <v>4538</v>
      </c>
      <c r="C4538" s="3" t="str">
        <f>IFERROR(__xludf.DUMMYFUNCTION("GOOGLETRANSLATE(B4538,""id"",""en"")"),"['Finance', 'difficult', 'policy', 'government', 'package', 'internet', 'expensive', '']")</f>
        <v>['Finance', 'difficult', 'policy', 'government', 'package', 'internet', 'expensive', '']</v>
      </c>
      <c r="D4538" s="3">
        <v>2.0</v>
      </c>
    </row>
    <row r="4539" ht="15.75" customHeight="1">
      <c r="A4539" s="1">
        <v>4537.0</v>
      </c>
      <c r="B4539" s="3" t="s">
        <v>4539</v>
      </c>
      <c r="C4539" s="3" t="str">
        <f>IFERROR(__xludf.DUMMYFUNCTION("GOOGLETRANSLATE(B4539,""id"",""en"")"),"['signal', 'ugly', 'duration', 'package', 'tight', 'fortunately', 'where', 'trusted', ""]")</f>
        <v>['signal', 'ugly', 'duration', 'package', 'tight', 'fortunately', 'where', 'trusted', "]</v>
      </c>
      <c r="D4539" s="3">
        <v>1.0</v>
      </c>
    </row>
    <row r="4540" ht="15.75" customHeight="1">
      <c r="A4540" s="1">
        <v>4538.0</v>
      </c>
      <c r="B4540" s="3" t="s">
        <v>4540</v>
      </c>
      <c r="C4540" s="3" t="str">
        <f>IFERROR(__xludf.DUMMYFUNCTION("GOOGLETRANSLATE(B4540,""id"",""en"")"),"['Disappointed', 'Telkomsel', 'signal', 'difficult', 'home', 'smooth', 'buy', 'package', 'expensive', 'network', 'slow', 'really', ' Ryesel ',' really ',' buy ',' package ',' data ',' price ',' package ',' data ',' upgraded ',' signal ',' upgraded ',' Tel"&amp;"komsel ',' disappointing ' ]")</f>
        <v>['Disappointed', 'Telkomsel', 'signal', 'difficult', 'home', 'smooth', 'buy', 'package', 'expensive', 'network', 'slow', 'really', ' Ryesel ',' really ',' buy ',' package ',' data ',' price ',' package ',' data ',' upgraded ',' signal ',' upgraded ',' Telkomsel ',' disappointing ' ]</v>
      </c>
      <c r="D4540" s="3">
        <v>1.0</v>
      </c>
    </row>
    <row r="4541" ht="15.75" customHeight="1">
      <c r="A4541" s="1">
        <v>4539.0</v>
      </c>
      <c r="B4541" s="3" t="s">
        <v>4541</v>
      </c>
      <c r="C4541" s="3" t="str">
        <f>IFERROR(__xludf.DUMMYFUNCTION("GOOGLETRANSLATE(B4541,""id"",""en"")"),"['application', 'steady', 'easy', 'beg', 'menu', 'input', 'code', 'voucher', 'internet', 'dial', 'use', 'code', ' Vouchers', 'Internet', '']")</f>
        <v>['application', 'steady', 'easy', 'beg', 'menu', 'input', 'code', 'voucher', 'internet', 'dial', 'use', 'code', ' Vouchers', 'Internet', '']</v>
      </c>
      <c r="D4541" s="3">
        <v>5.0</v>
      </c>
    </row>
    <row r="4542" ht="15.75" customHeight="1">
      <c r="A4542" s="1">
        <v>4540.0</v>
      </c>
      <c r="B4542" s="3" t="s">
        <v>4542</v>
      </c>
      <c r="C4542" s="3" t="str">
        <f>IFERROR(__xludf.DUMMYFUNCTION("GOOGLETRANSLATE(B4542,""id"",""en"")"),"['Please', 'Sorry', 'Sis',' Disappointed ',' System ',' Card ',' Hello ',' Kali ',' Hello ',' Package ',' Use ',' Package ',' Multimediany ',' Change ',' Package ',' Utam ',' Price ',' Pas', 'Pakek', 'Seven', 'Increases',' Reduced ',' Kembalilan ',' Syste"&amp;"m ',' Prepaid ' , 'please', 'response']")</f>
        <v>['Please', 'Sorry', 'Sis',' Disappointed ',' System ',' Card ',' Hello ',' Kali ',' Hello ',' Package ',' Use ',' Package ',' Multimediany ',' Change ',' Package ',' Utam ',' Price ',' Pas', 'Pakek', 'Seven', 'Increases',' Reduced ',' Kembalilan ',' System ',' Prepaid ' , 'please', 'response']</v>
      </c>
      <c r="D4542" s="3">
        <v>5.0</v>
      </c>
    </row>
    <row r="4543" ht="15.75" customHeight="1">
      <c r="A4543" s="1">
        <v>4541.0</v>
      </c>
      <c r="B4543" s="3" t="s">
        <v>4543</v>
      </c>
      <c r="C4543" s="3" t="str">
        <f>IFERROR(__xludf.DUMMYFUNCTION("GOOGLETRANSLATE(B4543,""id"",""en"")"),"['Mending', 'use', 'Telkomsel', 'sympathy', 'disappointed', 'quota', 'GB', 'Gara', 'limit', 'active', 'package', 'internet', ' Stay ',' network ',' already ',' kayak ',' EGDE ',' Mending ',' use ',' operator ',' complain ',' reply ',' robot ',' Telkomsel "&amp;"',' night ' , 'Dakam', 'room', 'signal', 'down', 'complain', 'reply', 'robot', 'you', 'price', 'package', 'internet', 'sympathy', ' expensive ',' network ',' poor ',' oath ',' seconds', 'use', 'sympathy', 'active', 'msih', 'poor', 'smakin', 'dilapok']")</f>
        <v>['Mending', 'use', 'Telkomsel', 'sympathy', 'disappointed', 'quota', 'GB', 'Gara', 'limit', 'active', 'package', 'internet', ' Stay ',' network ',' already ',' kayak ',' EGDE ',' Mending ',' use ',' operator ',' complain ',' reply ',' robot ',' Telkomsel ',' night ' , 'Dakam', 'room', 'signal', 'down', 'complain', 'reply', 'robot', 'you', 'price', 'package', 'internet', 'sympathy', ' expensive ',' network ',' poor ',' oath ',' seconds', 'use', 'sympathy', 'active', 'msih', 'poor', 'smakin', 'dilapok']</v>
      </c>
      <c r="D4543" s="3">
        <v>1.0</v>
      </c>
    </row>
    <row r="4544" ht="15.75" customHeight="1">
      <c r="A4544" s="1">
        <v>4542.0</v>
      </c>
      <c r="B4544" s="3" t="s">
        <v>4544</v>
      </c>
      <c r="C4544" s="3" t="str">
        <f>IFERROR(__xludf.DUMMYFUNCTION("GOOGLETRANSLATE(B4544,""id"",""en"")"),"['Nge', 'Rate', 'Kasi', 'Rate', 'Bad', 'Application', 'Application', 'Network', 'Products',' Etc. ',' Please ',' Report ',' Operators', 'so', '']")</f>
        <v>['Nge', 'Rate', 'Kasi', 'Rate', 'Bad', 'Application', 'Application', 'Network', 'Products',' Etc. ',' Please ',' Report ',' Operators', 'so', '']</v>
      </c>
      <c r="D4544" s="3">
        <v>5.0</v>
      </c>
    </row>
    <row r="4545" ht="15.75" customHeight="1">
      <c r="A4545" s="1">
        <v>4543.0</v>
      </c>
      <c r="B4545" s="3" t="s">
        <v>4545</v>
      </c>
      <c r="C4545" s="3" t="str">
        <f>IFERROR(__xludf.DUMMYFUNCTION("GOOGLETRANSLATE(B4545,""id"",""en"")"),"['Credit', 'Cut', 'Filled', 'Dipake', 'Trash']")</f>
        <v>['Credit', 'Cut', 'Filled', 'Dipake', 'Trash']</v>
      </c>
      <c r="D4545" s="3">
        <v>1.0</v>
      </c>
    </row>
    <row r="4546" ht="15.75" customHeight="1">
      <c r="A4546" s="1">
        <v>4544.0</v>
      </c>
      <c r="B4546" s="3" t="s">
        <v>4546</v>
      </c>
      <c r="C4546" s="3" t="str">
        <f>IFERROR(__xludf.DUMMYFUNCTION("GOOGLETRANSLATE(B4546,""id"",""en"")"),"['Please', 'sorry', 'love', 'star', 'bsa', 'love', 'star', 'already', 'network', 'ugly', 'Telkomsel', 'sms',' Risih ',' ']")</f>
        <v>['Please', 'sorry', 'love', 'star', 'bsa', 'love', 'star', 'already', 'network', 'ugly', 'Telkomsel', 'sms',' Risih ',' ']</v>
      </c>
      <c r="D4546" s="3">
        <v>1.0</v>
      </c>
    </row>
    <row r="4547" ht="15.75" customHeight="1">
      <c r="A4547" s="1">
        <v>4545.0</v>
      </c>
      <c r="B4547" s="3" t="s">
        <v>4547</v>
      </c>
      <c r="C4547" s="3" t="str">
        <f>IFERROR(__xludf.DUMMYFUNCTION("GOOGLETRANSLATE(B4547,""id"",""en"")"),"['Telkomsel', 'good', 'price', 'fair', 'expensive', 'speed', 'signal', 'smooth', 'download', 'matlab', 'thank', 'love', ' Telkomsel ',' task ',' collected ']")</f>
        <v>['Telkomsel', 'good', 'price', 'fair', 'expensive', 'speed', 'signal', 'smooth', 'download', 'matlab', 'thank', 'love', ' Telkomsel ',' task ',' collected ']</v>
      </c>
      <c r="D4547" s="3">
        <v>1.0</v>
      </c>
    </row>
    <row r="4548" ht="15.75" customHeight="1">
      <c r="A4548" s="1">
        <v>4546.0</v>
      </c>
      <c r="B4548" s="3" t="s">
        <v>4548</v>
      </c>
      <c r="C4548" s="3" t="str">
        <f>IFERROR(__xludf.DUMMYFUNCTION("GOOGLETRANSLATE(B4548,""id"",""en"")"),"['quota', 'game', 'max', 'function', 'buy', 'quota', 'game', 'max', 'function', 'try', 'game', 'function']")</f>
        <v>['quota', 'game', 'max', 'function', 'buy', 'quota', 'game', 'max', 'function', 'try', 'game', 'function']</v>
      </c>
      <c r="D4548" s="3">
        <v>1.0</v>
      </c>
    </row>
    <row r="4549" ht="15.75" customHeight="1">
      <c r="A4549" s="1">
        <v>4547.0</v>
      </c>
      <c r="B4549" s="3" t="s">
        <v>4549</v>
      </c>
      <c r="C4549" s="3" t="str">
        <f>IFERROR(__xludf.DUMMYFUNCTION("GOOGLETRANSLATE(B4549,""id"",""en"")"),"['Search', 'Search', 'steady', 'complicated', 'open', 'application', 'remaining', 'quota', 'leftover', 'pulse', 'mantaaaaap', 'makasi', ' developer ',' apk ',' hope ',' in the future ',' forward ', ""]")</f>
        <v>['Search', 'Search', 'steady', 'complicated', 'open', 'application', 'remaining', 'quota', 'leftover', 'pulse', 'mantaaaaap', 'makasi', ' developer ',' apk ',' hope ',' in the future ',' forward ', "]</v>
      </c>
      <c r="D4549" s="3">
        <v>5.0</v>
      </c>
    </row>
    <row r="4550" ht="15.75" customHeight="1">
      <c r="A4550" s="1">
        <v>4548.0</v>
      </c>
      <c r="B4550" s="3" t="s">
        <v>4550</v>
      </c>
      <c r="C4550" s="3" t="str">
        <f>IFERROR(__xludf.DUMMYFUNCTION("GOOGLETRANSLATE(B4550,""id"",""en"")"),"['people', 'choose', 'subscribe', 'wifi', 'reaches',' pocket ',' rb ',' satisfied ',' unlimited ',' network ',' stable ',' buy ',' quota ',' unlimited ',' network ',' stable ',' down ',' sometimes', 'sometimes',' stable ',' try ',' solution ',' network ',"&amp;"' satisfying ',' multiply ' , 'money', '']")</f>
        <v>['people', 'choose', 'subscribe', 'wifi', 'reaches',' pocket ',' rb ',' satisfied ',' unlimited ',' network ',' stable ',' buy ',' quota ',' unlimited ',' network ',' stable ',' down ',' sometimes', 'sometimes',' stable ',' try ',' solution ',' network ',' satisfying ',' multiply ' , 'money', '']</v>
      </c>
      <c r="D4550" s="3">
        <v>1.0</v>
      </c>
    </row>
    <row r="4551" ht="15.75" customHeight="1">
      <c r="A4551" s="1">
        <v>4549.0</v>
      </c>
      <c r="B4551" s="3" t="s">
        <v>4551</v>
      </c>
      <c r="C4551" s="3" t="str">
        <f>IFERROR(__xludf.DUMMYFUNCTION("GOOGLETRANSLATE(B4551,""id"",""en"")"),"['Please', 'Sorry', 'Card', 'Card', 'Hello', 'Strange', 'Call', 'Call', 'Center', 'Bank', 'Contents',' Credit ',' card ',' card ',' Hallo ',' difficult ',' different ',' appeal ',' change ',' card ',' Hello ']")</f>
        <v>['Please', 'Sorry', 'Card', 'Card', 'Hello', 'Strange', 'Call', 'Call', 'Center', 'Bank', 'Contents',' Credit ',' card ',' card ',' Hallo ',' difficult ',' different ',' appeal ',' change ',' card ',' Hello ']</v>
      </c>
      <c r="D4551" s="3">
        <v>3.0</v>
      </c>
    </row>
    <row r="4552" ht="15.75" customHeight="1">
      <c r="A4552" s="1">
        <v>4550.0</v>
      </c>
      <c r="B4552" s="3" t="s">
        <v>4552</v>
      </c>
      <c r="C4552" s="3" t="str">
        <f>IFERROR(__xludf.DUMMYFUNCTION("GOOGLETRANSLATE(B4552,""id"",""en"")"),"['hope', 'Telkomsel', 'Features',' Locking ',' Credit ',' Used ',' Deliberate ',' Quota ',' Internet ',' Out ',' Out ',' Credit ',' rp ',' access', 'internet', 'blocked', 'pulse', 'access',' internet ',' beg ',' consider ',' practicality ',' use ', ""]")</f>
        <v>['hope', 'Telkomsel', 'Features',' Locking ',' Credit ',' Used ',' Deliberate ',' Quota ',' Internet ',' Out ',' Out ',' Credit ',' rp ',' access', 'internet', 'blocked', 'pulse', 'access',' internet ',' beg ',' consider ',' practicality ',' use ', "]</v>
      </c>
      <c r="D4552" s="3">
        <v>2.0</v>
      </c>
    </row>
    <row r="4553" ht="15.75" customHeight="1">
      <c r="A4553" s="1">
        <v>4551.0</v>
      </c>
      <c r="B4553" s="3" t="s">
        <v>4553</v>
      </c>
      <c r="C4553" s="3" t="str">
        <f>IFERROR(__xludf.DUMMYFUNCTION("GOOGLETRANSLATE(B4553,""id"",""en"")"),"['Please', 'sorry', 'add to', 'quota', 'internet', 'price', 'offered', 'increases',' buy ',' package ',' for ',' check ',' Buy ',' Price ',' Telkomsel ',' Buy ',' Package ',' Okay ',' Fine ',' Telkomsel ',' Disappointed ',' System ',' Thank "", 'Love', 'T"&amp;"omorrow' , 'buy', 'package', 'expensive', 'disappointed']")</f>
        <v>['Please', 'sorry', 'add to', 'quota', 'internet', 'price', 'offered', 'increases',' buy ',' package ',' for ',' check ',' Buy ',' Price ',' Telkomsel ',' Buy ',' Package ',' Okay ',' Fine ',' Telkomsel ',' Disappointed ',' System ',' Thank ", 'Love', 'Tomorrow' , 'buy', 'package', 'expensive', 'disappointed']</v>
      </c>
      <c r="D4553" s="3">
        <v>1.0</v>
      </c>
    </row>
    <row r="4554" ht="15.75" customHeight="1">
      <c r="A4554" s="1">
        <v>4552.0</v>
      </c>
      <c r="B4554" s="3" t="s">
        <v>4554</v>
      </c>
      <c r="C4554" s="3" t="str">
        <f>IFERROR(__xludf.DUMMYFUNCTION("GOOGLETRANSLATE(B4554,""id"",""en"")"),"['Change', 'Logo', 'Money', 'Mending', 'Nurry', 'Quality', 'Signal', 'Ama', 'Provider', 'No "",' Correals ',' Signal ',' Rotten ',' Blokkkkk ',' ']")</f>
        <v>['Change', 'Logo', 'Money', 'Mending', 'Nurry', 'Quality', 'Signal', 'Ama', 'Provider', 'No ",' Correals ',' Signal ',' Rotten ',' Blokkkkk ',' ']</v>
      </c>
      <c r="D4554" s="3">
        <v>1.0</v>
      </c>
    </row>
    <row r="4555" ht="15.75" customHeight="1">
      <c r="A4555" s="1">
        <v>4553.0</v>
      </c>
      <c r="B4555" s="3" t="s">
        <v>4555</v>
      </c>
      <c r="C4555" s="3" t="str">
        <f>IFERROR(__xludf.DUMMYFUNCTION("GOOGLETRANSLATE(B4555,""id"",""en"")"),"['Star', 'min', 'already', 'lottery', 'win', ""]")</f>
        <v>['Star', 'min', 'already', 'lottery', 'win', "]</v>
      </c>
      <c r="D4555" s="3">
        <v>2.0</v>
      </c>
    </row>
    <row r="4556" ht="15.75" customHeight="1">
      <c r="A4556" s="1">
        <v>4554.0</v>
      </c>
      <c r="B4556" s="3" t="s">
        <v>4556</v>
      </c>
      <c r="C4556" s="3" t="str">
        <f>IFERROR(__xludf.DUMMYFUNCTION("GOOGLETRANSLATE(B4556,""id"",""en"")"),"['Package', 'GameSmax', 'Nge', 'Game', 'Game', 'Play', 'Game', 'Play', 'Package', 'GameSmax', 'Main', 'Game', ' down ',' emang ',' quality ',' down ',' hope ',' fast ',' repair ']")</f>
        <v>['Package', 'GameSmax', 'Nge', 'Game', 'Game', 'Play', 'Game', 'Play', 'Package', 'GameSmax', 'Main', 'Game', ' down ',' emang ',' quality ',' down ',' hope ',' fast ',' repair ']</v>
      </c>
      <c r="D4556" s="3">
        <v>1.0</v>
      </c>
    </row>
    <row r="4557" ht="15.75" customHeight="1">
      <c r="A4557" s="1">
        <v>4555.0</v>
      </c>
      <c r="B4557" s="3" t="s">
        <v>4557</v>
      </c>
      <c r="C4557" s="3" t="str">
        <f>IFERROR(__xludf.DUMMYFUNCTION("GOOGLETRANSLATE(B4557,""id"",""en"")"),"['Kokk', 'Me', 'Pakek', 'quota', 'Multimedia', 'Thinking', 'Malahh', 'Take', 'Quota', 'Main', 'Minn', 'I mean', ' buy ',' quota ',' multimedia ',' lapse ',' right ',' bought ',' right ',' use ',' quota ',' main ',' take-up ', ""]")</f>
        <v>['Kokk', 'Me', 'Pakek', 'quota', 'Multimedia', 'Thinking', 'Malahh', 'Take', 'Quota', 'Main', 'Minn', 'I mean', ' buy ',' quota ',' multimedia ',' lapse ',' right ',' bought ',' right ',' use ',' quota ',' main ',' take-up ', "]</v>
      </c>
      <c r="D4557" s="3">
        <v>1.0</v>
      </c>
    </row>
    <row r="4558" ht="15.75" customHeight="1">
      <c r="A4558" s="1">
        <v>4556.0</v>
      </c>
      <c r="B4558" s="3" t="s">
        <v>4558</v>
      </c>
      <c r="C4558" s="3" t="str">
        <f>IFERROR(__xludf.DUMMYFUNCTION("GOOGLETRANSLATE(B4558,""id"",""en"")"),"['Busyet', 'Network', 'Internet', 'Severe', 'Ajah', 'Center', 'City', 'Loch', 'Network', 'Lost', 'Already', 'Paketan', ' expensive ',' the network ',' please ',' fix ',' internet ',' sorry ',' msh ',' star ', ""]")</f>
        <v>['Busyet', 'Network', 'Internet', 'Severe', 'Ajah', 'Center', 'City', 'Loch', 'Network', 'Lost', 'Already', 'Paketan', ' expensive ',' the network ',' please ',' fix ',' internet ',' sorry ',' msh ',' star ', "]</v>
      </c>
      <c r="D4558" s="3">
        <v>1.0</v>
      </c>
    </row>
    <row r="4559" ht="15.75" customHeight="1">
      <c r="A4559" s="1">
        <v>4557.0</v>
      </c>
      <c r="B4559" s="3" t="s">
        <v>4559</v>
      </c>
      <c r="C4559" s="3" t="str">
        <f>IFERROR(__xludf.DUMMYFUNCTION("GOOGLETRANSLATE(B4559,""id"",""en"")"),"['Network', 'ugly', 'buy', 'package', 'expensive', 'ngerasain', 'network', 'bad']")</f>
        <v>['Network', 'ugly', 'buy', 'package', 'expensive', 'ngerasain', 'network', 'bad']</v>
      </c>
      <c r="D4559" s="3">
        <v>1.0</v>
      </c>
    </row>
    <row r="4560" ht="15.75" customHeight="1">
      <c r="A4560" s="1">
        <v>4558.0</v>
      </c>
      <c r="B4560" s="3" t="s">
        <v>4560</v>
      </c>
      <c r="C4560" s="3" t="str">
        <f>IFERROR(__xludf.DUMMYFUNCTION("GOOGLETRANSLATE(B4560,""id"",""en"")"),"['Helpful', 'hopefully', 'Telkomsel', 'advanced', 'operator', 'satisfying', 'people', 'Indonesia', 'Hopefully', 'Package', 'Internet', 'Affordable', ' public']")</f>
        <v>['Helpful', 'hopefully', 'Telkomsel', 'advanced', 'operator', 'satisfying', 'people', 'Indonesia', 'Hopefully', 'Package', 'Internet', 'Affordable', ' public']</v>
      </c>
      <c r="D4560" s="3">
        <v>5.0</v>
      </c>
    </row>
    <row r="4561" ht="15.75" customHeight="1">
      <c r="A4561" s="1">
        <v>4559.0</v>
      </c>
      <c r="B4561" s="3" t="s">
        <v>4561</v>
      </c>
      <c r="C4561" s="3" t="str">
        <f>IFERROR(__xludf.DUMMYFUNCTION("GOOGLETRANSLATE(B4561,""id"",""en"")"),"['Try', 'Enjoyment', 'Service', 'Comfortable', 'Mita', 'Uninstall']")</f>
        <v>['Try', 'Enjoyment', 'Service', 'Comfortable', 'Mita', 'Uninstall']</v>
      </c>
      <c r="D4561" s="3">
        <v>5.0</v>
      </c>
    </row>
    <row r="4562" ht="15.75" customHeight="1">
      <c r="A4562" s="1">
        <v>4560.0</v>
      </c>
      <c r="B4562" s="3" t="s">
        <v>4562</v>
      </c>
      <c r="C4562" s="3" t="str">
        <f>IFERROR(__xludf.DUMMYFUNCTION("GOOGLETRANSLATE(B4562,""id"",""en"")"),"['expensive', 'kouta', 'discount', 'tasty', 'buy']")</f>
        <v>['expensive', 'kouta', 'discount', 'tasty', 'buy']</v>
      </c>
      <c r="D4562" s="3">
        <v>1.0</v>
      </c>
    </row>
    <row r="4563" ht="15.75" customHeight="1">
      <c r="A4563" s="1">
        <v>4561.0</v>
      </c>
      <c r="B4563" s="3" t="s">
        <v>4563</v>
      </c>
      <c r="C4563" s="3" t="str">
        <f>IFERROR(__xludf.DUMMYFUNCTION("GOOGLETRANSLATE(B4563,""id"",""en"")"),"['PKE', 'Magic', 'Link', 'Boss', 'Ribet', 'Card', 'Put', 'Mifi', 'Removable', ""]")</f>
        <v>['PKE', 'Magic', 'Link', 'Boss', 'Ribet', 'Card', 'Put', 'Mifi', 'Removable', "]</v>
      </c>
      <c r="D4563" s="3">
        <v>1.0</v>
      </c>
    </row>
    <row r="4564" ht="15.75" customHeight="1">
      <c r="A4564" s="1">
        <v>4562.0</v>
      </c>
      <c r="B4564" s="3" t="s">
        <v>4564</v>
      </c>
      <c r="C4564" s="3" t="str">
        <f>IFERROR(__xludf.DUMMYFUNCTION("GOOGLETRANSLATE(B4564,""id"",""en"")"),"['Love', 'star', 'emang', 'win', 'star', 'thank you']")</f>
        <v>['Love', 'star', 'emang', 'win', 'star', 'thank you']</v>
      </c>
      <c r="D4564" s="3">
        <v>3.0</v>
      </c>
    </row>
    <row r="4565" ht="15.75" customHeight="1">
      <c r="A4565" s="1">
        <v>4563.0</v>
      </c>
      <c r="B4565" s="3" t="s">
        <v>4565</v>
      </c>
      <c r="C4565" s="3" t="str">
        <f>IFERROR(__xludf.DUMMYFUNCTION("GOOGLETRANSLATE(B4565,""id"",""en"")"),"['love', 'package', 'buy', 'promo', 'apply', 'pulses', 'truncated', 'tdak']")</f>
        <v>['love', 'package', 'buy', 'promo', 'apply', 'pulses', 'truncated', 'tdak']</v>
      </c>
      <c r="D4565" s="3">
        <v>2.0</v>
      </c>
    </row>
    <row r="4566" ht="15.75" customHeight="1">
      <c r="A4566" s="1">
        <v>4564.0</v>
      </c>
      <c r="B4566" s="3" t="s">
        <v>4566</v>
      </c>
      <c r="C4566" s="3" t="str">
        <f>IFERROR(__xludf.DUMMYFUNCTION("GOOGLETRANSLATE(B4566,""id"",""en"")"),"['', 'Network', 'Lumyan', 'Good', 'Fix', 'Love', '']")</f>
        <v>['', 'Network', 'Lumyan', 'Good', 'Fix', 'Love', '']</v>
      </c>
      <c r="D4566" s="3">
        <v>5.0</v>
      </c>
    </row>
    <row r="4567" ht="15.75" customHeight="1">
      <c r="A4567" s="1">
        <v>4565.0</v>
      </c>
      <c r="B4567" s="3" t="s">
        <v>4567</v>
      </c>
      <c r="C4567" s="3" t="str">
        <f>IFERROR(__xludf.DUMMYFUNCTION("GOOGLETRANSLATE(B4567,""id"",""en"")"),"['network', 'Telkomsel', 'skrg', 'like', 'slow', 'woi', 'telkomsel', 'tpi', 'udh', 'lho', 'counted', 'dri', ' Yesterday ',' SMPE ',' SKRG ',' Jingannya ',' Change ',' WLU ',' Many ',' Plin ',' TGGL ',' Kota ',' BKN ',' plsok ',' klu ' , 'plsok', 'understa"&amp;"nd', 'klu', 'mnjg', 'stability', 'network', 'mending', 'go bankrupt', 'klu', 'klian', 'believe', 'klian', ' Check ',' Area ',' Kasih ',' code ', ""]")</f>
        <v>['network', 'Telkomsel', 'skrg', 'like', 'slow', 'woi', 'telkomsel', 'tpi', 'udh', 'lho', 'counted', 'dri', ' Yesterday ',' SMPE ',' SKRG ',' Jingannya ',' Change ',' WLU ',' Many ',' Plin ',' TGGL ',' Kota ',' BKN ',' plsok ',' klu ' , 'plsok', 'understand', 'klu', 'mnjg', 'stability', 'network', 'mending', 'go bankrupt', 'klu', 'klian', 'believe', 'klian', ' Check ',' Area ',' Kasih ',' code ', "]</v>
      </c>
      <c r="D4567" s="3">
        <v>1.0</v>
      </c>
    </row>
    <row r="4568" ht="15.75" customHeight="1">
      <c r="A4568" s="1">
        <v>4566.0</v>
      </c>
      <c r="B4568" s="3" t="s">
        <v>4568</v>
      </c>
      <c r="C4568" s="3" t="str">
        <f>IFERROR(__xludf.DUMMYFUNCTION("GOOGLETRANSLATE(B4568,""id"",""en"")"),"['Sorry', 'network', 'skrang', 'severe', 'open', 'muter', 'mulu', 'tired', 'replace', 'yng', 'network', 'next door' Network ',' Good ',' ']")</f>
        <v>['Sorry', 'network', 'skrang', 'severe', 'open', 'muter', 'mulu', 'tired', 'replace', 'yng', 'network', 'next door' Network ',' Good ',' ']</v>
      </c>
      <c r="D4568" s="3">
        <v>1.0</v>
      </c>
    </row>
    <row r="4569" ht="15.75" customHeight="1">
      <c r="A4569" s="1">
        <v>4567.0</v>
      </c>
      <c r="B4569" s="3" t="s">
        <v>4569</v>
      </c>
      <c r="C4569" s="3" t="str">
        <f>IFERROR(__xludf.DUMMYFUNCTION("GOOGLETRANSLATE(B4569,""id"",""en"")"),"['Disappointed', 'Heavy', 'Telkomsel', 'Providing', 'Quota', 'Thinking', 'Yesterday', 'Buy', 'Package', 'Quota', 'Thinking', 'YouTube', ' GB ',' as a result ',' aka ',' Package ',' Hoax ',' Please ',' Telkomsel ',' Package ',' Quota ',' Dispelly ',' Delet"&amp;"ed ',' Dispelly ' , 'Hadeuw', 'Kacaw', 'Telkomsel', 'Rich', 'Nipu', '']")</f>
        <v>['Disappointed', 'Heavy', 'Telkomsel', 'Providing', 'Quota', 'Thinking', 'Yesterday', 'Buy', 'Package', 'Quota', 'Thinking', 'YouTube', ' GB ',' as a result ',' aka ',' Package ',' Hoax ',' Please ',' Telkomsel ',' Package ',' Quota ',' Dispelly ',' Deleted ',' Dispelly ' , 'Hadeuw', 'Kacaw', 'Telkomsel', 'Rich', 'Nipu', '']</v>
      </c>
      <c r="D4569" s="3">
        <v>1.0</v>
      </c>
    </row>
    <row r="4570" ht="15.75" customHeight="1">
      <c r="A4570" s="1">
        <v>4568.0</v>
      </c>
      <c r="B4570" s="3" t="s">
        <v>4570</v>
      </c>
      <c r="C4570" s="3" t="str">
        <f>IFERROR(__xludf.DUMMYFUNCTION("GOOGLETRANSLATE(B4570,""id"",""en"")"),"['Points', 'Tuke', 'Kouta', 'right', 'Tuker', 'Suggestions', 'Hold', 'Points', 'Pakek']")</f>
        <v>['Points', 'Tuke', 'Kouta', 'right', 'Tuker', 'Suggestions', 'Hold', 'Points', 'Pakek']</v>
      </c>
      <c r="D4570" s="3">
        <v>1.0</v>
      </c>
    </row>
    <row r="4571" ht="15.75" customHeight="1">
      <c r="A4571" s="1">
        <v>4569.0</v>
      </c>
      <c r="B4571" s="3" t="s">
        <v>4571</v>
      </c>
      <c r="C4571" s="3" t="str">
        <f>IFERROR(__xludf.DUMMYFUNCTION("GOOGLETRANSLATE(B4571,""id"",""en"")"),"['Network', 'slow', 'Perkali', 'his time', 'data', 'package', 'quota', 'price', 'RB', 'told', 'Determine', 'Package', ' Internet ',' Package ',' Multimedia ',' Klau ',' PKT ',' Internet ',' Out ',' APK ',' Doang ',' Play ',' Music ',' Multimedia ',' Multi"&amp;"media ' , 'Covering', 'Games',' Chat ',' Music ',' Sosmed ',' APK ',' Doang ',' Suggestion ',' Klau ',' Package ',' Available ',' Package ',' Internet ',' Detime ',' Boss']")</f>
        <v>['Network', 'slow', 'Perkali', 'his time', 'data', 'package', 'quota', 'price', 'RB', 'told', 'Determine', 'Package', ' Internet ',' Package ',' Multimedia ',' Klau ',' PKT ',' Internet ',' Out ',' APK ',' Doang ',' Play ',' Music ',' Multimedia ',' Multimedia ' , 'Covering', 'Games',' Chat ',' Music ',' Sosmed ',' APK ',' Doang ',' Suggestion ',' Klau ',' Package ',' Available ',' Package ',' Internet ',' Detime ',' Boss']</v>
      </c>
      <c r="D4571" s="3">
        <v>1.0</v>
      </c>
    </row>
    <row r="4572" ht="15.75" customHeight="1">
      <c r="A4572" s="1">
        <v>4570.0</v>
      </c>
      <c r="B4572" s="3" t="s">
        <v>4572</v>
      </c>
      <c r="C4572" s="3" t="str">
        <f>IFERROR(__xludf.DUMMYFUNCTION("GOOGLETRANSLATE(B4572,""id"",""en"")"),"['Disappointed', 'Buy', 'Package', 'Internet', 'Combo', 'Sakti', 'Application', 'MyTelkomsell', 'Yesterday', 'Night', 'Enter', 'Report', ' Have ',' Wait ',' Content ',' Proof ',' Screenshot ',' Proof ',' Payment ',' Shoope ',' Pay ']")</f>
        <v>['Disappointed', 'Buy', 'Package', 'Internet', 'Combo', 'Sakti', 'Application', 'MyTelkomsell', 'Yesterday', 'Night', 'Enter', 'Report', ' Have ',' Wait ',' Content ',' Proof ',' Screenshot ',' Proof ',' Payment ',' Shoope ',' Pay ']</v>
      </c>
      <c r="D4572" s="3">
        <v>1.0</v>
      </c>
    </row>
    <row r="4573" ht="15.75" customHeight="1">
      <c r="A4573" s="1">
        <v>4571.0</v>
      </c>
      <c r="B4573" s="3" t="s">
        <v>4573</v>
      </c>
      <c r="C4573" s="3" t="str">
        <f>IFERROR(__xludf.DUMMYFUNCTION("GOOGLETRANSLATE(B4573,""id"",""en"")"),"['Customer', 'Telkomsel', 'sympathy', 'tasty', 'really', 'use', 'Telkomsel', 'the network', 'kecret', 'really', 'darling', 'here' The network ',' Gajelas', 'use', 'card', 'sympathy', 'disappointed', 'lose', 'network', 'next door', '']")</f>
        <v>['Customer', 'Telkomsel', 'sympathy', 'tasty', 'really', 'use', 'Telkomsel', 'the network', 'kecret', 'really', 'darling', 'here' The network ',' Gajelas', 'use', 'card', 'sympathy', 'disappointed', 'lose', 'network', 'next door', '']</v>
      </c>
      <c r="D4573" s="3">
        <v>1.0</v>
      </c>
    </row>
    <row r="4574" ht="15.75" customHeight="1">
      <c r="A4574" s="1">
        <v>4572.0</v>
      </c>
      <c r="B4574" s="3" t="s">
        <v>4574</v>
      </c>
      <c r="C4574" s="3" t="str">
        <f>IFERROR(__xludf.DUMMYFUNCTION("GOOGLETRANSLATE(B4574,""id"",""en"")"),"['buy', 'package', 'buy', 'package', 'run out', 'package', 'masaberlaku', 'steady', '']")</f>
        <v>['buy', 'package', 'buy', 'package', 'run out', 'package', 'masaberlaku', 'steady', '']</v>
      </c>
      <c r="D4574" s="3">
        <v>1.0</v>
      </c>
    </row>
    <row r="4575" ht="15.75" customHeight="1">
      <c r="A4575" s="1">
        <v>4573.0</v>
      </c>
      <c r="B4575" s="3" t="s">
        <v>4575</v>
      </c>
      <c r="C4575" s="3" t="str">
        <f>IFERROR(__xludf.DUMMYFUNCTION("GOOGLETRANSLATE(B4575,""id"",""en"")"),"['Strange', 'Telkom', 'Leech', 'Telkom', 'Kadui', 'Tax', 'Price', 'Package', 'Expensive', 'Provider', 'Price', 'Package', ' The data ',' cheap ',' wear ',' SIM ',' Card ',' sympathy ',' tri ',' package ',' data ',' tri ',' satisfying ',' buy ',' package '"&amp;" , 'internet', 'tri', 'divided', 'price', 'just', 'RB', 'satisfied', 'surfing', 'internet', 'satisfied', 'watch', 'film', ' Korea ',' Package ',' Sympathy ',' GB ',' Watch ',' Disney ',' Internet ',' MAH ',' SAKTI ',' Simpik ',' Sympathy ',' Prettt ']")</f>
        <v>['Strange', 'Telkom', 'Leech', 'Telkom', 'Kadui', 'Tax', 'Price', 'Package', 'Expensive', 'Provider', 'Price', 'Package', ' The data ',' cheap ',' wear ',' SIM ',' Card ',' sympathy ',' tri ',' package ',' data ',' tri ',' satisfying ',' buy ',' package ' , 'internet', 'tri', 'divided', 'price', 'just', 'RB', 'satisfied', 'surfing', 'internet', 'satisfied', 'watch', 'film', ' Korea ',' Package ',' Sympathy ',' GB ',' Watch ',' Disney ',' Internet ',' MAH ',' SAKTI ',' Simpik ',' Sympathy ',' Prettt ']</v>
      </c>
      <c r="D4575" s="3">
        <v>1.0</v>
      </c>
    </row>
    <row r="4576" ht="15.75" customHeight="1">
      <c r="A4576" s="1">
        <v>4574.0</v>
      </c>
      <c r="B4576" s="3" t="s">
        <v>4576</v>
      </c>
      <c r="C4576" s="3" t="str">
        <f>IFERROR(__xludf.DUMMYFUNCTION("GOOGLETRANSLATE(B4576,""id"",""en"")"),"['no', 'check', 'quota', 'internet', 'dial', 'menu', ""]")</f>
        <v>['no', 'check', 'quota', 'internet', 'dial', 'menu', "]</v>
      </c>
      <c r="D4576" s="3">
        <v>4.0</v>
      </c>
    </row>
    <row r="4577" ht="15.75" customHeight="1">
      <c r="A4577" s="1">
        <v>4575.0</v>
      </c>
      <c r="B4577" s="3" t="s">
        <v>4577</v>
      </c>
      <c r="C4577" s="3" t="str">
        <f>IFERROR(__xludf.DUMMYFUNCTION("GOOGLETRANSLATE(B4577,""id"",""en"")"),"['Use', 'APP', 'APP', 'Experience', 'Constraints', 'Given', 'Star', 'Trying', 'Complain', 'Reply', 'Improvement', 'Recommend' Friends', 'use', 'app', 'enter', 'disappointing', 'customers',' ']")</f>
        <v>['Use', 'APP', 'APP', 'Experience', 'Constraints', 'Given', 'Star', 'Trying', 'Complain', 'Reply', 'Improvement', 'Recommend' Friends', 'use', 'app', 'enter', 'disappointing', 'customers',' ']</v>
      </c>
      <c r="D4577" s="3">
        <v>1.0</v>
      </c>
    </row>
    <row r="4578" ht="15.75" customHeight="1">
      <c r="A4578" s="1">
        <v>4576.0</v>
      </c>
      <c r="B4578" s="3" t="s">
        <v>4578</v>
      </c>
      <c r="C4578" s="3" t="str">
        <f>IFERROR(__xludf.DUMMYFUNCTION("GOOGLETRANSLATE(B4578,""id"",""en"")"),"['Kek', 'Minutes', 'Loading', 'Login', 'Enter', 'Homepage', '']")</f>
        <v>['Kek', 'Minutes', 'Loading', 'Login', 'Enter', 'Homepage', '']</v>
      </c>
      <c r="D4578" s="3">
        <v>4.0</v>
      </c>
    </row>
    <row r="4579" ht="15.75" customHeight="1">
      <c r="A4579" s="1">
        <v>4577.0</v>
      </c>
      <c r="B4579" s="3" t="s">
        <v>4579</v>
      </c>
      <c r="C4579" s="3" t="str">
        <f>IFERROR(__xludf.DUMMYFUNCTION("GOOGLETRANSLATE(B4579,""id"",""en"")"),"['Fix', 'network', 'sometimes', 'area', 'msh', 'ngebleng', ""]")</f>
        <v>['Fix', 'network', 'sometimes', 'area', 'msh', 'ngebleng', "]</v>
      </c>
      <c r="D4579" s="3">
        <v>4.0</v>
      </c>
    </row>
    <row r="4580" ht="15.75" customHeight="1">
      <c r="A4580" s="1">
        <v>4578.0</v>
      </c>
      <c r="B4580" s="3" t="s">
        <v>4580</v>
      </c>
      <c r="C4580" s="3" t="str">
        <f>IFERROR(__xludf.DUMMYFUNCTION("GOOGLETRANSLATE(B4580,""id"",""en"")"),"['Please', 'fix', 'UDH', 'ISI', 'Credit', 'buy', 'quota', 'quota', 'enter', 'pulse', 'ilang', 'please', ' Fix ',' Msh ',' Gini ',' Mending ',' Pensi ',' Telkomsel ']")</f>
        <v>['Please', 'fix', 'UDH', 'ISI', 'Credit', 'buy', 'quota', 'quota', 'enter', 'pulse', 'ilang', 'please', ' Fix ',' Msh ',' Gini ',' Mending ',' Pensi ',' Telkomsel ']</v>
      </c>
      <c r="D4580" s="3">
        <v>1.0</v>
      </c>
    </row>
    <row r="4581" ht="15.75" customHeight="1">
      <c r="A4581" s="1">
        <v>4579.0</v>
      </c>
      <c r="B4581" s="3" t="s">
        <v>4581</v>
      </c>
      <c r="C4581" s="3" t="str">
        <f>IFERROR(__xludf.DUMMYFUNCTION("GOOGLETRANSLATE(B4581,""id"",""en"")"),"['rich', 'bug', 'right', 'open', 'application', 'direct', 'annoying', 'application', 'for example', 'gojek', 'driver', 'GPS', ' Direct ',' Error ',' Stiap ',' Open ',' Application ']")</f>
        <v>['rich', 'bug', 'right', 'open', 'application', 'direct', 'annoying', 'application', 'for example', 'gojek', 'driver', 'GPS', ' Direct ',' Error ',' Stiap ',' Open ',' Application ']</v>
      </c>
      <c r="D4581" s="3">
        <v>1.0</v>
      </c>
    </row>
    <row r="4582" ht="15.75" customHeight="1">
      <c r="A4582" s="1">
        <v>4580.0</v>
      </c>
      <c r="B4582" s="3" t="s">
        <v>4582</v>
      </c>
      <c r="C4582" s="3" t="str">
        <f>IFERROR(__xludf.DUMMYFUNCTION("GOOGLETRANSLATE(B4582,""id"",""en"")"),"['disappointing', 'network', 'internet', 'area', 'dharmasraya', 'bad', 'in', 'week', 'please', 'note', 'buy', 'package', ' Internet ',' super ',' expensive ',' network ',' internet ',' kayak ',' conch ']")</f>
        <v>['disappointing', 'network', 'internet', 'area', 'dharmasraya', 'bad', 'in', 'week', 'please', 'note', 'buy', 'package', ' Internet ',' super ',' expensive ',' network ',' internet ',' kayak ',' conch ']</v>
      </c>
      <c r="D4582" s="3">
        <v>1.0</v>
      </c>
    </row>
    <row r="4583" ht="15.75" customHeight="1">
      <c r="A4583" s="1">
        <v>4581.0</v>
      </c>
      <c r="B4583" s="3" t="s">
        <v>4583</v>
      </c>
      <c r="C4583" s="3" t="str">
        <f>IFERROR(__xludf.DUMMYFUNCTION("GOOGLETRANSLATE(B4583,""id"",""en"")"),"['Jarigan', 'leg', 'package', 'expensive', 'masah', 'pandemic', 'love', 'expensive', 'income', 'eat', 'difficult', 'learn', ' Tekomel ',' Kayak ',' Lead ',' Country ']")</f>
        <v>['Jarigan', 'leg', 'package', 'expensive', 'masah', 'pandemic', 'love', 'expensive', 'income', 'eat', 'difficult', 'learn', ' Tekomel ',' Kayak ',' Lead ',' Country ']</v>
      </c>
      <c r="D4583" s="3">
        <v>1.0</v>
      </c>
    </row>
    <row r="4584" ht="15.75" customHeight="1">
      <c r="A4584" s="1">
        <v>4582.0</v>
      </c>
      <c r="B4584" s="3" t="s">
        <v>4584</v>
      </c>
      <c r="C4584" s="3" t="str">
        <f>IFERROR(__xludf.DUMMYFUNCTION("GOOGLETRANSLATE(B4584,""id"",""en"")"),"['satisfying', 'dear', 'run out', 'Points', 'Hadian', 'anything', ""]")</f>
        <v>['satisfying', 'dear', 'run out', 'Points', 'Hadian', 'anything', "]</v>
      </c>
      <c r="D4584" s="3">
        <v>5.0</v>
      </c>
    </row>
    <row r="4585" ht="15.75" customHeight="1">
      <c r="A4585" s="1">
        <v>4583.0</v>
      </c>
      <c r="B4585" s="3" t="s">
        <v>4585</v>
      </c>
      <c r="C4585" s="3" t="str">
        <f>IFERROR(__xludf.DUMMYFUNCTION("GOOGLETRANSLATE(B4585,""id"",""en"")"),"['Need', 'Application', 'Buy', 'Credit', 'Data', 'App', 'Telkomsel', 'Ribet', 'Easy', 'Login', 'Teus',' Network ',' Class', 'Telkomsel', 'Network', 'Lose', 'Strong', 'Network', 'Class',' Cheap ',' Bandung ',' Brebes', 'ugly', 'really', 'Network' ]")</f>
        <v>['Need', 'Application', 'Buy', 'Credit', 'Data', 'App', 'Telkomsel', 'Ribet', 'Easy', 'Login', 'Teus',' Network ',' Class', 'Telkomsel', 'Network', 'Lose', 'Strong', 'Network', 'Class',' Cheap ',' Bandung ',' Brebes', 'ugly', 'really', 'Network' ]</v>
      </c>
      <c r="D4585" s="3">
        <v>1.0</v>
      </c>
    </row>
    <row r="4586" ht="15.75" customHeight="1">
      <c r="A4586" s="1">
        <v>4584.0</v>
      </c>
      <c r="B4586" s="3" t="s">
        <v>4586</v>
      </c>
      <c r="C4586" s="3" t="str">
        <f>IFERROR(__xludf.DUMMYFUNCTION("GOOGLETRANSLATE(B4586,""id"",""en"")"),"['Disappointed', 'Difficult', 'Login', 'Easy', 'Ribet', '']")</f>
        <v>['Disappointed', 'Difficult', 'Login', 'Easy', 'Ribet', '']</v>
      </c>
      <c r="D4586" s="3">
        <v>1.0</v>
      </c>
    </row>
    <row r="4587" ht="15.75" customHeight="1">
      <c r="A4587" s="1">
        <v>4585.0</v>
      </c>
      <c r="B4587" s="3" t="s">
        <v>4587</v>
      </c>
      <c r="C4587" s="3" t="str">
        <f>IFERROR(__xludf.DUMMYFUNCTION("GOOGLETRANSLATE(B4587,""id"",""en"")"),"['buy', 'quota', 'learn', 'zoom', 'take', 'quota', 'main', 'system', 'broken', 'take', 'luck']")</f>
        <v>['buy', 'quota', 'learn', 'zoom', 'take', 'quota', 'main', 'system', 'broken', 'take', 'luck']</v>
      </c>
      <c r="D4587" s="3">
        <v>1.0</v>
      </c>
    </row>
    <row r="4588" ht="15.75" customHeight="1">
      <c r="A4588" s="1">
        <v>4586.0</v>
      </c>
      <c r="B4588" s="3" t="s">
        <v>4588</v>
      </c>
      <c r="C4588" s="3" t="str">
        <f>IFERROR(__xludf.DUMMYFUNCTION("GOOGLETRANSLATE(B4588,""id"",""en"")"),"['signal', 'difficult', 'expensive', 'GPP', 'smooth', 'signal', 'village', 'home', 'dlu', 'signal', 'motion', 'a little', ' ilang ',' please ',' LKH ',' Tanguti ',' LKH ',' complaints', 'consumer']")</f>
        <v>['signal', 'difficult', 'expensive', 'GPP', 'smooth', 'signal', 'village', 'home', 'dlu', 'signal', 'motion', 'a little', ' ilang ',' please ',' LKH ',' Tanguti ',' LKH ',' complaints', 'consumer']</v>
      </c>
      <c r="D4588" s="3">
        <v>2.0</v>
      </c>
    </row>
    <row r="4589" ht="15.75" customHeight="1">
      <c r="A4589" s="1">
        <v>4587.0</v>
      </c>
      <c r="B4589" s="3" t="s">
        <v>4589</v>
      </c>
      <c r="C4589" s="3" t="str">
        <f>IFERROR(__xludf.DUMMYFUNCTION("GOOGLETRANSLATE(B4589,""id"",""en"")"),"['star', 'Telkomsel', 'high', 'class',' keep ',' skrg ',' star ',' application ',' slow ',' like ',' closed ',' network ',' slow ',' poor ',' Telkomsel ',' official ',' play ',' money ',' investigated ', ""]")</f>
        <v>['star', 'Telkomsel', 'high', 'class',' keep ',' skrg ',' star ',' application ',' slow ',' like ',' closed ',' network ',' slow ',' poor ',' Telkomsel ',' official ',' play ',' money ',' investigated ', "]</v>
      </c>
      <c r="D4589" s="3">
        <v>1.0</v>
      </c>
    </row>
    <row r="4590" ht="15.75" customHeight="1">
      <c r="A4590" s="1">
        <v>4588.0</v>
      </c>
      <c r="B4590" s="3" t="s">
        <v>4590</v>
      </c>
      <c r="C4590" s="3" t="str">
        <f>IFERROR(__xludf.DUMMYFUNCTION("GOOGLETRANSLATE(B4590,""id"",""en"")"),"['chaotic', 'mah', 'exchange', 'point', 'balance', 'Linkaja', 'entry', 'original', 'Fun', 'public', 'signal', 'ugly', ' expensive ',' lying ',' mending ',' Telkomsel ',' bro ',' love ',' your money ',' expensive ',' quality ']")</f>
        <v>['chaotic', 'mah', 'exchange', 'point', 'balance', 'Linkaja', 'entry', 'original', 'Fun', 'public', 'signal', 'ugly', ' expensive ',' lying ',' mending ',' Telkomsel ',' bro ',' love ',' your money ',' expensive ',' quality ']</v>
      </c>
      <c r="D4590" s="3">
        <v>1.0</v>
      </c>
    </row>
    <row r="4591" ht="15.75" customHeight="1">
      <c r="A4591" s="1">
        <v>4589.0</v>
      </c>
      <c r="B4591" s="3" t="s">
        <v>4591</v>
      </c>
      <c r="C4591" s="3" t="str">
        <f>IFERROR(__xludf.DUMMYFUNCTION("GOOGLETRANSLATE(B4591,""id"",""en"")"),"['Telkomsel', 'expensive', 'package', 'telephone', 'operator', 'stingy', 'hope', 'fortune', 'narrow', 'amen']")</f>
        <v>['Telkomsel', 'expensive', 'package', 'telephone', 'operator', 'stingy', 'hope', 'fortune', 'narrow', 'amen']</v>
      </c>
      <c r="D4591" s="3">
        <v>1.0</v>
      </c>
    </row>
    <row r="4592" ht="15.75" customHeight="1">
      <c r="A4592" s="1">
        <v>4590.0</v>
      </c>
      <c r="B4592" s="3" t="s">
        <v>4592</v>
      </c>
      <c r="C4592" s="3" t="str">
        <f>IFERROR(__xludf.DUMMYFUNCTION("GOOGLETRANSLATE(B4592,""id"",""en"")"),"['bonus', 'unlimited', 'APK', 'already', 'good', 'bnaget', 'love', 'star', '']")</f>
        <v>['bonus', 'unlimited', 'APK', 'already', 'good', 'bnaget', 'love', 'star', '']</v>
      </c>
      <c r="D4592" s="3">
        <v>5.0</v>
      </c>
    </row>
    <row r="4593" ht="15.75" customHeight="1">
      <c r="A4593" s="1">
        <v>4591.0</v>
      </c>
      <c r="B4593" s="3" t="s">
        <v>4593</v>
      </c>
      <c r="C4593" s="3" t="str">
        <f>IFERROR(__xludf.DUMMYFUNCTION("GOOGLETRANSLATE(B4593,""id"",""en"")"),"['Paketan', 'already', 'expensive', 'Maen', 'game', 'ngellag', 'forgiveness',' rotten ',' network ',' climbed ',' tower ',' good ',' Damn ',' Come on ',' Telkomsel ',' ']")</f>
        <v>['Paketan', 'already', 'expensive', 'Maen', 'game', 'ngellag', 'forgiveness',' rotten ',' network ',' climbed ',' tower ',' good ',' Damn ',' Come on ',' Telkomsel ',' ']</v>
      </c>
      <c r="D4593" s="3">
        <v>1.0</v>
      </c>
    </row>
    <row r="4594" ht="15.75" customHeight="1">
      <c r="A4594" s="1">
        <v>4592.0</v>
      </c>
      <c r="B4594" s="3" t="s">
        <v>4594</v>
      </c>
      <c r="C4594" s="3" t="str">
        <f>IFERROR(__xludf.DUMMYFUNCTION("GOOGLETRANSLATE(B4594,""id"",""en"")"),"['intentionally', 'buy', 'card', 'Telkomsel', 'list', 'package', 'expensive', 'list', 'package', 'expensive', 'network', 'good', ' Play ',' Game ',' Mobile ',' Legends', 'Connect', 'Nyesek', 'Lost', 'Mulu', 'Gara', 'Gara', 'Network', 'Card', 'Axis' , 'Ind"&amp;"osat', 'already', 'cheap', 'smooth', 'kek', 'rich', 'Telkomsel', 'already', 'expensive', 'the network', 'ngprank']")</f>
        <v>['intentionally', 'buy', 'card', 'Telkomsel', 'list', 'package', 'expensive', 'list', 'package', 'expensive', 'network', 'good', ' Play ',' Game ',' Mobile ',' Legends', 'Connect', 'Nyesek', 'Lost', 'Mulu', 'Gara', 'Gara', 'Network', 'Card', 'Axis' , 'Indosat', 'already', 'cheap', 'smooth', 'kek', 'rich', 'Telkomsel', 'already', 'expensive', 'the network', 'ngprank']</v>
      </c>
      <c r="D4594" s="3">
        <v>1.0</v>
      </c>
    </row>
    <row r="4595" ht="15.75" customHeight="1">
      <c r="A4595" s="1">
        <v>4593.0</v>
      </c>
      <c r="B4595" s="3" t="s">
        <v>4595</v>
      </c>
      <c r="C4595" s="3" t="str">
        <f>IFERROR(__xludf.DUMMYFUNCTION("GOOGLETRANSLATE(B4595,""id"",""en"")"),"['package', 'expensive', 'expensive', 'at the same time', 'sell', 'cheap', 'signal', 'already', 'endak', 'good']")</f>
        <v>['package', 'expensive', 'expensive', 'at the same time', 'sell', 'cheap', 'signal', 'already', 'endak', 'good']</v>
      </c>
      <c r="D4595" s="3">
        <v>1.0</v>
      </c>
    </row>
    <row r="4596" ht="15.75" customHeight="1">
      <c r="A4596" s="1">
        <v>4594.0</v>
      </c>
      <c r="B4596" s="3" t="s">
        <v>4596</v>
      </c>
      <c r="C4596" s="3" t="str">
        <f>IFERROR(__xludf.DUMMYFUNCTION("GOOGLETRANSLATE(B4596,""id"",""en"")"),"['Kasi', 'Star', 'Enhanced', 'Application', 'Increase', 'Application', 'Key', 'Credit', 'Data', 'Cellular', 'On', 'Sucking', ' pulses', 'data', 'internet', 'run out', 'example', 'application', 'axis',' lock ',' pulse ',' data ',' run out ',' ']")</f>
        <v>['Kasi', 'Star', 'Enhanced', 'Application', 'Increase', 'Application', 'Key', 'Credit', 'Data', 'Cellular', 'On', 'Sucking', ' pulses', 'data', 'internet', 'run out', 'example', 'application', 'axis',' lock ',' pulse ',' data ',' run out ',' ']</v>
      </c>
      <c r="D4596" s="3">
        <v>2.0</v>
      </c>
    </row>
    <row r="4597" ht="15.75" customHeight="1">
      <c r="A4597" s="1">
        <v>4595.0</v>
      </c>
      <c r="B4597" s="3" t="s">
        <v>4597</v>
      </c>
      <c r="C4597" s="3" t="str">
        <f>IFERROR(__xludf.DUMMYFUNCTION("GOOGLETRANSLATE(B4597,""id"",""en"")"),"['Contents', 'Credit', 'Nurry', 'Turn', 'Buy', 'Package', 'Ngerugin', 'Pay', ""]")</f>
        <v>['Contents', 'Credit', 'Nurry', 'Turn', 'Buy', 'Package', 'Ngerugin', 'Pay', "]</v>
      </c>
      <c r="D4597" s="3">
        <v>1.0</v>
      </c>
    </row>
    <row r="4598" ht="15.75" customHeight="1">
      <c r="A4598" s="1">
        <v>4596.0</v>
      </c>
      <c r="B4598" s="3" t="s">
        <v>4598</v>
      </c>
      <c r="C4598" s="3" t="str">
        <f>IFERROR(__xludf.DUMMYFUNCTION("GOOGLETRANSLATE(B4598,""id"",""en"")"),"['Thank you', 'Telkomsel', 'Hello', 'Help', 'Lanjar', 'Where', 'Negeri', 'Telkomsel', 'Reach', 'Remote', 'Negeri', 'Accept', ' Telkomsel ',' build ',' country ']")</f>
        <v>['Thank you', 'Telkomsel', 'Hello', 'Help', 'Lanjar', 'Where', 'Negeri', 'Telkomsel', 'Reach', 'Remote', 'Negeri', 'Accept', ' Telkomsel ',' build ',' country ']</v>
      </c>
      <c r="D4598" s="3">
        <v>5.0</v>
      </c>
    </row>
    <row r="4599" ht="15.75" customHeight="1">
      <c r="A4599" s="1">
        <v>4597.0</v>
      </c>
      <c r="B4599" s="3" t="s">
        <v>4599</v>
      </c>
      <c r="C4599" s="3" t="str">
        <f>IFERROR(__xludf.DUMMYFUNCTION("GOOGLETRANSLATE(B4599,""id"",""en"")"),"['Please', 'Hold', 'Promo', 'Promo', 'Include', 'Hsrha', 'YABG', 'Cheap', ""]")</f>
        <v>['Please', 'Hold', 'Promo', 'Promo', 'Include', 'Hsrha', 'YABG', 'Cheap', "]</v>
      </c>
      <c r="D4599" s="3">
        <v>3.0</v>
      </c>
    </row>
    <row r="4600" ht="15.75" customHeight="1">
      <c r="A4600" s="1">
        <v>4598.0</v>
      </c>
      <c r="B4600" s="3" t="s">
        <v>4600</v>
      </c>
      <c r="C4600" s="3" t="str">
        <f>IFERROR(__xludf.DUMMYFUNCTION("GOOGLETRANSLATE(B4600,""id"",""en"")"),"['Good', 'Application', 'Help', 'Purchase', 'Reward', 'Program', 'Dayli', 'Chek', ""]")</f>
        <v>['Good', 'Application', 'Help', 'Purchase', 'Reward', 'Program', 'Dayli', 'Chek', "]</v>
      </c>
      <c r="D4600" s="3">
        <v>5.0</v>
      </c>
    </row>
    <row r="4601" ht="15.75" customHeight="1">
      <c r="A4601" s="1">
        <v>4599.0</v>
      </c>
      <c r="B4601" s="3" t="s">
        <v>4601</v>
      </c>
      <c r="C4601" s="3" t="str">
        <f>IFERROR(__xludf.DUMMYFUNCTION("GOOGLETRANSLATE(B4601,""id"",""en"")"),"['', 'update', 'bad', 'connect', 'application', 'Linkaja', 'payment']")</f>
        <v>['', 'update', 'bad', 'connect', 'application', 'Linkaja', 'payment']</v>
      </c>
      <c r="D4601" s="3">
        <v>1.0</v>
      </c>
    </row>
    <row r="4602" ht="15.75" customHeight="1">
      <c r="A4602" s="1">
        <v>4600.0</v>
      </c>
      <c r="B4602" s="3" t="s">
        <v>4602</v>
      </c>
      <c r="C4602" s="3" t="str">
        <f>IFERROR(__xludf.DUMMYFUNCTION("GOOGLETRANSLATE(B4602,""id"",""en"")"),"['Signal', 'area', 'Lombok', 'East', 'smooth', 'obstacles', 'network', 'complaint', 'grapari']")</f>
        <v>['Signal', 'area', 'Lombok', 'East', 'smooth', 'obstacles', 'network', 'complaint', 'grapari']</v>
      </c>
      <c r="D4602" s="3">
        <v>2.0</v>
      </c>
    </row>
    <row r="4603" ht="15.75" customHeight="1">
      <c r="A4603" s="1">
        <v>4601.0</v>
      </c>
      <c r="B4603" s="3" t="s">
        <v>4603</v>
      </c>
      <c r="C4603" s="3" t="str">
        <f>IFERROR(__xludf.DUMMYFUNCTION("GOOGLETRANSLATE(B4603,""id"",""en"")"),"['Telkomsel', 'practice', 'system', 'leech', 'package', 'run out', 'stop', 'direct', 'sucked', 'pulse', 'stored', 'guaranteed', ' disappear ',' operator ',' already ',' wear ',' system ',' automatic ',' package ',' run out ',' stop ',' pulse ',' stored ',"&amp;"' package ',' hope ' , 'in the future', 'Telkomsel', 'changed', 'leave', 'Order', 'detrimental', 'user', ""]")</f>
        <v>['Telkomsel', 'practice', 'system', 'leech', 'package', 'run out', 'stop', 'direct', 'sucked', 'pulse', 'stored', 'guaranteed', ' disappear ',' operator ',' already ',' wear ',' system ',' automatic ',' package ',' run out ',' stop ',' pulse ',' stored ',' package ',' hope ' , 'in the future', 'Telkomsel', 'changed', 'leave', 'Order', 'detrimental', 'user', "]</v>
      </c>
      <c r="D4603" s="3">
        <v>1.0</v>
      </c>
    </row>
    <row r="4604" ht="15.75" customHeight="1">
      <c r="A4604" s="1">
        <v>4602.0</v>
      </c>
      <c r="B4604" s="3" t="s">
        <v>4604</v>
      </c>
      <c r="C4604" s="3" t="str">
        <f>IFERROR(__xludf.DUMMYFUNCTION("GOOGLETRANSLATE(B4604,""id"",""en"")"),"['Severe', 'opened', 'blank', 'Switch', 'lbh', 'fast', 'cheap', '']")</f>
        <v>['Severe', 'opened', 'blank', 'Switch', 'lbh', 'fast', 'cheap', '']</v>
      </c>
      <c r="D4604" s="3">
        <v>1.0</v>
      </c>
    </row>
    <row r="4605" ht="15.75" customHeight="1">
      <c r="A4605" s="1">
        <v>4603.0</v>
      </c>
      <c r="B4605" s="3" t="s">
        <v>4605</v>
      </c>
      <c r="C4605" s="3" t="str">
        <f>IFERROR(__xludf.DUMMYFUNCTION("GOOGLETRANSLATE(B4605,""id"",""en"")"),"['Buy', 'Package', 'Telkomsel', 'Network', '']")</f>
        <v>['Buy', 'Package', 'Telkomsel', 'Network', '']</v>
      </c>
      <c r="D4605" s="3">
        <v>2.0</v>
      </c>
    </row>
    <row r="4606" ht="15.75" customHeight="1">
      <c r="A4606" s="1">
        <v>4604.0</v>
      </c>
      <c r="B4606" s="3" t="s">
        <v>4606</v>
      </c>
      <c r="C4606" s="3" t="str">
        <f>IFERROR(__xludf.DUMMYFUNCTION("GOOGLETRANSLATE(B4606,""id"",""en"")"),"['Please', 'Sorry', 'Forced', 'Uninstall', 'Application', 'Honest', 'Disappointed', 'Features',' Check ',' Daily ',' Promising ',' Voucher ',' quota ',' tip ',' contents', 'pulses',' sucked ',' quota ',' promised ',' ngak ',' used ',' times', 'experience'"&amp;", 'disappointed', ""]")</f>
        <v>['Please', 'Sorry', 'Forced', 'Uninstall', 'Application', 'Honest', 'Disappointed', 'Features',' Check ',' Daily ',' Promising ',' Voucher ',' quota ',' tip ',' contents', 'pulses',' sucked ',' quota ',' promised ',' ngak ',' used ',' times', 'experience', 'disappointed', "]</v>
      </c>
      <c r="D4606" s="3">
        <v>1.0</v>
      </c>
    </row>
    <row r="4607" ht="15.75" customHeight="1">
      <c r="A4607" s="1">
        <v>4605.0</v>
      </c>
      <c r="B4607" s="3" t="s">
        <v>4607</v>
      </c>
      <c r="C4607" s="3" t="str">
        <f>IFERROR(__xludf.DUMMYFUNCTION("GOOGLETRANSLATE(B4607,""id"",""en"")"),"['already', 'use', 'sympathy', 'smooth', 'internet', 'location', 'sby', 'center']")</f>
        <v>['already', 'use', 'sympathy', 'smooth', 'internet', 'location', 'sby', 'center']</v>
      </c>
      <c r="D4607" s="3">
        <v>1.0</v>
      </c>
    </row>
    <row r="4608" ht="15.75" customHeight="1">
      <c r="A4608" s="1">
        <v>4606.0</v>
      </c>
      <c r="B4608" s="3" t="s">
        <v>4608</v>
      </c>
      <c r="C4608" s="3" t="str">
        <f>IFERROR(__xludf.DUMMYFUNCTION("GOOGLETRANSLATE(B4608,""id"",""en"")"),"['user', 'Tsel', 'card', 'Hallo', 'network', 'prioritized', 'network', 'tsel', 'ugly', 'area', 'bandung', 'kab', ' Bandung']")</f>
        <v>['user', 'Tsel', 'card', 'Hallo', 'network', 'prioritized', 'network', 'tsel', 'ugly', 'area', 'bandung', 'kab', ' Bandung']</v>
      </c>
      <c r="D4608" s="3">
        <v>2.0</v>
      </c>
    </row>
    <row r="4609" ht="15.75" customHeight="1">
      <c r="A4609" s="1">
        <v>4607.0</v>
      </c>
      <c r="B4609" s="3" t="s">
        <v>4609</v>
      </c>
      <c r="C4609" s="3" t="str">
        <f>IFERROR(__xludf.DUMMYFUNCTION("GOOGLETRANSLATE(B4609,""id"",""en"")"),"['really', 'really', 'menu', 'complete', 'look', 'simple', 'program', 'promotion', 'discount', 'direct', 'menu', 'the application', ' Thank you ',' Telkomsel ',' ']")</f>
        <v>['really', 'really', 'menu', 'complete', 'look', 'simple', 'program', 'promotion', 'discount', 'direct', 'menu', 'the application', ' Thank you ',' Telkomsel ',' ']</v>
      </c>
      <c r="D4609" s="3">
        <v>5.0</v>
      </c>
    </row>
    <row r="4610" ht="15.75" customHeight="1">
      <c r="A4610" s="1">
        <v>4608.0</v>
      </c>
      <c r="B4610" s="3" t="s">
        <v>4610</v>
      </c>
      <c r="C4610" s="3" t="str">
        <f>IFERROR(__xludf.DUMMYFUNCTION("GOOGLETRANSLATE(B4610,""id"",""en"")"),"['bad', 'APL', 'MyTelomsel', 'Simcard', 'in', 'use', 'sympathy', 'network', 'times', 'trouble', 'missing', 'sometimes' Signal ',' Lost ',' Bustuuk ',' Bad ',' Bad ',' Bad ',' Package ',' Internet ',' Expensive ',' Heat ',' Having ',' Quality ',' Signal ' "&amp;", 'bad network', '']")</f>
        <v>['bad', 'APL', 'MyTelomsel', 'Simcard', 'in', 'use', 'sympathy', 'network', 'times', 'trouble', 'missing', 'sometimes' Signal ',' Lost ',' Bustuuk ',' Bad ',' Bad ',' Bad ',' Package ',' Internet ',' Expensive ',' Heat ',' Having ',' Quality ',' Signal ' , 'bad network', '']</v>
      </c>
      <c r="D4610" s="3">
        <v>2.0</v>
      </c>
    </row>
    <row r="4611" ht="15.75" customHeight="1">
      <c r="A4611" s="1">
        <v>4609.0</v>
      </c>
      <c r="B4611" s="3" t="s">
        <v>4611</v>
      </c>
      <c r="C4611" s="3" t="str">
        <f>IFERROR(__xludf.DUMMYFUNCTION("GOOGLETRANSLATE(B4611,""id"",""en"")"),"['Sorry', 'sorry', 'expensive', 'mentang', 'mentang', 'fast', ""]")</f>
        <v>['Sorry', 'sorry', 'expensive', 'mentang', 'mentang', 'fast', "]</v>
      </c>
      <c r="D4611" s="3">
        <v>1.0</v>
      </c>
    </row>
    <row r="4612" ht="15.75" customHeight="1">
      <c r="A4612" s="1">
        <v>4610.0</v>
      </c>
      <c r="B4612" s="3" t="s">
        <v>4612</v>
      </c>
      <c r="C4612" s="3" t="str">
        <f>IFERROR(__xludf.DUMMYFUNCTION("GOOGLETRANSLATE(B4612,""id"",""en"")"),"['application', 'help', 'transaction', 'pulse', 'quota', 'promo', 'promo']")</f>
        <v>['application', 'help', 'transaction', 'pulse', 'quota', 'promo', 'promo']</v>
      </c>
      <c r="D4612" s="3">
        <v>5.0</v>
      </c>
    </row>
    <row r="4613" ht="15.75" customHeight="1">
      <c r="A4613" s="1">
        <v>4611.0</v>
      </c>
      <c r="B4613" s="3" t="s">
        <v>4613</v>
      </c>
      <c r="C4613" s="3" t="str">
        <f>IFERROR(__xludf.DUMMYFUNCTION("GOOGLETRANSLATE(B4613,""id"",""en"")"),"['Ngakak', 'buy', 'quota', 'GB', 'price', 'GB', 'RB', 'itung', 'kwkwkw', 'try', 'use', 'that's',' kwkwkw ',' already ',' that's', 'Lita', 'YouTube', 'quota', 'omg', 'sumps',' quota ',' main ',' kwoakakaoa ',' notif ',' quota ' , 'Abis', 'late', 'pulse', '"&amp;"main', 'sumps']")</f>
        <v>['Ngakak', 'buy', 'quota', 'GB', 'price', 'GB', 'RB', 'itung', 'kwkwkw', 'try', 'use', 'that's',' kwkwkw ',' already ',' that's', 'Lita', 'YouTube', 'quota', 'omg', 'sumps',' quota ',' main ',' kwoakakaoa ',' notif ',' quota ' , 'Abis', 'late', 'pulse', 'main', 'sumps']</v>
      </c>
      <c r="D4613" s="3">
        <v>1.0</v>
      </c>
    </row>
    <row r="4614" ht="15.75" customHeight="1">
      <c r="A4614" s="1">
        <v>4612.0</v>
      </c>
      <c r="B4614" s="3" t="s">
        <v>4614</v>
      </c>
      <c r="C4614" s="3" t="str">
        <f>IFERROR(__xludf.DUMMYFUNCTION("GOOGLETRANSLATE(B4614,""id"",""en"")"),"['', 'Tower', 'Sukaraja', 'Logas', 'Land', 'Land', 'Kuantan', 'Singingi', 'Ngaco', 'Sometimes', 'Quality', 'Signal', 'Edge' ',' Available ',' Service ',' Orbit ',' Tower ',' Sukaraja ',' ']")</f>
        <v>['', 'Tower', 'Sukaraja', 'Logas', 'Land', 'Land', 'Kuantan', 'Singingi', 'Ngaco', 'Sometimes', 'Quality', 'Signal', 'Edge' ',' Available ',' Service ',' Orbit ',' Tower ',' Sukaraja ',' ']</v>
      </c>
      <c r="D4614" s="3">
        <v>3.0</v>
      </c>
    </row>
    <row r="4615" ht="15.75" customHeight="1">
      <c r="A4615" s="1">
        <v>4613.0</v>
      </c>
      <c r="B4615" s="3" t="s">
        <v>4615</v>
      </c>
      <c r="C4615" s="3" t="str">
        <f>IFERROR(__xludf.DUMMYFUNCTION("GOOGLETRANSLATE(B4615,""id"",""en"")"),"['Change', 'failed', 'entered', 'kah', 'buy', 'expensive', 'bsa', 'login', 'make', 'Samsung', 'plus', 'yes' Failed ',' Login ',' Use ',' Wai ',' Type ',' Nova ',' BSA ',' BSA ',' Strange ',' App ',' Come ',' Severe ']")</f>
        <v>['Change', 'failed', 'entered', 'kah', 'buy', 'expensive', 'bsa', 'login', 'make', 'Samsung', 'plus', 'yes' Failed ',' Login ',' Use ',' Wai ',' Type ',' Nova ',' BSA ',' BSA ',' Strange ',' App ',' Come ',' Severe ']</v>
      </c>
      <c r="D4615" s="3">
        <v>1.0</v>
      </c>
    </row>
    <row r="4616" ht="15.75" customHeight="1">
      <c r="A4616" s="1">
        <v>4614.0</v>
      </c>
      <c r="B4616" s="3" t="s">
        <v>4616</v>
      </c>
      <c r="C4616" s="3" t="str">
        <f>IFERROR(__xludf.DUMMYFUNCTION("GOOGLETRANSLATE(B4616,""id"",""en"")"),"['stability', 'network', 'ugly', 'cloudy', 'rain', 'price', 'package', 'internet', 'suits', 'quality', 'service', 'internet']")</f>
        <v>['stability', 'network', 'ugly', 'cloudy', 'rain', 'price', 'package', 'internet', 'suits', 'quality', 'service', 'internet']</v>
      </c>
      <c r="D4616" s="3">
        <v>1.0</v>
      </c>
    </row>
    <row r="4617" ht="15.75" customHeight="1">
      <c r="A4617" s="1">
        <v>4615.0</v>
      </c>
      <c r="B4617" s="3" t="s">
        <v>4617</v>
      </c>
      <c r="C4617" s="3" t="str">
        <f>IFERROR(__xludf.DUMMYFUNCTION("GOOGLETRANSLATE(B4617,""id"",""en"")"),"['The price', 'expensive', 'Gillllaaaaaa', 'Ngeapain', 'Install', 'Mending', 'Vocer', 'Smartpren', 'Muraahhh', ""]")</f>
        <v>['The price', 'expensive', 'Gillllaaaaaa', 'Ngeapain', 'Install', 'Mending', 'Vocer', 'Smartpren', 'Muraahhh', "]</v>
      </c>
      <c r="D4617" s="3">
        <v>1.0</v>
      </c>
    </row>
    <row r="4618" ht="15.75" customHeight="1">
      <c r="A4618" s="1">
        <v>4616.0</v>
      </c>
      <c r="B4618" s="3" t="s">
        <v>4618</v>
      </c>
      <c r="C4618" s="3" t="str">
        <f>IFERROR(__xludf.DUMMYFUNCTION("GOOGLETRANSLATE(B4618,""id"",""en"")"),"['application', 'MyTelkomsel', 'might', 'good', 'darling', 'service', 'Telkomsel', 'good', 'Telkomsel', 'use', 'choice', 'Telkomsel', ' hurt ',' Telkomsel ',' like ',' ngrocos', 'offended', 'talk', 'individual', ""]")</f>
        <v>['application', 'MyTelkomsel', 'might', 'good', 'darling', 'service', 'Telkomsel', 'good', 'Telkomsel', 'use', 'choice', 'Telkomsel', ' hurt ',' Telkomsel ',' like ',' ngrocos', 'offended', 'talk', 'individual', "]</v>
      </c>
      <c r="D4618" s="3">
        <v>2.0</v>
      </c>
    </row>
    <row r="4619" ht="15.75" customHeight="1">
      <c r="A4619" s="1">
        <v>4617.0</v>
      </c>
      <c r="B4619" s="3" t="s">
        <v>4619</v>
      </c>
      <c r="C4619" s="3" t="str">
        <f>IFERROR(__xludf.DUMMYFUNCTION("GOOGLETRANSLATE(B4619,""id"",""en"")"),"['harmed', 'harmed', 'UDH', 'buy', 'quota', 'games',' until ',' hundreds', 'thousand', 'quota', 'data', 'Udh', ' run out ',' stay ',' unlimited ',' game ',' sosmed ',' great ',' unlimited ',' game ',' login ',' game ',' mobile ',' Legends', 'play' , 'Clas"&amp;"ic', 'Rank', 'quota', 'sosmed', 'steady', 'Telkomsel', 'stop', 'wear', 'provider', 'here', 'comfortable', 'imagined', ' valid ',' quota ',' udh ',' hrg ',' expensive ',' quota ',' ska ',' error ']")</f>
        <v>['harmed', 'harmed', 'UDH', 'buy', 'quota', 'games',' until ',' hundreds', 'thousand', 'quota', 'data', 'Udh', ' run out ',' stay ',' unlimited ',' game ',' sosmed ',' great ',' unlimited ',' game ',' login ',' game ',' mobile ',' Legends', 'play' , 'Clasic', 'Rank', 'quota', 'sosmed', 'steady', 'Telkomsel', 'stop', 'wear', 'provider', 'here', 'comfortable', 'imagined', ' valid ',' quota ',' udh ',' hrg ',' expensive ',' quota ',' ska ',' error ']</v>
      </c>
      <c r="D4619" s="3">
        <v>1.0</v>
      </c>
    </row>
    <row r="4620" ht="15.75" customHeight="1">
      <c r="A4620" s="1">
        <v>4618.0</v>
      </c>
      <c r="B4620" s="3" t="s">
        <v>4620</v>
      </c>
      <c r="C4620" s="3" t="str">
        <f>IFERROR(__xludf.DUMMYFUNCTION("GOOGLETRANSLATE(B4620,""id"",""en"")"),"['ugly', 'signal', 'Telkomsel', 'then', 'package', 'HR', 'missing', 'already', 'customers', 'Telkomsel', 'decent']")</f>
        <v>['ugly', 'signal', 'Telkomsel', 'then', 'package', 'HR', 'missing', 'already', 'customers', 'Telkomsel', 'decent']</v>
      </c>
      <c r="D4620" s="3">
        <v>1.0</v>
      </c>
    </row>
    <row r="4621" ht="15.75" customHeight="1">
      <c r="A4621" s="1">
        <v>4619.0</v>
      </c>
      <c r="B4621" s="3" t="s">
        <v>4621</v>
      </c>
      <c r="C4621" s="3" t="str">
        <f>IFERROR(__xludf.DUMMYFUNCTION("GOOGLETRANSLATE(B4621,""id"",""en"")"),"['afternoon', 'sya', 'fill', 'pulse', 'kli', 'enter', 'balance', 'tape', 'explanation', 'please', 'help']")</f>
        <v>['afternoon', 'sya', 'fill', 'pulse', 'kli', 'enter', 'balance', 'tape', 'explanation', 'please', 'help']</v>
      </c>
      <c r="D4621" s="3">
        <v>1.0</v>
      </c>
    </row>
    <row r="4622" ht="15.75" customHeight="1">
      <c r="A4622" s="1">
        <v>4620.0</v>
      </c>
      <c r="B4622" s="3" t="s">
        <v>4622</v>
      </c>
      <c r="C4622" s="3" t="str">
        <f>IFERROR(__xludf.DUMMYFUNCTION("GOOGLETRANSLATE(B4622,""id"",""en"")"),"['points',' exchange ',' package ',' system ',' busy ',' klau ',' nggk ',' exchange ',' command ',' exchange ',' try ',' please ',' repair', '']")</f>
        <v>['points',' exchange ',' package ',' system ',' busy ',' klau ',' nggk ',' exchange ',' command ',' exchange ',' try ',' please ',' repair', '']</v>
      </c>
      <c r="D4622" s="3">
        <v>1.0</v>
      </c>
    </row>
    <row r="4623" ht="15.75" customHeight="1">
      <c r="A4623" s="1">
        <v>4621.0</v>
      </c>
      <c r="B4623" s="3" t="s">
        <v>4623</v>
      </c>
      <c r="C4623" s="3" t="str">
        <f>IFERROR(__xludf.DUMMYFUNCTION("GOOGLETRANSLATE(B4623,""id"",""en"")"),"['For example', 'gift', 'check', 'daily', 'Addin', 'gift', 'free', 'phone', 'sms', 'makasihhh', ""]")</f>
        <v>['For example', 'gift', 'check', 'daily', 'Addin', 'gift', 'free', 'phone', 'sms', 'makasihhh', "]</v>
      </c>
      <c r="D4623" s="3">
        <v>5.0</v>
      </c>
    </row>
    <row r="4624" ht="15.75" customHeight="1">
      <c r="A4624" s="1">
        <v>4622.0</v>
      </c>
      <c r="B4624" s="3" t="s">
        <v>4624</v>
      </c>
      <c r="C4624" s="3" t="str">
        <f>IFERROR(__xludf.DUMMYFUNCTION("GOOGLETRANSLATE(B4624,""id"",""en"")"),"['contents',' pulse ',' dated ',' September ',' direct ',' truncated ',' run out ',' subscribe ',' desney ',' hotstar ',' confirm ',' subscribe ',' Whatever ',' please ',' Telkomsel ',' clarify ', ""]")</f>
        <v>['contents',' pulse ',' dated ',' September ',' direct ',' truncated ',' run out ',' subscribe ',' desney ',' hotstar ',' confirm ',' subscribe ',' Whatever ',' please ',' Telkomsel ',' clarify ', "]</v>
      </c>
      <c r="D4624" s="3">
        <v>1.0</v>
      </c>
    </row>
    <row r="4625" ht="15.75" customHeight="1">
      <c r="A4625" s="1">
        <v>4623.0</v>
      </c>
      <c r="B4625" s="3" t="s">
        <v>4625</v>
      </c>
      <c r="C4625" s="3" t="str">
        <f>IFERROR(__xludf.DUMMYFUNCTION("GOOGLETRANSLATE(B4625,""id"",""en"")"),"['package', 'internet', 'expensive', 'network', 'taste', 'network', 'pdhl', 'network', 'full', 'stabilized', 'network', 'remove', ' network', '']")</f>
        <v>['package', 'internet', 'expensive', 'network', 'taste', 'network', 'pdhl', 'network', 'full', 'stabilized', 'network', 'remove', ' network', '']</v>
      </c>
      <c r="D4625" s="3">
        <v>1.0</v>
      </c>
    </row>
    <row r="4626" ht="15.75" customHeight="1">
      <c r="A4626" s="1">
        <v>4624.0</v>
      </c>
      <c r="B4626" s="3" t="s">
        <v>4626</v>
      </c>
      <c r="C4626" s="3" t="str">
        <f>IFERROR(__xludf.DUMMYFUNCTION("GOOGLETRANSLATE(B4626,""id"",""en"")"),"['hope', 'Lord', 'protect you', 'crime', 'Khusnulkhotimah', ""]")</f>
        <v>['hope', 'Lord', 'protect you', 'crime', 'Khusnulkhotimah', "]</v>
      </c>
      <c r="D4626" s="3">
        <v>5.0</v>
      </c>
    </row>
    <row r="4627" ht="15.75" customHeight="1">
      <c r="A4627" s="1">
        <v>4625.0</v>
      </c>
      <c r="B4627" s="3" t="s">
        <v>4627</v>
      </c>
      <c r="C4627" s="3" t="str">
        <f>IFERROR(__xludf.DUMMYFUNCTION("GOOGLETRANSLATE(B4627,""id"",""en"")"),"['Hello', 'Application', 'Telkomsel', 'Nida', 'Package', 'UnlimitedMax', 'Subscribe', 'Lost', 'Package', 'Unlimitedmax', '']")</f>
        <v>['Hello', 'Application', 'Telkomsel', 'Nida', 'Package', 'UnlimitedMax', 'Subscribe', 'Lost', 'Package', 'Unlimitedmax', '']</v>
      </c>
      <c r="D4627" s="3">
        <v>1.0</v>
      </c>
    </row>
    <row r="4628" ht="15.75" customHeight="1">
      <c r="A4628" s="1">
        <v>4626.0</v>
      </c>
      <c r="B4628" s="3" t="s">
        <v>4628</v>
      </c>
      <c r="C4628" s="3" t="str">
        <f>IFERROR(__xludf.DUMMYFUNCTION("GOOGLETRANSLATE(B4628,""id"",""en"")"),"['Telkomsel', 'dead', 'lights', 'follow', 'dead', 'past', 'leader', 'search', 'solution', 'setbacks', 'disappointed', 'really']")</f>
        <v>['Telkomsel', 'dead', 'lights', 'follow', 'dead', 'past', 'leader', 'search', 'solution', 'setbacks', 'disappointed', 'really']</v>
      </c>
      <c r="D4628" s="3">
        <v>1.0</v>
      </c>
    </row>
    <row r="4629" ht="15.75" customHeight="1">
      <c r="A4629" s="1">
        <v>4627.0</v>
      </c>
      <c r="B4629" s="3" t="s">
        <v>4629</v>
      </c>
      <c r="C4629" s="3" t="str">
        <f>IFERROR(__xludf.DUMMYFUNCTION("GOOGLETRANSLATE(B4629,""id"",""en"")"),"['intention', 'really', 'rb', 'and above', '']")</f>
        <v>['intention', 'really', 'rb', 'and above', '']</v>
      </c>
      <c r="D4629" s="3">
        <v>5.0</v>
      </c>
    </row>
    <row r="4630" ht="15.75" customHeight="1">
      <c r="A4630" s="1">
        <v>4628.0</v>
      </c>
      <c r="B4630" s="3" t="s">
        <v>4630</v>
      </c>
      <c r="C4630" s="3" t="str">
        <f>IFERROR(__xludf.DUMMYFUNCTION("GOOGLETRANSLATE(B4630,""id"",""en"")"),"['slow', 'network', 'think', 'human', 'lived', 'plungok', 'need', 'network', 'strong', 'pandemic', 'gini', 'Telkomsel', ' Perny ',' movement ',' expanding ',' multiply ',' network ',' user ',' UDH ',' Network ',' Telkom ',' Good ',' Masi ',' Didiemin ',' "&amp;"emang ' , 'Search', 'Cuan', 'Doang', 'Operator', '']")</f>
        <v>['slow', 'network', 'think', 'human', 'lived', 'plungok', 'need', 'network', 'strong', 'pandemic', 'gini', 'Telkomsel', ' Perny ',' movement ',' expanding ',' multiply ',' network ',' user ',' UDH ',' Network ',' Telkom ',' Good ',' Masi ',' Didiemin ',' emang ' , 'Search', 'Cuan', 'Doang', 'Operator', '']</v>
      </c>
      <c r="D4630" s="3">
        <v>1.0</v>
      </c>
    </row>
    <row r="4631" ht="15.75" customHeight="1">
      <c r="A4631" s="1">
        <v>4629.0</v>
      </c>
      <c r="B4631" s="3" t="s">
        <v>4631</v>
      </c>
      <c r="C4631" s="3" t="str">
        <f>IFERROR(__xludf.DUMMYFUNCTION("GOOGLETRANSLATE(B4631,""id"",""en"")"),"['unfortunate', 'price', 'signal', 'stable', 'sometimes', 'please', 'devolover', 'Telkomsel', 'repaired', 'network', 'signal', ""]")</f>
        <v>['unfortunate', 'price', 'signal', 'stable', 'sometimes', 'please', 'devolover', 'Telkomsel', 'repaired', 'network', 'signal', "]</v>
      </c>
      <c r="D4631" s="3">
        <v>2.0</v>
      </c>
    </row>
    <row r="4632" ht="15.75" customHeight="1">
      <c r="A4632" s="1">
        <v>4630.0</v>
      </c>
      <c r="B4632" s="3" t="s">
        <v>4632</v>
      </c>
      <c r="C4632" s="3" t="str">
        <f>IFERROR(__xludf.DUMMYFUNCTION("GOOGLETRANSLATE(B4632,""id"",""en"")"),"['Telkomsel', 'kagak', 'ngellag', 'the network', 'eager', 'buy', 'Telkomsel', 'style', 'package', 'cheap', 'use', 'ngelag', ' Total ',' according to ',' hope ',' Mari ',' Leave ',' Telkomsel ',' ']")</f>
        <v>['Telkomsel', 'kagak', 'ngellag', 'the network', 'eager', 'buy', 'Telkomsel', 'style', 'package', 'cheap', 'use', 'ngelag', ' Total ',' according to ',' hope ',' Mari ',' Leave ',' Telkomsel ',' ']</v>
      </c>
      <c r="D4632" s="3">
        <v>1.0</v>
      </c>
    </row>
    <row r="4633" ht="15.75" customHeight="1">
      <c r="A4633" s="1">
        <v>4631.0</v>
      </c>
      <c r="B4633" s="3" t="s">
        <v>4633</v>
      </c>
      <c r="C4633" s="3" t="str">
        <f>IFERROR(__xludf.DUMMYFUNCTION("GOOGLETRANSLATE(B4633,""id"",""en"")"),"['Ampass',' Package ',' Hoax ',' Min ',' Package ',' Game ',' Max ',' MLBB ',' Doang ',' Package ',' Internet ',' Free ',' Fire ',' Pubg ',' Cana ',' Ampass', 'Hoax', 'Minn', 'Package', 'Hoax', ""]")</f>
        <v>['Ampass',' Package ',' Hoax ',' Min ',' Package ',' Game ',' Max ',' MLBB ',' Doang ',' Package ',' Internet ',' Free ',' Fire ',' Pubg ',' Cana ',' Ampass', 'Hoax', 'Minn', 'Package', 'Hoax', "]</v>
      </c>
      <c r="D4633" s="3">
        <v>1.0</v>
      </c>
    </row>
    <row r="4634" ht="15.75" customHeight="1">
      <c r="A4634" s="1">
        <v>4632.0</v>
      </c>
      <c r="B4634" s="3" t="s">
        <v>4634</v>
      </c>
      <c r="C4634" s="3" t="str">
        <f>IFERROR(__xludf.DUMMYFUNCTION("GOOGLETRANSLATE(B4634,""id"",""en"")"),"['Please', 'Increase', 'Service', 'Signal', 'Telomsel', 'Conducting', 'Indihome', 'Siyala', 'Important', 'Package', 'Telomsel', 'Cheap']")</f>
        <v>['Please', 'Increase', 'Service', 'Signal', 'Telomsel', 'Conducting', 'Indihome', 'Siyala', 'Important', 'Package', 'Telomsel', 'Cheap']</v>
      </c>
      <c r="D4634" s="3">
        <v>5.0</v>
      </c>
    </row>
    <row r="4635" ht="15.75" customHeight="1">
      <c r="A4635" s="1">
        <v>4633.0</v>
      </c>
      <c r="B4635" s="3" t="s">
        <v>4635</v>
      </c>
      <c r="C4635" s="3" t="str">
        <f>IFERROR(__xludf.DUMMYFUNCTION("GOOGLETRANSLATE(B4635,""id"",""en"")"),"['promo', 'interesting', 'purchase', 'package', 'just', 'how', 'swap', 'gift', 'point']")</f>
        <v>['promo', 'interesting', 'purchase', 'package', 'just', 'how', 'swap', 'gift', 'point']</v>
      </c>
      <c r="D4635" s="3">
        <v>5.0</v>
      </c>
    </row>
    <row r="4636" ht="15.75" customHeight="1">
      <c r="A4636" s="1">
        <v>4634.0</v>
      </c>
      <c r="B4636" s="3" t="s">
        <v>4636</v>
      </c>
      <c r="C4636" s="3" t="str">
        <f>IFERROR(__xludf.DUMMYFUNCTION("GOOGLETRANSLATE(B4636,""id"",""en"")"),"['buy', 'package', 'disruption', 'system', 'MyTelkom', 'update', ""]")</f>
        <v>['buy', 'package', 'disruption', 'system', 'MyTelkom', 'update', "]</v>
      </c>
      <c r="D4636" s="3">
        <v>1.0</v>
      </c>
    </row>
    <row r="4637" ht="15.75" customHeight="1">
      <c r="A4637" s="1">
        <v>4635.0</v>
      </c>
      <c r="B4637" s="3" t="s">
        <v>4637</v>
      </c>
      <c r="C4637" s="3" t="str">
        <f>IFERROR(__xludf.DUMMYFUNCTION("GOOGLETRANSLATE(B4637,""id"",""en"")"),"['Telkomsel', 'severe', 'contents',' pulses', 'reduced', 'data', 'cellular', 'off', 'kayak', 'gini', 'detrimental', 'user', ' Telkomsel ',' ']")</f>
        <v>['Telkomsel', 'severe', 'contents',' pulses', 'reduced', 'data', 'cellular', 'off', 'kayak', 'gini', 'detrimental', 'user', ' Telkomsel ',' ']</v>
      </c>
      <c r="D4637" s="3">
        <v>1.0</v>
      </c>
    </row>
    <row r="4638" ht="15.75" customHeight="1">
      <c r="A4638" s="1">
        <v>4636.0</v>
      </c>
      <c r="B4638" s="3" t="s">
        <v>4638</v>
      </c>
      <c r="C4638" s="3" t="str">
        <f>IFERROR(__xludf.DUMMYFUNCTION("GOOGLETRANSLATE(B4638,""id"",""en"")"),"['Knp', 'Login', 'SMS', 'MyTelkomsel', 'Sorry', ""]")</f>
        <v>['Knp', 'Login', 'SMS', 'MyTelkomsel', 'Sorry', "]</v>
      </c>
      <c r="D4638" s="3">
        <v>5.0</v>
      </c>
    </row>
    <row r="4639" ht="15.75" customHeight="1">
      <c r="A4639" s="1">
        <v>4637.0</v>
      </c>
      <c r="B4639" s="3" t="s">
        <v>4639</v>
      </c>
      <c r="C4639" s="3" t="str">
        <f>IFERROR(__xludf.DUMMYFUNCTION("GOOGLETRANSLATE(B4639,""id"",""en"")"),"['JDI', 'Season', 'Ama', 'Telkomsel', 'Ask', 'Complaints', 'Action', 'Lajuti', 'Call', 'Remnants', 'Star']")</f>
        <v>['JDI', 'Season', 'Ama', 'Telkomsel', 'Ask', 'Complaints', 'Action', 'Lajuti', 'Call', 'Remnants', 'Star']</v>
      </c>
      <c r="D4639" s="3">
        <v>1.0</v>
      </c>
    </row>
    <row r="4640" ht="15.75" customHeight="1">
      <c r="A4640" s="1">
        <v>4638.0</v>
      </c>
      <c r="B4640" s="3" t="s">
        <v>4640</v>
      </c>
      <c r="C4640" s="3" t="str">
        <f>IFERROR(__xludf.DUMMYFUNCTION("GOOGLETRANSLATE(B4640,""id"",""en"")"),"['usually', 'buy', 'package', 'combo', 'omg', 'GB', 'device', 'different', 'quota', 'national', 'full', 'only', ' quota ',' local ',' already ',' city ',' loss', 'thousand', 'really', 'disappointing', '']")</f>
        <v>['usually', 'buy', 'package', 'combo', 'omg', 'GB', 'device', 'different', 'quota', 'national', 'full', 'only', ' quota ',' local ',' already ',' city ',' loss', 'thousand', 'really', 'disappointing', '']</v>
      </c>
      <c r="D4640" s="3">
        <v>1.0</v>
      </c>
    </row>
    <row r="4641" ht="15.75" customHeight="1">
      <c r="A4641" s="1">
        <v>4639.0</v>
      </c>
      <c r="B4641" s="3" t="s">
        <v>4641</v>
      </c>
      <c r="C4641" s="3" t="str">
        <f>IFERROR(__xludf.DUMMYFUNCTION("GOOGLETRANSLATE(B4641,""id"",""en"")"),"['Msalah', 'DIRTING', 'Network', 'Dihp', 'Service', 'Internet', 'Disrupted', '']")</f>
        <v>['Msalah', 'DIRTING', 'Network', 'Dihp', 'Service', 'Internet', 'Disrupted', '']</v>
      </c>
      <c r="D4641" s="3">
        <v>5.0</v>
      </c>
    </row>
    <row r="4642" ht="15.75" customHeight="1">
      <c r="A4642" s="1">
        <v>4640.0</v>
      </c>
      <c r="B4642" s="3" t="s">
        <v>4642</v>
      </c>
      <c r="C4642" s="3" t="str">
        <f>IFERROR(__xludf.DUMMYFUNCTION("GOOGLETRANSLATE(B4642,""id"",""en"")"),"['How', 'Good', 'Telkomsel', 'Apply', 'Rates',' Internet ',' Package ',' Package ',' Internet ',' Cutting ',' Credit ',' Total ',' pulses ',' truncated ',' per month ',' quota ',' quota ',' package ',' run out ',' direct ',' cut ',' pulse ',' pulse ',' tr"&amp;"uncated ',' inform "" , '']")</f>
        <v>['How', 'Good', 'Telkomsel', 'Apply', 'Rates',' Internet ',' Package ',' Package ',' Internet ',' Cutting ',' Credit ',' Total ',' pulses ',' truncated ',' per month ',' quota ',' quota ',' package ',' run out ',' direct ',' cut ',' pulse ',' pulse ',' truncated ',' inform " , '']</v>
      </c>
      <c r="D4642" s="3">
        <v>1.0</v>
      </c>
    </row>
    <row r="4643" ht="15.75" customHeight="1">
      <c r="A4643" s="1">
        <v>4641.0</v>
      </c>
      <c r="B4643" s="3" t="s">
        <v>4643</v>
      </c>
      <c r="C4643" s="3" t="str">
        <f>IFERROR(__xludf.DUMMYFUNCTION("GOOGLETRANSLATE(B4643,""id"",""en"")"),"['knp', 'deh', 'cook', 'yes',' network ',' difficult ',' kek ',' stay ',' forest ',' please ',' fix ',' buy ',' pulses', 'packages',' expensive ',' hope ',' can ',' network ',' good ',' gini ', ""]")</f>
        <v>['knp', 'deh', 'cook', 'yes',' network ',' difficult ',' kek ',' stay ',' forest ',' please ',' fix ',' buy ',' pulses', 'packages',' expensive ',' hope ',' can ',' network ',' good ',' gini ', "]</v>
      </c>
      <c r="D4643" s="3">
        <v>1.0</v>
      </c>
    </row>
    <row r="4644" ht="15.75" customHeight="1">
      <c r="A4644" s="1">
        <v>4642.0</v>
      </c>
      <c r="B4644" s="3" t="s">
        <v>4644</v>
      </c>
      <c r="C4644" s="3" t="str">
        <f>IFERROR(__xludf.DUMMYFUNCTION("GOOGLETRANSLATE(B4644,""id"",""en"")"),"['Here', 'Horrified', 'Horrified', 'Paketan', 'Expensive', 'Can', 'Money', 'Difficult', 'Paketan', 'App', 'Change', 'Change', ' Cheap ',' expensive ',' exorbitant ']")</f>
        <v>['Here', 'Horrified', 'Horrified', 'Paketan', 'Expensive', 'Can', 'Money', 'Difficult', 'Paketan', 'App', 'Change', 'Change', ' Cheap ',' expensive ',' exorbitant ']</v>
      </c>
      <c r="D4644" s="3">
        <v>2.0</v>
      </c>
    </row>
    <row r="4645" ht="15.75" customHeight="1">
      <c r="A4645" s="1">
        <v>4643.0</v>
      </c>
      <c r="B4645" s="3" t="s">
        <v>4645</v>
      </c>
      <c r="C4645" s="3" t="str">
        <f>IFERROR(__xludf.DUMMYFUNCTION("GOOGLETRANSLATE(B4645,""id"",""en"")"),"['Trima', 'Love', 'Telkomsel', 'Satisfied', 'Application', 'Karna', 'Helping', 'Easy', 'Buy', 'Data', 'Credit', ""]")</f>
        <v>['Trima', 'Love', 'Telkomsel', 'Satisfied', 'Application', 'Karna', 'Helping', 'Easy', 'Buy', 'Data', 'Credit', "]</v>
      </c>
      <c r="D4645" s="3">
        <v>5.0</v>
      </c>
    </row>
    <row r="4646" ht="15.75" customHeight="1">
      <c r="A4646" s="1">
        <v>4644.0</v>
      </c>
      <c r="B4646" s="3" t="s">
        <v>4646</v>
      </c>
      <c r="C4646" s="3" t="str">
        <f>IFERROR(__xludf.DUMMYFUNCTION("GOOGLETRANSLATE(B4646,""id"",""en"")"),"['Network', 'missing', 'in', 'home', 'frequency', 'update', 'application', 'display', 'bagan', ""]")</f>
        <v>['Network', 'missing', 'in', 'home', 'frequency', 'update', 'application', 'display', 'bagan', "]</v>
      </c>
      <c r="D4646" s="3">
        <v>3.0</v>
      </c>
    </row>
    <row r="4647" ht="15.75" customHeight="1">
      <c r="A4647" s="1">
        <v>4645.0</v>
      </c>
      <c r="B4647" s="3" t="s">
        <v>4647</v>
      </c>
      <c r="C4647" s="3" t="str">
        <f>IFERROR(__xludf.DUMMYFUNCTION("GOOGLETRANSLATE(B4647,""id"",""en"")"),"['If', 'zero', 'negative', 'kasi', 'bonus', 'sms', 'sms', 'eat', 'pulse', ""]")</f>
        <v>['If', 'zero', 'negative', 'kasi', 'bonus', 'sms', 'sms', 'eat', 'pulse', "]</v>
      </c>
      <c r="D4647" s="3">
        <v>1.0</v>
      </c>
    </row>
    <row r="4648" ht="15.75" customHeight="1">
      <c r="A4648" s="1">
        <v>4646.0</v>
      </c>
      <c r="B4648" s="3" t="s">
        <v>4648</v>
      </c>
      <c r="C4648" s="3" t="str">
        <f>IFERROR(__xludf.DUMMYFUNCTION("GOOGLETRANSLATE(B4648,""id"",""en"")"),"['The network', 'lazy', 'lose', 'operator', 'aspect', 'price', 'package', 'network']")</f>
        <v>['The network', 'lazy', 'lose', 'operator', 'aspect', 'price', 'package', 'network']</v>
      </c>
      <c r="D4648" s="3">
        <v>1.0</v>
      </c>
    </row>
    <row r="4649" ht="15.75" customHeight="1">
      <c r="A4649" s="1">
        <v>4647.0</v>
      </c>
      <c r="B4649" s="3" t="s">
        <v>4649</v>
      </c>
      <c r="C4649" s="3" t="str">
        <f>IFERROR(__xludf.DUMMYFUNCTION("GOOGLETRANSLATE(B4649,""id"",""en"")"),"['card', 'SIM', 'Telkomsel', 'please', 'network', 'signal', 'please', 'network', 'slow', 'please', 'check', 'quota', ' Search ',' buy ',' package ',' lost ',' internet ',' monthly ',' OMG ',' Telkomsel ',' login ',' oops', 'thank', 'love', 'Telkomsel' ]")</f>
        <v>['card', 'SIM', 'Telkomsel', 'please', 'network', 'signal', 'please', 'network', 'slow', 'please', 'check', 'quota', ' Search ',' buy ',' package ',' lost ',' internet ',' monthly ',' OMG ',' Telkomsel ',' login ',' oops', 'thank', 'love', 'Telkomsel' ]</v>
      </c>
      <c r="D4649" s="3">
        <v>1.0</v>
      </c>
    </row>
    <row r="4650" ht="15.75" customHeight="1">
      <c r="A4650" s="1">
        <v>4648.0</v>
      </c>
      <c r="B4650" s="3" t="s">
        <v>4650</v>
      </c>
      <c r="C4650" s="3" t="str">
        <f>IFERROR(__xludf.DUMMYFUNCTION("GOOGLETRANSLATE(B4650,""id"",""en"")"),"['package', 'emergency', 'appears',' then ',' fill in ',' pulse ',' cheek ',' rupiah ',' please ',' stop ',' package ',' emergency ',' because ',' use ',' package ',' emergency ',' times', 'package', 'cut', 'pulse', 'subscribe', 'package']")</f>
        <v>['package', 'emergency', 'appears',' then ',' fill in ',' pulse ',' cheek ',' rupiah ',' please ',' stop ',' package ',' emergency ',' because ',' use ',' package ',' emergency ',' times', 'package', 'cut', 'pulse', 'subscribe', 'package']</v>
      </c>
      <c r="D4650" s="3">
        <v>1.0</v>
      </c>
    </row>
    <row r="4651" ht="15.75" customHeight="1">
      <c r="A4651" s="1">
        <v>4649.0</v>
      </c>
      <c r="B4651" s="3" t="s">
        <v>4651</v>
      </c>
      <c r="C4651" s="3" t="str">
        <f>IFERROR(__xludf.DUMMYFUNCTION("GOOGLETRANSLATE(B4651,""id"",""en"")"),"['Disappointed', 'signal', 'buy', 'expensive', 'quota', 'signal', 'can', 'area', 'city', 'Tangerang', 'signal', 'get', ' Switch ',' Provider ',' Bgini ',' Pengunan ',' here ',' signal ']")</f>
        <v>['Disappointed', 'signal', 'buy', 'expensive', 'quota', 'signal', 'can', 'area', 'city', 'Tangerang', 'signal', 'get', ' Switch ',' Provider ',' Bgini ',' Pengunan ',' here ',' signal ']</v>
      </c>
      <c r="D4651" s="3">
        <v>1.0</v>
      </c>
    </row>
    <row r="4652" ht="15.75" customHeight="1">
      <c r="A4652" s="1">
        <v>4650.0</v>
      </c>
      <c r="B4652" s="3" t="s">
        <v>4652</v>
      </c>
      <c r="C4652" s="3" t="str">
        <f>IFERROR(__xludf.DUMMYFUNCTION("GOOGLETRANSLATE(B4652,""id"",""en"")"),"['', 'God', 'give', 'reply', 'human', 'corruption', 'human', 'attached to', 'worldly', 'Aamiin']")</f>
        <v>['', 'God', 'give', 'reply', 'human', 'corruption', 'human', 'attached to', 'worldly', 'Aamiin']</v>
      </c>
      <c r="D4652" s="3">
        <v>1.0</v>
      </c>
    </row>
    <row r="4653" ht="15.75" customHeight="1">
      <c r="A4653" s="1">
        <v>4651.0</v>
      </c>
      <c r="B4653" s="3" t="s">
        <v>4653</v>
      </c>
      <c r="C4653" s="3" t="str">
        <f>IFERROR(__xludf.DUMMYFUNCTION("GOOGLETRANSLATE(B4653,""id"",""en"")"),"['ugly', 'signal', 'Telkomsel', 'disappointed', 'use', 'Telkomsel', 'use', 'Telkomsel', 'Please', 'repaired', 'quality', 'signal', ' ']")</f>
        <v>['ugly', 'signal', 'Telkomsel', 'disappointed', 'use', 'Telkomsel', 'use', 'Telkomsel', 'Please', 'repaired', 'quality', 'signal', ' ']</v>
      </c>
      <c r="D4653" s="3">
        <v>1.0</v>
      </c>
    </row>
    <row r="4654" ht="15.75" customHeight="1">
      <c r="A4654" s="1">
        <v>4652.0</v>
      </c>
      <c r="B4654" s="3" t="s">
        <v>4654</v>
      </c>
      <c r="C4654" s="3" t="str">
        <f>IFERROR(__xludf.DUMMYFUNCTION("GOOGLETRANSLATE(B4654,""id"",""en"")"),"['Service', 'Veronika', 'ugly', 'No', 'Connect', 'Taik', 'No', 'Customer', 'Service', ""]")</f>
        <v>['Service', 'Veronika', 'ugly', 'No', 'Connect', 'Taik', 'No', 'Customer', 'Service', "]</v>
      </c>
      <c r="D4654" s="3">
        <v>1.0</v>
      </c>
    </row>
    <row r="4655" ht="15.75" customHeight="1">
      <c r="A4655" s="1">
        <v>4653.0</v>
      </c>
      <c r="B4655" s="3" t="s">
        <v>4655</v>
      </c>
      <c r="C4655" s="3" t="str">
        <f>IFERROR(__xludf.DUMMYFUNCTION("GOOGLETRANSLATE(B4655,""id"",""en"")"),"['Aduhh', 'disappointed', 'Telkomsel', 'Uda', 'signal', 'slow', 'mind', 'please', 'Increase', 'already', 'expensive', 'buy', ' Package ',' Quota ',' fast ',' Fixed ',' ']")</f>
        <v>['Aduhh', 'disappointed', 'Telkomsel', 'Uda', 'signal', 'slow', 'mind', 'please', 'Increase', 'already', 'expensive', 'buy', ' Package ',' Quota ',' fast ',' Fixed ',' ']</v>
      </c>
      <c r="D4655" s="3">
        <v>1.0</v>
      </c>
    </row>
    <row r="4656" ht="15.75" customHeight="1">
      <c r="A4656" s="1">
        <v>4654.0</v>
      </c>
      <c r="B4656" s="3" t="s">
        <v>4656</v>
      </c>
      <c r="C4656" s="3" t="str">
        <f>IFERROR(__xludf.DUMMYFUNCTION("GOOGLETRANSLATE(B4656,""id"",""en"")"),"['Recommended', 'Login', 'Update', 'Application', '']")</f>
        <v>['Recommended', 'Login', 'Update', 'Application', '']</v>
      </c>
      <c r="D4656" s="3">
        <v>3.0</v>
      </c>
    </row>
    <row r="4657" ht="15.75" customHeight="1">
      <c r="A4657" s="1">
        <v>4655.0</v>
      </c>
      <c r="B4657" s="3" t="s">
        <v>4657</v>
      </c>
      <c r="C4657" s="3" t="str">
        <f>IFERROR(__xludf.DUMMYFUNCTION("GOOGLETRANSLATE(B4657,""id"",""en"")"),"['Hopefully', 'My number', 'winner', 'Amin', 'Following', 'Lottery', 'Hopean', 'Hoax', 'Jaya', 'Telkomsel', 'Success', ""]")</f>
        <v>['Hopefully', 'My number', 'winner', 'Amin', 'Following', 'Lottery', 'Hopean', 'Hoax', 'Jaya', 'Telkomsel', 'Success', "]</v>
      </c>
      <c r="D4657" s="3">
        <v>5.0</v>
      </c>
    </row>
    <row r="4658" ht="15.75" customHeight="1">
      <c r="A4658" s="1">
        <v>4656.0</v>
      </c>
      <c r="B4658" s="3" t="s">
        <v>4658</v>
      </c>
      <c r="C4658" s="3" t="str">
        <f>IFERROR(__xludf.DUMMYFUNCTION("GOOGLETRANSLATE(B4658,""id"",""en"")"),"['The application', 'Not bad', 'Cool', 'Karna', 'Tuk', 'Purchase', 'Package', 'Internet', 'Unfortunately', 'Package', 'Complete', 'Hopefully', ' In the future ',' complete ',' success']")</f>
        <v>['The application', 'Not bad', 'Cool', 'Karna', 'Tuk', 'Purchase', 'Package', 'Internet', 'Unfortunately', 'Package', 'Complete', 'Hopefully', ' In the future ',' complete ',' success']</v>
      </c>
      <c r="D4658" s="3">
        <v>3.0</v>
      </c>
    </row>
    <row r="4659" ht="15.75" customHeight="1">
      <c r="A4659" s="1">
        <v>4657.0</v>
      </c>
      <c r="B4659" s="3" t="s">
        <v>4659</v>
      </c>
      <c r="C4659" s="3" t="str">
        <f>IFERROR(__xludf.DUMMYFUNCTION("GOOGLETRANSLATE(B4659,""id"",""en"")"),"['Download', 'Application', 'Login', 'Try', 'Login', 'Try', 'Some Beberpa', 'Even though', 'Tetep', 'Ngeblank', 'Mksd', 'Season', ' Comfortable ',' Please ',' Love ',' The ground ',' Thank you ', ""]")</f>
        <v>['Download', 'Application', 'Login', 'Try', 'Login', 'Try', 'Some Beberpa', 'Even though', 'Tetep', 'Ngeblank', 'Mksd', 'Season', ' Comfortable ',' Please ',' Love ',' The ground ',' Thank you ', "]</v>
      </c>
      <c r="D4659" s="3">
        <v>1.0</v>
      </c>
    </row>
    <row r="4660" ht="15.75" customHeight="1">
      <c r="A4660" s="1">
        <v>4658.0</v>
      </c>
      <c r="B4660" s="3" t="s">
        <v>4660</v>
      </c>
      <c r="C4660" s="3" t="str">
        <f>IFERROR(__xludf.DUMMYFUNCTION("GOOGLETRANSLATE(B4660,""id"",""en"")"),"['Telkomsel', 'slow', 'the network', 'please', 'fix']")</f>
        <v>['Telkomsel', 'slow', 'the network', 'please', 'fix']</v>
      </c>
      <c r="D4660" s="3">
        <v>1.0</v>
      </c>
    </row>
    <row r="4661" ht="15.75" customHeight="1">
      <c r="A4661" s="1">
        <v>4659.0</v>
      </c>
      <c r="B4661" s="3" t="s">
        <v>4661</v>
      </c>
      <c r="C4661" s="3" t="str">
        <f>IFERROR(__xludf.DUMMYFUNCTION("GOOGLETRANSLATE(B4661,""id"",""en"")"),"['Please', 'Strengthen', 'Dragus',' Strength ',' Network ',' Sousal ',' Region ',' Sukabumi ',' Network ',' Sousal ',' ugly ',' weak ',' Please, 'Fix', 'Thank you', '']")</f>
        <v>['Please', 'Strengthen', 'Dragus',' Strength ',' Network ',' Sousal ',' Region ',' Sukabumi ',' Network ',' Sousal ',' ugly ',' weak ',' Please, 'Fix', 'Thank you', '']</v>
      </c>
      <c r="D4661" s="3">
        <v>5.0</v>
      </c>
    </row>
    <row r="4662" ht="15.75" customHeight="1">
      <c r="A4662" s="1">
        <v>4660.0</v>
      </c>
      <c r="B4662" s="3" t="s">
        <v>4662</v>
      </c>
      <c r="C4662" s="3" t="str">
        <f>IFERROR(__xludf.DUMMYFUNCTION("GOOGLETRANSLATE(B4662,""id"",""en"")"),"['contents',' pulse ',' list ',' package ',' failed ',' pulse ',' leftover ',' pulse ',' price ',' package ',' right ',' internet ',' nyedot ',' pulse ',' sampek ',' leftover ',' blessings', 'ngeprank', 'kayak', 'gini', ""]")</f>
        <v>['contents',' pulse ',' list ',' package ',' failed ',' pulse ',' leftover ',' pulse ',' price ',' package ',' right ',' internet ',' nyedot ',' pulse ',' sampek ',' leftover ',' blessings', 'ngeprank', 'kayak', 'gini', "]</v>
      </c>
      <c r="D4662" s="3">
        <v>1.0</v>
      </c>
    </row>
    <row r="4663" ht="15.75" customHeight="1">
      <c r="A4663" s="1">
        <v>4661.0</v>
      </c>
      <c r="B4663" s="3" t="s">
        <v>4663</v>
      </c>
      <c r="C4663" s="3" t="str">
        <f>IFERROR(__xludf.DUMMYFUNCTION("GOOGLETRANSLATE(B4663,""id"",""en"")"),"['quota', 'internal "",' Mahall ',' fast ',' endless ',' SPRTI ',' operator ',' expensive ',' example ',' quota ',' video ',' huk ',' Nyak ',' ask ',' Customer ',' watch ',' video ',' film ',' Spring ',' comment ',' anything ',' Customer ',' No 'Telkomsel"&amp;"', 'Untungg' , 'maybe', 'bnyk', 'pelangan', 'moved', 'operator']")</f>
        <v>['quota', 'internal ",' Mahall ',' fast ',' endless ',' SPRTI ',' operator ',' expensive ',' example ',' quota ',' video ',' huk ',' Nyak ',' ask ',' Customer ',' watch ',' video ',' film ',' Spring ',' comment ',' anything ',' Customer ',' No 'Telkomsel', 'Untungg' , 'maybe', 'bnyk', 'pelangan', 'moved', 'operator']</v>
      </c>
      <c r="D4663" s="3">
        <v>1.0</v>
      </c>
    </row>
    <row r="4664" ht="15.75" customHeight="1">
      <c r="A4664" s="1">
        <v>4662.0</v>
      </c>
      <c r="B4664" s="3" t="s">
        <v>4664</v>
      </c>
      <c r="C4664" s="3" t="str">
        <f>IFERROR(__xludf.DUMMYFUNCTION("GOOGLETRANSLATE(B4664,""id"",""en"")"),"['Out', 'buy', 'package', 'signal', 'drop', 'strange', 'turn', 'already', 'finished', 'fullspeed', 'crazy', 'times',' time', '']")</f>
        <v>['Out', 'buy', 'package', 'signal', 'drop', 'strange', 'turn', 'already', 'finished', 'fullspeed', 'crazy', 'times',' time', '']</v>
      </c>
      <c r="D4664" s="3">
        <v>1.0</v>
      </c>
    </row>
    <row r="4665" ht="15.75" customHeight="1">
      <c r="A4665" s="1">
        <v>4663.0</v>
      </c>
      <c r="B4665" s="3" t="s">
        <v>4665</v>
      </c>
      <c r="C4665" s="3" t="str">
        <f>IFERROR(__xludf.DUMMYFUNCTION("GOOGLETRANSLATE(B4665,""id"",""en"")"),"['love', 'star', 'application', 'good', 'just', 'love', 'star', 'deh', ""]")</f>
        <v>['love', 'star', 'application', 'good', 'just', 'love', 'star', 'deh', "]</v>
      </c>
      <c r="D4665" s="3">
        <v>3.0</v>
      </c>
    </row>
    <row r="4666" ht="15.75" customHeight="1">
      <c r="A4666" s="1">
        <v>4664.0</v>
      </c>
      <c r="B4666" s="3" t="s">
        <v>4666</v>
      </c>
      <c r="C4666" s="3" t="str">
        <f>IFERROR(__xludf.DUMMYFUNCTION("GOOGLETRANSLATE(B4666,""id"",""en"")"),"['application', 'easy', 'hope', 'promo', 'price', 'pulse', 'package', 'internet']")</f>
        <v>['application', 'easy', 'hope', 'promo', 'price', 'pulse', 'package', 'internet']</v>
      </c>
      <c r="D4666" s="3">
        <v>5.0</v>
      </c>
    </row>
    <row r="4667" ht="15.75" customHeight="1">
      <c r="A4667" s="1">
        <v>4665.0</v>
      </c>
      <c r="B4667" s="3" t="s">
        <v>4667</v>
      </c>
      <c r="C4667" s="3" t="str">
        <f>IFERROR(__xludf.DUMMYFUNCTION("GOOGLETRANSLATE(B4667,""id"",""en"")"),"['Disappointed', 'really', 'buy', 'package', 'platinum', 'watch', 'league', 'a day', 'told', 'buy', 'Package', 'Platinum']")</f>
        <v>['Disappointed', 'really', 'buy', 'package', 'platinum', 'watch', 'league', 'a day', 'told', 'buy', 'Package', 'Platinum']</v>
      </c>
      <c r="D4667" s="3">
        <v>1.0</v>
      </c>
    </row>
    <row r="4668" ht="15.75" customHeight="1">
      <c r="A4668" s="1">
        <v>4666.0</v>
      </c>
      <c r="B4668" s="3" t="s">
        <v>4668</v>
      </c>
      <c r="C4668" s="3" t="str">
        <f>IFERROR(__xludf.DUMMYFUNCTION("GOOGLETRANSLATE(B4668,""id"",""en"")"),"['Please', 'Sorry', 'Cuman', 'Meng', 'infokan', 'Network', 'Telkomsel', 'Region', 'Jakarta', 'East', 'Drop', 'Banged', ' The area ',' Cakung ',' Please ',' Help ', ""]")</f>
        <v>['Please', 'Sorry', 'Cuman', 'Meng', 'infokan', 'Network', 'Telkomsel', 'Region', 'Jakarta', 'East', 'Drop', 'Banged', ' The area ',' Cakung ',' Please ',' Help ', "]</v>
      </c>
      <c r="D4668" s="3">
        <v>1.0</v>
      </c>
    </row>
    <row r="4669" ht="15.75" customHeight="1">
      <c r="A4669" s="1">
        <v>4667.0</v>
      </c>
      <c r="B4669" s="3" t="s">
        <v>4669</v>
      </c>
      <c r="C4669" s="3" t="str">
        <f>IFERROR(__xludf.DUMMYFUNCTION("GOOGLETRANSLATE(B4669,""id"",""en"")"),"['network', 'improved', 'stable', 'room', 'network', 'sometimes', 'difficult']")</f>
        <v>['network', 'improved', 'stable', 'room', 'network', 'sometimes', 'difficult']</v>
      </c>
      <c r="D4669" s="3">
        <v>4.0</v>
      </c>
    </row>
    <row r="4670" ht="15.75" customHeight="1">
      <c r="A4670" s="1">
        <v>4668.0</v>
      </c>
      <c r="B4670" s="3" t="s">
        <v>4670</v>
      </c>
      <c r="C4670" s="3" t="str">
        <f>IFERROR(__xludf.DUMMYFUNCTION("GOOGLETRANSLATE(B4670,""id"",""en"")"),"['Bug', 'Credit', 'Cut', 'PDAH', 'GN', 'Package', 'Internet', 'Network', 'deteriorating', '']")</f>
        <v>['Bug', 'Credit', 'Cut', 'PDAH', 'GN', 'Package', 'Internet', 'Network', 'deteriorating', '']</v>
      </c>
      <c r="D4670" s="3">
        <v>1.0</v>
      </c>
    </row>
    <row r="4671" ht="15.75" customHeight="1">
      <c r="A4671" s="1">
        <v>4669.0</v>
      </c>
      <c r="B4671" s="3" t="s">
        <v>4671</v>
      </c>
      <c r="C4671" s="3" t="str">
        <f>IFERROR(__xludf.DUMMYFUNCTION("GOOGLETRANSLATE(B4671,""id"",""en"")"),"['Telkomsel', 'number', 'Indonesia', 'Sinyal', 'number', 'down', 'run', 'price', 'package', 'data', 'expensive', 'run', ' The data ',' fast ',' run out ',' open ',' light ',' open ',' heavy ',' fortunately ',' signal ',' repair ']")</f>
        <v>['Telkomsel', 'number', 'Indonesia', 'Sinyal', 'number', 'down', 'run', 'price', 'package', 'data', 'expensive', 'run', ' The data ',' fast ',' run out ',' open ',' light ',' open ',' heavy ',' fortunately ',' signal ',' repair ']</v>
      </c>
      <c r="D4671" s="3">
        <v>1.0</v>
      </c>
    </row>
    <row r="4672" ht="15.75" customHeight="1">
      <c r="A4672" s="1">
        <v>4670.0</v>
      </c>
      <c r="B4672" s="3" t="s">
        <v>4672</v>
      </c>
      <c r="C4672" s="3" t="str">
        <f>IFERROR(__xludf.DUMMYFUNCTION("GOOGLETRANSLATE(B4672,""id"",""en"")"),"['Buy', 'Voucher', 'Package', 'OMG', 'Sia', 'No', 'Entered', 'System', 'Busy', 'Try', 'Solution', ""]")</f>
        <v>['Buy', 'Voucher', 'Package', 'OMG', 'Sia', 'No', 'Entered', 'System', 'Busy', 'Try', 'Solution', "]</v>
      </c>
      <c r="D4672" s="3">
        <v>1.0</v>
      </c>
    </row>
    <row r="4673" ht="15.75" customHeight="1">
      <c r="A4673" s="1">
        <v>4671.0</v>
      </c>
      <c r="B4673" s="3" t="s">
        <v>4673</v>
      </c>
      <c r="C4673" s="3" t="str">
        <f>IFERROR(__xludf.DUMMYFUNCTION("GOOGLETRANSLATE(B4673,""id"",""en"")"),"['useful', 'BNGT', 'users',' Telkomsel ',' suggestion ',' application ',' already ',' good ',' update ',' already ',' good ',' success', ' Telkomsel ',' Keep ',' Trust ',' Customer ',' Mksih ']")</f>
        <v>['useful', 'BNGT', 'users',' Telkomsel ',' suggestion ',' application ',' already ',' good ',' update ',' already ',' good ',' success', ' Telkomsel ',' Keep ',' Trust ',' Customer ',' Mksih ']</v>
      </c>
      <c r="D4673" s="3">
        <v>5.0</v>
      </c>
    </row>
    <row r="4674" ht="15.75" customHeight="1">
      <c r="A4674" s="1">
        <v>4672.0</v>
      </c>
      <c r="B4674" s="3" t="s">
        <v>4674</v>
      </c>
      <c r="C4674" s="3" t="str">
        <f>IFERROR(__xludf.DUMMYFUNCTION("GOOGLETRANSLATE(B4674,""id"",""en"")"),"['Assalamualaikum', 'MyTelkomsel', 'Tens',' subscription ',' Telkomsel ',' Network ',' Good ',' Until ',' Member ',' Promo ',' User ',' Blm ',' Prizes', 'Exchange', 'Points',' Like ',' Disappointed ',' Dech ', ""]")</f>
        <v>['Assalamualaikum', 'MyTelkomsel', 'Tens',' subscription ',' Telkomsel ',' Network ',' Good ',' Until ',' Member ',' Promo ',' User ',' Blm ',' Prizes', 'Exchange', 'Points',' Like ',' Disappointed ',' Dech ', "]</v>
      </c>
      <c r="D4674" s="3">
        <v>5.0</v>
      </c>
    </row>
    <row r="4675" ht="15.75" customHeight="1">
      <c r="A4675" s="1">
        <v>4673.0</v>
      </c>
      <c r="B4675" s="3" t="s">
        <v>4675</v>
      </c>
      <c r="C4675" s="3" t="str">
        <f>IFERROR(__xludf.DUMMYFUNCTION("GOOGLETRANSLATE(B4675,""id"",""en"")"),"['Yesterday', 'buy', 'package', 'education', 'no', 'coakes',' package ',' main ',' buy ',' package ',' education ',' Semuk ',' Package ',' main ',' no ',' trs', 'book', 'application', 'learn', 'package', 'education', 'run out', 'pulsuras',' tekuras', 'wha"&amp;"t' , 'oath', '']")</f>
        <v>['Yesterday', 'buy', 'package', 'education', 'no', 'coakes',' package ',' main ',' buy ',' package ',' education ',' Semuk ',' Package ',' main ',' no ',' trs', 'book', 'application', 'learn', 'package', 'education', 'run out', 'pulsuras',' tekuras', 'what' , 'oath', '']</v>
      </c>
      <c r="D4675" s="3">
        <v>1.0</v>
      </c>
    </row>
    <row r="4676" ht="15.75" customHeight="1">
      <c r="A4676" s="1">
        <v>4674.0</v>
      </c>
      <c r="B4676" s="3" t="s">
        <v>4676</v>
      </c>
      <c r="C4676" s="3" t="str">
        <f>IFERROR(__xludf.DUMMYFUNCTION("GOOGLETRANSLATE(B4676,""id"",""en"")"),"['Saturday', 'Open', 'Application', 'MyTelkomsel', 'Available', 'Choice', 'Update', 'Press',' Update ',' Enter ',' Playstore ',' Select ',' Update ',' process', 'update', 'finished', 'open', 'application', 'display', 'face', 'appear', 'option', 'update', "&amp;"'option', 'press' , 'Update', 'enter', 'PlayStore', 'Choice', 'PlayStore', 'Uninstall', 'Open', 'Select', 'Open', 'Have', 'Update', 'Looks',' Stress', 'then', 'Situ', 'Strees',' Must ',' How ',' ']")</f>
        <v>['Saturday', 'Open', 'Application', 'MyTelkomsel', 'Available', 'Choice', 'Update', 'Press',' Update ',' Enter ',' Playstore ',' Select ',' Update ',' process', 'update', 'finished', 'open', 'application', 'display', 'face', 'appear', 'option', 'update', 'option', 'press' , 'Update', 'enter', 'PlayStore', 'Choice', 'PlayStore', 'Uninstall', 'Open', 'Select', 'Open', 'Have', 'Update', 'Looks',' Stress', 'then', 'Situ', 'Strees',' Must ',' How ',' ']</v>
      </c>
      <c r="D4676" s="3">
        <v>1.0</v>
      </c>
    </row>
    <row r="4677" ht="15.75" customHeight="1">
      <c r="A4677" s="1">
        <v>4675.0</v>
      </c>
      <c r="B4677" s="3" t="s">
        <v>4677</v>
      </c>
      <c r="C4677" s="3" t="str">
        <f>IFERROR(__xludf.DUMMYFUNCTION("GOOGLETRANSLATE(B4677,""id"",""en"")"),"['strange', 'buy', 'package', 'choice', 'just', 'GB', 'thousand', 'buy', 'package', 'thousand', 'strange', 'switch', ' card', '']")</f>
        <v>['strange', 'buy', 'package', 'choice', 'just', 'GB', 'thousand', 'buy', 'package', 'thousand', 'strange', 'switch', ' card', '']</v>
      </c>
      <c r="D4677" s="3">
        <v>1.0</v>
      </c>
    </row>
    <row r="4678" ht="15.75" customHeight="1">
      <c r="A4678" s="1">
        <v>4676.0</v>
      </c>
      <c r="B4678" s="3" t="s">
        <v>4678</v>
      </c>
      <c r="C4678" s="3" t="str">
        <f>IFERROR(__xludf.DUMMYFUNCTION("GOOGLETRANSLATE(B4678,""id"",""en"")"),"['', 'Nyak', 'Package', 'Unlimited', 'All', 'Apps', 'Kayak', 'Suprise', 'Deal', 'Unlimited']")</f>
        <v>['', 'Nyak', 'Package', 'Unlimited', 'All', 'Apps', 'Kayak', 'Suprise', 'Deal', 'Unlimited']</v>
      </c>
      <c r="D4678" s="3">
        <v>4.0</v>
      </c>
    </row>
    <row r="4679" ht="15.75" customHeight="1">
      <c r="A4679" s="1">
        <v>4677.0</v>
      </c>
      <c r="B4679" s="3" t="s">
        <v>4679</v>
      </c>
      <c r="C4679" s="3" t="str">
        <f>IFERROR(__xludf.DUMMYFUNCTION("GOOGLETRANSLATE(B4679,""id"",""en"")"),"['Telkomsel', 'expensive', 'wasteful', 'pulses',' disappointed ',' already ',' that's', 'yesterday', 'enter', 'grace', 'already', 'contents',' Credit ',' SMS ',' Call ',' Buy ',' Quota ',' Telkomsel ',' Student ',' Expensive ',' Disappointed ',' Nomer ','"&amp;" Already ',' Use ',' France ' , 'Buy', 'Package', 'Combo', 'Price', 'Package', 'Season', ""]")</f>
        <v>['Telkomsel', 'expensive', 'wasteful', 'pulses',' disappointed ',' already ',' that's', 'yesterday', 'enter', 'grace', 'already', 'contents',' Credit ',' SMS ',' Call ',' Buy ',' Quota ',' Telkomsel ',' Student ',' Expensive ',' Disappointed ',' Nomer ',' Already ',' Use ',' France ' , 'Buy', 'Package', 'Combo', 'Price', 'Package', 'Season', "]</v>
      </c>
      <c r="D4679" s="3">
        <v>1.0</v>
      </c>
    </row>
    <row r="4680" ht="15.75" customHeight="1">
      <c r="A4680" s="1">
        <v>4678.0</v>
      </c>
      <c r="B4680" s="3" t="s">
        <v>4680</v>
      </c>
      <c r="C4680" s="3" t="str">
        <f>IFERROR(__xludf.DUMMYFUNCTION("GOOGLETRANSLATE(B4680,""id"",""en"")"),"['Information', 'card', 'SIM', 'purchase', 'quota', 'easy', 'application', 'thank you', 'Telkomsel', 'hope', 'promo', 'promo', ' interesting', '']")</f>
        <v>['Information', 'card', 'SIM', 'purchase', 'quota', 'easy', 'application', 'thank you', 'Telkomsel', 'hope', 'promo', 'promo', ' interesting', '']</v>
      </c>
      <c r="D4680" s="3">
        <v>5.0</v>
      </c>
    </row>
    <row r="4681" ht="15.75" customHeight="1">
      <c r="A4681" s="1">
        <v>4679.0</v>
      </c>
      <c r="B4681" s="3" t="s">
        <v>4681</v>
      </c>
      <c r="C4681" s="3" t="str">
        <f>IFERROR(__xludf.DUMMYFUNCTION("GOOGLETRANSLATE(B4681,""id"",""en"")"),"['', 'use', 'Telkomsel', 'signal', 'slow', 'cost', 'expensive', 'operator', 'because', 'operator', 'beg', 'Telkomsel', 'improve ',' Sinyal ',' package ',' cheap ',' customer ',' run ',' operator ']")</f>
        <v>['', 'use', 'Telkomsel', 'signal', 'slow', 'cost', 'expensive', 'operator', 'because', 'operator', 'beg', 'Telkomsel', 'improve ',' Sinyal ',' package ',' cheap ',' customer ',' run ',' operator ']</v>
      </c>
      <c r="D4681" s="3">
        <v>4.0</v>
      </c>
    </row>
    <row r="4682" ht="15.75" customHeight="1">
      <c r="A4682" s="1">
        <v>4680.0</v>
      </c>
      <c r="B4682" s="3" t="s">
        <v>4682</v>
      </c>
      <c r="C4682" s="3" t="str">
        <f>IFERROR(__xludf.DUMMYFUNCTION("GOOGLETRANSLATE(B4682,""id"",""en"")"),"['Disappointed', 'signal', 'good', 'open', 'buy', 'package', 'frequency', 'buy', 'package', 'missing', 'told', 'buy', ' package']")</f>
        <v>['Disappointed', 'signal', 'good', 'open', 'buy', 'package', 'frequency', 'buy', 'package', 'missing', 'told', 'buy', ' package']</v>
      </c>
      <c r="D4682" s="3">
        <v>1.0</v>
      </c>
    </row>
    <row r="4683" ht="15.75" customHeight="1">
      <c r="A4683" s="1">
        <v>4681.0</v>
      </c>
      <c r="B4683" s="3" t="s">
        <v>4683</v>
      </c>
      <c r="C4683" s="3" t="str">
        <f>IFERROR(__xludf.DUMMYFUNCTION("GOOGLETRANSLATE(B4683,""id"",""en"")"),"['YTH', 'admin', 'buy', 'quota', 'apk', 'Telkomsel', 'slow', 'rates',' price ',' think ',' alternating ',' hrs', ' giving ',' star ',' thanks', 'unlimited', 'restrictions',' minimal ',' bngt ',' network ',' slow ',' hadeuh ',' already ',' price ',' expens"&amp;"ive ' , 'Nyesek', '']")</f>
        <v>['YTH', 'admin', 'buy', 'quota', 'apk', 'Telkomsel', 'slow', 'rates',' price ',' think ',' alternating ',' hrs', ' giving ',' star ',' thanks', 'unlimited', 'restrictions',' minimal ',' bngt ',' network ',' slow ',' hadeuh ',' already ',' price ',' expensive ' , 'Nyesek', '']</v>
      </c>
      <c r="D4683" s="3">
        <v>1.0</v>
      </c>
    </row>
    <row r="4684" ht="15.75" customHeight="1">
      <c r="A4684" s="1">
        <v>4682.0</v>
      </c>
      <c r="B4684" s="3" t="s">
        <v>4684</v>
      </c>
      <c r="C4684" s="3" t="str">
        <f>IFERROR(__xludf.DUMMYFUNCTION("GOOGLETRANSLATE(B4684,""id"",""en"")"),"['already', 'update', 'ntah', 'gmn', 'app', 'cook', 'already', 'contents',' pulse ',' pulse ',' until ',' fill ',' NLVN ',' Package ',' NLVN ']")</f>
        <v>['already', 'update', 'ntah', 'gmn', 'app', 'cook', 'already', 'contents',' pulse ',' pulse ',' until ',' fill ',' NLVN ',' Package ',' NLVN ']</v>
      </c>
      <c r="D4684" s="3">
        <v>1.0</v>
      </c>
    </row>
    <row r="4685" ht="15.75" customHeight="1">
      <c r="A4685" s="1">
        <v>4683.0</v>
      </c>
      <c r="B4685" s="3" t="s">
        <v>4685</v>
      </c>
      <c r="C4685" s="3" t="str">
        <f>IFERROR(__xludf.DUMMYFUNCTION("GOOGLETRANSLATE(B4685,""id"",""en"")"),"['Sinyal', 'Sometimes',' Sometimes', 'Like', 'Change', 'Please', 'Repaired', 'Karna', 'Super', 'Duper', 'Disturbing', 'Play', ' Game ',' Palagi ',' PAS ',' PUSH ',' RANK ',' MOBILE ',' LEGEND ',' ']")</f>
        <v>['Sinyal', 'Sometimes',' Sometimes', 'Like', 'Change', 'Please', 'Repaired', 'Karna', 'Super', 'Duper', 'Disturbing', 'Play', ' Game ',' Palagi ',' PAS ',' PUSH ',' RANK ',' MOBILE ',' LEGEND ',' ']</v>
      </c>
      <c r="D4685" s="3">
        <v>1.0</v>
      </c>
    </row>
    <row r="4686" ht="15.75" customHeight="1">
      <c r="A4686" s="1">
        <v>4684.0</v>
      </c>
      <c r="B4686" s="3" t="s">
        <v>4686</v>
      </c>
      <c r="C4686" s="3" t="str">
        <f>IFERROR(__xludf.DUMMYFUNCTION("GOOGLETRANSLATE(B4686,""id"",""en"")"),"['Help', 'makes it easy', 'information', 'information', 'application']")</f>
        <v>['Help', 'makes it easy', 'information', 'information', 'application']</v>
      </c>
      <c r="D4686" s="3">
        <v>5.0</v>
      </c>
    </row>
    <row r="4687" ht="15.75" customHeight="1">
      <c r="A4687" s="1">
        <v>4685.0</v>
      </c>
      <c r="B4687" s="3" t="s">
        <v>4687</v>
      </c>
      <c r="C4687" s="3" t="str">
        <f>IFERROR(__xludf.DUMMYFUNCTION("GOOGLETRANSLATE(B4687,""id"",""en"")"),"['Package', 'Kouta', 'expensive', 'network', 'NGK', 'good', 'please', 'repaired', 'special', 'area', 'Pasaman', 'East', ' ']")</f>
        <v>['Package', 'Kouta', 'expensive', 'network', 'NGK', 'good', 'please', 'repaired', 'special', 'area', 'Pasaman', 'East', ' ']</v>
      </c>
      <c r="D4687" s="3">
        <v>1.0</v>
      </c>
    </row>
    <row r="4688" ht="15.75" customHeight="1">
      <c r="A4688" s="1">
        <v>4686.0</v>
      </c>
      <c r="B4688" s="3" t="s">
        <v>4688</v>
      </c>
      <c r="C4688" s="3" t="str">
        <f>IFERROR(__xludf.DUMMYFUNCTION("GOOGLETRANSLATE(B4688,""id"",""en"")"),"['already', 'many years',' network ',' slow ',' ajh ',' udh ',' yrs', 'pke', 'telkomsel', 'bad', 'ajh', 'try', ' Fix ',' Reach ',' Signal ',' Internet ',' Lampung ',' Bakauheni ',' ']")</f>
        <v>['already', 'many years',' network ',' slow ',' ajh ',' udh ',' yrs', 'pke', 'telkomsel', 'bad', 'ajh', 'try', ' Fix ',' Reach ',' Signal ',' Internet ',' Lampung ',' Bakauheni ',' ']</v>
      </c>
      <c r="D4688" s="3">
        <v>1.0</v>
      </c>
    </row>
    <row r="4689" ht="15.75" customHeight="1">
      <c r="A4689" s="1">
        <v>4687.0</v>
      </c>
      <c r="B4689" s="3" t="s">
        <v>4689</v>
      </c>
      <c r="C4689" s="3" t="str">
        <f>IFERROR(__xludf.DUMMYFUNCTION("GOOGLETRANSLATE(B4689,""id"",""en"")"),"['week', 'update', 'application', 'open', 'a day', 'tomorrow', 'direct', 'error', 'package', 'watch', 'youtube', 'smooth', ' buffering ',' turn ',' open ',' Telkomsel ',' pulp ']")</f>
        <v>['week', 'update', 'application', 'open', 'a day', 'tomorrow', 'direct', 'error', 'package', 'watch', 'youtube', 'smooth', ' buffering ',' turn ',' open ',' Telkomsel ',' pulp ']</v>
      </c>
      <c r="D4689" s="3">
        <v>1.0</v>
      </c>
    </row>
    <row r="4690" ht="15.75" customHeight="1">
      <c r="A4690" s="1">
        <v>4688.0</v>
      </c>
      <c r="B4690" s="3" t="s">
        <v>4690</v>
      </c>
      <c r="C4690" s="3" t="str">
        <f>IFERROR(__xludf.DUMMYFUNCTION("GOOGLETRANSLATE(B4690,""id"",""en"")"),"['Makation', 'Telkomsel', 'anywhere', 'network', 'smooth', 'Jaya', 'Success']")</f>
        <v>['Makation', 'Telkomsel', 'anywhere', 'network', 'smooth', 'Jaya', 'Success']</v>
      </c>
      <c r="D4690" s="3">
        <v>5.0</v>
      </c>
    </row>
    <row r="4691" ht="15.75" customHeight="1">
      <c r="A4691" s="1">
        <v>4689.0</v>
      </c>
      <c r="B4691" s="3" t="s">
        <v>4691</v>
      </c>
      <c r="C4691" s="3" t="str">
        <f>IFERROR(__xludf.DUMMYFUNCTION("GOOGLETRANSLATE(B4691,""id"",""en"")"),"['application', 'slow', 'hang', 'package', 'changed', 'as good as',' Sudel ',' Severe ',' trap ',' Bethmen ',' Hadeeuuhhh ',' buy ',' package ',' internet ',' GB ',' thousand ',' used ',' multimedia ',' price ',' that way ',' multimedia ',' unlimited ',' "&amp;"unlimited ',' left ',' GB ' , 'Multimedia', 'used', 'Package', 'GB', 'thousand', 'Activate', 'Easy', 'Very', 'Changed', 'Package', 'Offered', 'get', ' Trap ',' Bethmen ',' ']")</f>
        <v>['application', 'slow', 'hang', 'package', 'changed', 'as good as',' Sudel ',' Severe ',' trap ',' Bethmen ',' Hadeeuuhhh ',' buy ',' package ',' internet ',' GB ',' thousand ',' used ',' multimedia ',' price ',' that way ',' multimedia ',' unlimited ',' unlimited ',' left ',' GB ' , 'Multimedia', 'used', 'Package', 'GB', 'thousand', 'Activate', 'Easy', 'Very', 'Changed', 'Package', 'Offered', 'get', ' Trap ',' Bethmen ',' ']</v>
      </c>
      <c r="D4691" s="3">
        <v>1.0</v>
      </c>
    </row>
    <row r="4692" ht="15.75" customHeight="1">
      <c r="A4692" s="1">
        <v>4690.0</v>
      </c>
      <c r="B4692" s="3" t="s">
        <v>4692</v>
      </c>
      <c r="C4692" s="3" t="str">
        <f>IFERROR(__xludf.DUMMYFUNCTION("GOOGLETRANSLATE(B4692,""id"",""en"")"),"['open', 'Application', 'Telkomsel', 'login', 'quota', 'extra', 'musty', 'said', 'title', 'quota', 'extra', 'ihhhhhhhhhhhhhhhhhhhhhhhhhhhhhhhhhhhhhhhhhh Sebel ',' ']")</f>
        <v>['open', 'Application', 'Telkomsel', 'login', 'quota', 'extra', 'musty', 'said', 'title', 'quota', 'extra', 'ihhhhhhhhhhhhhhhhhhhhhhhhhhhhhhhhhhhhhhhhhh Sebel ',' ']</v>
      </c>
      <c r="D4692" s="3">
        <v>1.0</v>
      </c>
    </row>
    <row r="4693" ht="15.75" customHeight="1">
      <c r="A4693" s="1">
        <v>4691.0</v>
      </c>
      <c r="B4693" s="3" t="s">
        <v>4693</v>
      </c>
      <c r="C4693" s="3" t="str">
        <f>IFERROR(__xludf.DUMMYFUNCTION("GOOGLETRANSLATE(B4693,""id"",""en"")"),"['Please', 'star', 'quota', 'expensive', 'expensive', 'person', 'simple', 'beg', 'collapse', 'quota', 'cheap', 'Please', ' ']")</f>
        <v>['Please', 'star', 'quota', 'expensive', 'expensive', 'person', 'simple', 'beg', 'collapse', 'quota', 'cheap', 'Please', ' ']</v>
      </c>
      <c r="D4693" s="3">
        <v>2.0</v>
      </c>
    </row>
    <row r="4694" ht="15.75" customHeight="1">
      <c r="A4694" s="1">
        <v>4692.0</v>
      </c>
      <c r="B4694" s="3" t="s">
        <v>4694</v>
      </c>
      <c r="C4694" s="3" t="str">
        <f>IFERROR(__xludf.DUMMYFUNCTION("GOOGLETRANSLATE(B4694,""id"",""en"")"),"['Network', 'bad', 'disappointed', 'stable', 'please', 'fix', '']")</f>
        <v>['Network', 'bad', 'disappointed', 'stable', 'please', 'fix', '']</v>
      </c>
      <c r="D4694" s="3">
        <v>1.0</v>
      </c>
    </row>
    <row r="4695" ht="15.75" customHeight="1">
      <c r="A4695" s="1">
        <v>4693.0</v>
      </c>
      <c r="B4695" s="3" t="s">
        <v>4695</v>
      </c>
      <c r="C4695" s="3" t="str">
        <f>IFERROR(__xludf.DUMMYFUNCTION("GOOGLETRANSLATE(B4695,""id"",""en"")"),"['response', 'signal', 'super', 'super', 'ugly', 'cloudy', 'rain', 'wifinya', 'indihome', 'super', 'super', 'ugly', ' TenPat ',' Swamp ',' Denok ',' Unplug ',' Turn Off ',' Decorder ',' Signal ',' Super ',' Super ',' Severe ',' Telkomsel ']")</f>
        <v>['response', 'signal', 'super', 'super', 'ugly', 'cloudy', 'rain', 'wifinya', 'indihome', 'super', 'super', 'ugly', ' TenPat ',' Swamp ',' Denok ',' Unplug ',' Turn Off ',' Decorder ',' Signal ',' Super ',' Super ',' Severe ',' Telkomsel ']</v>
      </c>
      <c r="D4695" s="3">
        <v>1.0</v>
      </c>
    </row>
    <row r="4696" ht="15.75" customHeight="1">
      <c r="A4696" s="1">
        <v>4694.0</v>
      </c>
      <c r="B4696" s="3" t="s">
        <v>4696</v>
      </c>
      <c r="C4696" s="3" t="str">
        <f>IFERROR(__xludf.DUMMYFUNCTION("GOOGLETRANSLATE(B4696,""id"",""en"")"),"['buy', 'package', 'weekly', 'shopping', 'internet', 'please', 'min']")</f>
        <v>['buy', 'package', 'weekly', 'shopping', 'internet', 'please', 'min']</v>
      </c>
      <c r="D4696" s="3">
        <v>3.0</v>
      </c>
    </row>
    <row r="4697" ht="15.75" customHeight="1">
      <c r="A4697" s="1">
        <v>4695.0</v>
      </c>
      <c r="B4697" s="3" t="s">
        <v>4697</v>
      </c>
      <c r="C4697" s="3" t="str">
        <f>IFERROR(__xludf.DUMMYFUNCTION("GOOGLETRANSLATE(B4697,""id"",""en"")"),"['CEO', 'Telkomsel', 'Dear', 'quota', 'internet', 'finished', 'cut', 'balance', 'pulse', 'quota', 'internet', 'balance', ' pulses', 'truncated', 'thousand', 'thousand', 'Telkomsel', 'lack', 'money', 'please', 'cut', 'balance', 'pulse', 'disappointed', 'ca"&amp;"rd' , 'prime', 'quota', 'internet', 'run out', 'run out', 'balance', 'pulses',' truncated ',' please ',' following ',' trail ',' card ',' Prime ',' Please ',' Replied ',' Message ',' ']")</f>
        <v>['CEO', 'Telkomsel', 'Dear', 'quota', 'internet', 'finished', 'cut', 'balance', 'pulse', 'quota', 'internet', 'balance', ' pulses', 'truncated', 'thousand', 'thousand', 'Telkomsel', 'lack', 'money', 'please', 'cut', 'balance', 'pulse', 'disappointed', 'card' , 'prime', 'quota', 'internet', 'run out', 'run out', 'balance', 'pulses',' truncated ',' please ',' following ',' trail ',' card ',' Prime ',' Please ',' Replied ',' Message ',' ']</v>
      </c>
      <c r="D4697" s="3">
        <v>1.0</v>
      </c>
    </row>
    <row r="4698" ht="15.75" customHeight="1">
      <c r="A4698" s="1">
        <v>4696.0</v>
      </c>
      <c r="B4698" s="3" t="s">
        <v>4698</v>
      </c>
      <c r="C4698" s="3" t="str">
        <f>IFERROR(__xludf.DUMMYFUNCTION("GOOGLETRANSLATE(B4698,""id"",""en"")"),"['', 'Bln', 'Telkomsel', 'Need', 'Quota', 'DRPD', 'Provider', 'PKE', 'Signal', 'Strong', 'Reach', 'Movers',' Lola ',' Loading ',' PDHL ',' home ',' saia ',' remote ',' village ',' sound ',' broke ',' picture ',' gajelas', 'used', 'hotspot', 'road', 'blass"&amp;"', 'deh', 'pke', 'Telkomsel', 'loss', 'buy', 'price', 'expensive', 'pulak', ""]")</f>
        <v>['', 'Bln', 'Telkomsel', 'Need', 'Quota', 'DRPD', 'Provider', 'PKE', 'Signal', 'Strong', 'Reach', 'Movers',' Lola ',' Loading ',' PDHL ',' home ',' saia ',' remote ',' village ',' sound ',' broke ',' picture ',' gajelas', 'used', 'hotspot', 'road', 'blass', 'deh', 'pke', 'Telkomsel', 'loss', 'buy', 'price', 'expensive', 'pulak', "]</v>
      </c>
      <c r="D4698" s="3">
        <v>1.0</v>
      </c>
    </row>
    <row r="4699" ht="15.75" customHeight="1">
      <c r="A4699" s="1">
        <v>4697.0</v>
      </c>
      <c r="B4699" s="3" t="s">
        <v>4699</v>
      </c>
      <c r="C4699" s="3" t="str">
        <f>IFERROR(__xludf.DUMMYFUNCTION("GOOGLETRANSLATE(B4699,""id"",""en"")"),"['Telkomsel', 'already', 'BERES', 'Mass', 'Network', 'LEG', 'APK', 'Game', 'LEG', 'Please', 'Love', 'Explanation']")</f>
        <v>['Telkomsel', 'already', 'BERES', 'Mass', 'Network', 'LEG', 'APK', 'Game', 'LEG', 'Please', 'Love', 'Explanation']</v>
      </c>
      <c r="D4699" s="3">
        <v>1.0</v>
      </c>
    </row>
    <row r="4700" ht="15.75" customHeight="1">
      <c r="A4700" s="1">
        <v>4698.0</v>
      </c>
      <c r="B4700" s="3" t="s">
        <v>4700</v>
      </c>
      <c r="C4700" s="3" t="str">
        <f>IFERROR(__xludf.DUMMYFUNCTION("GOOGLETRANSLATE(B4700,""id"",""en"")"),"['Network', 'ugly', 'already', 'buy', 'package', 'expensive', 'expensive', 'network', 'pulp', 'clock', 'network', 'dumped', ' Send ',' Message ',' pending ',' Please ',' Network ',' Both of ',' Love ',' Star ',' Already ',' Leet ',' The Network ', ""]")</f>
        <v>['Network', 'ugly', 'already', 'buy', 'package', 'expensive', 'expensive', 'network', 'pulp', 'clock', 'network', 'dumped', ' Send ',' Message ',' pending ',' Please ',' Network ',' Both of ',' Love ',' Star ',' Already ',' Leet ',' The Network ', "]</v>
      </c>
      <c r="D4700" s="3">
        <v>1.0</v>
      </c>
    </row>
    <row r="4701" ht="15.75" customHeight="1">
      <c r="A4701" s="1">
        <v>4699.0</v>
      </c>
      <c r="B4701" s="3" t="s">
        <v>4701</v>
      </c>
      <c r="C4701" s="3" t="str">
        <f>IFERROR(__xludf.DUMMYFUNCTION("GOOGLETRANSLATE(B4701,""id"",""en"")"),"['Okay', 'Telkomsel', 'hope', 'Jaya', 'trimakasih', 'Telkomsel', ""]")</f>
        <v>['Okay', 'Telkomsel', 'hope', 'Jaya', 'trimakasih', 'Telkomsel', "]</v>
      </c>
      <c r="D4701" s="3">
        <v>5.0</v>
      </c>
    </row>
    <row r="4702" ht="15.75" customHeight="1">
      <c r="A4702" s="1">
        <v>4700.0</v>
      </c>
      <c r="B4702" s="3" t="s">
        <v>4702</v>
      </c>
      <c r="C4702" s="3" t="str">
        <f>IFERROR(__xludf.DUMMYFUNCTION("GOOGLETRANSLATE(B4702,""id"",""en"")"),"['Like', 'Telkomsel', 'Network', 'Good', 'Card', 'Buy', 'Package', 'Games', 'friend', ""]")</f>
        <v>['Like', 'Telkomsel', 'Network', 'Good', 'Card', 'Buy', 'Package', 'Games', 'friend', "]</v>
      </c>
      <c r="D4702" s="3">
        <v>4.0</v>
      </c>
    </row>
    <row r="4703" ht="15.75" customHeight="1">
      <c r="A4703" s="1">
        <v>4701.0</v>
      </c>
      <c r="B4703" s="3" t="s">
        <v>4703</v>
      </c>
      <c r="C4703" s="3" t="str">
        <f>IFERROR(__xludf.DUMMYFUNCTION("GOOGLETRANSLATE(B4703,""id"",""en"")"),"['Telkomsel', 'Different', 'The', 'Best', 'Hopefully', 'Forward', 'Telkomsel', 'Mantapp']")</f>
        <v>['Telkomsel', 'Different', 'The', 'Best', 'Hopefully', 'Forward', 'Telkomsel', 'Mantapp']</v>
      </c>
      <c r="D4703" s="3">
        <v>5.0</v>
      </c>
    </row>
    <row r="4704" ht="15.75" customHeight="1">
      <c r="A4704" s="1">
        <v>4702.0</v>
      </c>
      <c r="B4704" s="3" t="s">
        <v>4704</v>
      </c>
      <c r="C4704" s="3" t="str">
        <f>IFERROR(__xludf.DUMMYFUNCTION("GOOGLETRANSLATE(B4704,""id"",""en"")"),"['Help', 'promo', 'interesting', 'Telkomsel', 'The', 'Best', 'Signal', 'Death']")</f>
        <v>['Help', 'promo', 'interesting', 'Telkomsel', 'The', 'Best', 'Signal', 'Death']</v>
      </c>
      <c r="D4704" s="3">
        <v>5.0</v>
      </c>
    </row>
    <row r="4705" ht="15.75" customHeight="1">
      <c r="A4705" s="1">
        <v>4703.0</v>
      </c>
      <c r="B4705" s="3" t="s">
        <v>4705</v>
      </c>
      <c r="C4705" s="3" t="str">
        <f>IFERROR(__xludf.DUMMYFUNCTION("GOOGLETRANSLATE(B4705,""id"",""en"")"),"['Please', 'Card', 'Telkomsel', 'Package', 'Quota', 'Samain', 'Card', 'Telkomsel', 'Plis']")</f>
        <v>['Please', 'Card', 'Telkomsel', 'Package', 'Quota', 'Samain', 'Card', 'Telkomsel', 'Plis']</v>
      </c>
      <c r="D4705" s="3">
        <v>1.0</v>
      </c>
    </row>
    <row r="4706" ht="15.75" customHeight="1">
      <c r="A4706" s="1">
        <v>4704.0</v>
      </c>
      <c r="B4706" s="3" t="s">
        <v>4706</v>
      </c>
      <c r="C4706" s="3" t="str">
        <f>IFERROR(__xludf.DUMMYFUNCTION("GOOGLETRANSLATE(B4706,""id"",""en"")"),"['Maantap', 'network', 'signal', 'bad', 'appears', 'missing', 'appears', 'missing', 'that's', '']")</f>
        <v>['Maantap', 'network', 'signal', 'bad', 'appears', 'missing', 'appears', 'missing', 'that's', '']</v>
      </c>
      <c r="D4706" s="3">
        <v>5.0</v>
      </c>
    </row>
    <row r="4707" ht="15.75" customHeight="1">
      <c r="A4707" s="1">
        <v>4705.0</v>
      </c>
      <c r="B4707" s="3" t="s">
        <v>4707</v>
      </c>
      <c r="C4707" s="3" t="str">
        <f>IFERROR(__xludf.DUMMYFUNCTION("GOOGLETRANSLATE(B4707,""id"",""en"")"),"['', 'contents',' pulse ',' right ',' contents', 'pulse', 'dialfa', 'trial', 'success',' entry ',' pulses', 'cheater', 'Telkomsel ',' poor ']")</f>
        <v>['', 'contents',' pulse ',' right ',' contents', 'pulse', 'dialfa', 'trial', 'success',' entry ',' pulses', 'cheater', 'Telkomsel ',' poor ']</v>
      </c>
      <c r="D4707" s="3">
        <v>1.0</v>
      </c>
    </row>
    <row r="4708" ht="15.75" customHeight="1">
      <c r="A4708" s="1">
        <v>4706.0</v>
      </c>
      <c r="B4708" s="3" t="s">
        <v>4708</v>
      </c>
      <c r="C4708" s="3" t="str">
        <f>IFERROR(__xludf.DUMMYFUNCTION("GOOGLETRANSLATE(B4708,""id"",""en"")"),"['Try', 'Addin', 'Switch', 'Points', 'Diamond', 'Game', 'Example', 'Game', 'Min', 'User', 'Telkomsel']")</f>
        <v>['Try', 'Addin', 'Switch', 'Points', 'Diamond', 'Game', 'Example', 'Game', 'Min', 'User', 'Telkomsel']</v>
      </c>
      <c r="D4708" s="3">
        <v>5.0</v>
      </c>
    </row>
    <row r="4709" ht="15.75" customHeight="1">
      <c r="A4709" s="1">
        <v>4707.0</v>
      </c>
      <c r="B4709" s="3" t="s">
        <v>4709</v>
      </c>
      <c r="C4709" s="3" t="str">
        <f>IFERROR(__xludf.DUMMYFUNCTION("GOOGLETRANSLATE(B4709,""id"",""en"")"),"['', 'Cibubur', 'city', 'signal', 'stable', 'play', 'game', 'sometimes',' stag ',' sad ',' quality ',' internet ',' Telkomsel ']")</f>
        <v>['', 'Cibubur', 'city', 'signal', 'stable', 'play', 'game', 'sometimes',' stag ',' sad ',' quality ',' internet ',' Telkomsel ']</v>
      </c>
      <c r="D4709" s="3">
        <v>1.0</v>
      </c>
    </row>
    <row r="4710" ht="15.75" customHeight="1">
      <c r="A4710" s="1">
        <v>4708.0</v>
      </c>
      <c r="B4710" s="3" t="s">
        <v>4710</v>
      </c>
      <c r="C4710" s="3" t="str">
        <f>IFERROR(__xludf.DUMMYFUNCTION("GOOGLETRANSLATE(B4710,""id"",""en"")"),"['pulse', 'buy', 'package', 'unlimitedmax', 'GB', 'KNP', 'DPT', 'SMS', 'Credit', 'sufficient', 'What do you mean', ' Package ',' entry ',' pulse ',' truncated ',' stay ',' please ',' clarity ',' min ', ""]")</f>
        <v>['pulse', 'buy', 'package', 'unlimitedmax', 'GB', 'KNP', 'DPT', 'SMS', 'Credit', 'sufficient', 'What do you mean', ' Package ',' entry ',' pulse ',' truncated ',' stay ',' please ',' clarity ',' min ', "]</v>
      </c>
      <c r="D4710" s="3">
        <v>1.0</v>
      </c>
    </row>
    <row r="4711" ht="15.75" customHeight="1">
      <c r="A4711" s="1">
        <v>4709.0</v>
      </c>
      <c r="B4711" s="3" t="s">
        <v>4711</v>
      </c>
      <c r="C4711" s="3" t="str">
        <f>IFERROR(__xludf.DUMMYFUNCTION("GOOGLETRANSLATE(B4711,""id"",""en"")"),"['signal', 'ugly', 'boss', 'area', 'canning', 'kertasari', 'talun', 'santosa', 'please', 'fix', 'thank you']")</f>
        <v>['signal', 'ugly', 'boss', 'area', 'canning', 'kertasari', 'talun', 'santosa', 'please', 'fix', 'thank you']</v>
      </c>
      <c r="D4711" s="3">
        <v>1.0</v>
      </c>
    </row>
    <row r="4712" ht="15.75" customHeight="1">
      <c r="A4712" s="1">
        <v>4710.0</v>
      </c>
      <c r="B4712" s="3" t="s">
        <v>4712</v>
      </c>
      <c r="C4712" s="3" t="str">
        <f>IFERROR(__xludf.DUMMYFUNCTION("GOOGLETRANSLATE(B4712,""id"",""en"")"),"['Card', 'TNPA', 'Gotebration', 'UDH', 'GTU', 'Sekrng', 'Erroorr', 'card', 'postpaid', 'date', 'Udh', 'Block', ' mksd ',' bgaimna ',' thank ',' love ']")</f>
        <v>['Card', 'TNPA', 'Gotebration', 'UDH', 'GTU', 'Sekrng', 'Erroorr', 'card', 'postpaid', 'date', 'Udh', 'Block', ' mksd ',' bgaimna ',' thank ',' love ']</v>
      </c>
      <c r="D4712" s="3">
        <v>5.0</v>
      </c>
    </row>
    <row r="4713" ht="15.75" customHeight="1">
      <c r="A4713" s="1">
        <v>4711.0</v>
      </c>
      <c r="B4713" s="3" t="s">
        <v>4713</v>
      </c>
      <c r="C4713" s="3" t="str">
        <f>IFERROR(__xludf.DUMMYFUNCTION("GOOGLETRANSLATE(B4713,""id"",""en"")"),"['APP', 'Belagu', 'Login', 'Magic', 'Link', 'Support', 'WiFi', 'Slalu', 'Failed', 'Code', 'OTP', 'Woy', ' ']")</f>
        <v>['APP', 'Belagu', 'Login', 'Magic', 'Link', 'Support', 'WiFi', 'Slalu', 'Failed', 'Code', 'OTP', 'Woy', ' ']</v>
      </c>
      <c r="D4713" s="3">
        <v>1.0</v>
      </c>
    </row>
    <row r="4714" ht="15.75" customHeight="1">
      <c r="A4714" s="1">
        <v>4712.0</v>
      </c>
      <c r="B4714" s="3" t="s">
        <v>4714</v>
      </c>
      <c r="C4714" s="3" t="str">
        <f>IFERROR(__xludf.DUMMYFUNCTION("GOOGLETRANSLATE(B4714,""id"",""en"")"),"['Please', 'sorry', 'complain', 'buy', 'package', 'Miss',' no ',' what ',' please ',' Telkomsel ',' rich ',' this', ' rich ',' no ',' propertional ',' that's', 'most', 'ngeleg', 'rich', 'gini', 'please', 'policy', ""]")</f>
        <v>['Please', 'sorry', 'complain', 'buy', 'package', 'Miss',' no ',' what ',' please ',' Telkomsel ',' rich ',' this', ' rich ',' no ',' propertional ',' that's', 'most', 'ngeleg', 'rich', 'gini', 'please', 'policy', "]</v>
      </c>
      <c r="D4714" s="3">
        <v>1.0</v>
      </c>
    </row>
    <row r="4715" ht="15.75" customHeight="1">
      <c r="A4715" s="1">
        <v>4713.0</v>
      </c>
      <c r="B4715" s="3" t="s">
        <v>4715</v>
      </c>
      <c r="C4715" s="3" t="str">
        <f>IFERROR(__xludf.DUMMYFUNCTION("GOOGLETRANSLATE(B4715,""id"",""en"")"),"['Disruption', 'Kmarin', 'Buy', 'Package', 'Sakti', 'RB', 'Network', 'Check', 'Have', 'Package', 'Data', 'Disruption', ' Info ',' Donk ',' user ',' Telkomsel ']")</f>
        <v>['Disruption', 'Kmarin', 'Buy', 'Package', 'Sakti', 'RB', 'Network', 'Check', 'Have', 'Package', 'Data', 'Disruption', ' Info ',' Donk ',' user ',' Telkomsel ']</v>
      </c>
      <c r="D4715" s="3">
        <v>2.0</v>
      </c>
    </row>
    <row r="4716" ht="15.75" customHeight="1">
      <c r="A4716" s="1">
        <v>4714.0</v>
      </c>
      <c r="B4716" s="3" t="s">
        <v>4716</v>
      </c>
      <c r="C4716" s="3" t="str">
        <f>IFERROR(__xludf.DUMMYFUNCTION("GOOGLETRANSLATE(B4716,""id"",""en"")"),"['Credit', 'like', 'ilang', 'greedy', 'that's', 'that's', 'ngeta']")</f>
        <v>['Credit', 'like', 'ilang', 'greedy', 'that's', 'that's', 'ngeta']</v>
      </c>
      <c r="D4716" s="3">
        <v>1.0</v>
      </c>
    </row>
    <row r="4717" ht="15.75" customHeight="1">
      <c r="A4717" s="1">
        <v>4715.0</v>
      </c>
      <c r="B4717" s="3" t="s">
        <v>4717</v>
      </c>
      <c r="C4717" s="3" t="str">
        <f>IFERROR(__xludf.DUMMYFUNCTION("GOOGLETRANSLATE(B4717,""id"",""en"")"),"['Sorry', 'love', 'Bintang', 'buy', 'credit', 'BLM', 'Shame', 'already', 'Sumpot']")</f>
        <v>['Sorry', 'love', 'Bintang', 'buy', 'credit', 'BLM', 'Shame', 'already', 'Sumpot']</v>
      </c>
      <c r="D4717" s="3">
        <v>1.0</v>
      </c>
    </row>
    <row r="4718" ht="15.75" customHeight="1">
      <c r="A4718" s="1">
        <v>4716.0</v>
      </c>
      <c r="B4718" s="3" t="s">
        <v>4718</v>
      </c>
      <c r="C4718" s="3" t="str">
        <f>IFERROR(__xludf.DUMMYFUNCTION("GOOGLETRANSLATE(B4718,""id"",""en"")"),"['Network', 'Not bad', 'strong', 'Enternetan', 'package', 'expensive', 'Sorry', 'forced', 'Enternet', 'wear', 'KTU', 'Save', ' aikit ',' MyTelkomsel ',' Price ',' Sales', 'Package', 'Setray', 'Next to', 'Tlkomsel', 'Select', 'See', 'Region', 'getten', 'Mu"&amp;"makai' , 'TLKOMSEL', 'WAY', 'Wear', 'Tlkomsel', 'NLP', 'SMS', 'Maap', 'Input', 'MyTelkomsel']")</f>
        <v>['Network', 'Not bad', 'strong', 'Enternetan', 'package', 'expensive', 'Sorry', 'forced', 'Enternet', 'wear', 'KTU', 'Save', ' aikit ',' MyTelkomsel ',' Price ',' Sales', 'Package', 'Setray', 'Next to', 'Tlkomsel', 'Select', 'See', 'Region', 'getten', 'Mumakai' , 'TLKOMSEL', 'WAY', 'Wear', 'Tlkomsel', 'NLP', 'SMS', 'Maap', 'Input', 'MyTelkomsel']</v>
      </c>
      <c r="D4718" s="3">
        <v>4.0</v>
      </c>
    </row>
    <row r="4719" ht="15.75" customHeight="1">
      <c r="A4719" s="1">
        <v>4717.0</v>
      </c>
      <c r="B4719" s="3" t="s">
        <v>4719</v>
      </c>
      <c r="C4719" s="3" t="str">
        <f>IFERROR(__xludf.DUMMYFUNCTION("GOOGLETRANSLATE(B4719,""id"",""en"")"),"['application', 'disappointing', 'packagein', 'operator', 'as if', 'indifferent', 'response', 'waiting', 'activated', 'package', 'pulse', 'truncated', ' the day ',' please ',' fix ',' servant ',' thank ',' love ']")</f>
        <v>['application', 'disappointing', 'packagein', 'operator', 'as if', 'indifferent', 'response', 'waiting', 'activated', 'package', 'pulse', 'truncated', ' the day ',' please ',' fix ',' servant ',' thank ',' love ']</v>
      </c>
      <c r="D4719" s="3">
        <v>1.0</v>
      </c>
    </row>
    <row r="4720" ht="15.75" customHeight="1">
      <c r="A4720" s="1">
        <v>4718.0</v>
      </c>
      <c r="B4720" s="3" t="s">
        <v>4720</v>
      </c>
      <c r="C4720" s="3" t="str">
        <f>IFERROR(__xludf.DUMMYFUNCTION("GOOGLETRANSLATE(B4720,""id"",""en"")"),"['Choice', 'Package', 'subscription', 'GB', 'for', 'Choice', 'Choice', 'Minimal', 'Price', 'Recommended', 'Student', ""]")</f>
        <v>['Choice', 'Package', 'subscription', 'GB', 'for', 'Choice', 'Choice', 'Minimal', 'Price', 'Recommended', 'Student', "]</v>
      </c>
      <c r="D4720" s="3">
        <v>1.0</v>
      </c>
    </row>
    <row r="4721" ht="15.75" customHeight="1">
      <c r="A4721" s="1">
        <v>4719.0</v>
      </c>
      <c r="B4721" s="3" t="s">
        <v>4721</v>
      </c>
      <c r="C4721" s="3" t="str">
        <f>IFERROR(__xludf.DUMMYFUNCTION("GOOGLETRANSLATE(B4721,""id"",""en"")"),"['easy', 'access',' understood ',' suggestion ',' hopefully ',' Telkomsel ',' stand ',' Digarda ',' leading ',' service ',' telecommunications', 'Indonesia', ' Accessible ',' throughout ',' Region ',' NKRI ',' except ',' Telkomsel ',' covered ',' Dipepay "&amp;"',' Indonesia ',' Facilitates', 'Share', 'Information', 'Indonesia' , 'World', 'Pandemic', 'Covid', 'Covid', 'Hope', 'Hopefully', 'Telkomsel', 'Advancing', 'World', 'Digital', 'Digital', ' Indonesian government']")</f>
        <v>['easy', 'access',' understood ',' suggestion ',' hopefully ',' Telkomsel ',' stand ',' Digarda ',' leading ',' service ',' telecommunications', 'Indonesia', ' Accessible ',' throughout ',' Region ',' NKRI ',' except ',' Telkomsel ',' covered ',' Dipepay ',' Indonesia ',' Facilitates', 'Share', 'Information', 'Indonesia' , 'World', 'Pandemic', 'Covid', 'Covid', 'Hope', 'Hopefully', 'Telkomsel', 'Advancing', 'World', 'Digital', 'Digital', ' Indonesian government']</v>
      </c>
      <c r="D4721" s="3">
        <v>5.0</v>
      </c>
    </row>
    <row r="4722" ht="15.75" customHeight="1">
      <c r="A4722" s="1">
        <v>4720.0</v>
      </c>
      <c r="B4722" s="3" t="s">
        <v>4722</v>
      </c>
      <c r="C4722" s="3" t="str">
        <f>IFERROR(__xludf.DUMMYFUNCTION("GOOGLETRANSLATE(B4722,""id"",""en"")"),"['Assalamualaikumsaya', 'love', 'star', 'try', 'quota', 'cheap', 'buy', 'cheap', 'buy', 'download', 'that way', 'Wassalamu', ' Alaikum ']")</f>
        <v>['Assalamualaikumsaya', 'love', 'star', 'try', 'quota', 'cheap', 'buy', 'cheap', 'buy', 'download', 'that way', 'Wassalamu', ' Alaikum ']</v>
      </c>
      <c r="D4722" s="3">
        <v>2.0</v>
      </c>
    </row>
    <row r="4723" ht="15.75" customHeight="1">
      <c r="A4723" s="1">
        <v>4721.0</v>
      </c>
      <c r="B4723" s="3" t="s">
        <v>4723</v>
      </c>
      <c r="C4723" s="3" t="str">
        <f>IFERROR(__xludf.DUMMYFUNCTION("GOOGLETRANSLATE(B4723,""id"",""en"")"),"['signal', 'Telkomsel', 'good', 'hope', 'good', 'area', 'village', 'tanjung', 'anom', 'kacur', 'pancur', 'stone']")</f>
        <v>['signal', 'Telkomsel', 'good', 'hope', 'good', 'area', 'village', 'tanjung', 'anom', 'kacur', 'pancur', 'stone']</v>
      </c>
      <c r="D4723" s="3">
        <v>1.0</v>
      </c>
    </row>
    <row r="4724" ht="15.75" customHeight="1">
      <c r="A4724" s="1">
        <v>4722.0</v>
      </c>
      <c r="B4724" s="3" t="s">
        <v>4724</v>
      </c>
      <c r="C4724" s="3" t="str">
        <f>IFERROR(__xludf.DUMMYFUNCTION("GOOGLETRANSLATE(B4724,""id"",""en"")"),"['Sya', 'Service', 'Telkomsel', 'Change', 'Card', 'Telkomsel', 'Help', 'Service', ""]")</f>
        <v>['Sya', 'Service', 'Telkomsel', 'Change', 'Card', 'Telkomsel', 'Help', 'Service', "]</v>
      </c>
      <c r="D4724" s="3">
        <v>5.0</v>
      </c>
    </row>
    <row r="4725" ht="15.75" customHeight="1">
      <c r="A4725" s="1">
        <v>4723.0</v>
      </c>
      <c r="B4725" s="3" t="s">
        <v>4725</v>
      </c>
      <c r="C4725" s="3" t="str">
        <f>IFERROR(__xludf.DUMMYFUNCTION("GOOGLETRANSLATE(B4725,""id"",""en"")"),"['aing', 'buy', 'quota', 'GB', 'for', 'RB', 'credit', 'Maen', 'game', 'signal', 'slow', 'really', ' Anyiiiiiii ',' Signal ',' ALA ',' Tortoise ',' Kura ',' Lemot ',' Severe ',' Lag ',' Satan ',' Telkom ',' Please ',' Sorry ',' kaka ' , 'Bagusin', 'signal'"&amp;", 'Jan', 'Sorry', 'Mulu', ""]")</f>
        <v>['aing', 'buy', 'quota', 'GB', 'for', 'RB', 'credit', 'Maen', 'game', 'signal', 'slow', 'really', ' Anyiiiiiii ',' Signal ',' ALA ',' Tortoise ',' Kura ',' Lemot ',' Severe ',' Lag ',' Satan ',' Telkom ',' Please ',' Sorry ',' kaka ' , 'Bagusin', 'signal', 'Jan', 'Sorry', 'Mulu', "]</v>
      </c>
      <c r="D4725" s="3">
        <v>1.0</v>
      </c>
    </row>
    <row r="4726" ht="15.75" customHeight="1">
      <c r="A4726" s="1">
        <v>4724.0</v>
      </c>
      <c r="B4726" s="3" t="s">
        <v>4726</v>
      </c>
      <c r="C4726" s="3" t="str">
        <f>IFERROR(__xludf.DUMMYFUNCTION("GOOGLETRANSLATE(B4726,""id"",""en"")"),"['Severe', 'oath', 'contact', 'bill', 'mbengkk', 'details', 'success', 'smga', 'make']")</f>
        <v>['Severe', 'oath', 'contact', 'bill', 'mbengkk', 'details', 'success', 'smga', 'make']</v>
      </c>
      <c r="D4726" s="3">
        <v>1.0</v>
      </c>
    </row>
    <row r="4727" ht="15.75" customHeight="1">
      <c r="A4727" s="1">
        <v>4725.0</v>
      </c>
      <c r="B4727" s="3" t="s">
        <v>4727</v>
      </c>
      <c r="C4727" s="3" t="str">
        <f>IFERROR(__xludf.DUMMYFUNCTION("GOOGLETRANSLATE(B4727,""id"",""en"")"),"['Disappointed', 'Telkom', 'cell', 'enter', 'already', 'Install', 'Ber', 'Re-', 'Please', 'explanation']")</f>
        <v>['Disappointed', 'Telkom', 'cell', 'enter', 'already', 'Install', 'Ber', 'Re-', 'Please', 'explanation']</v>
      </c>
      <c r="D4727" s="3">
        <v>5.0</v>
      </c>
    </row>
    <row r="4728" ht="15.75" customHeight="1">
      <c r="A4728" s="1">
        <v>4726.0</v>
      </c>
      <c r="B4728" s="3" t="s">
        <v>4728</v>
      </c>
      <c r="C4728" s="3" t="str">
        <f>IFERROR(__xludf.DUMMYFUNCTION("GOOGLETRANSLATE(B4728,""id"",""en"")"),"['Telkomsel', 'card', 'ugly', 'use', 'network', 'uhuy', 'briefly', 'ilang', 'down', 'kek', 'snot', 'disappointed']")</f>
        <v>['Telkomsel', 'card', 'ugly', 'use', 'network', 'uhuy', 'briefly', 'ilang', 'down', 'kek', 'snot', 'disappointed']</v>
      </c>
      <c r="D4728" s="3">
        <v>1.0</v>
      </c>
    </row>
    <row r="4729" ht="15.75" customHeight="1">
      <c r="A4729" s="1">
        <v>4727.0</v>
      </c>
      <c r="B4729" s="3" t="s">
        <v>4729</v>
      </c>
      <c r="C4729" s="3" t="str">
        <f>IFERROR(__xludf.DUMMYFUNCTION("GOOGLETRANSLATE(B4729,""id"",""en"")"),"['Network', 'Lemoottt', 'Uda', 'Loading', 'CPT', 'Out', 'Batrai', 'Expensive', 'Quality', 'Please', 'Repaired', 'Complaint', ' Response ',' Change ',' Money ',' Experience ',' Change ', ""]")</f>
        <v>['Network', 'Lemoottt', 'Uda', 'Loading', 'CPT', 'Out', 'Batrai', 'Expensive', 'Quality', 'Please', 'Repaired', 'Complaint', ' Response ',' Change ',' Money ',' Experience ',' Change ', "]</v>
      </c>
      <c r="D4729" s="3">
        <v>1.0</v>
      </c>
    </row>
    <row r="4730" ht="15.75" customHeight="1">
      <c r="A4730" s="1">
        <v>4728.0</v>
      </c>
      <c r="B4730" s="3" t="s">
        <v>4730</v>
      </c>
      <c r="C4730" s="3" t="str">
        <f>IFERROR(__xludf.DUMMYFUNCTION("GOOGLETRANSLATE(B4730,""id"",""en"")"),"['hello', 'min', 'please', 'made', 'package', 'special', 'streaming', 'lovers',' lovers', 'streaming', 'anime', ' Hopefully ',' Reply ']")</f>
        <v>['hello', 'min', 'please', 'made', 'package', 'special', 'streaming', 'lovers',' lovers', 'streaming', 'anime', ' Hopefully ',' Reply ']</v>
      </c>
      <c r="D4730" s="3">
        <v>5.0</v>
      </c>
    </row>
    <row r="4731" ht="15.75" customHeight="1">
      <c r="A4731" s="1">
        <v>4729.0</v>
      </c>
      <c r="B4731" s="3" t="s">
        <v>4731</v>
      </c>
      <c r="C4731" s="3" t="str">
        <f>IFERROR(__xludf.DUMMYFUNCTION("GOOGLETRANSLATE(B4731,""id"",""en"")"),"['love', 'star', 'dlu', 'expensive', 'really', 'list', 'price', 'package', 'my computer', 'exposed', 'impact', 'Corona', ' Love ',' Cheap ',' a little ',' ']")</f>
        <v>['love', 'star', 'dlu', 'expensive', 'really', 'list', 'price', 'package', 'my computer', 'exposed', 'impact', 'Corona', ' Love ',' Cheap ',' a little ',' ']</v>
      </c>
      <c r="D4731" s="3">
        <v>1.0</v>
      </c>
    </row>
    <row r="4732" ht="15.75" customHeight="1">
      <c r="A4732" s="1">
        <v>4730.0</v>
      </c>
      <c r="B4732" s="3" t="s">
        <v>4732</v>
      </c>
      <c r="C4732" s="3" t="str">
        <f>IFERROR(__xludf.DUMMYFUNCTION("GOOGLETRANSLATE(B4732,""id"",""en"")"),"['Buy', 'Package', 'Data', 'GB', 'Tomorrow', 'Buy', 'Clock', 'Night', 'Clock', 'Malm', 'Out', 'BANGJE', ' his name ',' hours', 'bsok', 'hedew', 'amsyong', 'money', 'sincere', 'oath']")</f>
        <v>['Buy', 'Package', 'Data', 'GB', 'Tomorrow', 'Buy', 'Clock', 'Night', 'Clock', 'Malm', 'Out', 'BANGJE', ' his name ',' hours', 'bsok', 'hedew', 'amsyong', 'money', 'sincere', 'oath']</v>
      </c>
      <c r="D4732" s="3">
        <v>1.0</v>
      </c>
    </row>
    <row r="4733" ht="15.75" customHeight="1">
      <c r="A4733" s="1">
        <v>4731.0</v>
      </c>
      <c r="B4733" s="3" t="s">
        <v>4733</v>
      </c>
      <c r="C4733" s="3" t="str">
        <f>IFERROR(__xludf.DUMMYFUNCTION("GOOGLETRANSLATE(B4733,""id"",""en"")"),"['Network', 'My place', 'Full', 'kluar', 'signs',' gag ',' used ',' pseudo ',' telkomsel ',' point ',' gag ',' clarity ',' please ',' repaired ',' thank ',' love ']")</f>
        <v>['Network', 'My place', 'Full', 'kluar', 'signs',' gag ',' used ',' pseudo ',' telkomsel ',' point ',' gag ',' clarity ',' please ',' repaired ',' thank ',' love ']</v>
      </c>
      <c r="D4733" s="3">
        <v>1.0</v>
      </c>
    </row>
    <row r="4734" ht="15.75" customHeight="1">
      <c r="A4734" s="1">
        <v>4732.0</v>
      </c>
      <c r="B4734" s="3" t="s">
        <v>4734</v>
      </c>
      <c r="C4734" s="3" t="str">
        <f>IFERROR(__xludf.DUMMYFUNCTION("GOOGLETRANSLATE(B4734,""id"",""en"")"),"['Woy', 'Network', 'problematic', 'then', 'last night', 'users',' Telkomsel ',' already ',' replace ',' number ',' try ',' check ',' Area ',' Sindanggalih ',' Karangtengah ',' Garut ',' BWT ',' work ',' Change ',' Provider ', ""]")</f>
        <v>['Woy', 'Network', 'problematic', 'then', 'last night', 'users',' Telkomsel ',' already ',' replace ',' number ',' try ',' check ',' Area ',' Sindanggalih ',' Karangtengah ',' Garut ',' BWT ',' work ',' Change ',' Provider ', "]</v>
      </c>
      <c r="D4734" s="3">
        <v>1.0</v>
      </c>
    </row>
    <row r="4735" ht="15.75" customHeight="1">
      <c r="A4735" s="1">
        <v>4733.0</v>
      </c>
      <c r="B4735" s="3" t="s">
        <v>4735</v>
      </c>
      <c r="C4735" s="3" t="str">
        <f>IFERROR(__xludf.DUMMYFUNCTION("GOOGLETRANSLATE(B4735,""id"",""en"")"),"['expensive', 'Telkomsel', 'people', 'rich', 'card', 'already', 'that's', 'network', 'slow', 'broad', 'Indonesia']")</f>
        <v>['expensive', 'Telkomsel', 'people', 'rich', 'card', 'already', 'that's', 'network', 'slow', 'broad', 'Indonesia']</v>
      </c>
      <c r="D4735" s="3">
        <v>1.0</v>
      </c>
    </row>
    <row r="4736" ht="15.75" customHeight="1">
      <c r="A4736" s="1">
        <v>4734.0</v>
      </c>
      <c r="B4736" s="3" t="s">
        <v>4736</v>
      </c>
      <c r="C4736" s="3" t="str">
        <f>IFERROR(__xludf.DUMMYFUNCTION("GOOGLETRANSLATE(B4736,""id"",""en"")"),"['expensive', 'compared to', 'operator', 'quota', 'internet', 'local', 'internet', 'national', 'network', 'slow', 'emang', 'sub-district', ' Tetep ',' slow ',' udeh ',' expensive ',' slow ',' ']")</f>
        <v>['expensive', 'compared to', 'operator', 'quota', 'internet', 'local', 'internet', 'national', 'network', 'slow', 'emang', 'sub-district', ' Tetep ',' slow ',' udeh ',' expensive ',' slow ',' ']</v>
      </c>
      <c r="D4736" s="3">
        <v>1.0</v>
      </c>
    </row>
    <row r="4737" ht="15.75" customHeight="1">
      <c r="A4737" s="1">
        <v>4735.0</v>
      </c>
      <c r="B4737" s="3" t="s">
        <v>4737</v>
      </c>
      <c r="C4737" s="3" t="str">
        <f>IFERROR(__xludf.DUMMYFUNCTION("GOOGLETRANSLATE(B4737,""id"",""en"")"),"['Link', 'Link', 'Menu', 'Heavy', 'Application', 'Rich', 'PGN', 'LIAT', 'Remnant', 'Quota', 'Fast', ""]")</f>
        <v>['Link', 'Link', 'Menu', 'Heavy', 'Application', 'Rich', 'PGN', 'LIAT', 'Remnant', 'Quota', 'Fast', "]</v>
      </c>
      <c r="D4737" s="3">
        <v>4.0</v>
      </c>
    </row>
    <row r="4738" ht="15.75" customHeight="1">
      <c r="A4738" s="1">
        <v>4736.0</v>
      </c>
      <c r="B4738" s="3" t="s">
        <v>4738</v>
      </c>
      <c r="C4738" s="3" t="str">
        <f>IFERROR(__xludf.DUMMYFUNCTION("GOOGLETRANSLATE(B4738,""id"",""en"")"),"['Love', 'Points', 'Telkomsel', 'Function', 'Point', 'Tuker', 'Credit', 'Jugak', ""]")</f>
        <v>['Love', 'Points', 'Telkomsel', 'Function', 'Point', 'Tuker', 'Credit', 'Jugak', "]</v>
      </c>
      <c r="D4738" s="3">
        <v>3.0</v>
      </c>
    </row>
    <row r="4739" ht="15.75" customHeight="1">
      <c r="A4739" s="1">
        <v>4737.0</v>
      </c>
      <c r="B4739" s="3" t="s">
        <v>4739</v>
      </c>
      <c r="C4739" s="3" t="str">
        <f>IFERROR(__xludf.DUMMYFUNCTION("GOOGLETRANSLATE(B4739,""id"",""en"")"),"['', 'Komplin', 'application', 'ofline', 'online', 'right', 'quota', 'buy', 'Telkomsel', ""]")</f>
        <v>['', 'Komplin', 'application', 'ofline', 'online', 'right', 'quota', 'buy', 'Telkomsel', "]</v>
      </c>
      <c r="D4739" s="3">
        <v>1.0</v>
      </c>
    </row>
    <row r="4740" ht="15.75" customHeight="1">
      <c r="A4740" s="1">
        <v>4738.0</v>
      </c>
      <c r="B4740" s="3" t="s">
        <v>4740</v>
      </c>
      <c r="C4740" s="3" t="str">
        <f>IFERROR(__xludf.DUMMYFUNCTION("GOOGLETRANSLATE(B4740,""id"",""en"")"),"['Buy', 'Package', 'YouTube', 'Discard', 'Discard', 'Credit', 'Mending', 'Axis', 'Smooth', 'Package', '']")</f>
        <v>['Buy', 'Package', 'YouTube', 'Discard', 'Discard', 'Credit', 'Mending', 'Axis', 'Smooth', 'Package', '']</v>
      </c>
      <c r="D4740" s="3">
        <v>1.0</v>
      </c>
    </row>
    <row r="4741" ht="15.75" customHeight="1">
      <c r="A4741" s="1">
        <v>4739.0</v>
      </c>
      <c r="B4741" s="3" t="s">
        <v>4741</v>
      </c>
      <c r="C4741" s="3" t="str">
        <f>IFERROR(__xludf.DUMMYFUNCTION("GOOGLETRANSLATE(B4741,""id"",""en"")"),"['Telkomsel', 'destroyed', 'quality', 'boss',' the application ',' signal ',' Telkomsel ',' skrg ',' uda ',' and ',' bad ',' Jga ',' Trust ',' consumer ',' boss', 'egomu', 'diggedein']")</f>
        <v>['Telkomsel', 'destroyed', 'quality', 'boss',' the application ',' signal ',' Telkomsel ',' skrg ',' uda ',' and ',' bad ',' Jga ',' Trust ',' consumer ',' boss', 'egomu', 'diggedein']</v>
      </c>
      <c r="D4741" s="3">
        <v>3.0</v>
      </c>
    </row>
    <row r="4742" ht="15.75" customHeight="1">
      <c r="A4742" s="1">
        <v>4740.0</v>
      </c>
      <c r="B4742" s="3" t="s">
        <v>4742</v>
      </c>
      <c r="C4742" s="3" t="str">
        <f>IFERROR(__xludf.DUMMYFUNCTION("GOOGLETRANSLATE(B4742,""id"",""en"")"),"['Since', 'update', 'login', 'enter', 'application', 'please', 'fix', 'star']")</f>
        <v>['Since', 'update', 'login', 'enter', 'application', 'please', 'fix', 'star']</v>
      </c>
      <c r="D4742" s="3">
        <v>2.0</v>
      </c>
    </row>
    <row r="4743" ht="15.75" customHeight="1">
      <c r="A4743" s="1">
        <v>4741.0</v>
      </c>
      <c r="B4743" s="3" t="s">
        <v>4743</v>
      </c>
      <c r="C4743" s="3" t="str">
        <f>IFERROR(__xludf.DUMMYFUNCTION("GOOGLETRANSLATE(B4743,""id"",""en"")"),"['Hello', 'Telkomsel', 'buy', 'package', 'internet', 'fast', 'enter', 'process',' network ',' combo ',' surabaya ',' ',' repaired ',' thank ',' love ']")</f>
        <v>['Hello', 'Telkomsel', 'buy', 'package', 'internet', 'fast', 'enter', 'process',' network ',' combo ',' surabaya ',' ',' repaired ',' thank ',' love ']</v>
      </c>
      <c r="D4743" s="3">
        <v>4.0</v>
      </c>
    </row>
    <row r="4744" ht="15.75" customHeight="1">
      <c r="A4744" s="1">
        <v>4742.0</v>
      </c>
      <c r="B4744" s="3" t="s">
        <v>4744</v>
      </c>
      <c r="C4744" s="3" t="str">
        <f>IFERROR(__xludf.DUMMYFUNCTION("GOOGLETRANSLATE(B4744,""id"",""en"")"),"['Telkomsel', 'best', 'best']")</f>
        <v>['Telkomsel', 'best', 'best']</v>
      </c>
      <c r="D4744" s="3">
        <v>5.0</v>
      </c>
    </row>
    <row r="4745" ht="15.75" customHeight="1">
      <c r="A4745" s="1">
        <v>4743.0</v>
      </c>
      <c r="B4745" s="3" t="s">
        <v>4745</v>
      </c>
      <c r="C4745" s="3" t="str">
        <f>IFERROR(__xludf.DUMMYFUNCTION("GOOGLETRANSLATE(B4745,""id"",""en"")"),"['Come on', 'advanced', 'people', 'Indonesia', 'Telkomsel', 'triumphed', 'pride', 'community', 'Indonesia', ""]")</f>
        <v>['Come on', 'advanced', 'people', 'Indonesia', 'Telkomsel', 'triumphed', 'pride', 'community', 'Indonesia', "]</v>
      </c>
      <c r="D4745" s="3">
        <v>5.0</v>
      </c>
    </row>
    <row r="4746" ht="15.75" customHeight="1">
      <c r="A4746" s="1">
        <v>4744.0</v>
      </c>
      <c r="B4746" s="3" t="s">
        <v>4746</v>
      </c>
      <c r="C4746" s="3" t="str">
        <f>IFERROR(__xludf.DUMMYFUNCTION("GOOGLETRANSLATE(B4746,""id"",""en"")"),"['Credit', 'Cut', 'Severe', 'LGI', 'BUY', 'Credit', 'Abis',' Instant ',' Down ',' Very ',' Cave ',' oath ',' what are you doing']")</f>
        <v>['Credit', 'Cut', 'Severe', 'LGI', 'BUY', 'Credit', 'Abis',' Instant ',' Down ',' Very ',' Cave ',' oath ',' what are you doing']</v>
      </c>
      <c r="D4746" s="3">
        <v>1.0</v>
      </c>
    </row>
    <row r="4747" ht="15.75" customHeight="1">
      <c r="A4747" s="1">
        <v>4745.0</v>
      </c>
      <c r="B4747" s="3" t="s">
        <v>4747</v>
      </c>
      <c r="C4747" s="3" t="str">
        <f>IFERROR(__xludf.DUMMYFUNCTION("GOOGLETRANSLATE(B4747,""id"",""en"")"),"['Disappointed', 'Kouta', 'Games',' Kouta ',' Regular ',' Telkomsel ',' Adin ',' Kouta ',' Games', 'Kaga', 'Kouta', 'Games',' Aaada ',' City ',' Regular ',' LOL ']")</f>
        <v>['Disappointed', 'Kouta', 'Games',' Kouta ',' Regular ',' Telkomsel ',' Adin ',' Kouta ',' Games', 'Kaga', 'Kouta', 'Games',' Aaada ',' City ',' Regular ',' LOL ']</v>
      </c>
      <c r="D4747" s="3">
        <v>1.0</v>
      </c>
    </row>
    <row r="4748" ht="15.75" customHeight="1">
      <c r="A4748" s="1">
        <v>4746.0</v>
      </c>
      <c r="B4748" s="3" t="s">
        <v>4748</v>
      </c>
      <c r="C4748" s="3" t="str">
        <f>IFERROR(__xludf.DUMMYFUNCTION("GOOGLETRANSLATE(B4748,""id"",""en"")"),"['In the area', 'sector', 'bintaro', 'housing', 'discovery', 'eola', 'signal', 'Telkomsel', 'difficult', 'outside', 'home', 'mhn', ' Looked on ',' Trimakadih ']")</f>
        <v>['In the area', 'sector', 'bintaro', 'housing', 'discovery', 'eola', 'signal', 'Telkomsel', 'difficult', 'outside', 'home', 'mhn', ' Looked on ',' Trimakadih ']</v>
      </c>
      <c r="D4748" s="3">
        <v>4.0</v>
      </c>
    </row>
    <row r="4749" ht="15.75" customHeight="1">
      <c r="A4749" s="1">
        <v>4747.0</v>
      </c>
      <c r="B4749" s="3" t="s">
        <v>4749</v>
      </c>
      <c r="C4749" s="3" t="str">
        <f>IFERROR(__xludf.DUMMYFUNCTION("GOOGLETRANSLATE(B4749,""id"",""en"")"),"['Sorry', 'Kasi', 'star', 'pulse', 'sucked', 'HBIS', 'details',' usage ',' data ',' be ',' Rapa ',' use ',' package ',' data ',' active ',' trjadi ',' charging ',' credit ',' Bukn ',' ATW ',' Please ',' Telkom ',' Cheating ',' Membuat ',' Comfortable ' , "&amp;"'Telkomsel', '']")</f>
        <v>['Sorry', 'Kasi', 'star', 'pulse', 'sucked', 'HBIS', 'details',' usage ',' data ',' be ',' Rapa ',' use ',' package ',' data ',' active ',' trjadi ',' charging ',' credit ',' Bukn ',' ATW ',' Please ',' Telkom ',' Cheating ',' Membuat ',' Comfortable ' , 'Telkomsel', '']</v>
      </c>
      <c r="D4749" s="3">
        <v>2.0</v>
      </c>
    </row>
    <row r="4750" ht="15.75" customHeight="1">
      <c r="A4750" s="1">
        <v>4748.0</v>
      </c>
      <c r="B4750" s="3" t="s">
        <v>4750</v>
      </c>
      <c r="C4750" s="3" t="str">
        <f>IFERROR(__xludf.DUMMYFUNCTION("GOOGLETRANSLATE(B4750,""id"",""en"")"),"['network', 'Telkomsel', 'card', 'slow', 'package', 'cheap', 'thousand', 'slow', 'home', 'side', 'tower', 'telkom', ' ']")</f>
        <v>['network', 'Telkomsel', 'card', 'slow', 'package', 'cheap', 'thousand', 'slow', 'home', 'side', 'tower', 'telkom', ' ']</v>
      </c>
      <c r="D4750" s="3">
        <v>4.0</v>
      </c>
    </row>
    <row r="4751" ht="15.75" customHeight="1">
      <c r="A4751" s="1">
        <v>4749.0</v>
      </c>
      <c r="B4751" s="3" t="s">
        <v>4751</v>
      </c>
      <c r="C4751" s="3" t="str">
        <f>IFERROR(__xludf.DUMMYFUNCTION("GOOGLETRANSLATE(B4751,""id"",""en"")"),"['Network', 'knpa', 'ugly', 'really', 'then', 'like', 'disorder', 'like', 'ilang', 'signal', 'lazy', 'make', ' default ',' kepengen ',' change ',' card ',' kayak ',' gini ', ""]")</f>
        <v>['Network', 'knpa', 'ugly', 'really', 'then', 'like', 'disorder', 'like', 'ilang', 'signal', 'lazy', 'make', ' default ',' kepengen ',' change ',' card ',' kayak ',' gini ', "]</v>
      </c>
      <c r="D4751" s="3">
        <v>1.0</v>
      </c>
    </row>
    <row r="4752" ht="15.75" customHeight="1">
      <c r="A4752" s="1">
        <v>4750.0</v>
      </c>
      <c r="B4752" s="3" t="s">
        <v>4752</v>
      </c>
      <c r="C4752" s="3" t="str">
        <f>IFERROR(__xludf.DUMMYFUNCTION("GOOGLETRANSLATE(B4752,""id"",""en"")"),"['Telkomsel', 'sekrang', 'tissue', 'good', 'jringanya', 'full', 'telponan', 'internet', 'klok', 'boro', 'jerried', 'full', ' High school ',' Sekarti ',' entry ',' application ',' repeated ',' reset ',' smapai ',' entry ',' klok ',' that's', 'enter', 'plea"&amp;"se', 'telkomse' , 'repaired', 'his web', 'gini', 'mulu', 'price', 'card', 'expensive', 'his web', 'how', ""]")</f>
        <v>['Telkomsel', 'sekrang', 'tissue', 'good', 'jringanya', 'full', 'telponan', 'internet', 'klok', 'boro', 'jerried', 'full', ' High school ',' Sekarti ',' entry ',' application ',' repeated ',' reset ',' smapai ',' entry ',' klok ',' that's', 'enter', 'please', 'telkomse' , 'repaired', 'his web', 'gini', 'mulu', 'price', 'card', 'expensive', 'his web', 'how', "]</v>
      </c>
      <c r="D4752" s="3">
        <v>1.0</v>
      </c>
    </row>
    <row r="4753" ht="15.75" customHeight="1">
      <c r="A4753" s="1">
        <v>4751.0</v>
      </c>
      <c r="B4753" s="3" t="s">
        <v>4753</v>
      </c>
      <c r="C4753" s="3" t="str">
        <f>IFERROR(__xludf.DUMMYFUNCTION("GOOGLETRANSLATE(B4753,""id"",""en"")"),"['Program', 'Lottery', 'Telkomsel', 'ksih', 'Java', 'skkali', 'kasi', 'saman', 'people', 'east', 'kbanayakn', 'people', ' East ',' Telkomsel ',' ']")</f>
        <v>['Program', 'Lottery', 'Telkomsel', 'ksih', 'Java', 'skkali', 'kasi', 'saman', 'people', 'east', 'kbanayakn', 'people', ' East ',' Telkomsel ',' ']</v>
      </c>
      <c r="D4753" s="3">
        <v>5.0</v>
      </c>
    </row>
    <row r="4754" ht="15.75" customHeight="1">
      <c r="A4754" s="1">
        <v>4752.0</v>
      </c>
      <c r="B4754" s="3" t="s">
        <v>4754</v>
      </c>
      <c r="C4754" s="3" t="str">
        <f>IFERROR(__xludf.DUMMYFUNCTION("GOOGLETRANSLATE(B4754,""id"",""en"")"),"['Russy', 'migration', 'card', 'Hello', 'Make', 'Telkomsel', 'Krna', 'already', 'contact', 'Nyanol', 'Bener', 'Bener', ' complicated']")</f>
        <v>['Russy', 'migration', 'card', 'Hello', 'Make', 'Telkomsel', 'Krna', 'already', 'contact', 'Nyanol', 'Bener', 'Bener', ' complicated']</v>
      </c>
      <c r="D4754" s="3">
        <v>1.0</v>
      </c>
    </row>
    <row r="4755" ht="15.75" customHeight="1">
      <c r="A4755" s="1">
        <v>4753.0</v>
      </c>
      <c r="B4755" s="3" t="s">
        <v>4755</v>
      </c>
      <c r="C4755" s="3" t="str">
        <f>IFERROR(__xludf.DUMMYFUNCTION("GOOGLETRANSLATE(B4755,""id"",""en"")"),"['expensive', 'expensive', 'package', 'a month', 'love', 'discount', '']")</f>
        <v>['expensive', 'expensive', 'package', 'a month', 'love', 'discount', '']</v>
      </c>
      <c r="D4755" s="3">
        <v>5.0</v>
      </c>
    </row>
    <row r="4756" ht="15.75" customHeight="1">
      <c r="A4756" s="1">
        <v>4754.0</v>
      </c>
      <c r="B4756" s="3" t="s">
        <v>4756</v>
      </c>
      <c r="C4756" s="3" t="str">
        <f>IFERROR(__xludf.DUMMYFUNCTION("GOOGLETRANSLATE(B4756,""id"",""en"")"),"['Telkomsel', 'Alert', 'Serving', 'Consumers', 'Continue', ""]")</f>
        <v>['Telkomsel', 'Alert', 'Serving', 'Consumers', 'Continue', "]</v>
      </c>
      <c r="D4756" s="3">
        <v>4.0</v>
      </c>
    </row>
    <row r="4757" ht="15.75" customHeight="1">
      <c r="A4757" s="1">
        <v>4755.0</v>
      </c>
      <c r="B4757" s="3" t="s">
        <v>4757</v>
      </c>
      <c r="C4757" s="3" t="str">
        <f>IFERROR(__xludf.DUMMYFUNCTION("GOOGLETRANSLATE(B4757,""id"",""en"")"),"['Telkomsel', 'Please', 'Features',' Key ',' Credit ',' Karna ',' Content ',' Credit ',' Out ',' Karna ',' Deliberate ',' Activate ',' Data ',' cellular ',' ']")</f>
        <v>['Telkomsel', 'Please', 'Features',' Key ',' Credit ',' Karna ',' Content ',' Credit ',' Out ',' Karna ',' Deliberate ',' Activate ',' Data ',' cellular ',' ']</v>
      </c>
      <c r="D4757" s="3">
        <v>3.0</v>
      </c>
    </row>
    <row r="4758" ht="15.75" customHeight="1">
      <c r="A4758" s="1">
        <v>4756.0</v>
      </c>
      <c r="B4758" s="3" t="s">
        <v>4758</v>
      </c>
      <c r="C4758" s="3" t="str">
        <f>IFERROR(__xludf.DUMMYFUNCTION("GOOGLETRANSLATE(B4758,""id"",""en"")"),"['Comfortable', 'easy', 'transact', 'in front', 'Tsel', '']")</f>
        <v>['Comfortable', 'easy', 'transact', 'in front', 'Tsel', '']</v>
      </c>
      <c r="D4758" s="3">
        <v>5.0</v>
      </c>
    </row>
    <row r="4759" ht="15.75" customHeight="1">
      <c r="A4759" s="1">
        <v>4757.0</v>
      </c>
      <c r="B4759" s="3" t="s">
        <v>4759</v>
      </c>
      <c r="C4759" s="3" t="str">
        <f>IFERROR(__xludf.DUMMYFUNCTION("GOOGLETRANSLATE(B4759,""id"",""en"")"),"['easy', 'informative', 'signal', 'increase', 'forget', 'price', 'economical', 'era', 'pandemic']")</f>
        <v>['easy', 'informative', 'signal', 'increase', 'forget', 'price', 'economical', 'era', 'pandemic']</v>
      </c>
      <c r="D4759" s="3">
        <v>5.0</v>
      </c>
    </row>
    <row r="4760" ht="15.75" customHeight="1">
      <c r="A4760" s="1">
        <v>4758.0</v>
      </c>
      <c r="B4760" s="3" t="s">
        <v>4760</v>
      </c>
      <c r="C4760" s="3" t="str">
        <f>IFERROR(__xludf.DUMMYFUNCTION("GOOGLETRANSLATE(B4760,""id"",""en"")"),"['Telkomsel', 'smakin', 'signal', 'already', 'slow', 'kayak', 'conch', 'hit', 'rain', 'a little', 'slow', 'base', ' Ryesel ',' pkek ',' Telkomsel ',' name ',' quality ',' ']")</f>
        <v>['Telkomsel', 'smakin', 'signal', 'already', 'slow', 'kayak', 'conch', 'hit', 'rain', 'a little', 'slow', 'base', ' Ryesel ',' pkek ',' Telkomsel ',' name ',' quality ',' ']</v>
      </c>
      <c r="D4760" s="3">
        <v>1.0</v>
      </c>
    </row>
    <row r="4761" ht="15.75" customHeight="1">
      <c r="A4761" s="1">
        <v>4759.0</v>
      </c>
      <c r="B4761" s="3" t="s">
        <v>4761</v>
      </c>
      <c r="C4761" s="3" t="str">
        <f>IFERROR(__xludf.DUMMYFUNCTION("GOOGLETRANSLATE(B4761,""id"",""en"")"),"['signal', 'good', 'package', 'expensive', 'circles', 'class', 'medium', 'down']")</f>
        <v>['signal', 'good', 'package', 'expensive', 'circles', 'class', 'medium', 'down']</v>
      </c>
      <c r="D4761" s="3">
        <v>5.0</v>
      </c>
    </row>
    <row r="4762" ht="15.75" customHeight="1">
      <c r="A4762" s="1">
        <v>4760.0</v>
      </c>
      <c r="B4762" s="3" t="s">
        <v>4762</v>
      </c>
      <c r="C4762" s="3" t="str">
        <f>IFERROR(__xludf.DUMMYFUNCTION("GOOGLETRANSLATE(B4762,""id"",""en"")"),"['murmured', 'buy', 'package', 'data', 'internet', 'internet', 'pulse', 'sucked', 'Heyy', 'Telkomsel', 'detrimental', 'times',' repeatedly', '']")</f>
        <v>['murmured', 'buy', 'package', 'data', 'internet', 'internet', 'pulse', 'sucked', 'Heyy', 'Telkomsel', 'detrimental', 'times',' repeatedly', '']</v>
      </c>
      <c r="D4762" s="3">
        <v>1.0</v>
      </c>
    </row>
    <row r="4763" ht="15.75" customHeight="1">
      <c r="A4763" s="1">
        <v>4761.0</v>
      </c>
      <c r="B4763" s="3" t="s">
        <v>4763</v>
      </c>
      <c r="C4763" s="3" t="str">
        <f>IFERROR(__xludf.DUMMYFUNCTION("GOOGLETRANSLATE(B4763,""id"",""en"")"),"['Sorry', 'like', 'slow', 'users', 'Telkomsel', 'TLG', 'Increase', 'front', ""]")</f>
        <v>['Sorry', 'like', 'slow', 'users', 'Telkomsel', 'TLG', 'Increase', 'front', "]</v>
      </c>
      <c r="D4763" s="3">
        <v>4.0</v>
      </c>
    </row>
    <row r="4764" ht="15.75" customHeight="1">
      <c r="A4764" s="1">
        <v>4762.0</v>
      </c>
      <c r="B4764" s="3" t="s">
        <v>4764</v>
      </c>
      <c r="C4764" s="3" t="str">
        <f>IFERROR(__xludf.DUMMYFUNCTION("GOOGLETRANSLATE(B4764,""id"",""en"")"),"['', 'monthly', 'patient', 'quality', 'network', 'Telkomsel', 'decreases',' Alhamdulillah ',' problematic ',' network ',' Telkomsel ',' Sya ',' moved ',' Provider ',' next door ',' ']")</f>
        <v>['', 'monthly', 'patient', 'quality', 'network', 'Telkomsel', 'decreases',' Alhamdulillah ',' problematic ',' network ',' Telkomsel ',' Sya ',' moved ',' Provider ',' next door ',' ']</v>
      </c>
      <c r="D4764" s="3">
        <v>1.0</v>
      </c>
    </row>
    <row r="4765" ht="15.75" customHeight="1">
      <c r="A4765" s="1">
        <v>4763.0</v>
      </c>
      <c r="B4765" s="3" t="s">
        <v>4765</v>
      </c>
      <c r="C4765" s="3" t="str">
        <f>IFERROR(__xludf.DUMMYFUNCTION("GOOGLETRANSLATE(B4765,""id"",""en"")"),"['hope', 'star', 'in the future', 'offer', 'buy', 'package', 'data', 'price', 'cheap', '']")</f>
        <v>['hope', 'star', 'in the future', 'offer', 'buy', 'package', 'data', 'price', 'cheap', '']</v>
      </c>
      <c r="D4765" s="3">
        <v>5.0</v>
      </c>
    </row>
    <row r="4766" ht="15.75" customHeight="1">
      <c r="A4766" s="1">
        <v>4764.0</v>
      </c>
      <c r="B4766" s="3" t="s">
        <v>4766</v>
      </c>
      <c r="C4766" s="3" t="str">
        <f>IFERROR(__xludf.DUMMYFUNCTION("GOOGLETRANSLATE(B4766,""id"",""en"")"),"['The network', 'bad', 'Mulu', 'package', 'expensive', 'Quality', 'bad', 'please', 'fix', 'star']")</f>
        <v>['The network', 'bad', 'Mulu', 'package', 'expensive', 'Quality', 'bad', 'please', 'fix', 'star']</v>
      </c>
      <c r="D4766" s="3">
        <v>3.0</v>
      </c>
    </row>
    <row r="4767" ht="15.75" customHeight="1">
      <c r="A4767" s="1">
        <v>4765.0</v>
      </c>
      <c r="B4767" s="3" t="s">
        <v>4767</v>
      </c>
      <c r="C4767" s="3" t="str">
        <f>IFERROR(__xludf.DUMMYFUNCTION("GOOGLETRANSLATE(B4767,""id"",""en"")"),"['Disappointed', 'really', 'Telkomsel', 'PDAH', 'Telkomsel', 'SBLM', 'update', 'network', 'signal', 'good', 'since' HBs ',' update ',' signal ',' karuan ',' times', 'ilang', 'pdahal', 'tower', 'telkomsel', 'tlng', 'fix', 'disappointed', 'customer', 'origi"&amp;"nal' , 'very disappointed', '']")</f>
        <v>['Disappointed', 'really', 'Telkomsel', 'PDAH', 'Telkomsel', 'SBLM', 'update', 'network', 'signal', 'good', 'since' HBs ',' update ',' signal ',' karuan ',' times', 'ilang', 'pdahal', 'tower', 'telkomsel', 'tlng', 'fix', 'disappointed', 'customer', 'original' , 'very disappointed', '']</v>
      </c>
      <c r="D4767" s="3">
        <v>1.0</v>
      </c>
    </row>
    <row r="4768" ht="15.75" customHeight="1">
      <c r="A4768" s="1">
        <v>4766.0</v>
      </c>
      <c r="B4768" s="3" t="s">
        <v>4768</v>
      </c>
      <c r="C4768" s="3" t="str">
        <f>IFERROR(__xludf.DUMMYFUNCTION("GOOGLETRANSLATE(B4768,""id"",""en"")"),"['Telkomsel', 'network', 'broken', 'times',' pdhl ',' telkom ',' good ',' network ',' skrngg ',' network ',' stable ',' disappointed ',' BNGT ',' Telkom ',' skrngg ',' fill in ',' pulse ',' sumps', 'then', 'bill', 'please', 'repaired', 'tuuu', 'network', "&amp;"'nyaaaa' , '']")</f>
        <v>['Telkomsel', 'network', 'broken', 'times',' pdhl ',' telkom ',' good ',' network ',' skrngg ',' network ',' stable ',' disappointed ',' BNGT ',' Telkom ',' skrngg ',' fill in ',' pulse ',' sumps', 'then', 'bill', 'please', 'repaired', 'tuuu', 'network', 'nyaaaa' , '']</v>
      </c>
      <c r="D4768" s="3">
        <v>1.0</v>
      </c>
    </row>
    <row r="4769" ht="15.75" customHeight="1">
      <c r="A4769" s="1">
        <v>4767.0</v>
      </c>
      <c r="B4769" s="3" t="s">
        <v>4769</v>
      </c>
      <c r="C4769" s="3" t="str">
        <f>IFERROR(__xludf.DUMMYFUNCTION("GOOGLETRANSLATE(B4769,""id"",""en"")"),"['Quality', 'quantity', 'network', 'ugly', 'cuiiih', 'replace', 'provider', 'buy', 'quota', 'expensive', 'quality', 'already', ' Yok ',' Change ',' Provider ',' ']")</f>
        <v>['Quality', 'quantity', 'network', 'ugly', 'cuiiih', 'replace', 'provider', 'buy', 'quota', 'expensive', 'quality', 'already', ' Yok ',' Change ',' Provider ',' ']</v>
      </c>
      <c r="D4769" s="3">
        <v>1.0</v>
      </c>
    </row>
    <row r="4770" ht="15.75" customHeight="1">
      <c r="A4770" s="1">
        <v>4768.0</v>
      </c>
      <c r="B4770" s="3" t="s">
        <v>4770</v>
      </c>
      <c r="C4770" s="3" t="str">
        <f>IFERROR(__xludf.DUMMYFUNCTION("GOOGLETRANSLATE(B4770,""id"",""en"")"),"['APL', 'Good', 'Bangett', 'Cool', 'Anyway', 'Promo', 'Interesting', 'Yesel', 'Download', ""]")</f>
        <v>['APL', 'Good', 'Bangett', 'Cool', 'Anyway', 'Promo', 'Interesting', 'Yesel', 'Download', "]</v>
      </c>
      <c r="D4770" s="3">
        <v>5.0</v>
      </c>
    </row>
    <row r="4771" ht="15.75" customHeight="1">
      <c r="A4771" s="1">
        <v>4769.0</v>
      </c>
      <c r="B4771" s="3" t="s">
        <v>4771</v>
      </c>
      <c r="C4771" s="3" t="str">
        <f>IFERROR(__xludf.DUMMYFUNCTION("GOOGLETRANSLATE(B4771,""id"",""en"")"),"['internet', 'max', 'package', 'me', 'buy', 'buy', 'card', 'package', '']")</f>
        <v>['internet', 'max', 'package', 'me', 'buy', 'buy', 'card', 'package', '']</v>
      </c>
      <c r="D4771" s="3">
        <v>1.0</v>
      </c>
    </row>
    <row r="4772" ht="15.75" customHeight="1">
      <c r="A4772" s="1">
        <v>4770.0</v>
      </c>
      <c r="B4772" s="3" t="s">
        <v>4772</v>
      </c>
      <c r="C4772" s="3" t="str">
        <f>IFERROR(__xludf.DUMMYFUNCTION("GOOGLETRANSLATE(B4772,""id"",""en"")"),"['package', 'doang', 'expensive', 'signal', 'urus', 'emang', 'card', 'want', 'fortunate', ""]")</f>
        <v>['package', 'doang', 'expensive', 'signal', 'urus', 'emang', 'card', 'want', 'fortunate', "]</v>
      </c>
      <c r="D4772" s="3">
        <v>1.0</v>
      </c>
    </row>
    <row r="4773" ht="15.75" customHeight="1">
      <c r="A4773" s="1">
        <v>4771.0</v>
      </c>
      <c r="B4773" s="3" t="s">
        <v>4773</v>
      </c>
      <c r="C4773" s="3" t="str">
        <f>IFERROR(__xludf.DUMMYFUNCTION("GOOGLETRANSLATE(B4773,""id"",""en"")"),"['Network', 'Good', 'bangetttttttttttttttttttttttttttttttttttttttttttttttttttttttttttttttttttttttttttttttttttttttttttttttttttttttttttttt")</f>
        <v>['Network', 'Good', 'bangetttttttttttttttttttttttttttttttttttttttttttttttttttttttttttttttttttttttttttttttttttttttttttttttttttttttttttttt</v>
      </c>
      <c r="D4773" s="3">
        <v>5.0</v>
      </c>
    </row>
    <row r="4774" ht="15.75" customHeight="1">
      <c r="A4774" s="1">
        <v>4772.0</v>
      </c>
      <c r="B4774" s="3" t="s">
        <v>4774</v>
      </c>
      <c r="C4774" s="3" t="str">
        <f>IFERROR(__xludf.DUMMYFUNCTION("GOOGLETRANSLATE(B4774,""id"",""en"")"),"['Sorry', 'customer', 'leave', 'Telkomsel', 'network', 'presentation', 'according to', 'price', 'bandrol', 'choose', 'Telkomsel', 'network', ' Stable ',' setback ',' Thank you ',' Service ',' Choosing ',' Provider ',' Sunday ',' Disappointed ',' Service '"&amp;",' Telkomsel ',' Complaints', 'Ignore', 'Solution' , 'Thank you', 'experience', 'loss', 'due to']")</f>
        <v>['Sorry', 'customer', 'leave', 'Telkomsel', 'network', 'presentation', 'according to', 'price', 'bandrol', 'choose', 'Telkomsel', 'network', ' Stable ',' setback ',' Thank you ',' Service ',' Choosing ',' Provider ',' Sunday ',' Disappointed ',' Service ',' Telkomsel ',' Complaints', 'Ignore', 'Solution' , 'Thank you', 'experience', 'loss', 'due to']</v>
      </c>
      <c r="D4774" s="3">
        <v>1.0</v>
      </c>
    </row>
    <row r="4775" ht="15.75" customHeight="1">
      <c r="A4775" s="1">
        <v>4773.0</v>
      </c>
      <c r="B4775" s="3" t="s">
        <v>4775</v>
      </c>
      <c r="C4775" s="3" t="str">
        <f>IFERROR(__xludf.DUMMYFUNCTION("GOOGLETRANSLATE(B4775,""id"",""en"")"),"['Bgus', 'because', 'always', 'difficulty', 'open', 'application', 'uninstall', 'download', 'open', 'loss', 'drain', 'quota']")</f>
        <v>['Bgus', 'because', 'always', 'difficulty', 'open', 'application', 'uninstall', 'download', 'open', 'loss', 'drain', 'quota']</v>
      </c>
      <c r="D4775" s="3">
        <v>2.0</v>
      </c>
    </row>
    <row r="4776" ht="15.75" customHeight="1">
      <c r="A4776" s="1">
        <v>4774.0</v>
      </c>
      <c r="B4776" s="3" t="s">
        <v>4776</v>
      </c>
      <c r="C4776" s="3" t="str">
        <f>IFERROR(__xludf.DUMMYFUNCTION("GOOGLETRANSLATE(B4776,""id"",""en"")"),"['Network', 'ugly', 'lose', 'provider', 'cheap', 'Telkomsel', 'win', 'expensive', 'doang', 'signal', 'disappointed']")</f>
        <v>['Network', 'ugly', 'lose', 'provider', 'cheap', 'Telkomsel', 'win', 'expensive', 'doang', 'signal', 'disappointed']</v>
      </c>
      <c r="D4776" s="3">
        <v>1.0</v>
      </c>
    </row>
    <row r="4777" ht="15.75" customHeight="1">
      <c r="A4777" s="1">
        <v>4775.0</v>
      </c>
      <c r="B4777" s="3" t="s">
        <v>4777</v>
      </c>
      <c r="C4777" s="3" t="str">
        <f>IFERROR(__xludf.DUMMYFUNCTION("GOOGLETRANSLATE(B4777,""id"",""en"")"),"['Please', 'Maap', 'Rating', 'ugly', 'buy', 'package', 'expensive', 'signal', 'slow', 'mah', ""]")</f>
        <v>['Please', 'Maap', 'Rating', 'ugly', 'buy', 'package', 'expensive', 'signal', 'slow', 'mah', "]</v>
      </c>
      <c r="D4777" s="3">
        <v>1.0</v>
      </c>
    </row>
    <row r="4778" ht="15.75" customHeight="1">
      <c r="A4778" s="1">
        <v>4776.0</v>
      </c>
      <c r="B4778" s="3" t="s">
        <v>4778</v>
      </c>
      <c r="C4778" s="3" t="str">
        <f>IFERROR(__xludf.DUMMYFUNCTION("GOOGLETRANSLATE(B4778,""id"",""en"")"),"['network', 'Papua', 'slow', 'network', 'like', 'missing', 'customers', 'loyal', 'Telkomsel', 'disappointed', ""]")</f>
        <v>['network', 'Papua', 'slow', 'network', 'like', 'missing', 'customers', 'loyal', 'Telkomsel', 'disappointed', "]</v>
      </c>
      <c r="D4778" s="3">
        <v>1.0</v>
      </c>
    </row>
    <row r="4779" ht="15.75" customHeight="1">
      <c r="A4779" s="1">
        <v>4777.0</v>
      </c>
      <c r="B4779" s="3" t="s">
        <v>4779</v>
      </c>
      <c r="C4779" s="3" t="str">
        <f>IFERROR(__xludf.DUMMYFUNCTION("GOOGLETRANSLATE(B4779,""id"",""en"")"),"['Ass',' area ',' exact ',' kec ',' tanun ',' kab ',' rokanhulu ',' ugly ',' network ',' telkomsel ',' card ',' panel ',' network ',' LTE ',' lines', 'citizens',' loyal ',' Telkomsel ',' decided ',' switch ',' idosat ',' Haarappan ',' user ',' loyal ',' T"&amp;"lkomsel ' , 'raise', 'existence', 'improve', 'quality', 'network', 'feel', 'glte', 'slow', 'enjoyed', 'user', 'so thank you', ' ']")</f>
        <v>['Ass',' area ',' exact ',' kec ',' tanun ',' kab ',' rokanhulu ',' ugly ',' network ',' telkomsel ',' card ',' panel ',' network ',' LTE ',' lines', 'citizens',' loyal ',' Telkomsel ',' decided ',' switch ',' idosat ',' Haarappan ',' user ',' loyal ',' Tlkomsel ' , 'raise', 'existence', 'improve', 'quality', 'network', 'feel', 'glte', 'slow', 'enjoyed', 'user', 'so thank you', ' ']</v>
      </c>
      <c r="D4779" s="3">
        <v>1.0</v>
      </c>
    </row>
    <row r="4780" ht="15.75" customHeight="1">
      <c r="A4780" s="1">
        <v>4778.0</v>
      </c>
      <c r="B4780" s="3" t="s">
        <v>4780</v>
      </c>
      <c r="C4780" s="3" t="str">
        <f>IFERROR(__xludf.DUMMYFUNCTION("GOOGLETRANSLATE(B4780,""id"",""en"")"),"['app', 'makes it easier', 'transaction', 'purchase', 'kouta', 'etc.', 'recommended', 'like', 'search', 'price', 'package', 'internet', ' BDLL ',' ']")</f>
        <v>['app', 'makes it easier', 'transaction', 'purchase', 'kouta', 'etc.', 'recommended', 'like', 'search', 'price', 'package', 'internet', ' BDLL ',' ']</v>
      </c>
      <c r="D4780" s="3">
        <v>5.0</v>
      </c>
    </row>
    <row r="4781" ht="15.75" customHeight="1">
      <c r="A4781" s="1">
        <v>4779.0</v>
      </c>
      <c r="B4781" s="3" t="s">
        <v>4781</v>
      </c>
      <c r="C4781" s="3" t="str">
        <f>IFERROR(__xludf.DUMMYFUNCTION("GOOGLETRANSLATE(B4781,""id"",""en"")"),"['Good', 'good', 'open', 'right', 'quota', 'pulse', 'contents', 'quota', 'mytelkomsel', 'run out', 'quota']")</f>
        <v>['Good', 'good', 'open', 'right', 'quota', 'pulse', 'contents', 'quota', 'mytelkomsel', 'run out', 'quota']</v>
      </c>
      <c r="D4781" s="3">
        <v>4.0</v>
      </c>
    </row>
    <row r="4782" ht="15.75" customHeight="1">
      <c r="A4782" s="1">
        <v>4780.0</v>
      </c>
      <c r="B4782" s="3" t="s">
        <v>4782</v>
      </c>
      <c r="C4782" s="3" t="str">
        <f>IFERROR(__xludf.DUMMYFUNCTION("GOOGLETRANSLATE(B4782,""id"",""en"")"),"['Please', 'Implement', 'Pulse', 'Safe', 'Use', 'Quota', 'Data', 'Internet', 'Review', 'Upgrade', 'Hello', 'Thank', ' Love ',' Update ',' Service ',' Card ',' Hello ',' Disappointing ',' Application ',' Network ',' Repaired ',' Upgrade ',' Hello ',' Netwo"&amp;"rk ',' Smooth ' , 'Jaya', 'already', 'post', 'pay', 'network', 'priority', '']")</f>
        <v>['Please', 'Implement', 'Pulse', 'Safe', 'Use', 'Quota', 'Data', 'Internet', 'Review', 'Upgrade', 'Hello', 'Thank', ' Love ',' Update ',' Service ',' Card ',' Hello ',' Disappointing ',' Application ',' Network ',' Repaired ',' Upgrade ',' Hello ',' Network ',' Smooth ' , 'Jaya', 'already', 'post', 'pay', 'network', 'priority', '']</v>
      </c>
      <c r="D4782" s="3">
        <v>1.0</v>
      </c>
    </row>
    <row r="4783" ht="15.75" customHeight="1">
      <c r="A4783" s="1">
        <v>4781.0</v>
      </c>
      <c r="B4783" s="3" t="s">
        <v>4783</v>
      </c>
      <c r="C4783" s="3" t="str">
        <f>IFERROR(__xludf.DUMMYFUNCTION("GOOGLETRANSLATE(B4783,""id"",""en"")"),"['Good', 'network', 'Ter', 'The', 'Best', 'already', 'network', 'slow', 'Konect', 'sometimes',' sometimes', 'already', ' good ',' price ',' expensive ',' improve ',' expensive ',' thousand ',' ATS ',' times', 'folding', 'use', 'greetings',' disappointed '"&amp;",' Telkomsel ' ]")</f>
        <v>['Good', 'network', 'Ter', 'The', 'Best', 'already', 'network', 'slow', 'Konect', 'sometimes',' sometimes', 'already', ' good ',' price ',' expensive ',' improve ',' expensive ',' thousand ',' ATS ',' times', 'folding', 'use', 'greetings',' disappointed ',' Telkomsel ' ]</v>
      </c>
      <c r="D4783" s="3">
        <v>1.0</v>
      </c>
    </row>
    <row r="4784" ht="15.75" customHeight="1">
      <c r="A4784" s="1">
        <v>4782.0</v>
      </c>
      <c r="B4784" s="3" t="s">
        <v>4784</v>
      </c>
      <c r="C4784" s="3" t="str">
        <f>IFERROR(__xludf.DUMMYFUNCTION("GOOGLETRANSLATE(B4784,""id"",""en"")"),"['Package', 'Internet', 'Telkomsel', 'Mahalll', 'Oeeeee', 'promo', 'quota', 'internet', 'run out', 'sucked', 'pulse', 'Cok', ' package ',' night ',' ehh ',' clock ',' allohh ',' try ',' clock ',' ']")</f>
        <v>['Package', 'Internet', 'Telkomsel', 'Mahalll', 'Oeeeee', 'promo', 'quota', 'internet', 'run out', 'sucked', 'pulse', 'Cok', ' package ',' night ',' ehh ',' clock ',' allohh ',' try ',' clock ',' ']</v>
      </c>
      <c r="D4784" s="3">
        <v>1.0</v>
      </c>
    </row>
    <row r="4785" ht="15.75" customHeight="1">
      <c r="A4785" s="1">
        <v>4783.0</v>
      </c>
      <c r="B4785" s="3" t="s">
        <v>4785</v>
      </c>
      <c r="C4785" s="3" t="str">
        <f>IFERROR(__xludf.DUMMYFUNCTION("GOOGLETRANSLATE(B4785,""id"",""en"")"),"['Network', 'Telkomsel', 'UDH', 'package', 'expensive', 'signal', 'ugly', 'please', 'fix']")</f>
        <v>['Network', 'Telkomsel', 'UDH', 'package', 'expensive', 'signal', 'ugly', 'please', 'fix']</v>
      </c>
      <c r="D4785" s="3">
        <v>1.0</v>
      </c>
    </row>
    <row r="4786" ht="15.75" customHeight="1">
      <c r="A4786" s="1">
        <v>4784.0</v>
      </c>
      <c r="B4786" s="3" t="s">
        <v>4786</v>
      </c>
      <c r="C4786" s="3" t="str">
        <f>IFERROR(__xludf.DUMMYFUNCTION("GOOGLETRANSLATE(B4786,""id"",""en"")"),"['easy', 'easy', 'login', 'status',' leftover ',' data ',' promo ',' fun ',' easy ',' kaga ',' update ',' sprti ',' application', '']")</f>
        <v>['easy', 'easy', 'login', 'status',' leftover ',' data ',' promo ',' fun ',' easy ',' kaga ',' update ',' sprti ',' application', '']</v>
      </c>
      <c r="D4786" s="3">
        <v>5.0</v>
      </c>
    </row>
    <row r="4787" ht="15.75" customHeight="1">
      <c r="A4787" s="1">
        <v>4785.0</v>
      </c>
      <c r="B4787" s="3" t="s">
        <v>4787</v>
      </c>
      <c r="C4787" s="3" t="str">
        <f>IFERROR(__xludf.DUMMYFUNCTION("GOOGLETRANSLATE(B4787,""id"",""en"")"),"['Hbis',' update ',' buy ',' pls', 'pktan', 'lwat', 'gopay', 'how', 'signal', 'in my area', 'ugly', 'already', ' expensive ',' signal ',' kek ',' eek ',' ']")</f>
        <v>['Hbis',' update ',' buy ',' pls', 'pktan', 'lwat', 'gopay', 'how', 'signal', 'in my area', 'ugly', 'already', ' expensive ',' signal ',' kek ',' eek ',' ']</v>
      </c>
      <c r="D4787" s="3">
        <v>1.0</v>
      </c>
    </row>
    <row r="4788" ht="15.75" customHeight="1">
      <c r="A4788" s="1">
        <v>4786.0</v>
      </c>
      <c r="B4788" s="3" t="s">
        <v>4788</v>
      </c>
      <c r="C4788" s="3" t="str">
        <f>IFERROR(__xludf.DUMMYFUNCTION("GOOGLETRANSLATE(B4788,""id"",""en"")"),"['expensive', 'put forward', 'package', 'video', 'operator', 'next door', 'brave', 'slamming', 'price', 'ngandelin', 'package', 'video', ' Ogah ',' this makes', '']")</f>
        <v>['expensive', 'put forward', 'package', 'video', 'operator', 'next door', 'brave', 'slamming', 'price', 'ngandelin', 'package', 'video', ' Ogah ',' this makes', '']</v>
      </c>
      <c r="D4788" s="3">
        <v>1.0</v>
      </c>
    </row>
    <row r="4789" ht="15.75" customHeight="1">
      <c r="A4789" s="1">
        <v>4787.0</v>
      </c>
      <c r="B4789" s="3" t="s">
        <v>4789</v>
      </c>
      <c r="C4789" s="3" t="str">
        <f>IFERROR(__xludf.DUMMYFUNCTION("GOOGLETRANSLATE(B4789,""id"",""en"")"),"['Network', 'ugly', 'bangettt', 'please', 'Telkomsel', 'fix', 'here', 'ugly', 'network', ""]")</f>
        <v>['Network', 'ugly', 'bangettt', 'please', 'Telkomsel', 'fix', 'here', 'ugly', 'network', "]</v>
      </c>
      <c r="D4789" s="3">
        <v>1.0</v>
      </c>
    </row>
    <row r="4790" ht="15.75" customHeight="1">
      <c r="A4790" s="1">
        <v>4788.0</v>
      </c>
      <c r="B4790" s="3" t="s">
        <v>4790</v>
      </c>
      <c r="C4790" s="3" t="str">
        <f>IFERROR(__xludf.DUMMYFUNCTION("GOOGLETRANSLATE(B4790,""id"",""en"")"),"['', 'signal', 'Telkomsel', 'here', 'Error', 'Telkomsel', 'Good', 'Sinyal']")</f>
        <v>['', 'signal', 'Telkomsel', 'here', 'Error', 'Telkomsel', 'Good', 'Sinyal']</v>
      </c>
      <c r="D4790" s="3">
        <v>3.0</v>
      </c>
    </row>
    <row r="4791" ht="15.75" customHeight="1">
      <c r="A4791" s="1">
        <v>4789.0</v>
      </c>
      <c r="B4791" s="3" t="s">
        <v>4791</v>
      </c>
      <c r="C4791" s="3" t="str">
        <f>IFERROR(__xludf.DUMMYFUNCTION("GOOGLETRANSLATE(B4791,""id"",""en"")"),"['', 'Jelekkkk', 'Pooollll', 'paraahhhh', 'network', 'Telkomsel', 'package', 'internet', 'expensive', 'supported', 'signal', 'satisfying', '' ]")</f>
        <v>['', 'Jelekkkk', 'Pooollll', 'paraahhhh', 'network', 'Telkomsel', 'package', 'internet', 'expensive', 'supported', 'signal', 'satisfying', '' ]</v>
      </c>
      <c r="D4791" s="3">
        <v>1.0</v>
      </c>
    </row>
    <row r="4792" ht="15.75" customHeight="1">
      <c r="A4792" s="1">
        <v>4790.0</v>
      </c>
      <c r="B4792" s="3" t="s">
        <v>4792</v>
      </c>
      <c r="C4792" s="3" t="str">
        <f>IFERROR(__xludf.DUMMYFUNCTION("GOOGLETRANSLATE(B4792,""id"",""en"")"),"['Telkomsel', 'already', 'changed', 'snail', 'msok', 'network', 'slow', 'melibihi', 'conch', 'awok', 'awok', 'contents',' package ',' GB ',' high school ',' open ',' slow ',' bner ',' lgi ',' maen ',' games', 'ters',' signal ',' kayak ',' pdhal ' , 'DLU',"&amp;" 'Telkomsel', 'telkalen', 'net', 'skrng', 'famous',' slow ',' city ',' slow ',' village ',' might ',' ksni ',' good ',' mah ',' fox ',' snail ',' hdehhhhh ',' pulp ']")</f>
        <v>['Telkomsel', 'already', 'changed', 'snail', 'msok', 'network', 'slow', 'melibihi', 'conch', 'awok', 'awok', 'contents',' package ',' GB ',' high school ',' open ',' slow ',' bner ',' lgi ',' maen ',' games', 'ters',' signal ',' kayak ',' pdhal ' , 'DLU', 'Telkomsel', 'telkalen', 'net', 'skrng', 'famous',' slow ',' city ',' slow ',' village ',' might ',' ksni ',' good ',' mah ',' fox ',' snail ',' hdehhhhh ',' pulp ']</v>
      </c>
      <c r="D4792" s="3">
        <v>1.0</v>
      </c>
    </row>
    <row r="4793" ht="15.75" customHeight="1">
      <c r="A4793" s="1">
        <v>4791.0</v>
      </c>
      <c r="B4793" s="3" t="s">
        <v>4793</v>
      </c>
      <c r="C4793" s="3" t="str">
        <f>IFERROR(__xludf.DUMMYFUNCTION("GOOGLETRANSLATE(B4793,""id"",""en"")"),"['Alhamdulillah', 'fun', 'really', 'information', 'complete', 'quota', 'news', 'lots', 'gift', 'bravo']")</f>
        <v>['Alhamdulillah', 'fun', 'really', 'information', 'complete', 'quota', 'news', 'lots', 'gift', 'bravo']</v>
      </c>
      <c r="D4793" s="3">
        <v>5.0</v>
      </c>
    </row>
    <row r="4794" ht="15.75" customHeight="1">
      <c r="A4794" s="1">
        <v>4792.0</v>
      </c>
      <c r="B4794" s="3" t="s">
        <v>4794</v>
      </c>
      <c r="C4794" s="3" t="str">
        <f>IFERROR(__xludf.DUMMYFUNCTION("GOOGLETRANSLATE(B4794,""id"",""en"")"),"['Network', 'Telkomsel', 'Severe', 'Nge', 'lag', 'improvement', 'price', 'quota', 'ride', 'TPI', 'network', 'downhill']")</f>
        <v>['Network', 'Telkomsel', 'Severe', 'Nge', 'lag', 'improvement', 'price', 'quota', 'ride', 'TPI', 'network', 'downhill']</v>
      </c>
      <c r="D4794" s="3">
        <v>1.0</v>
      </c>
    </row>
    <row r="4795" ht="15.75" customHeight="1">
      <c r="A4795" s="1">
        <v>4793.0</v>
      </c>
      <c r="B4795" s="3" t="s">
        <v>4795</v>
      </c>
      <c r="C4795" s="3" t="str">
        <f>IFERROR(__xludf.DUMMYFUNCTION("GOOGLETRANSLATE(B4795,""id"",""en"")"),"['brpa', 'times',' hit ',' trick ',' min ',' please ',' buy ',' quota ',' quota ',' learn ',' apapain ',' please ',' Min ']")</f>
        <v>['brpa', 'times',' hit ',' trick ',' min ',' please ',' buy ',' quota ',' quota ',' learn ',' apapain ',' please ',' Min ']</v>
      </c>
      <c r="D4795" s="3">
        <v>1.0</v>
      </c>
    </row>
    <row r="4796" ht="15.75" customHeight="1">
      <c r="A4796" s="1">
        <v>4794.0</v>
      </c>
      <c r="B4796" s="3" t="s">
        <v>4796</v>
      </c>
      <c r="C4796" s="3" t="str">
        <f>IFERROR(__xludf.DUMMYFUNCTION("GOOGLETRANSLATE(B4796,""id"",""en"")"),"['Severe', 'APK', 'Response', 'Login', 'Difficult', 'Buy', 'Package', 'Network', ""]")</f>
        <v>['Severe', 'APK', 'Response', 'Login', 'Difficult', 'Buy', 'Package', 'Network', "]</v>
      </c>
      <c r="D4796" s="3">
        <v>1.0</v>
      </c>
    </row>
    <row r="4797" ht="15.75" customHeight="1">
      <c r="A4797" s="1">
        <v>4795.0</v>
      </c>
      <c r="B4797" s="3" t="s">
        <v>4797</v>
      </c>
      <c r="C4797" s="3" t="str">
        <f>IFERROR(__xludf.DUMMYFUNCTION("GOOGLETRANSLATE(B4797,""id"",""en"")"),"['wow', 'app', 'change', 'app', 'robbery', 'open', 'app', 'buy', 'package', 'minute', 'ehh', 'pulses',' After ',' NOT ',' Manit ',' Lost ',' Credit ', ""]")</f>
        <v>['wow', 'app', 'change', 'app', 'robbery', 'open', 'app', 'buy', 'package', 'minute', 'ehh', 'pulses',' After ',' NOT ',' Manit ',' Lost ',' Credit ', "]</v>
      </c>
      <c r="D4797" s="3">
        <v>1.0</v>
      </c>
    </row>
    <row r="4798" ht="15.75" customHeight="1">
      <c r="A4798" s="1">
        <v>4796.0</v>
      </c>
      <c r="B4798" s="3" t="s">
        <v>4798</v>
      </c>
      <c r="C4798" s="3" t="str">
        <f>IFERROR(__xludf.DUMMYFUNCTION("GOOGLETRANSLATE(B4798,""id"",""en"")"),"['Good', 'bad', 'network', 'compared to', 'chaotic', 'Telkomsel', 'interested', 'tomorrow', 'deh', 'buy', 'package', 'Ditelkomsel', ' expensive ',' Doang ',' The network ',' slow ',' ']")</f>
        <v>['Good', 'bad', 'network', 'compared to', 'chaotic', 'Telkomsel', 'interested', 'tomorrow', 'deh', 'buy', 'package', 'Ditelkomsel', ' expensive ',' Doang ',' The network ',' slow ',' ']</v>
      </c>
      <c r="D4798" s="3">
        <v>1.0</v>
      </c>
    </row>
    <row r="4799" ht="15.75" customHeight="1">
      <c r="A4799" s="1">
        <v>4797.0</v>
      </c>
      <c r="B4799" s="3" t="s">
        <v>4799</v>
      </c>
      <c r="C4799" s="3" t="str">
        <f>IFERROR(__xludf.DUMMYFUNCTION("GOOGLETRANSLATE(B4799,""id"",""en"")"),"['Good', 'bgd', 'Telkomsel', 'skrng', 'forgiveness', 'severe', 'really', 'signal', 'please', 'fix', 'min', '']")</f>
        <v>['Good', 'bgd', 'Telkomsel', 'skrng', 'forgiveness', 'severe', 'really', 'signal', 'please', 'fix', 'min', '']</v>
      </c>
      <c r="D4799" s="3">
        <v>1.0</v>
      </c>
    </row>
    <row r="4800" ht="15.75" customHeight="1">
      <c r="A4800" s="1">
        <v>4798.0</v>
      </c>
      <c r="B4800" s="3" t="s">
        <v>4800</v>
      </c>
      <c r="C4800" s="3" t="str">
        <f>IFERROR(__xludf.DUMMYFUNCTION("GOOGLETRANSLATE(B4800,""id"",""en"")"),"['Kasi', 'disappointed', 'App', 'update', 'version', 'the latest', 'difficult', 'open', 'time', 'open', 'app', ' Even then ',' open ',' Kasian ',' App ',' Good ',' version ',' KOQ ',' compounded ',' version ',' the latest ',' please ',' noticed ',' follow"&amp;"ed up ' , 'Thank you', 'Kasi', 'Star', 'Thank "",' Love ',' Input ',' Success',""]")</f>
        <v>['Kasi', 'disappointed', 'App', 'update', 'version', 'the latest', 'difficult', 'open', 'time', 'open', 'app', ' Even then ',' open ',' Kasian ',' App ',' Good ',' version ',' KOQ ',' compounded ',' version ',' the latest ',' please ',' noticed ',' followed up ' , 'Thank you', 'Kasi', 'Star', 'Thank ",' Love ',' Input ',' Success',"]</v>
      </c>
      <c r="D4800" s="3">
        <v>1.0</v>
      </c>
    </row>
    <row r="4801" ht="15.75" customHeight="1">
      <c r="A4801" s="1">
        <v>4799.0</v>
      </c>
      <c r="B4801" s="3" t="s">
        <v>4801</v>
      </c>
      <c r="C4801" s="3" t="str">
        <f>IFERROR(__xludf.DUMMYFUNCTION("GOOGLETRANSLATE(B4801,""id"",""en"")"),"['bikiaka', 'pulse', 'tapuran', 'tra', 'kse', 'mnala', 'data', 'cellular', 'tra', 'prah', 'debt', 'pulse', ' Telkomsel ',' strange ',' Sja ',' Bkin ',' smpe ',' please ',' jng ',' tra ',' loss', 'contents',' pulse ',' repeat ',' thanks' , 'Please', 'lbih'"&amp;", 'lgi']")</f>
        <v>['bikiaka', 'pulse', 'tapuran', 'tra', 'kse', 'mnala', 'data', 'cellular', 'tra', 'prah', 'debt', 'pulse', ' Telkomsel ',' strange ',' Sja ',' Bkin ',' smpe ',' please ',' jng ',' tra ',' loss', 'contents',' pulse ',' repeat ',' thanks' , 'Please', 'lbih', 'lgi']</v>
      </c>
      <c r="D4801" s="3">
        <v>2.0</v>
      </c>
    </row>
    <row r="4802" ht="15.75" customHeight="1">
      <c r="A4802" s="1">
        <v>4800.0</v>
      </c>
      <c r="B4802" s="3" t="s">
        <v>4802</v>
      </c>
      <c r="C4802" s="3" t="str">
        <f>IFERROR(__xludf.DUMMYFUNCTION("GOOGLETRANSLATE(B4802,""id"",""en"")"),"['Shopping', 'Credit', 'Easy', 'Application', 'Please', 'Quality', 'Signal', 'Keep', 'Thanks', 'Telkomsel', ""]")</f>
        <v>['Shopping', 'Credit', 'Easy', 'Application', 'Please', 'Quality', 'Signal', 'Keep', 'Thanks', 'Telkomsel', "]</v>
      </c>
      <c r="D4802" s="3">
        <v>5.0</v>
      </c>
    </row>
    <row r="4803" ht="15.75" customHeight="1">
      <c r="A4803" s="1">
        <v>4801.0</v>
      </c>
      <c r="B4803" s="3" t="s">
        <v>4803</v>
      </c>
      <c r="C4803" s="3" t="str">
        <f>IFERROR(__xludf.DUMMYFUNCTION("GOOGLETRANSLATE(B4803,""id"",""en"")"),"['MyTelkomsel', 'Help', 'Please', 'alternating', 'Balek', 'Mintak', 'Update', 'Except', 'Out', 'Update', 'Buy', 'Package', ' Internet ',' Help ',' ']")</f>
        <v>['MyTelkomsel', 'Help', 'Please', 'alternating', 'Balek', 'Mintak', 'Update', 'Except', 'Out', 'Update', 'Buy', 'Package', ' Internet ',' Help ',' ']</v>
      </c>
      <c r="D4803" s="3">
        <v>5.0</v>
      </c>
    </row>
    <row r="4804" ht="15.75" customHeight="1">
      <c r="A4804" s="1">
        <v>4802.0</v>
      </c>
      <c r="B4804" s="3" t="s">
        <v>4804</v>
      </c>
      <c r="C4804" s="3" t="str">
        <f>IFERROR(__xludf.DUMMYFUNCTION("GOOGLETRANSLATE(B4804,""id"",""en"")"),"['Hopefully', 'Telkomsel', 'consistent', 'serving', 'price', 'package', 'internet', 'then', 'contribution', 'package', 'TLP', 'cheap', ' pandemic', '']")</f>
        <v>['Hopefully', 'Telkomsel', 'consistent', 'serving', 'price', 'package', 'internet', 'then', 'contribution', 'package', 'TLP', 'cheap', ' pandemic', '']</v>
      </c>
      <c r="D4804" s="3">
        <v>5.0</v>
      </c>
    </row>
    <row r="4805" ht="15.75" customHeight="1">
      <c r="A4805" s="1">
        <v>4803.0</v>
      </c>
      <c r="B4805" s="3" t="s">
        <v>4805</v>
      </c>
      <c r="C4805" s="3" t="str">
        <f>IFERROR(__xludf.DUMMYFUNCTION("GOOGLETRANSLATE(B4805,""id"",""en"")"),"['pulp', 'number', 'package', 'expensive', 'buy', 'via', 'application', 'nggal', 'buy', 'via', '']")</f>
        <v>['pulp', 'number', 'package', 'expensive', 'buy', 'via', 'application', 'nggal', 'buy', 'via', '']</v>
      </c>
      <c r="D4805" s="3">
        <v>1.0</v>
      </c>
    </row>
    <row r="4806" ht="15.75" customHeight="1">
      <c r="A4806" s="1">
        <v>4804.0</v>
      </c>
      <c r="B4806" s="3" t="s">
        <v>4806</v>
      </c>
      <c r="C4806" s="3" t="str">
        <f>IFERROR(__xludf.DUMMYFUNCTION("GOOGLETRANSLATE(B4806,""id"",""en"")"),"['Package', 'expensive', 'network', 'slow', 'night', 'network', 'slow', 'fast', 'right', 'buy', 'kouta', 'divided', ' Regular ',' multimedia ',' chat ',' sosmed ',' game ',' right ',' play ',' game ',' slow ',' right ',' garbage ']")</f>
        <v>['Package', 'expensive', 'network', 'slow', 'night', 'network', 'slow', 'fast', 'right', 'buy', 'kouta', 'divided', ' Regular ',' multimedia ',' chat ',' sosmed ',' game ',' right ',' play ',' game ',' slow ',' right ',' garbage ']</v>
      </c>
      <c r="D4806" s="3">
        <v>1.0</v>
      </c>
    </row>
    <row r="4807" ht="15.75" customHeight="1">
      <c r="A4807" s="1">
        <v>4805.0</v>
      </c>
      <c r="B4807" s="3" t="s">
        <v>4807</v>
      </c>
      <c r="C4807" s="3" t="str">
        <f>IFERROR(__xludf.DUMMYFUNCTION("GOOGLETRANSLATE(B4807,""id"",""en"")"),"['Good', 'please', 'menu', 'exchange', 'point', 'choice', 'exchange', 'redeem', 'point', 'lottery', 'point', 'click', ' Hundreds', 'times',' Hang ',' ']")</f>
        <v>['Good', 'please', 'menu', 'exchange', 'point', 'choice', 'exchange', 'redeem', 'point', 'lottery', 'point', 'click', ' Hundreds', 'times',' Hang ',' ']</v>
      </c>
      <c r="D4807" s="3">
        <v>5.0</v>
      </c>
    </row>
    <row r="4808" ht="15.75" customHeight="1">
      <c r="A4808" s="1">
        <v>4806.0</v>
      </c>
      <c r="B4808" s="3" t="s">
        <v>4808</v>
      </c>
      <c r="C4808" s="3" t="str">
        <f>IFERROR(__xludf.DUMMYFUNCTION("GOOGLETRANSLATE(B4808,""id"",""en"")"),"['Use', 'Android', 'Application', 'Open', 'Delete', 'Restart', 'Download', 'reset', 'Open', 'Via', 'Browser', 'Chrome', ' ']")</f>
        <v>['Use', 'Android', 'Application', 'Open', 'Delete', 'Restart', 'Download', 'reset', 'Open', 'Via', 'Browser', 'Chrome', ' ']</v>
      </c>
      <c r="D4808" s="3">
        <v>2.0</v>
      </c>
    </row>
    <row r="4809" ht="15.75" customHeight="1">
      <c r="A4809" s="1">
        <v>4807.0</v>
      </c>
      <c r="B4809" s="3" t="s">
        <v>4809</v>
      </c>
      <c r="C4809" s="3" t="str">
        <f>IFERROR(__xludf.DUMMYFUNCTION("GOOGLETRANSLATE(B4809,""id"",""en"")"),"['Please', 'package', 'boundary', 'bother', 'right', 'abis', 'quota', 'buy', 'already', 'already', 'suitable', 'package']")</f>
        <v>['Please', 'package', 'boundary', 'bother', 'right', 'abis', 'quota', 'buy', 'already', 'already', 'suitable', 'package']</v>
      </c>
      <c r="D4809" s="3">
        <v>4.0</v>
      </c>
    </row>
    <row r="4810" ht="15.75" customHeight="1">
      <c r="A4810" s="1">
        <v>4808.0</v>
      </c>
      <c r="B4810" s="3" t="s">
        <v>4810</v>
      </c>
      <c r="C4810" s="3" t="str">
        <f>IFERROR(__xludf.DUMMYFUNCTION("GOOGLETRANSLATE(B4810,""id"",""en"")"),"['Quality', 'Network', 'Bad', 'Bentar', 'Soon', 'As',' Price ',' Paketan ',' Reduced ',' User ',' Telkomsel ',' Quality ',' Network ',' wake up ',' BUMN ',' ']")</f>
        <v>['Quality', 'Network', 'Bad', 'Bentar', 'Soon', 'As',' Price ',' Paketan ',' Reduced ',' User ',' Telkomsel ',' Quality ',' Network ',' wake up ',' BUMN ',' ']</v>
      </c>
      <c r="D4810" s="3">
        <v>1.0</v>
      </c>
    </row>
    <row r="4811" ht="15.75" customHeight="1">
      <c r="A4811" s="1">
        <v>4809.0</v>
      </c>
      <c r="B4811" s="3" t="s">
        <v>4811</v>
      </c>
      <c r="C4811" s="3" t="str">
        <f>IFERROR(__xludf.DUMMYFUNCTION("GOOGLETRANSLATE(B4811,""id"",""en"")"),"['Help', 'lbih', 'easy', 'mmbeli', 'package']")</f>
        <v>['Help', 'lbih', 'easy', 'mmbeli', 'package']</v>
      </c>
      <c r="D4811" s="3">
        <v>5.0</v>
      </c>
    </row>
    <row r="4812" ht="15.75" customHeight="1">
      <c r="A4812" s="1">
        <v>4810.0</v>
      </c>
      <c r="B4812" s="3" t="s">
        <v>4812</v>
      </c>
      <c r="C4812" s="3" t="str">
        <f>IFERROR(__xludf.DUMMYFUNCTION("GOOGLETRANSLATE(B4812,""id"",""en"")"),"['use', 'Telkomsel', 'expensive', 'people', 'use', 'just', 'suggest', 'thanks', ""]")</f>
        <v>['use', 'Telkomsel', 'expensive', 'people', 'use', 'just', 'suggest', 'thanks', "]</v>
      </c>
      <c r="D4812" s="3">
        <v>5.0</v>
      </c>
    </row>
    <row r="4813" ht="15.75" customHeight="1">
      <c r="A4813" s="1">
        <v>4811.0</v>
      </c>
      <c r="B4813" s="3" t="s">
        <v>4813</v>
      </c>
      <c r="C4813" s="3" t="str">
        <f>IFERROR(__xludf.DUMMYFUNCTION("GOOGLETRANSLATE(B4813,""id"",""en"")"),"['Please', 'loyal', 'users',' Telkomsel ',' quality ',' network ',' maximal ',' special ',' kec ',' intersection ',' right ',' kep ',' Chart ',' Nibung ',' Rokan ',' Hilir ',' Riau ',' Please ',' Help ',' Improvement ',' Quality ',' Network ', ""]")</f>
        <v>['Please', 'loyal', 'users',' Telkomsel ',' quality ',' network ',' maximal ',' special ',' kec ',' intersection ',' right ',' kep ',' Chart ',' Nibung ',' Rokan ',' Hilir ',' Riau ',' Please ',' Help ',' Improvement ',' Quality ',' Network ', "]</v>
      </c>
      <c r="D4813" s="3">
        <v>5.0</v>
      </c>
    </row>
    <row r="4814" ht="15.75" customHeight="1">
      <c r="A4814" s="1">
        <v>4812.0</v>
      </c>
      <c r="B4814" s="3" t="s">
        <v>4814</v>
      </c>
      <c r="C4814" s="3" t="str">
        <f>IFERROR(__xludf.DUMMYFUNCTION("GOOGLETRANSLATE(B4814,""id"",""en"")"),"['app', 'Telkomsel', 'bad', 'ugly', 'login', 'difficult', 'really', 'update', 'difficult', 'login', 'jeleeeeekkkk', 'bangeett', ' ']")</f>
        <v>['app', 'Telkomsel', 'bad', 'ugly', 'login', 'difficult', 'really', 'update', 'difficult', 'login', 'jeleeeeekkkk', 'bangeett', ' ']</v>
      </c>
      <c r="D4814" s="3">
        <v>1.0</v>
      </c>
    </row>
    <row r="4815" ht="15.75" customHeight="1">
      <c r="A4815" s="1">
        <v>4813.0</v>
      </c>
      <c r="B4815" s="3" t="s">
        <v>4815</v>
      </c>
      <c r="C4815" s="3" t="str">
        <f>IFERROR(__xludf.DUMMYFUNCTION("GOOGLETRANSLATE(B4815,""id"",""en"")"),"['transaction', 'cheerful', 'Telkomsel', 'selected', 'pulse', 'balassssss', '']")</f>
        <v>['transaction', 'cheerful', 'Telkomsel', 'selected', 'pulse', 'balassssss', '']</v>
      </c>
      <c r="D4815" s="3">
        <v>1.0</v>
      </c>
    </row>
    <row r="4816" ht="15.75" customHeight="1">
      <c r="A4816" s="1">
        <v>4814.0</v>
      </c>
      <c r="B4816" s="3" t="s">
        <v>4816</v>
      </c>
      <c r="C4816" s="3" t="str">
        <f>IFERROR(__xludf.DUMMYFUNCTION("GOOGLETRANSLATE(B4816,""id"",""en"")"),"['Please', 'Network', 'fix it', 'already', 'package', 'quota', 'expensive', 'network', 'severe', 'really', 'ugly', 'really', ' disappointed']")</f>
        <v>['Please', 'Network', 'fix it', 'already', 'package', 'quota', 'expensive', 'network', 'severe', 'really', 'ugly', 'really', ' disappointed']</v>
      </c>
      <c r="D4816" s="3">
        <v>1.0</v>
      </c>
    </row>
    <row r="4817" ht="15.75" customHeight="1">
      <c r="A4817" s="1">
        <v>4815.0</v>
      </c>
      <c r="B4817" s="3" t="s">
        <v>4817</v>
      </c>
      <c r="C4817" s="3" t="str">
        <f>IFERROR(__xludf.DUMMYFUNCTION("GOOGLETRANSLATE(B4817,""id"",""en"")"),"['user', 'card', 'Hello', 'signal', 'kntr', 'bad', 'sometimes',' area ',' subscription ',' card ',' hello ',' stopped ',' Subscriptions', 'phone', 'card', 'use', 'sytem', 'msh', 'fix', 'please', 'donk', 'fix', 'service', 'multiply', 'ads' , 'thank you']")</f>
        <v>['user', 'card', 'Hello', 'signal', 'kntr', 'bad', 'sometimes',' area ',' subscription ',' card ',' hello ',' stopped ',' Subscriptions', 'phone', 'card', 'use', 'sytem', 'msh', 'fix', 'please', 'donk', 'fix', 'service', 'multiply', 'ads' , 'thank you']</v>
      </c>
      <c r="D4817" s="3">
        <v>1.0</v>
      </c>
    </row>
    <row r="4818" ht="15.75" customHeight="1">
      <c r="A4818" s="1">
        <v>4816.0</v>
      </c>
      <c r="B4818" s="3" t="s">
        <v>4818</v>
      </c>
      <c r="C4818" s="3" t="str">
        <f>IFERROR(__xludf.DUMMYFUNCTION("GOOGLETRANSLATE(B4818,""id"",""en"")"),"['Customer', 'Network', 'Data', 'Telkomsel', 'Decreases',' Drastic ',' Progress', 'Retreat', 'Profit', 'Price', 'That Sege', ' In ',' game ',' the network ',' Stack ',' Telkomsel ',' Provider ',' number ',' Indo ',' quality ',' network ',' data ',' help '"&amp;",' deteriorate ' , 'quality', 'Telkomsel', 'doubt', 'network', 'data', 'stable', 'try', 'package', '']")</f>
        <v>['Customer', 'Network', 'Data', 'Telkomsel', 'Decreases',' Drastic ',' Progress', 'Retreat', 'Profit', 'Price', 'That Sege', ' In ',' game ',' the network ',' Stack ',' Telkomsel ',' Provider ',' number ',' Indo ',' quality ',' network ',' data ',' help ',' deteriorate ' , 'quality', 'Telkomsel', 'doubt', 'network', 'data', 'stable', 'try', 'package', '']</v>
      </c>
      <c r="D4818" s="3">
        <v>1.0</v>
      </c>
    </row>
    <row r="4819" ht="15.75" customHeight="1">
      <c r="A4819" s="1">
        <v>4817.0</v>
      </c>
      <c r="B4819" s="3" t="s">
        <v>4819</v>
      </c>
      <c r="C4819" s="3" t="str">
        <f>IFERROR(__xludf.DUMMYFUNCTION("GOOGLETRANSLATE(B4819,""id"",""en"")"),"['MyTelkomsel', 'Error', 'Ngebug', 'TRS', 'Karna', 'Application', 'Optimal', 'Specport', 'Support', 'Comfortable', 'Open', 'Application', ' Nge ',' Blank ',' Gara ',' Application ',' Please ',' Discovery ',' Admin ',' ']")</f>
        <v>['MyTelkomsel', 'Error', 'Ngebug', 'TRS', 'Karna', 'Application', 'Optimal', 'Specport', 'Support', 'Comfortable', 'Open', 'Application', ' Nge ',' Blank ',' Gara ',' Application ',' Please ',' Discovery ',' Admin ',' ']</v>
      </c>
      <c r="D4819" s="3">
        <v>3.0</v>
      </c>
    </row>
    <row r="4820" ht="15.75" customHeight="1">
      <c r="A4820" s="1">
        <v>4818.0</v>
      </c>
      <c r="B4820" s="3" t="s">
        <v>4820</v>
      </c>
      <c r="C4820" s="3" t="str">
        <f>IFERROR(__xludf.DUMMYFUNCTION("GOOGLETRANSLATE(B4820,""id"",""en"")"),"['Telkomsel', 'network', 'signal', 'good', 'city', 'jakarta', 'area', 'please', 'pay attention', 'disappointing', 'consumer', ""]")</f>
        <v>['Telkomsel', 'network', 'signal', 'good', 'city', 'jakarta', 'area', 'please', 'pay attention', 'disappointing', 'consumer', "]</v>
      </c>
      <c r="D4820" s="3">
        <v>1.0</v>
      </c>
    </row>
    <row r="4821" ht="15.75" customHeight="1">
      <c r="A4821" s="1">
        <v>4819.0</v>
      </c>
      <c r="B4821" s="3" t="s">
        <v>4821</v>
      </c>
      <c r="C4821" s="3" t="str">
        <f>IFERROR(__xludf.DUMMYFUNCTION("GOOGLETRANSLATE(B4821,""id"",""en"")"),"['Love', 'Value', 'Satisfied', 'Survey', 'Help', 'Good', 'Bangett', 'Mimin', 'Friendly']")</f>
        <v>['Love', 'Value', 'Satisfied', 'Survey', 'Help', 'Good', 'Bangett', 'Mimin', 'Friendly']</v>
      </c>
      <c r="D4821" s="3">
        <v>5.0</v>
      </c>
    </row>
    <row r="4822" ht="15.75" customHeight="1">
      <c r="A4822" s="1">
        <v>4820.0</v>
      </c>
      <c r="B4822" s="3" t="s">
        <v>4822</v>
      </c>
      <c r="C4822" s="3" t="str">
        <f>IFERROR(__xludf.DUMMYFUNCTION("GOOGLETRANSLATE(B4822,""id"",""en"")"),"['Good', 'really', 'The network', 'supports', 'price', 'quota', 'Please', 'repair']")</f>
        <v>['Good', 'really', 'The network', 'supports', 'price', 'quota', 'Please', 'repair']</v>
      </c>
      <c r="D4822" s="3">
        <v>5.0</v>
      </c>
    </row>
    <row r="4823" ht="15.75" customHeight="1">
      <c r="A4823" s="1">
        <v>4821.0</v>
      </c>
      <c r="B4823" s="3" t="s">
        <v>4823</v>
      </c>
      <c r="C4823" s="3" t="str">
        <f>IFERROR(__xludf.DUMMYFUNCTION("GOOGLETRANSLATE(B4823,""id"",""en"")"),"['choice', 'star', 'like', 'love', 'star', 'application', 'Gara', 'application', 'buy', 'package', 'check', 'quota', ' Modern ',' difficult ',' enter ',' website ',' official ',' directed ',' application ',' strange ',' deliberate ',' make it difficult ',"&amp;"' customer ',' kah ',' complaint ' , 'the umpteenth time', '']")</f>
        <v>['choice', 'star', 'like', 'love', 'star', 'application', 'Gara', 'application', 'buy', 'package', 'check', 'quota', ' Modern ',' difficult ',' enter ',' website ',' official ',' directed ',' application ',' strange ',' deliberate ',' make it difficult ',' customer ',' kah ',' complaint ' , 'the umpteenth time', '']</v>
      </c>
      <c r="D4823" s="3">
        <v>1.0</v>
      </c>
    </row>
    <row r="4824" ht="15.75" customHeight="1">
      <c r="A4824" s="1">
        <v>4822.0</v>
      </c>
      <c r="B4824" s="3" t="s">
        <v>4824</v>
      </c>
      <c r="C4824" s="3" t="str">
        <f>IFERROR(__xludf.DUMMYFUNCTION("GOOGLETRANSLATE(B4824,""id"",""en"")"),"['mantaaaappppp', 'thank', 'love', 'convenience', 'user', 'Telkomsel', '']")</f>
        <v>['mantaaaappppp', 'thank', 'love', 'convenience', 'user', 'Telkomsel', '']</v>
      </c>
      <c r="D4824" s="3">
        <v>5.0</v>
      </c>
    </row>
    <row r="4825" ht="15.75" customHeight="1">
      <c r="A4825" s="1">
        <v>4823.0</v>
      </c>
      <c r="B4825" s="3" t="s">
        <v>4825</v>
      </c>
      <c r="C4825" s="3" t="str">
        <f>IFERROR(__xludf.DUMMYFUNCTION("GOOGLETRANSLATE(B4825,""id"",""en"")"),"['Disappointed', 'service', 'Telkomsel', 'loyal', 'PKE', 'Telkomsel', 'package', 'expensive', 'please', 'service', 'signal', 'often', ' times', 'signal', 'ugly', 'reflect', 'price', 'expensive', 'quality', 'ugly', '']")</f>
        <v>['Disappointed', 'service', 'Telkomsel', 'loyal', 'PKE', 'Telkomsel', 'package', 'expensive', 'please', 'service', 'signal', 'often', ' times', 'signal', 'ugly', 'reflect', 'price', 'expensive', 'quality', 'ugly', '']</v>
      </c>
      <c r="D4825" s="3">
        <v>1.0</v>
      </c>
    </row>
    <row r="4826" ht="15.75" customHeight="1">
      <c r="A4826" s="1">
        <v>4824.0</v>
      </c>
      <c r="B4826" s="3" t="s">
        <v>4826</v>
      </c>
      <c r="C4826" s="3" t="str">
        <f>IFERROR(__xludf.DUMMYFUNCTION("GOOGLETRANSLATE(B4826,""id"",""en"")"),"['network', 'Telkomsel', 'slow', 'muter', 'mulu', 'every time', 'times', 'open', 'youtube', 'application']")</f>
        <v>['network', 'Telkomsel', 'slow', 'muter', 'mulu', 'every time', 'times', 'open', 'youtube', 'application']</v>
      </c>
      <c r="D4826" s="3">
        <v>1.0</v>
      </c>
    </row>
    <row r="4827" ht="15.75" customHeight="1">
      <c r="A4827" s="1">
        <v>4825.0</v>
      </c>
      <c r="B4827" s="3" t="s">
        <v>4827</v>
      </c>
      <c r="C4827" s="3" t="str">
        <f>IFERROR(__xludf.DUMMYFUNCTION("GOOGLETRANSLATE(B4827,""id"",""en"")"),"['intention', 'buy', 'package', 'internet', 'Telkomsel', 'Karna', 'promo', 'cheap', 'ngembariin', 'data', 'quota', 'gamesmax', ' right ',' buy ',' package ',' combo ',' sumps', 'pulse', 'emporting', 'want', 'buy', 'package', 'gamesmax', 'because', 'like' "&amp;", 'Nge', 'game', 'Afraid', 'wasteful', 'quota', 'main', 'buy', 'quota', 'gamesmax', 'for', 'right', 'quota', ' main ',' already ',' run out ',' stay ',' quota ',' gamesmax ',' play ',' game ',' free ',' fire ',' pubg ',' shelfire ',' AOV ' , 'Etc.', 'logi"&amp;"n', 'gabisa', 'look for', 'money', 'difficult', '']")</f>
        <v>['intention', 'buy', 'package', 'internet', 'Telkomsel', 'Karna', 'promo', 'cheap', 'ngembariin', 'data', 'quota', 'gamesmax', ' right ',' buy ',' package ',' combo ',' sumps', 'pulse', 'emporting', 'want', 'buy', 'package', 'gamesmax', 'because', 'like' , 'Nge', 'game', 'Afraid', 'wasteful', 'quota', 'main', 'buy', 'quota', 'gamesmax', 'for', 'right', 'quota', ' main ',' already ',' run out ',' stay ',' quota ',' gamesmax ',' play ',' game ',' free ',' fire ',' pubg ',' shelfire ',' AOV ' , 'Etc.', 'login', 'gabisa', 'look for', 'money', 'difficult', '']</v>
      </c>
      <c r="D4827" s="3">
        <v>1.0</v>
      </c>
    </row>
    <row r="4828" ht="15.75" customHeight="1">
      <c r="A4828" s="1">
        <v>4826.0</v>
      </c>
      <c r="B4828" s="3" t="s">
        <v>4828</v>
      </c>
      <c r="C4828" s="3" t="str">
        <f>IFERROR(__xludf.DUMMYFUNCTION("GOOGLETRANSLATE(B4828,""id"",""en"")"),"['update', 'open', 'network', 'Telkomsel', 'slow', 'like', 'special', 'city', 'Jambi', 'network', 'like', 'Edge', ' network ',' already ',' output ',' newest ']")</f>
        <v>['update', 'open', 'network', 'Telkomsel', 'slow', 'like', 'special', 'city', 'Jambi', 'network', 'like', 'Edge', ' network ',' already ',' output ',' newest ']</v>
      </c>
      <c r="D4828" s="3">
        <v>1.0</v>
      </c>
    </row>
    <row r="4829" ht="15.75" customHeight="1">
      <c r="A4829" s="1">
        <v>4827.0</v>
      </c>
      <c r="B4829" s="3" t="s">
        <v>4829</v>
      </c>
      <c r="C4829" s="3" t="str">
        <f>IFERROR(__xludf.DUMMYFUNCTION("GOOGLETRANSLATE(B4829,""id"",""en"")"),"['Points', 'Exchange', 'Credit', 'Kayak', 'Package', 'Expensive', 'Points', 'Exchange', 'Healthy']")</f>
        <v>['Points', 'Exchange', 'Credit', 'Kayak', 'Package', 'Expensive', 'Points', 'Exchange', 'Healthy']</v>
      </c>
      <c r="D4829" s="3">
        <v>1.0</v>
      </c>
    </row>
    <row r="4830" ht="15.75" customHeight="1">
      <c r="A4830" s="1">
        <v>4828.0</v>
      </c>
      <c r="B4830" s="3" t="s">
        <v>4830</v>
      </c>
      <c r="C4830" s="3" t="str">
        <f>IFERROR(__xludf.DUMMYFUNCTION("GOOGLETRANSLATE(B4830,""id"",""en"")"),"['pulse', 'like', 'missing', 'package', 'data', 'combo', 'right', 'check', 'transaction', 'pulse', 'truncated', 'use', ' Data ',' strange ',' suggestion ',' nyetok ',' pulse ',' Telkomsel ']")</f>
        <v>['pulse', 'like', 'missing', 'package', 'data', 'combo', 'right', 'check', 'transaction', 'pulse', 'truncated', 'use', ' Data ',' strange ',' suggestion ',' nyetok ',' pulse ',' Telkomsel ']</v>
      </c>
      <c r="D4830" s="3">
        <v>1.0</v>
      </c>
    </row>
    <row r="4831" ht="15.75" customHeight="1">
      <c r="A4831" s="1">
        <v>4829.0</v>
      </c>
      <c r="B4831" s="3" t="s">
        <v>4831</v>
      </c>
      <c r="C4831" s="3" t="str">
        <f>IFERROR(__xludf.DUMMYFUNCTION("GOOGLETRANSLATE(B4831,""id"",""en"")"),"['', 'Contents',' Credit ',' Counter ',' Enter ',' balance ',' RB ',' Jmlh ',' name ',' theft ',' pulse ',' taken ',' permission ',' PDHL ',' buy ',' Package ',' Swadaya ',' Gojek ',' RB ',' Buy ',' Package ',' TSB ',' Disright ',' Customer ',' valuable '"&amp;", 'org', 'difficult']")</f>
        <v>['', 'Contents',' Credit ',' Counter ',' Enter ',' balance ',' RB ',' Jmlh ',' name ',' theft ',' pulse ',' taken ',' permission ',' PDHL ',' buy ',' Package ',' Swadaya ',' Gojek ',' RB ',' Buy ',' Package ',' TSB ',' Disright ',' Customer ',' valuable ', 'org', 'difficult']</v>
      </c>
      <c r="D4831" s="3">
        <v>1.0</v>
      </c>
    </row>
    <row r="4832" ht="15.75" customHeight="1">
      <c r="A4832" s="1">
        <v>4830.0</v>
      </c>
      <c r="B4832" s="3" t="s">
        <v>4832</v>
      </c>
      <c r="C4832" s="3" t="str">
        <f>IFERROR(__xludf.DUMMYFUNCTION("GOOGLETRANSLATE(B4832,""id"",""en"")"),"['The network', 'Anjim', 'really', 'Telkomsel', 'slow', 'slow', 'telmi', 'complete', 'provider', ""]")</f>
        <v>['The network', 'Anjim', 'really', 'Telkomsel', 'slow', 'slow', 'telmi', 'complete', 'provider', "]</v>
      </c>
      <c r="D4832" s="3">
        <v>1.0</v>
      </c>
    </row>
    <row r="4833" ht="15.75" customHeight="1">
      <c r="A4833" s="1">
        <v>4831.0</v>
      </c>
      <c r="B4833" s="3" t="s">
        <v>4833</v>
      </c>
      <c r="C4833" s="3" t="str">
        <f>IFERROR(__xludf.DUMMYFUNCTION("GOOGLETRANSLATE(B4833,""id"",""en"")"),"['Please', 'admin', 'Telkomsel', 'respect', 'gini', 'promo', 'package', 'cheerful', 'think']")</f>
        <v>['Please', 'admin', 'Telkomsel', 'respect', 'gini', 'promo', 'package', 'cheerful', 'think']</v>
      </c>
      <c r="D4833" s="3">
        <v>4.0</v>
      </c>
    </row>
    <row r="4834" ht="15.75" customHeight="1">
      <c r="A4834" s="1">
        <v>4832.0</v>
      </c>
      <c r="B4834" s="3" t="s">
        <v>4834</v>
      </c>
      <c r="C4834" s="3" t="str">
        <f>IFERROR(__xludf.DUMMYFUNCTION("GOOGLETRANSLATE(B4834,""id"",""en"")"),"['ugly', 'entry', 'email', 'sosmed', 'verification', 'sms',' enter ',' enter ',' grandfather ',' card ',' package ',' internet ',' already ',' that's', 'Jngan', 'Macem', 'wanted', 'subscription', 'Di Consed', 'Cheap', 'Price', 'Package', 'Expensive', 'Buy"&amp;"', 'Card' , '']")</f>
        <v>['ugly', 'entry', 'email', 'sosmed', 'verification', 'sms',' enter ',' enter ',' grandfather ',' card ',' package ',' internet ',' already ',' that's', 'Jngan', 'Macem', 'wanted', 'subscription', 'Di Consed', 'Cheap', 'Price', 'Package', 'Expensive', 'Buy', 'Card' , '']</v>
      </c>
      <c r="D4834" s="3">
        <v>1.0</v>
      </c>
    </row>
    <row r="4835" ht="15.75" customHeight="1">
      <c r="A4835" s="1">
        <v>4833.0</v>
      </c>
      <c r="B4835" s="3" t="s">
        <v>4835</v>
      </c>
      <c r="C4835" s="3" t="str">
        <f>IFERROR(__xludf.DUMMYFUNCTION("GOOGLETRANSLATE(B4835,""id"",""en"")"),"['The application', 'good', 'knp', 'number', 'koq', 'package', 'expensive', 'subscription', 'sympathy', 'sympathy', 'sewindu', 'the award', ' Faithful ',' Provider ', ""]")</f>
        <v>['The application', 'good', 'knp', 'number', 'koq', 'package', 'expensive', 'subscription', 'sympathy', 'sympathy', 'sewindu', 'the award', ' Faithful ',' Provider ', "]</v>
      </c>
      <c r="D4835" s="3">
        <v>4.0</v>
      </c>
    </row>
    <row r="4836" ht="15.75" customHeight="1">
      <c r="A4836" s="1">
        <v>4834.0</v>
      </c>
      <c r="B4836" s="3" t="s">
        <v>4836</v>
      </c>
      <c r="C4836" s="3" t="str">
        <f>IFERROR(__xludf.DUMMYFUNCTION("GOOGLETRANSLATE(B4836,""id"",""en"")"),"['The application', 'update', 'impressed', 'professional', 'dlm', 'serve', 'consumer', ""]")</f>
        <v>['The application', 'update', 'impressed', 'professional', 'dlm', 'serve', 'consumer', "]</v>
      </c>
      <c r="D4836" s="3">
        <v>2.0</v>
      </c>
    </row>
    <row r="4837" ht="15.75" customHeight="1">
      <c r="A4837" s="1">
        <v>4835.0</v>
      </c>
      <c r="B4837" s="3" t="s">
        <v>4837</v>
      </c>
      <c r="C4837" s="3" t="str">
        <f>IFERROR(__xludf.DUMMYFUNCTION("GOOGLETRANSLATE(B4837,""id"",""en"")"),"['network', 'card', 'LOP', 'slow', 'network', 'card', 'smooth', 'how', 'network', 'card', 'Lop', 'normal', ' Please ',' Help ',' Telekomsel ']")</f>
        <v>['network', 'card', 'LOP', 'slow', 'network', 'card', 'smooth', 'how', 'network', 'card', 'Lop', 'normal', ' Please ',' Help ',' Telekomsel ']</v>
      </c>
      <c r="D4837" s="3">
        <v>1.0</v>
      </c>
    </row>
    <row r="4838" ht="15.75" customHeight="1">
      <c r="A4838" s="1">
        <v>4836.0</v>
      </c>
      <c r="B4838" s="3" t="s">
        <v>4838</v>
      </c>
      <c r="C4838" s="3" t="str">
        <f>IFERROR(__xludf.DUMMYFUNCTION("GOOGLETRANSLATE(B4838,""id"",""en"")"),"['Applikasih', 'heavy', 'menu', 'vitur', 'tidk', 'customer', 'stone', 'lay', '']")</f>
        <v>['Applikasih', 'heavy', 'menu', 'vitur', 'tidk', 'customer', 'stone', 'lay', '']</v>
      </c>
      <c r="D4838" s="3">
        <v>1.0</v>
      </c>
    </row>
    <row r="4839" ht="15.75" customHeight="1">
      <c r="A4839" s="1">
        <v>4837.0</v>
      </c>
      <c r="B4839" s="3" t="s">
        <v>4839</v>
      </c>
      <c r="C4839" s="3" t="str">
        <f>IFERROR(__xludf.DUMMYFUNCTION("GOOGLETRANSLATE(B4839,""id"",""en"")"),"['Please', 'Provide', 'Lock', 'Lock', 'Credit', 'Case', 'Package', 'Data', 'Signal', 'Change', 'Under it', 'Credit', ' Sumpot ',' TNPA ',' notification ',' PDHL ',' standby ',' PNH ',' complain ',' pulse ',' HBIS ',' usage ',' Non ',' Non ',' suggested ' "&amp;", 'Features',' Ngelock ',' Credit ',' Kayak ',' Network ',' Change ',' Prlu ',' Nyedot ',' Credit ',' Main ',' Word ',' Ngadin ',' Package ',' Data ',' Special ',' Doang ',' ']")</f>
        <v>['Please', 'Provide', 'Lock', 'Lock', 'Credit', 'Case', 'Package', 'Data', 'Signal', 'Change', 'Under it', 'Credit', ' Sumpot ',' TNPA ',' notification ',' PDHL ',' standby ',' PNH ',' complain ',' pulse ',' HBIS ',' usage ',' Non ',' Non ',' suggested ' , 'Features',' Ngelock ',' Credit ',' Kayak ',' Network ',' Change ',' Prlu ',' Nyedot ',' Credit ',' Main ',' Word ',' Ngadin ',' Package ',' Data ',' Special ',' Doang ',' ']</v>
      </c>
      <c r="D4839" s="3">
        <v>1.0</v>
      </c>
    </row>
    <row r="4840" ht="15.75" customHeight="1">
      <c r="A4840" s="1">
        <v>4838.0</v>
      </c>
      <c r="B4840" s="3" t="s">
        <v>4840</v>
      </c>
      <c r="C4840" s="3" t="str">
        <f>IFERROR(__xludf.DUMMYFUNCTION("GOOGLETRANSLATE(B4840,""id"",""en"")"),"['Lack', 'Loading', 'The application', 'Geram', '']")</f>
        <v>['Lack', 'Loading', 'The application', 'Geram', '']</v>
      </c>
      <c r="D4840" s="3">
        <v>1.0</v>
      </c>
    </row>
    <row r="4841" ht="15.75" customHeight="1">
      <c r="A4841" s="1">
        <v>4839.0</v>
      </c>
      <c r="B4841" s="3" t="s">
        <v>4841</v>
      </c>
      <c r="C4841" s="3" t="str">
        <f>IFERROR(__xludf.DUMMYFUNCTION("GOOGLETRANSLATE(B4841,""id"",""en"")"),"['SERVICE', 'sophisticated', 'package', 'cheap', 'cheap', 'free', 'Yuk', 'Download', 'Telkomsel', 'card', 'Telkomsel']")</f>
        <v>['SERVICE', 'sophisticated', 'package', 'cheap', 'cheap', 'free', 'Yuk', 'Download', 'Telkomsel', 'card', 'Telkomsel']</v>
      </c>
      <c r="D4841" s="3">
        <v>5.0</v>
      </c>
    </row>
    <row r="4842" ht="15.75" customHeight="1">
      <c r="A4842" s="1">
        <v>4840.0</v>
      </c>
      <c r="B4842" s="3" t="s">
        <v>4842</v>
      </c>
      <c r="C4842" s="3" t="str">
        <f>IFERROR(__xludf.DUMMYFUNCTION("GOOGLETRANSLATE(B4842,""id"",""en"")"),"['Data', 'Entertaintmen', 'right', 'watch', 'Tetep', 'She', 'Package', 'Main', 'What' do ',' watch ',' Tetep ',' quota ',' main', '']")</f>
        <v>['Data', 'Entertaintmen', 'right', 'watch', 'Tetep', 'She', 'Package', 'Main', 'What' do ',' watch ',' Tetep ',' quota ',' main', '']</v>
      </c>
      <c r="D4842" s="3">
        <v>3.0</v>
      </c>
    </row>
    <row r="4843" ht="15.75" customHeight="1">
      <c r="A4843" s="1">
        <v>4841.0</v>
      </c>
      <c r="B4843" s="3" t="s">
        <v>4843</v>
      </c>
      <c r="C4843" s="3" t="str">
        <f>IFERROR(__xludf.DUMMYFUNCTION("GOOGLETRANSLATE(B4843,""id"",""en"")"),"['Package', 'card', 'Hello', 'Telkomsel', 'Delicious',' Since ',' Changed ',' Hello ',' Personal ',' Maless', 'Telkomsel', 'Bill', ' continued ',' per month ',' bills', 'drastiss',' imagine ',' try ',' pay ',' that way ',' mending ',' wifi ',' like ',' fo"&amp;"rced ',' pay ' , 'decided', 'moved', 'tasty', 'network', 'broad', 'kmana', 'terjagkau', 'greetings',' disappointed ',' Telkomsel ',' package ',' hello ',' ']")</f>
        <v>['Package', 'card', 'Hello', 'Telkomsel', 'Delicious',' Since ',' Changed ',' Hello ',' Personal ',' Maless', 'Telkomsel', 'Bill', ' continued ',' per month ',' bills', 'drastiss',' imagine ',' try ',' pay ',' that way ',' mending ',' wifi ',' like ',' forced ',' pay ' , 'decided', 'moved', 'tasty', 'network', 'broad', 'kmana', 'terjagkau', 'greetings',' disappointed ',' Telkomsel ',' package ',' hello ',' ']</v>
      </c>
      <c r="D4843" s="3">
        <v>1.0</v>
      </c>
    </row>
    <row r="4844" ht="15.75" customHeight="1">
      <c r="A4844" s="1">
        <v>4842.0</v>
      </c>
      <c r="B4844" s="3" t="s">
        <v>4844</v>
      </c>
      <c r="C4844" s="3" t="str">
        <f>IFERROR(__xludf.DUMMYFUNCTION("GOOGLETRANSLATE(B4844,""id"",""en"")"),"['Star', 'Min', 'complain', 'MyOrbit', 'responded', 'Direct', 'Rate', 'his mother', 'please', 'orbit', 'service', 'enhanced', ' Buy ',' quota ',' GB ',' Enter ',' Complained ',' Email ',' Response ',' Solution ',' Worse ',' Announcement ',' Official ',' N"&amp;"ormal ',' MyOrbit ' , 'Current', 'returned', 'rating', '']")</f>
        <v>['Star', 'Min', 'complain', 'MyOrbit', 'responded', 'Direct', 'Rate', 'his mother', 'please', 'orbit', 'service', 'enhanced', ' Buy ',' quota ',' GB ',' Enter ',' Complained ',' Email ',' Response ',' Solution ',' Worse ',' Announcement ',' Official ',' Normal ',' MyOrbit ' , 'Current', 'returned', 'rating', '']</v>
      </c>
      <c r="D4844" s="3">
        <v>1.0</v>
      </c>
    </row>
    <row r="4845" ht="15.75" customHeight="1">
      <c r="A4845" s="1">
        <v>4843.0</v>
      </c>
      <c r="B4845" s="3" t="s">
        <v>4845</v>
      </c>
      <c r="C4845" s="3" t="str">
        <f>IFERROR(__xludf.DUMMYFUNCTION("GOOGLETRANSLATE(B4845,""id"",""en"")"),"['NLP', 'Signal', 'Quality', 'Net', 'Stable', 'Ehh', 'Min', 'Follow', 'Lottery', 'Points',' Win ',' XXX ',' already ',' stable ',' speed ',' net ',' love ',' star ']")</f>
        <v>['NLP', 'Signal', 'Quality', 'Net', 'Stable', 'Ehh', 'Min', 'Follow', 'Lottery', 'Points',' Win ',' XXX ',' already ',' stable ',' speed ',' net ',' love ',' star ']</v>
      </c>
      <c r="D4845" s="3">
        <v>3.0</v>
      </c>
    </row>
    <row r="4846" ht="15.75" customHeight="1">
      <c r="A4846" s="1">
        <v>4844.0</v>
      </c>
      <c r="B4846" s="3" t="s">
        <v>4846</v>
      </c>
      <c r="C4846" s="3" t="str">
        <f>IFERROR(__xludf.DUMMYFUNCTION("GOOGLETRANSLATE(B4846,""id"",""en"")"),"['', 'Age', 'Wear', 'Sympathy', 'Telkomsel', 'Change', 'Comfortable', 'Go', 'Hajj', 'Kalimantan', 'Umrah', 'Singapore', 'Malaysia ',' Lampung ',' Etc. ',' Where ',' Nggk ',' Disappointed ',' Figure ',' Good ',' Clear ',' Satisfied ',' Tekomsel ', ""]")</f>
        <v>['', 'Age', 'Wear', 'Sympathy', 'Telkomsel', 'Change', 'Comfortable', 'Go', 'Hajj', 'Kalimantan', 'Umrah', 'Singapore', 'Malaysia ',' Lampung ',' Etc. ',' Where ',' Nggk ',' Disappointed ',' Figure ',' Good ',' Clear ',' Satisfied ',' Tekomsel ', "]</v>
      </c>
      <c r="D4846" s="3">
        <v>5.0</v>
      </c>
    </row>
    <row r="4847" ht="15.75" customHeight="1">
      <c r="A4847" s="1">
        <v>4845.0</v>
      </c>
      <c r="B4847" s="3" t="s">
        <v>4847</v>
      </c>
      <c r="C4847" s="3" t="str">
        <f>IFERROR(__xludf.DUMMYFUNCTION("GOOGLETRANSLATE(B4847,""id"",""en"")"),"['bought', 'package', 'cheerful', 'cook', 'pulse', 'bought', 'Malik', 'already', 'star', 'Ceper', 'Benerin', 'min']")</f>
        <v>['bought', 'package', 'cheerful', 'cook', 'pulse', 'bought', 'Malik', 'already', 'star', 'Ceper', 'Benerin', 'min']</v>
      </c>
      <c r="D4847" s="3">
        <v>3.0</v>
      </c>
    </row>
    <row r="4848" ht="15.75" customHeight="1">
      <c r="A4848" s="1">
        <v>4846.0</v>
      </c>
      <c r="B4848" s="3" t="s">
        <v>4848</v>
      </c>
      <c r="C4848" s="3" t="str">
        <f>IFERROR(__xludf.DUMMYFUNCTION("GOOGLETRANSLATE(B4848,""id"",""en"")"),"['Maling', 'pulse', 'leftover', 'pulse', 'gwa', 'sudden', 'live', 'crazy', 'gwa', 'anything', 'all day', 'package', ' Data ',' Buy ',' Move ',' Operator ',' Friends', 'Your Duit', 'Stolen', '']")</f>
        <v>['Maling', 'pulse', 'leftover', 'pulse', 'gwa', 'sudden', 'live', 'crazy', 'gwa', 'anything', 'all day', 'package', ' Data ',' Buy ',' Move ',' Operator ',' Friends', 'Your Duit', 'Stolen', '']</v>
      </c>
      <c r="D4848" s="3">
        <v>1.0</v>
      </c>
    </row>
    <row r="4849" ht="15.75" customHeight="1">
      <c r="A4849" s="1">
        <v>4847.0</v>
      </c>
      <c r="B4849" s="3" t="s">
        <v>4849</v>
      </c>
      <c r="C4849" s="3" t="str">
        <f>IFERROR(__xludf.DUMMYFUNCTION("GOOGLETRANSLATE(B4849,""id"",""en"")"),"['promo', 'evenly distributed', 'neighbors', 'get', 'promo', 'no', 'subscription', 'combo', 'sakti', 'how', 'Telkomsel', ""]")</f>
        <v>['promo', 'evenly distributed', 'neighbors', 'get', 'promo', 'no', 'subscription', 'combo', 'sakti', 'how', 'Telkomsel', "]</v>
      </c>
      <c r="D4849" s="3">
        <v>1.0</v>
      </c>
    </row>
    <row r="4850" ht="15.75" customHeight="1">
      <c r="A4850" s="1">
        <v>4848.0</v>
      </c>
      <c r="B4850" s="3" t="s">
        <v>4850</v>
      </c>
      <c r="C4850" s="3" t="str">
        <f>IFERROR(__xludf.DUMMYFUNCTION("GOOGLETRANSLATE(B4850,""id"",""en"")"),"['Points', 'Miss', 'Donk', 'Switch', 'Gifts', 'Points', 'Try', 'Contents', 'Credit', 'Points', 'Puti', '']")</f>
        <v>['Points', 'Miss', 'Donk', 'Switch', 'Gifts', 'Points', 'Try', 'Contents', 'Credit', 'Points', 'Puti', '']</v>
      </c>
      <c r="D4850" s="3">
        <v>5.0</v>
      </c>
    </row>
    <row r="4851" ht="15.75" customHeight="1">
      <c r="A4851" s="1">
        <v>4849.0</v>
      </c>
      <c r="B4851" s="3" t="s">
        <v>4851</v>
      </c>
      <c r="C4851" s="3" t="str">
        <f>IFERROR(__xludf.DUMMYFUNCTION("GOOGLETRANSLATE(B4851,""id"",""en"")"),"['Disruption', 'Check', 'Via', 'Denied', 'Info', 'Processed', 'Contact', 'Clock', 'Purchase', 'Package', 'Call', 'Via', ' Telkomsel ',' user ',' friendly ',' appears', 'package', 'call', 'country', 'purchase', 'package', 'call', 'via', 'activated', 'the r"&amp;"eason' , 'buy', 'product', 'activation', 'network', 'internet', 'severe', 'location', 'city', 'remote', 'fix', 'Telkomsel']")</f>
        <v>['Disruption', 'Check', 'Via', 'Denied', 'Info', 'Processed', 'Contact', 'Clock', 'Purchase', 'Package', 'Call', 'Via', ' Telkomsel ',' user ',' friendly ',' appears', 'package', 'call', 'country', 'purchase', 'package', 'call', 'via', 'activated', 'the reason' , 'buy', 'product', 'activation', 'network', 'internet', 'severe', 'location', 'city', 'remote', 'fix', 'Telkomsel']</v>
      </c>
      <c r="D4851" s="3">
        <v>3.0</v>
      </c>
    </row>
    <row r="4852" ht="15.75" customHeight="1">
      <c r="A4852" s="1">
        <v>4850.0</v>
      </c>
      <c r="B4852" s="3" t="s">
        <v>4852</v>
      </c>
      <c r="C4852" s="3" t="str">
        <f>IFERROR(__xludf.DUMMYFUNCTION("GOOGLETRANSLATE(B4852,""id"",""en"")"),"['Network', 'Hello', 'ugly', 'reverse', 'sympathy', 'late', 'pay', 'block', 'quality', 'increase', 'detrimental', '']")</f>
        <v>['Network', 'Hello', 'ugly', 'reverse', 'sympathy', 'late', 'pay', 'block', 'quality', 'increase', 'detrimental', '']</v>
      </c>
      <c r="D4852" s="3">
        <v>1.0</v>
      </c>
    </row>
    <row r="4853" ht="15.75" customHeight="1">
      <c r="A4853" s="1">
        <v>4851.0</v>
      </c>
      <c r="B4853" s="3" t="s">
        <v>4853</v>
      </c>
      <c r="C4853" s="3" t="str">
        <f>IFERROR(__xludf.DUMMYFUNCTION("GOOGLETRANSLATE(B4853,""id"",""en"")"),"['buy', 'package', 'extra', 'unlimited', 'games',' chats', 'musicmax', 'access',' pls', 'main', 'quota', 'main', ' Take ',' Look ',' Card ',' Telkomsel ',' Times', 'Heart', 'Nyesek']")</f>
        <v>['buy', 'package', 'extra', 'unlimited', 'games',' chats', 'musicmax', 'access',' pls', 'main', 'quota', 'main', ' Take ',' Look ',' Card ',' Telkomsel ',' Times', 'Heart', 'Nyesek']</v>
      </c>
      <c r="D4853" s="3">
        <v>1.0</v>
      </c>
    </row>
    <row r="4854" ht="15.75" customHeight="1">
      <c r="A4854" s="1">
        <v>4852.0</v>
      </c>
      <c r="B4854" s="3" t="s">
        <v>4854</v>
      </c>
      <c r="C4854" s="3" t="str">
        <f>IFERROR(__xludf.DUMMYFUNCTION("GOOGLETRANSLATE(B4854,""id"",""en"")"),"['Signal', 'bad', 'world', 'strength', 'signal', 'stable', 'company', 'price', 'relative', 'expensive', 'price', 'quality', ' Different ',' Kelabel ',' Fortiness', 'Fix', 'Blind', 'Quality', 'Work', 'Personal', 'Disappointed', 'Telkomsel']")</f>
        <v>['Signal', 'bad', 'world', 'strength', 'signal', 'stable', 'company', 'price', 'relative', 'expensive', 'price', 'quality', ' Different ',' Kelabel ',' Fortiness', 'Fix', 'Blind', 'Quality', 'Work', 'Personal', 'Disappointed', 'Telkomsel']</v>
      </c>
      <c r="D4854" s="3">
        <v>1.0</v>
      </c>
    </row>
    <row r="4855" ht="15.75" customHeight="1">
      <c r="A4855" s="1">
        <v>4853.0</v>
      </c>
      <c r="B4855" s="3" t="s">
        <v>4855</v>
      </c>
      <c r="C4855" s="3" t="str">
        <f>IFERROR(__xludf.DUMMYFUNCTION("GOOGLETRANSLATE(B4855,""id"",""en"")"),"['the latest', 'Error', 'Close', 'own', 'package', 'expensive', 'really', 'combo', 'Sakti', 'unlimited', 'already', 'limit', ' Forced ',' Stop ',' Move ',' Serimaksih ',' ']")</f>
        <v>['the latest', 'Error', 'Close', 'own', 'package', 'expensive', 'really', 'combo', 'Sakti', 'unlimited', 'already', 'limit', ' Forced ',' Stop ',' Move ',' Serimaksih ',' ']</v>
      </c>
      <c r="D4855" s="3">
        <v>5.0</v>
      </c>
    </row>
    <row r="4856" ht="15.75" customHeight="1">
      <c r="A4856" s="1">
        <v>4854.0</v>
      </c>
      <c r="B4856" s="3" t="s">
        <v>4856</v>
      </c>
      <c r="C4856" s="3" t="str">
        <f>IFERROR(__xludf.DUMMYFUNCTION("GOOGLETRANSLATE(B4856,""id"",""en"")"),"['Untk', 'Kases',' Application ',' Cut ',' Credit ',' Cuman ',' Minutes', 'Ludes',' Credit ',' Please ',' Miss', 'Customer', ' Comfortable ',' loyal ',' Telkomsel ',' thank you ']")</f>
        <v>['Untk', 'Kases',' Application ',' Cut ',' Credit ',' Cuman ',' Minutes', 'Ludes',' Credit ',' Please ',' Miss', 'Customer', ' Comfortable ',' loyal ',' Telkomsel ',' thank you ']</v>
      </c>
      <c r="D4856" s="3">
        <v>2.0</v>
      </c>
    </row>
    <row r="4857" ht="15.75" customHeight="1">
      <c r="A4857" s="1">
        <v>4855.0</v>
      </c>
      <c r="B4857" s="3" t="s">
        <v>4857</v>
      </c>
      <c r="C4857" s="3" t="str">
        <f>IFERROR(__xludf.DUMMYFUNCTION("GOOGLETRANSLATE(B4857,""id"",""en"")"),"['For', 'Telkomsel', 'Dear', 'Yesterday', 'Fill', 'Quota', 'GB', 'Via', 'Application', 'Contents',' Credit ',' Credit ',' Sumpot ',' quota ',' abis']")</f>
        <v>['For', 'Telkomsel', 'Dear', 'Yesterday', 'Fill', 'Quota', 'GB', 'Via', 'Application', 'Contents',' Credit ',' Credit ',' Sumpot ',' quota ',' abis']</v>
      </c>
      <c r="D4857" s="3">
        <v>1.0</v>
      </c>
    </row>
    <row r="4858" ht="15.75" customHeight="1">
      <c r="A4858" s="1">
        <v>4856.0</v>
      </c>
      <c r="B4858" s="3" t="s">
        <v>4858</v>
      </c>
      <c r="C4858" s="3" t="str">
        <f>IFERROR(__xludf.DUMMYFUNCTION("GOOGLETRANSLATE(B4858,""id"",""en"")"),"['good', 'good', 'good', 'good', 'best', 'unfortunately', 'application', 'expensive', 'spend', 'package', 'quota', 'pulses',' discounts', 'users',' loyal ',' wear ',' products', 'Telkomsel', 'TMT', '']")</f>
        <v>['good', 'good', 'good', 'good', 'best', 'unfortunately', 'application', 'expensive', 'spend', 'package', 'quota', 'pulses',' discounts', 'users',' loyal ',' wear ',' products', 'Telkomsel', 'TMT', '']</v>
      </c>
      <c r="D4858" s="3">
        <v>5.0</v>
      </c>
    </row>
    <row r="4859" ht="15.75" customHeight="1">
      <c r="A4859" s="1">
        <v>4857.0</v>
      </c>
      <c r="B4859" s="3" t="s">
        <v>4859</v>
      </c>
      <c r="C4859" s="3" t="str">
        <f>IFERROR(__xludf.DUMMYFUNCTION("GOOGLETRANSLATE(B4859,""id"",""en"")"),"['here', 'signal', 'paraahh', 'bar', 'full', 'internet', 'open', 'telkomsel', 'hadeeuuhh', 'please', 'fix', 'Telkomsel', ' Already ',' Disappointed ']")</f>
        <v>['here', 'signal', 'paraahh', 'bar', 'full', 'internet', 'open', 'telkomsel', 'hadeeuuhh', 'please', 'fix', 'Telkomsel', ' Already ',' Disappointed ']</v>
      </c>
      <c r="D4859" s="3">
        <v>1.0</v>
      </c>
    </row>
    <row r="4860" ht="15.75" customHeight="1">
      <c r="A4860" s="1">
        <v>4858.0</v>
      </c>
      <c r="B4860" s="3" t="s">
        <v>4860</v>
      </c>
      <c r="C4860" s="3" t="str">
        <f>IFERROR(__xludf.DUMMYFUNCTION("GOOGLETRANSLATE(B4860,""id"",""en"")"),"['Maen', 'Game', 'Mobile', 'Legend', 'Signal', 'Lost', 'Quality', 'Bad', 'Service', 'ugly', 'Package', 'waste', ' Expensive ',' Package ',' Data ',' Out ',' Credit ',' Direct ',' Cut ',' Bye ',' Bye ']")</f>
        <v>['Maen', 'Game', 'Mobile', 'Legend', 'Signal', 'Lost', 'Quality', 'Bad', 'Service', 'ugly', 'Package', 'waste', ' Expensive ',' Package ',' Data ',' Out ',' Credit ',' Direct ',' Cut ',' Bye ',' Bye ']</v>
      </c>
      <c r="D4860" s="3">
        <v>1.0</v>
      </c>
    </row>
    <row r="4861" ht="15.75" customHeight="1">
      <c r="A4861" s="1">
        <v>4859.0</v>
      </c>
      <c r="B4861" s="3" t="s">
        <v>4861</v>
      </c>
      <c r="C4861" s="3" t="str">
        <f>IFERROR(__xludf.DUMMYFUNCTION("GOOGLETRANSLATE(B4861,""id"",""en"")"),"['Network', 'bad', 'yesterday', 'smooth', 'customer', 'service', 'handling', 'slow', 'help', 'please', 'repair', ""]")</f>
        <v>['Network', 'bad', 'yesterday', 'smooth', 'customer', 'service', 'handling', 'slow', 'help', 'please', 'repair', "]</v>
      </c>
      <c r="D4861" s="3">
        <v>1.0</v>
      </c>
    </row>
    <row r="4862" ht="15.75" customHeight="1">
      <c r="A4862" s="1">
        <v>4860.0</v>
      </c>
      <c r="B4862" s="3" t="s">
        <v>4862</v>
      </c>
      <c r="C4862" s="3" t="str">
        <f>IFERROR(__xludf.DUMMYFUNCTION("GOOGLETRANSLATE(B4862,""id"",""en"")"),"['steady', 'easy', 'buy', 'package', 'pulses', 'check', 'point', 'pay', 'bill', 'etc.', '']")</f>
        <v>['steady', 'easy', 'buy', 'package', 'pulses', 'check', 'point', 'pay', 'bill', 'etc.', '']</v>
      </c>
      <c r="D4862" s="3">
        <v>5.0</v>
      </c>
    </row>
    <row r="4863" ht="15.75" customHeight="1">
      <c r="A4863" s="1">
        <v>4861.0</v>
      </c>
      <c r="B4863" s="3" t="s">
        <v>4863</v>
      </c>
      <c r="C4863" s="3" t="str">
        <f>IFERROR(__xludf.DUMMYFUNCTION("GOOGLETRANSLATE(B4863,""id"",""en"")"),"['star', 'signal', 'best', 'area', 'outerest', 'border', 'Indonesia', 'Telkomsel', 'most', 'promotion', 'appreciate', 'privacy', ' Customers', 'finished', 'call', 'appears',' pop ',' disturbing ',' company ',' putting forward ',' satisfaction ',' customer"&amp;" ',' pay attention ',' treat ',' customer ' , '']")</f>
        <v>['star', 'signal', 'best', 'area', 'outerest', 'border', 'Indonesia', 'Telkomsel', 'most', 'promotion', 'appreciate', 'privacy', ' Customers', 'finished', 'call', 'appears',' pop ',' disturbing ',' company ',' putting forward ',' satisfaction ',' customer ',' pay attention ',' treat ',' customer ' , '']</v>
      </c>
      <c r="D4863" s="3">
        <v>1.0</v>
      </c>
    </row>
    <row r="4864" ht="15.75" customHeight="1">
      <c r="A4864" s="1">
        <v>4862.0</v>
      </c>
      <c r="B4864" s="3" t="s">
        <v>4864</v>
      </c>
      <c r="C4864" s="3" t="str">
        <f>IFERROR(__xludf.DUMMYFUNCTION("GOOGLETRANSLATE(B4864,""id"",""en"")"),"['balance', 'turn', 'buy', 'package', 'said', 'balance', 'sufficient', 'hand over', 'set', 'what']")</f>
        <v>['balance', 'turn', 'buy', 'package', 'said', 'balance', 'sufficient', 'hand over', 'set', 'what']</v>
      </c>
      <c r="D4864" s="3">
        <v>2.0</v>
      </c>
    </row>
    <row r="4865" ht="15.75" customHeight="1">
      <c r="A4865" s="1">
        <v>4863.0</v>
      </c>
      <c r="B4865" s="3" t="s">
        <v>4865</v>
      </c>
      <c r="C4865" s="3" t="str">
        <f>IFERROR(__xludf.DUMMYFUNCTION("GOOGLETRANSLATE(B4865,""id"",""en"")"),"['application', 'super', 'heavy', 'different', 'application', 'light', 'value', 'minus',' star ',' love ',' minus', 'star', ' ']")</f>
        <v>['application', 'super', 'heavy', 'different', 'application', 'light', 'value', 'minus',' star ',' love ',' minus', 'star', ' ']</v>
      </c>
      <c r="D4865" s="3">
        <v>1.0</v>
      </c>
    </row>
    <row r="4866" ht="15.75" customHeight="1">
      <c r="A4866" s="1">
        <v>4864.0</v>
      </c>
      <c r="B4866" s="3" t="s">
        <v>4866</v>
      </c>
      <c r="C4866" s="3" t="str">
        <f>IFERROR(__xludf.DUMMYFUNCTION("GOOGLETRANSLATE(B4866,""id"",""en"")"),"['The difference', 'buy', 'Online', 'Banking', 'Fix', 'Delete', 'Install', 'Believe', 'No', 'Useful', 'Application', ""]")</f>
        <v>['The difference', 'buy', 'Online', 'Banking', 'Fix', 'Delete', 'Install', 'Believe', 'No', 'Useful', 'Application', "]</v>
      </c>
      <c r="D4866" s="3">
        <v>1.0</v>
      </c>
    </row>
    <row r="4867" ht="15.75" customHeight="1">
      <c r="A4867" s="1">
        <v>4865.0</v>
      </c>
      <c r="B4867" s="3" t="s">
        <v>4867</v>
      </c>
      <c r="C4867" s="3" t="str">
        <f>IFERROR(__xludf.DUMMYFUNCTION("GOOGLETRANSLATE(B4867,""id"",""en"")"),"['operator', 'poor', 'package', 'data', 'fast', 'run out', 'usage', 'normal', 'data', 'jai', 'waste', ""]")</f>
        <v>['operator', 'poor', 'package', 'data', 'fast', 'run out', 'usage', 'normal', 'data', 'jai', 'waste', "]</v>
      </c>
      <c r="D4867" s="3">
        <v>1.0</v>
      </c>
    </row>
    <row r="4868" ht="15.75" customHeight="1">
      <c r="A4868" s="1">
        <v>4866.0</v>
      </c>
      <c r="B4868" s="3" t="s">
        <v>4868</v>
      </c>
      <c r="C4868" s="3" t="str">
        <f>IFERROR(__xludf.DUMMYFUNCTION("GOOGLETRANSLATE(B4868,""id"",""en"")"),"['Telkomsel', 'cheating', 'theft', 'buy', 'quota', 'giga', 'notification', 'pulse', 'truncated', 'semalem', 'morning', 'quota', ' Lost ',' Live ',' Network ',' ugly ',' Search ',' Untung ',' Harm ',' Customer ',' Restore ',' Quota ',' Giga ', ""]")</f>
        <v>['Telkomsel', 'cheating', 'theft', 'buy', 'quota', 'giga', 'notification', 'pulse', 'truncated', 'semalem', 'morning', 'quota', ' Lost ',' Live ',' Network ',' ugly ',' Search ',' Untung ',' Harm ',' Customer ',' Restore ',' Quota ',' Giga ', "]</v>
      </c>
      <c r="D4868" s="3">
        <v>1.0</v>
      </c>
    </row>
    <row r="4869" ht="15.75" customHeight="1">
      <c r="A4869" s="1">
        <v>4867.0</v>
      </c>
      <c r="B4869" s="3" t="s">
        <v>4869</v>
      </c>
      <c r="C4869" s="3" t="str">
        <f>IFERROR(__xludf.DUMMYFUNCTION("GOOGLETRANSLATE(B4869,""id"",""en"")"),"['choose', 'package', 'data', 'pulse', 'already', 'abis', 'first', 'sumps', 'disappointed', 'heavy', ""]")</f>
        <v>['choose', 'package', 'data', 'pulse', 'already', 'abis', 'first', 'sumps', 'disappointed', 'heavy', "]</v>
      </c>
      <c r="D4869" s="3">
        <v>1.0</v>
      </c>
    </row>
    <row r="4870" ht="15.75" customHeight="1">
      <c r="A4870" s="1">
        <v>4868.0</v>
      </c>
      <c r="B4870" s="3" t="s">
        <v>4870</v>
      </c>
      <c r="C4870" s="3" t="str">
        <f>IFERROR(__xludf.DUMMYFUNCTION("GOOGLETRANSLATE(B4870,""id"",""en"")"),"['Many', 'times',' Point ',' Prize ',' Hope ',' Hopefully ',' Times', 'Success',' Win ',' God willing ',' Allah ',' Amin ',' ']")</f>
        <v>['Many', 'times',' Point ',' Prize ',' Hope ',' Hopefully ',' Times', 'Success',' Win ',' God willing ',' Allah ',' Amin ',' ']</v>
      </c>
      <c r="D4870" s="3">
        <v>4.0</v>
      </c>
    </row>
    <row r="4871" ht="15.75" customHeight="1">
      <c r="A4871" s="1">
        <v>4869.0</v>
      </c>
      <c r="B4871" s="3" t="s">
        <v>4871</v>
      </c>
      <c r="C4871" s="3" t="str">
        <f>IFERROR(__xludf.DUMMYFUNCTION("GOOGLETRANSLATE(B4871,""id"",""en"")"),"['Telkomsel', 'severe', 'signal', 'bad', 'loading', 'play', 'game', 'broken', 'broken', 'price', 'guarantee', 'quality', ' Services', 'Responses']")</f>
        <v>['Telkomsel', 'severe', 'signal', 'bad', 'loading', 'play', 'game', 'broken', 'broken', 'price', 'guarantee', 'quality', ' Services', 'Responses']</v>
      </c>
      <c r="D4871" s="3">
        <v>1.0</v>
      </c>
    </row>
    <row r="4872" ht="15.75" customHeight="1">
      <c r="A4872" s="1">
        <v>4870.0</v>
      </c>
      <c r="B4872" s="3" t="s">
        <v>4872</v>
      </c>
      <c r="C4872" s="3" t="str">
        <f>IFERROR(__xludf.DUMMYFUNCTION("GOOGLETRANSLATE(B4872,""id"",""en"")"),"['Not bad', 'Good', 'Notif', 'SMS', 'Buy', 'Package', 'MyTelkomsel', 'GB', 'Open', 'MyTelkomsel', ""]")</f>
        <v>['Not bad', 'Good', 'Notif', 'SMS', 'Buy', 'Package', 'MyTelkomsel', 'GB', 'Open', 'MyTelkomsel', "]</v>
      </c>
      <c r="D4872" s="3">
        <v>4.0</v>
      </c>
    </row>
    <row r="4873" ht="15.75" customHeight="1">
      <c r="A4873" s="1">
        <v>4871.0</v>
      </c>
      <c r="B4873" s="3" t="s">
        <v>4873</v>
      </c>
      <c r="C4873" s="3" t="str">
        <f>IFERROR(__xludf.DUMMYFUNCTION("GOOGLETRANSLATE(B4873,""id"",""en"")"),"['Daily' program, 'check', 'special', 'package', 'data', 'please', 'apply', 'quota', 'quota', 'GB', 'Kutoa', ' GB ',' Thank ',' Kasih ']")</f>
        <v>['Daily' program, 'check', 'special', 'package', 'data', 'please', 'apply', 'quota', 'quota', 'GB', 'Kutoa', ' GB ',' Thank ',' Kasih ']</v>
      </c>
      <c r="D4873" s="3">
        <v>4.0</v>
      </c>
    </row>
    <row r="4874" ht="15.75" customHeight="1">
      <c r="A4874" s="1">
        <v>4872.0</v>
      </c>
      <c r="B4874" s="3" t="s">
        <v>4874</v>
      </c>
      <c r="C4874" s="3" t="str">
        <f>IFERROR(__xludf.DUMMYFUNCTION("GOOGLETRANSLATE(B4874,""id"",""en"")"),"['ugly', 'apk', 'change', 'card', 'lazy', 'cook', 'package', 'choice', '']")</f>
        <v>['ugly', 'apk', 'change', 'card', 'lazy', 'cook', 'package', 'choice', '']</v>
      </c>
      <c r="D4874" s="3">
        <v>1.0</v>
      </c>
    </row>
    <row r="4875" ht="15.75" customHeight="1">
      <c r="A4875" s="1">
        <v>4873.0</v>
      </c>
      <c r="B4875" s="3" t="s">
        <v>4875</v>
      </c>
      <c r="C4875" s="3" t="str">
        <f>IFERROR(__xludf.DUMMYFUNCTION("GOOGLETRANSLATE(B4875,""id"",""en"")"),"['', 'Region', 'Surabaya', 'Tanjung', 'Silver', 'Signal', 'Maximum', 'Please', 'Improvement', 'Quality', 'Network', 'Thank you', "" ]")</f>
        <v>['', 'Region', 'Surabaya', 'Tanjung', 'Silver', 'Signal', 'Maximum', 'Please', 'Improvement', 'Quality', 'Network', 'Thank you', " ]</v>
      </c>
      <c r="D4875" s="3">
        <v>3.0</v>
      </c>
    </row>
    <row r="4876" ht="15.75" customHeight="1">
      <c r="A4876" s="1">
        <v>4874.0</v>
      </c>
      <c r="B4876" s="3" t="s">
        <v>4876</v>
      </c>
      <c r="C4876" s="3" t="str">
        <f>IFERROR(__xludf.DUMMYFUNCTION("GOOGLETRANSLATE(B4876,""id"",""en"")"),"['signal', 'Telkomsel', 'ugly', 'really', 'asa', 'zoom', 'difficult', 'move', 'card']")</f>
        <v>['signal', 'Telkomsel', 'ugly', 'really', 'asa', 'zoom', 'difficult', 'move', 'card']</v>
      </c>
      <c r="D4876" s="3">
        <v>2.0</v>
      </c>
    </row>
    <row r="4877" ht="15.75" customHeight="1">
      <c r="A4877" s="1">
        <v>4875.0</v>
      </c>
      <c r="B4877" s="3" t="s">
        <v>4877</v>
      </c>
      <c r="C4877" s="3" t="str">
        <f>IFERROR(__xludf.DUMMYFUNCTION("GOOGLETRANSLATE(B4877,""id"",""en"")"),"['user', 'product', 'Telkomsel', 'Alhamdulillah', 'second', 'service', 'thank you']")</f>
        <v>['user', 'product', 'Telkomsel', 'Alhamdulillah', 'second', 'service', 'thank you']</v>
      </c>
      <c r="D4877" s="3">
        <v>5.0</v>
      </c>
    </row>
    <row r="4878" ht="15.75" customHeight="1">
      <c r="A4878" s="1">
        <v>4876.0</v>
      </c>
      <c r="B4878" s="3" t="s">
        <v>4878</v>
      </c>
      <c r="C4878" s="3" t="str">
        <f>IFERROR(__xludf.DUMMYFUNCTION("GOOGLETRANSLATE(B4878,""id"",""en"")"),"['credit', 'take', 'Telkomsel', 'fill', 'take', 'fill', 'take', 'Telkomsel', 'disappointing', 'already', 'help', 'oprator', ' TTP ',' pulse ',' take ',' Hadeh ']")</f>
        <v>['credit', 'take', 'Telkomsel', 'fill', 'take', 'fill', 'take', 'Telkomsel', 'disappointing', 'already', 'help', 'oprator', ' TTP ',' pulse ',' take ',' Hadeh ']</v>
      </c>
      <c r="D4878" s="3">
        <v>1.0</v>
      </c>
    </row>
    <row r="4879" ht="15.75" customHeight="1">
      <c r="A4879" s="1">
        <v>4877.0</v>
      </c>
      <c r="B4879" s="3" t="s">
        <v>4879</v>
      </c>
      <c r="C4879" s="3" t="str">
        <f>IFERROR(__xludf.DUMMYFUNCTION("GOOGLETRANSLATE(B4879,""id"",""en"")"),"['Service', 'Telkom', 'cell', 'steady', 'moves', 'service', 'Lai', 'Telkomsel', 'steady', ""]")</f>
        <v>['Service', 'Telkom', 'cell', 'steady', 'moves', 'service', 'Lai', 'Telkomsel', 'steady', "]</v>
      </c>
      <c r="D4879" s="3">
        <v>5.0</v>
      </c>
    </row>
    <row r="4880" ht="15.75" customHeight="1">
      <c r="A4880" s="1">
        <v>4878.0</v>
      </c>
      <c r="B4880" s="3" t="s">
        <v>4880</v>
      </c>
      <c r="C4880" s="3" t="str">
        <f>IFERROR(__xludf.DUMMYFUNCTION("GOOGLETRANSLATE(B4880,""id"",""en"")"),"['Min', 'please', 'buy', 'kouta', 'failure', 'mulu', 'always',' said ',' bayer ',' package ',' emergency ',' buy ',' Package ',' emergency ',' right ',' contents', 'Puinda', 'cut']")</f>
        <v>['Min', 'please', 'buy', 'kouta', 'failure', 'mulu', 'always',' said ',' bayer ',' package ',' emergency ',' buy ',' Package ',' emergency ',' right ',' contents', 'Puinda', 'cut']</v>
      </c>
      <c r="D4880" s="3">
        <v>2.0</v>
      </c>
    </row>
    <row r="4881" ht="15.75" customHeight="1">
      <c r="A4881" s="1">
        <v>4879.0</v>
      </c>
      <c r="B4881" s="3" t="s">
        <v>4881</v>
      </c>
      <c r="C4881" s="3" t="str">
        <f>IFERROR(__xludf.DUMMYFUNCTION("GOOGLETRANSLATE(B4881,""id"",""en"")"),"['update', 'NDA', 'open', 'got', 'bug', 'kah', 'repeat', 'times',' try ',' open ',' enter ',' menu ',' Update ',' update ',' open ',' enter ',' menu ',' update ',' open ',' update ',' update ',' open ',' so ',' please ']")</f>
        <v>['update', 'NDA', 'open', 'got', 'bug', 'kah', 'repeat', 'times',' try ',' open ',' enter ',' menu ',' Update ',' update ',' open ',' enter ',' menu ',' update ',' open ',' update ',' update ',' open ',' so ',' please ']</v>
      </c>
      <c r="D4881" s="3">
        <v>2.0</v>
      </c>
    </row>
    <row r="4882" ht="15.75" customHeight="1">
      <c r="A4882" s="1">
        <v>4880.0</v>
      </c>
      <c r="B4882" s="3" t="s">
        <v>4882</v>
      </c>
      <c r="C4882" s="3" t="str">
        <f>IFERROR(__xludf.DUMMYFUNCTION("GOOGLETRANSLATE(B4882,""id"",""en"")"),"['already', 'expensive', 'signal', 'rich', 'severe', 'really', 'network', 'area', 'Subang', 'answerarat', 'quota', 'access',' ']")</f>
        <v>['already', 'expensive', 'signal', 'rich', 'severe', 'really', 'network', 'area', 'Subang', 'answerarat', 'quota', 'access',' ']</v>
      </c>
      <c r="D4882" s="3">
        <v>1.0</v>
      </c>
    </row>
    <row r="4883" ht="15.75" customHeight="1">
      <c r="A4883" s="1">
        <v>4881.0</v>
      </c>
      <c r="B4883" s="3" t="s">
        <v>4883</v>
      </c>
      <c r="C4883" s="3" t="str">
        <f>IFERROR(__xludf.DUMMYFUNCTION("GOOGLETRANSLATE(B4883,""id"",""en"")"),"['crazy', 'operator', 'play', 'suck', 'pulse', 'pdhal', 'quota', 'multimedia', 'msh', 'transparent', 'mending', 'use', ' Operator ',' next door ']")</f>
        <v>['crazy', 'operator', 'play', 'suck', 'pulse', 'pdhal', 'quota', 'multimedia', 'msh', 'transparent', 'mending', 'use', ' Operator ',' next door ']</v>
      </c>
      <c r="D4883" s="3">
        <v>1.0</v>
      </c>
    </row>
    <row r="4884" ht="15.75" customHeight="1">
      <c r="A4884" s="1">
        <v>4882.0</v>
      </c>
      <c r="B4884" s="3" t="s">
        <v>4884</v>
      </c>
      <c r="C4884" s="3" t="str">
        <f>IFERROR(__xludf.DUMMYFUNCTION("GOOGLETRANSLATE(B4884,""id"",""en"")"),"['Sorry', 'down', 'star', 'fix', 'performance', 'love', 'star', '']")</f>
        <v>['Sorry', 'down', 'star', 'fix', 'performance', 'love', 'star', '']</v>
      </c>
      <c r="D4884" s="3">
        <v>1.0</v>
      </c>
    </row>
    <row r="4885" ht="15.75" customHeight="1">
      <c r="A4885" s="1">
        <v>4883.0</v>
      </c>
      <c r="B4885" s="3" t="s">
        <v>4885</v>
      </c>
      <c r="C4885" s="3" t="str">
        <f>IFERROR(__xludf.DUMMYFUNCTION("GOOGLETRANSLATE(B4885,""id"",""en"")"),"['Network', 'Telkomsel', 'Fix', 'Network', 'Bad', 'Use', 'Comfort', 'Quality', 'Telkomsel', 'Bad', 'Request', 'Comfort', ' Consumers', '']")</f>
        <v>['Network', 'Telkomsel', 'Fix', 'Network', 'Bad', 'Use', 'Comfort', 'Quality', 'Telkomsel', 'Bad', 'Request', 'Comfort', ' Consumers', '']</v>
      </c>
      <c r="D4885" s="3">
        <v>1.0</v>
      </c>
    </row>
    <row r="4886" ht="15.75" customHeight="1">
      <c r="A4886" s="1">
        <v>4884.0</v>
      </c>
      <c r="B4886" s="3" t="s">
        <v>4886</v>
      </c>
      <c r="C4886" s="3" t="str">
        <f>IFERROR(__xludf.DUMMYFUNCTION("GOOGLETRANSLATE(B4886,""id"",""en"")"),"['APK', 'Good', 'Complain', 'Network', 'Telkomsel', 'Disruption', 'Emotion', 'Open', 'Photo', 'Waiting', 'Minutes',' Kayak ',' Gini ',' view ',' positive ',' provider ',' Telkomsel ',' decreases', 'please', 'fix', 'feel', 'network', 'Telkomsel', 'interfer"&amp;"ence', 'continuous' , 'The day', 'thank you']")</f>
        <v>['APK', 'Good', 'Complain', 'Network', 'Telkomsel', 'Disruption', 'Emotion', 'Open', 'Photo', 'Waiting', 'Minutes',' Kayak ',' Gini ',' view ',' positive ',' provider ',' Telkomsel ',' decreases', 'please', 'fix', 'feel', 'network', 'Telkomsel', 'interference', 'continuous' , 'The day', 'thank you']</v>
      </c>
      <c r="D4886" s="3">
        <v>1.0</v>
      </c>
    </row>
    <row r="4887" ht="15.75" customHeight="1">
      <c r="A4887" s="1">
        <v>4885.0</v>
      </c>
      <c r="B4887" s="3" t="s">
        <v>4887</v>
      </c>
      <c r="C4887" s="3" t="str">
        <f>IFERROR(__xludf.DUMMYFUNCTION("GOOGLETRANSLATE(B4887,""id"",""en"")"),"['promo', 'interesting', 'user', 'card', 'sympathy', 'promo', 'cheap', '']")</f>
        <v>['promo', 'interesting', 'user', 'card', 'sympathy', 'promo', 'cheap', '']</v>
      </c>
      <c r="D4887" s="3">
        <v>5.0</v>
      </c>
    </row>
    <row r="4888" ht="15.75" customHeight="1">
      <c r="A4888" s="1">
        <v>4886.0</v>
      </c>
      <c r="B4888" s="3" t="s">
        <v>4888</v>
      </c>
      <c r="C4888" s="3" t="str">
        <f>IFERROR(__xludf.DUMMYFUNCTION("GOOGLETRANSLATE(B4888,""id"",""en"")"),"['application', 'helped', 'hope', 'hope', 'gift', 'exchange', 'point', ""]")</f>
        <v>['application', 'helped', 'hope', 'hope', 'gift', 'exchange', 'point', "]</v>
      </c>
      <c r="D4888" s="3">
        <v>5.0</v>
      </c>
    </row>
    <row r="4889" ht="15.75" customHeight="1">
      <c r="A4889" s="1">
        <v>4887.0</v>
      </c>
      <c r="B4889" s="3" t="s">
        <v>4889</v>
      </c>
      <c r="C4889" s="3" t="str">
        <f>IFERROR(__xludf.DUMMYFUNCTION("GOOGLETRANSLATE(B4889,""id"",""en"")"),"['application', 'satisfying', 'darling', 'network', 'slow', 'quota', 'expensive', 'expensive']")</f>
        <v>['application', 'satisfying', 'darling', 'network', 'slow', 'quota', 'expensive', 'expensive']</v>
      </c>
      <c r="D4889" s="3">
        <v>5.0</v>
      </c>
    </row>
    <row r="4890" ht="15.75" customHeight="1">
      <c r="A4890" s="1">
        <v>4888.0</v>
      </c>
      <c r="B4890" s="3" t="s">
        <v>4890</v>
      </c>
      <c r="C4890" s="3" t="str">
        <f>IFERROR(__xludf.DUMMYFUNCTION("GOOGLETRANSLATE(B4890,""id"",""en"")"),"['The application', 'Okay', 'Hopefully', 'Enhanced', 'Service', 'Excellent', 'user', 'loyal', 'Telkomsel', ""]")</f>
        <v>['The application', 'Okay', 'Hopefully', 'Enhanced', 'Service', 'Excellent', 'user', 'loyal', 'Telkomsel', "]</v>
      </c>
      <c r="D4890" s="3">
        <v>4.0</v>
      </c>
    </row>
    <row r="4891" ht="15.75" customHeight="1">
      <c r="A4891" s="1">
        <v>4889.0</v>
      </c>
      <c r="B4891" s="3" t="s">
        <v>4891</v>
      </c>
      <c r="C4891" s="3" t="str">
        <f>IFERROR(__xludf.DUMMYFUNCTION("GOOGLETRANSLATE(B4891,""id"",""en"")"),"['network', 'bad', 'buy', 'package', 'data', 'complicated', 'pdhl', 'update', 'the application', 'customer', 'run', 'fix', ' The application ',' Delete ',' Delicious', 'Ribet', '']")</f>
        <v>['network', 'bad', 'buy', 'package', 'data', 'complicated', 'pdhl', 'update', 'the application', 'customer', 'run', 'fix', ' The application ',' Delete ',' Delicious', 'Ribet', '']</v>
      </c>
      <c r="D4891" s="3">
        <v>1.0</v>
      </c>
    </row>
    <row r="4892" ht="15.75" customHeight="1">
      <c r="A4892" s="1">
        <v>4890.0</v>
      </c>
      <c r="B4892" s="3" t="s">
        <v>4892</v>
      </c>
      <c r="C4892" s="3" t="str">
        <f>IFERROR(__xludf.DUMMYFUNCTION("GOOGLETRANSLATE(B4892,""id"",""en"")"),"['Not bad', 'help', 'help', 'bonus', ""]")</f>
        <v>['Not bad', 'help', 'help', 'bonus', "]</v>
      </c>
      <c r="D4892" s="3">
        <v>4.0</v>
      </c>
    </row>
    <row r="4893" ht="15.75" customHeight="1">
      <c r="A4893" s="1">
        <v>4891.0</v>
      </c>
      <c r="B4893" s="3" t="s">
        <v>4893</v>
      </c>
      <c r="C4893" s="3" t="str">
        <f>IFERROR(__xludf.DUMMYFUNCTION("GOOGLETRANSLATE(B4893,""id"",""en"")"),"['Not bad', 'good', 'stable', 'down', 'signal']")</f>
        <v>['Not bad', 'good', 'stable', 'down', 'signal']</v>
      </c>
      <c r="D4893" s="3">
        <v>4.0</v>
      </c>
    </row>
    <row r="4894" ht="15.75" customHeight="1">
      <c r="A4894" s="1">
        <v>4892.0</v>
      </c>
      <c r="B4894" s="3" t="s">
        <v>4894</v>
      </c>
      <c r="C4894" s="3" t="str">
        <f>IFERROR(__xludf.DUMMYFUNCTION("GOOGLETRANSLATE(B4894,""id"",""en"")"),"['bad', 'aspect', 'function', 'quota', 'where', 'quota', 'main', 'lbh', 'bnyk', 'first', 'rather', 'quota', ' SOSMED ',' YouTube ',' etc. ',' quota ',' main ',' run out ',' aspect ',' function ',' can ',' open ',' application ',' quota ',' extra ' , 'diff"&amp;"icult', 'open', 'application', 'sosmed', 'like', 'youtube', 'etc.', 'pdhl', 'quota', 'extra', 'emang', 'devastated', ' Untk ',' sosmed ',' whole ',' functioning ',' should ',' Shrsny ',' Telkomsel ',' set ',' division ',' proportion ',' as 'the effect', '"&amp;"service' , 'Salah', 'skrg']")</f>
        <v>['bad', 'aspect', 'function', 'quota', 'where', 'quota', 'main', 'lbh', 'bnyk', 'first', 'rather', 'quota', ' SOSMED ',' YouTube ',' etc. ',' quota ',' main ',' run out ',' aspect ',' function ',' can ',' open ',' application ',' quota ',' extra ' , 'difficult', 'open', 'application', 'sosmed', 'like', 'youtube', 'etc.', 'pdhl', 'quota', 'extra', 'emang', 'devastated', ' Untk ',' sosmed ',' whole ',' functioning ',' should ',' Shrsny ',' Telkomsel ',' set ',' division ',' proportion ',' as 'the effect', 'service' , 'Salah', 'skrg']</v>
      </c>
      <c r="D4894" s="3">
        <v>1.0</v>
      </c>
    </row>
    <row r="4895" ht="15.75" customHeight="1">
      <c r="A4895" s="1">
        <v>4893.0</v>
      </c>
      <c r="B4895" s="3" t="s">
        <v>4895</v>
      </c>
      <c r="C4895" s="3" t="str">
        <f>IFERROR(__xludf.DUMMYFUNCTION("GOOGLETRANSLATE(B4895,""id"",""en"")"),"['pulse', 'run out', 'used', 'internet', 'quota', 'unlimited', 'active']")</f>
        <v>['pulse', 'run out', 'used', 'internet', 'quota', 'unlimited', 'active']</v>
      </c>
      <c r="D4895" s="3">
        <v>1.0</v>
      </c>
    </row>
    <row r="4896" ht="15.75" customHeight="1">
      <c r="A4896" s="1">
        <v>4894.0</v>
      </c>
      <c r="B4896" s="3" t="s">
        <v>4896</v>
      </c>
      <c r="C4896" s="3" t="str">
        <f>IFERROR(__xludf.DUMMYFUNCTION("GOOGLETRANSLATE(B4896,""id"",""en"")"),"['', 'Age', 'Life', 'Times',' Trying ',' Application ',' Telkomsel ',' Untk ',' Times', 'Hopefully', 'Disappointed', 'Telkomsel ',' ']")</f>
        <v>['', 'Age', 'Life', 'Times',' Trying ',' Application ',' Telkomsel ',' Untk ',' Times', 'Hopefully', 'Disappointed', 'Telkomsel ',' ']</v>
      </c>
      <c r="D4896" s="3">
        <v>1.0</v>
      </c>
    </row>
    <row r="4897" ht="15.75" customHeight="1">
      <c r="A4897" s="1">
        <v>4895.0</v>
      </c>
      <c r="B4897" s="3" t="s">
        <v>4897</v>
      </c>
      <c r="C4897" s="3" t="str">
        <f>IFERROR(__xludf.DUMMYFUNCTION("GOOGLETRANSLATE(B4897,""id"",""en"")"),"['People', 'spirit', 'goah', 'promise', 'promise', 'doang', 'proof']")</f>
        <v>['People', 'spirit', 'goah', 'promise', 'promise', 'doang', 'proof']</v>
      </c>
      <c r="D4897" s="3">
        <v>5.0</v>
      </c>
    </row>
    <row r="4898" ht="15.75" customHeight="1">
      <c r="A4898" s="1">
        <v>4896.0</v>
      </c>
      <c r="B4898" s="3" t="s">
        <v>4898</v>
      </c>
      <c r="C4898" s="3" t="str">
        <f>IFERROR(__xludf.DUMMYFUNCTION("GOOGLETRANSLATE(B4898,""id"",""en"")"),"['Please', 'admin', 'fix', 'quality', 'network', 'expensive', 'doang', 'package', 'comfort', 'customer', 'disappointed', 'cave', ' Love ',' Bintang ',' Bad ',' Really ',' The Network ',' Lost ',' Card ',' Perdana ', ""]")</f>
        <v>['Please', 'admin', 'fix', 'quality', 'network', 'expensive', 'doang', 'package', 'comfort', 'customer', 'disappointed', 'cave', ' Love ',' Bintang ',' Bad ',' Really ',' The Network ',' Lost ',' Card ',' Perdana ', "]</v>
      </c>
      <c r="D4898" s="3">
        <v>1.0</v>
      </c>
    </row>
    <row r="4899" ht="15.75" customHeight="1">
      <c r="A4899" s="1">
        <v>4897.0</v>
      </c>
      <c r="B4899" s="3" t="s">
        <v>4899</v>
      </c>
      <c r="C4899" s="3" t="str">
        <f>IFERROR(__xludf.DUMMYFUNCTION("GOOGLETRANSLATE(B4899,""id"",""en"")"),"['Hmm', 'expensive', 'quota', 'me', 'package', 'quota', 'a day', 'package', 'quota', 'little', 'sampek', 'monthly', ' Engineering ',' Marketing ',' Yesterday ',' buy ',' card ',' already ',' Nggk ',' comfortable ',' card ',' horists', 'rich', 'network', '"&amp;"I' , 'Network', 'nggk', 'quota', '']")</f>
        <v>['Hmm', 'expensive', 'quota', 'me', 'package', 'quota', 'a day', 'package', 'quota', 'little', 'sampek', 'monthly', ' Engineering ',' Marketing ',' Yesterday ',' buy ',' card ',' already ',' Nggk ',' comfortable ',' card ',' horists', 'rich', 'network', 'I' , 'Network', 'nggk', 'quota', '']</v>
      </c>
      <c r="D4899" s="3">
        <v>2.0</v>
      </c>
    </row>
    <row r="4900" ht="15.75" customHeight="1">
      <c r="A4900" s="1">
        <v>4898.0</v>
      </c>
      <c r="B4900" s="3" t="s">
        <v>4900</v>
      </c>
      <c r="C4900" s="3" t="str">
        <f>IFERROR(__xludf.DUMMYFUNCTION("GOOGLETRANSLATE(B4900,""id"",""en"")"),"['buy', 'voucher', 'writing', 'sorry', 'customer', 'package', 'other', 'buy', 'buy', 'voucher', '']")</f>
        <v>['buy', 'voucher', 'writing', 'sorry', 'customer', 'package', 'other', 'buy', 'buy', 'voucher', '']</v>
      </c>
      <c r="D4900" s="3">
        <v>1.0</v>
      </c>
    </row>
    <row r="4901" ht="15.75" customHeight="1">
      <c r="A4901" s="1">
        <v>4899.0</v>
      </c>
      <c r="B4901" s="3" t="s">
        <v>4901</v>
      </c>
      <c r="C4901" s="3" t="str">
        <f>IFERROR(__xludf.DUMMYFUNCTION("GOOGLETRANSLATE(B4901,""id"",""en"")"),"['network', 'Telkomsel', 'Good', 'ugly', 'Different', 'Kyk', 'Network', 'Not bad', 'good', 'skrng', 'destroyed', 'sometimes',' network ',' missing ',' arises', 'play', 'game', 'online', 'city', 'kampung', 'knp', 'network', 'telkomsel', 'ugly', 'times' , '"&amp;"please', 'fix', 'network', 'access',' internet ',' already ',' expensive ',' package ',' ugly ',' pulak ',' network ',' please ',' Fix ',' People ',' enjoyed it ',' Satisfied ',' Search ',' Untung ',' Doang ',' ']")</f>
        <v>['network', 'Telkomsel', 'Good', 'ugly', 'Different', 'Kyk', 'Network', 'Not bad', 'good', 'skrng', 'destroyed', 'sometimes',' network ',' missing ',' arises', 'play', 'game', 'online', 'city', 'kampung', 'knp', 'network', 'telkomsel', 'ugly', 'times' , 'please', 'fix', 'network', 'access',' internet ',' already ',' expensive ',' package ',' ugly ',' pulak ',' network ',' please ',' Fix ',' People ',' enjoyed it ',' Satisfied ',' Search ',' Untung ',' Doang ',' ']</v>
      </c>
      <c r="D4901" s="3">
        <v>1.0</v>
      </c>
    </row>
    <row r="4902" ht="15.75" customHeight="1">
      <c r="A4902" s="1">
        <v>4900.0</v>
      </c>
      <c r="B4902" s="3" t="s">
        <v>4902</v>
      </c>
      <c r="C4902" s="3" t="str">
        <f>IFERROR(__xludf.DUMMYFUNCTION("GOOGLETRANSLATE(B4902,""id"",""en"")"),"['Come', 'strange', 'package', 'already', 'active', 'pulse', 'tetep', 'sumps', 'package', 'expensive', 'provider', 'professional']")</f>
        <v>['Come', 'strange', 'package', 'already', 'active', 'pulse', 'tetep', 'sumps', 'package', 'expensive', 'provider', 'professional']</v>
      </c>
      <c r="D4902" s="3">
        <v>1.0</v>
      </c>
    </row>
    <row r="4903" ht="15.75" customHeight="1">
      <c r="A4903" s="1">
        <v>4901.0</v>
      </c>
      <c r="B4903" s="3" t="s">
        <v>4903</v>
      </c>
      <c r="C4903" s="3" t="str">
        <f>IFERROR(__xludf.DUMMYFUNCTION("GOOGLETRANSLATE(B4903,""id"",""en"")"),"['smooth', 'signal', 'already', 'chaotic', 'how', 'plus',' error ',' contents', 'vocer', 'regret', 'cave', 'customer', ' Faithful ',' signal ',' already ',' bad ', ""]")</f>
        <v>['smooth', 'signal', 'already', 'chaotic', 'how', 'plus',' error ',' contents', 'vocer', 'regret', 'cave', 'customer', ' Faithful ',' signal ',' already ',' bad ', "]</v>
      </c>
      <c r="D4903" s="3">
        <v>1.0</v>
      </c>
    </row>
    <row r="4904" ht="15.75" customHeight="1">
      <c r="A4904" s="1">
        <v>4902.0</v>
      </c>
      <c r="B4904" s="3" t="s">
        <v>4904</v>
      </c>
      <c r="C4904" s="3" t="str">
        <f>IFERROR(__xludf.DUMMYFUNCTION("GOOGLETRANSLATE(B4904,""id"",""en"")"),"['Please', 'Increase', 'signal', 'intetnet', 'area', 'problematic', 'signal', 'internet', 'Telkomsel']")</f>
        <v>['Please', 'Increase', 'signal', 'intetnet', 'area', 'problematic', 'signal', 'internet', 'Telkomsel']</v>
      </c>
      <c r="D4904" s="3">
        <v>5.0</v>
      </c>
    </row>
    <row r="4905" ht="15.75" customHeight="1">
      <c r="A4905" s="1">
        <v>4903.0</v>
      </c>
      <c r="B4905" s="3" t="s">
        <v>4905</v>
      </c>
      <c r="C4905" s="3" t="str">
        <f>IFERROR(__xludf.DUMMYFUNCTION("GOOGLETRANSLATE(B4905,""id"",""en"")"),"['Card', 'Telkomsel', 'Quality', 'Good', 'Down', 'Example', 'Network', 'Benerin', 'and', 'Fix', 'Card', 'Telkomsel', ' card ',' worst ']")</f>
        <v>['Card', 'Telkomsel', 'Quality', 'Good', 'Down', 'Example', 'Network', 'Benerin', 'and', 'Fix', 'Card', 'Telkomsel', ' card ',' worst ']</v>
      </c>
      <c r="D4905" s="3">
        <v>1.0</v>
      </c>
    </row>
    <row r="4906" ht="15.75" customHeight="1">
      <c r="A4906" s="1">
        <v>4904.0</v>
      </c>
      <c r="B4906" s="3" t="s">
        <v>4906</v>
      </c>
      <c r="C4906" s="3" t="str">
        <f>IFERROR(__xludf.DUMMYFUNCTION("GOOGLETRANSLATE(B4906,""id"",""en"")"),"['AHIR', 'AHIR', 'Network', 'Telkomsel', 'tingal', 'difficult', 'connection', 'slow', 'Please', 'check', 'knpa', 'smooth', ' ']")</f>
        <v>['AHIR', 'AHIR', 'Network', 'Telkomsel', 'tingal', 'difficult', 'connection', 'slow', 'Please', 'check', 'knpa', 'smooth', ' ']</v>
      </c>
      <c r="D4906" s="3">
        <v>5.0</v>
      </c>
    </row>
    <row r="4907" ht="15.75" customHeight="1">
      <c r="A4907" s="1">
        <v>4905.0</v>
      </c>
      <c r="B4907" s="3" t="s">
        <v>4907</v>
      </c>
      <c r="C4907" s="3" t="str">
        <f>IFERROR(__xludf.DUMMYFUNCTION("GOOGLETRANSLATE(B4907,""id"",""en"")"),"['Satisfied', 'Telkomsel', 'Darling', 'Region', 'Signal', 'Telkomsel', '']")</f>
        <v>['Satisfied', 'Telkomsel', 'Darling', 'Region', 'Signal', 'Telkomsel', '']</v>
      </c>
      <c r="D4907" s="3">
        <v>1.0</v>
      </c>
    </row>
    <row r="4908" ht="15.75" customHeight="1">
      <c r="A4908" s="1">
        <v>4906.0</v>
      </c>
      <c r="B4908" s="3" t="s">
        <v>4908</v>
      </c>
      <c r="C4908" s="3" t="str">
        <f>IFERROR(__xludf.DUMMYFUNCTION("GOOGLETRANSLATE(B4908,""id"",""en"")"),"['Sayangkan', 'delicious',' use ',' Telcomsel ',' good ',' net ',' TPI ',' several ',' net ',' satisfying ',' disappointed ',' Tlcomsel ',' Sekrang ',' ']")</f>
        <v>['Sayangkan', 'delicious',' use ',' Telcomsel ',' good ',' net ',' TPI ',' several ',' net ',' satisfying ',' disappointed ',' Tlcomsel ',' Sekrang ',' ']</v>
      </c>
      <c r="D4908" s="3">
        <v>1.0</v>
      </c>
    </row>
    <row r="4909" ht="15.75" customHeight="1">
      <c r="A4909" s="1">
        <v>4907.0</v>
      </c>
      <c r="B4909" s="3" t="s">
        <v>4909</v>
      </c>
      <c r="C4909" s="3" t="str">
        <f>IFERROR(__xludf.DUMMYFUNCTION("GOOGLETRANSLATE(B4909,""id"",""en"")"),"['price', 'quota', 'expensive', 'signal', 'kek', 'pepek', 'game', 'signal', 'ilang', 'price', 'quality', 'low']")</f>
        <v>['price', 'quota', 'expensive', 'signal', 'kek', 'pepek', 'game', 'signal', 'ilang', 'price', 'quality', 'low']</v>
      </c>
      <c r="D4909" s="3">
        <v>1.0</v>
      </c>
    </row>
    <row r="4910" ht="15.75" customHeight="1">
      <c r="A4910" s="1">
        <v>4908.0</v>
      </c>
      <c r="B4910" s="3" t="s">
        <v>4910</v>
      </c>
      <c r="C4910" s="3" t="str">
        <f>IFERROR(__xludf.DUMMYFUNCTION("GOOGLETRANSLATE(B4910,""id"",""en"")"),"['Maap', 'collapsed', 'rating', 'network', 'bad', 'likes',' ilang ',' signal ',' lose ',' operator ',' location ',' urban ',' Mountains', 'smooth', '']")</f>
        <v>['Maap', 'collapsed', 'rating', 'network', 'bad', 'likes',' ilang ',' signal ',' lose ',' operator ',' location ',' urban ',' Mountains', 'smooth', '']</v>
      </c>
      <c r="D4910" s="3">
        <v>1.0</v>
      </c>
    </row>
    <row r="4911" ht="15.75" customHeight="1">
      <c r="A4911" s="1">
        <v>4909.0</v>
      </c>
      <c r="B4911" s="3" t="s">
        <v>4911</v>
      </c>
      <c r="C4911" s="3" t="str">
        <f>IFERROR(__xludf.DUMMYFUNCTION("GOOGLETRANSLATE(B4911,""id"",""en"")"),"['really', 'update', 'Gasuka', 'ohiya', 'package', 'Telkomsel', 'please', 'price', 'economical', 'min', 'expensive', 'really', ' The network is', 'like', 'ilang', '']")</f>
        <v>['really', 'update', 'Gasuka', 'ohiya', 'package', 'Telkomsel', 'please', 'price', 'economical', 'min', 'expensive', 'really', ' The network is', 'like', 'ilang', '']</v>
      </c>
      <c r="D4911" s="3">
        <v>2.0</v>
      </c>
    </row>
    <row r="4912" ht="15.75" customHeight="1">
      <c r="A4912" s="1">
        <v>4910.0</v>
      </c>
      <c r="B4912" s="3" t="s">
        <v>4912</v>
      </c>
      <c r="C4912" s="3" t="str">
        <f>IFERROR(__xludf.DUMMYFUNCTION("GOOGLETRANSLATE(B4912,""id"",""en"")"),"['Alhamdulillah', 'application', 'petrified', 'sya', 'easy', 'good', 'discount', 'satisfying', 'customer', 'user', 'application']")</f>
        <v>['Alhamdulillah', 'application', 'petrified', 'sya', 'easy', 'good', 'discount', 'satisfying', 'customer', 'user', 'application']</v>
      </c>
      <c r="D4912" s="3">
        <v>5.0</v>
      </c>
    </row>
    <row r="4913" ht="15.75" customHeight="1">
      <c r="A4913" s="1">
        <v>4911.0</v>
      </c>
      <c r="B4913" s="3" t="s">
        <v>4913</v>
      </c>
      <c r="C4913" s="3" t="str">
        <f>IFERROR(__xludf.DUMMYFUNCTION("GOOGLETRANSLATE(B4913,""id"",""en"")"),"['Proud', 'really', 'Tsel', 'mah', 'torture', 'call', 'lifted', 'person', 'pulses',' directly ',' Abis', 'plus',' MyTelkomsel ',' Help ',' price ',' quota ',' expensive ',' application ',' ']")</f>
        <v>['Proud', 'really', 'Tsel', 'mah', 'torture', 'call', 'lifted', 'person', 'pulses',' directly ',' Abis', 'plus',' MyTelkomsel ',' Help ',' price ',' quota ',' expensive ',' application ',' ']</v>
      </c>
      <c r="D4913" s="3">
        <v>2.0</v>
      </c>
    </row>
    <row r="4914" ht="15.75" customHeight="1">
      <c r="A4914" s="1">
        <v>4912.0</v>
      </c>
      <c r="B4914" s="3" t="s">
        <v>4914</v>
      </c>
      <c r="C4914" s="3" t="str">
        <f>IFERROR(__xludf.DUMMYFUNCTION("GOOGLETRANSLATE(B4914,""id"",""en"")"),"['price', 'package', 'internet', 'expensive', 'customer', 'moved', 'scheme', 'rates']")</f>
        <v>['price', 'package', 'internet', 'expensive', 'customer', 'moved', 'scheme', 'rates']</v>
      </c>
      <c r="D4914" s="3">
        <v>3.0</v>
      </c>
    </row>
    <row r="4915" ht="15.75" customHeight="1">
      <c r="A4915" s="1">
        <v>4913.0</v>
      </c>
      <c r="B4915" s="3" t="s">
        <v>4915</v>
      </c>
      <c r="C4915" s="3" t="str">
        <f>IFERROR(__xludf.DUMMYFUNCTION("GOOGLETRANSLATE(B4915,""id"",""en"")"),"['sympathy', 'internet', 'here', 'slow', 'tomorrow', 'must', 'change', 'card', 'mah']")</f>
        <v>['sympathy', 'internet', 'here', 'slow', 'tomorrow', 'must', 'change', 'card', 'mah']</v>
      </c>
      <c r="D4915" s="3">
        <v>2.0</v>
      </c>
    </row>
    <row r="4916" ht="15.75" customHeight="1">
      <c r="A4916" s="1">
        <v>4914.0</v>
      </c>
      <c r="B4916" s="3" t="s">
        <v>4916</v>
      </c>
      <c r="C4916" s="3" t="str">
        <f>IFERROR(__xludf.DUMMYFUNCTION("GOOGLETRANSLATE(B4916,""id"",""en"")"),"['Cheap', 'got', 'data', 'help', 'community', 'economy', ""]")</f>
        <v>['Cheap', 'got', 'data', 'help', 'community', 'economy', "]</v>
      </c>
      <c r="D4916" s="3">
        <v>5.0</v>
      </c>
    </row>
    <row r="4917" ht="15.75" customHeight="1">
      <c r="A4917" s="1">
        <v>4915.0</v>
      </c>
      <c r="B4917" s="3" t="s">
        <v>4917</v>
      </c>
      <c r="C4917" s="3" t="str">
        <f>IFERROR(__xludf.DUMMYFUNCTION("GOOGLETRANSLATE(B4917,""id"",""en"")"),"['Mint', 'buy', 'pulse', 'thousand', 'dipake', 'already', 'ilang', 'right', 'use', 'please', 'addin', 'features',' internet ',' make ',' pulse ',' package ',' abis', 'make', 'emang']")</f>
        <v>['Mint', 'buy', 'pulse', 'thousand', 'dipake', 'already', 'ilang', 'right', 'use', 'please', 'addin', 'features',' internet ',' make ',' pulse ',' package ',' abis', 'make', 'emang']</v>
      </c>
      <c r="D4917" s="3">
        <v>5.0</v>
      </c>
    </row>
    <row r="4918" ht="15.75" customHeight="1">
      <c r="A4918" s="1">
        <v>4916.0</v>
      </c>
      <c r="B4918" s="3" t="s">
        <v>4918</v>
      </c>
      <c r="C4918" s="3" t="str">
        <f>IFERROR(__xludf.DUMMYFUNCTION("GOOGLETRANSLATE(B4918,""id"",""en"")"),"['network', 'Telkomsel', 'Kayak', 'Taik', 'Hello', 'Telkomsel', 'BKN', 'era', 'stone', 'era', 'all-round', ' Your network ',' Increase ',' Quality ',' Your Signal ',' Kayak ',' Stay ',' Basic ',' Sea ',' ']")</f>
        <v>['network', 'Telkomsel', 'Kayak', 'Taik', 'Hello', 'Telkomsel', 'BKN', 'era', 'stone', 'era', 'all-round', ' Your network ',' Increase ',' Quality ',' Your Signal ',' Kayak ',' Stay ',' Basic ',' Sea ',' ']</v>
      </c>
      <c r="D4918" s="3">
        <v>1.0</v>
      </c>
    </row>
    <row r="4919" ht="15.75" customHeight="1">
      <c r="A4919" s="1">
        <v>4917.0</v>
      </c>
      <c r="B4919" s="3" t="s">
        <v>4919</v>
      </c>
      <c r="C4919" s="3" t="str">
        <f>IFERROR(__xludf.DUMMYFUNCTION("GOOGLETRANSLATE(B4919,""id"",""en"")"),"['', 'area', 'Karawang', 'leg', 'mulu', 'yahh', 'yes',' lose ',' ama ',' indosat ',' expensive ',' signal ',' leg ',' Muluu ']")</f>
        <v>['', 'area', 'Karawang', 'leg', 'mulu', 'yahh', 'yes',' lose ',' ama ',' indosat ',' expensive ',' signal ',' leg ',' Muluu ']</v>
      </c>
      <c r="D4919" s="3">
        <v>1.0</v>
      </c>
    </row>
    <row r="4920" ht="15.75" customHeight="1">
      <c r="A4920" s="1">
        <v>4918.0</v>
      </c>
      <c r="B4920" s="3" t="s">
        <v>4920</v>
      </c>
      <c r="C4920" s="3" t="str">
        <f>IFERROR(__xludf.DUMMYFUNCTION("GOOGLETRANSLATE(B4920,""id"",""en"")"),"['Signal', 'MAH', 'FULLL', 'Network', 'Kyk', 'Jirr', 'Lady', 'BNGET', 'SKRNG', 'Telkomsel', 'expensive', 'Doomgggg', ' low quality', '']")</f>
        <v>['Signal', 'MAH', 'FULLL', 'Network', 'Kyk', 'Jirr', 'Lady', 'BNGET', 'SKRNG', 'Telkomsel', 'expensive', 'Doomgggg', ' low quality', '']</v>
      </c>
      <c r="D4920" s="3">
        <v>1.0</v>
      </c>
    </row>
    <row r="4921" ht="15.75" customHeight="1">
      <c r="A4921" s="1">
        <v>4919.0</v>
      </c>
      <c r="B4921" s="3" t="s">
        <v>4921</v>
      </c>
      <c r="C4921" s="3" t="str">
        <f>IFERROR(__xludf.DUMMYFUNCTION("GOOGLETRANSLATE(B4921,""id"",""en"")"),"['', 'signal', 'Telkomsel', 'signal', 'good', 'bad', 'customer', 'disappointed', '']")</f>
        <v>['', 'signal', 'Telkomsel', 'signal', 'good', 'bad', 'customer', 'disappointed', '']</v>
      </c>
      <c r="D4921" s="3">
        <v>1.0</v>
      </c>
    </row>
    <row r="4922" ht="15.75" customHeight="1">
      <c r="A4922" s="1">
        <v>4920.0</v>
      </c>
      <c r="B4922" s="3" t="s">
        <v>4922</v>
      </c>
      <c r="C4922" s="3" t="str">
        <f>IFERROR(__xludf.DUMMYFUNCTION("GOOGLETRANSLATE(B4922,""id"",""en"")"),"['Network', 'satisfying', 'strong', 'please', 'fix', 'customer', 'puar']")</f>
        <v>['Network', 'satisfying', 'strong', 'please', 'fix', 'customer', 'puar']</v>
      </c>
      <c r="D4922" s="3">
        <v>1.0</v>
      </c>
    </row>
    <row r="4923" ht="15.75" customHeight="1">
      <c r="A4923" s="1">
        <v>4921.0</v>
      </c>
      <c r="B4923" s="3" t="s">
        <v>4923</v>
      </c>
      <c r="C4923" s="3" t="str">
        <f>IFERROR(__xludf.DUMMYFUNCTION("GOOGLETRANSLATE(B4923,""id"",""en"")"),"['Love', 'Bintang', 'Bgus', 'Nnti', 'Tmbah', 'Try', 'Use', 'Telkomsel']")</f>
        <v>['Love', 'Bintang', 'Bgus', 'Nnti', 'Tmbah', 'Try', 'Use', 'Telkomsel']</v>
      </c>
      <c r="D4923" s="3">
        <v>1.0</v>
      </c>
    </row>
    <row r="4924" ht="15.75" customHeight="1">
      <c r="A4924" s="1">
        <v>4922.0</v>
      </c>
      <c r="B4924" s="3" t="s">
        <v>4924</v>
      </c>
      <c r="C4924" s="3" t="str">
        <f>IFERROR(__xludf.DUMMYFUNCTION("GOOGLETRANSLATE(B4924,""id"",""en"")"),"['Telkomsel', 'Lola', 'really', 'understand', 'deh', 'should', 'card', 'popping up', 'quality', 'Telkomsel', 'good', 'stay', ' In the city, 'network', 'slow', 'UDH', 'DTG', 'Rain', 'Original', 'Shame', 'The Network', ""]")</f>
        <v>['Telkomsel', 'Lola', 'really', 'understand', 'deh', 'should', 'card', 'popping up', 'quality', 'Telkomsel', 'good', 'stay', ' In the city, 'network', 'slow', 'UDH', 'DTG', 'Rain', 'Original', 'Shame', 'The Network', "]</v>
      </c>
      <c r="D4924" s="3">
        <v>2.0</v>
      </c>
    </row>
    <row r="4925" ht="15.75" customHeight="1">
      <c r="A4925" s="1">
        <v>4923.0</v>
      </c>
      <c r="B4925" s="3" t="s">
        <v>4925</v>
      </c>
      <c r="C4925" s="3" t="str">
        <f>IFERROR(__xludf.DUMMYFUNCTION("GOOGLETRANSLATE(B4925,""id"",""en"")"),"['Network', 'slow', 'play', 'game', 'serious', 'oath', 'city', 'Makassar', 'ahhh']")</f>
        <v>['Network', 'slow', 'play', 'game', 'serious', 'oath', 'city', 'Makassar', 'ahhh']</v>
      </c>
      <c r="D4925" s="3">
        <v>1.0</v>
      </c>
    </row>
    <row r="4926" ht="15.75" customHeight="1">
      <c r="A4926" s="1">
        <v>4924.0</v>
      </c>
      <c r="B4926" s="3" t="s">
        <v>4926</v>
      </c>
      <c r="C4926" s="3" t="str">
        <f>IFERROR(__xludf.DUMMYFUNCTION("GOOGLETRANSLATE(B4926,""id"",""en"")"),"['network', 'Telkomsel', 'please', 'slow', 'quota', 'expensive', 'cook', 'network', 'snail', 'slow', 'adjust', 'price', ' Quality ',' boss', '']")</f>
        <v>['network', 'Telkomsel', 'please', 'slow', 'quota', 'expensive', 'cook', 'network', 'snail', 'slow', 'adjust', 'price', ' Quality ',' boss', '']</v>
      </c>
      <c r="D4926" s="3">
        <v>1.0</v>
      </c>
    </row>
    <row r="4927" ht="15.75" customHeight="1">
      <c r="A4927" s="1">
        <v>4925.0</v>
      </c>
      <c r="B4927" s="3" t="s">
        <v>4927</v>
      </c>
      <c r="C4927" s="3" t="str">
        <f>IFERROR(__xludf.DUMMYFUNCTION("GOOGLETRANSLATE(B4927,""id"",""en"")"),"['Open', 'Application', 'MyTelkomsel', 'Force', 'Close', 'HP', 'Error', 'Restart', 'Try', 'Application', 'Force', 'Close', ' then ',' application ',' error ',' try ',' ngeluarin ',' money ',' little ',' application ',' good ',' as good ',' application ','"&amp;" commerce ',' minimal ' , 'Kayak', 'Banking', 'already', 'really', 'Lots', 'Features', 'Application', 'Heavy', 'Ujung', 'Dipake', '']")</f>
        <v>['Open', 'Application', 'MyTelkomsel', 'Force', 'Close', 'HP', 'Error', 'Restart', 'Try', 'Application', 'Force', 'Close', ' then ',' application ',' error ',' try ',' ngeluarin ',' money ',' little ',' application ',' good ',' as good ',' application ',' commerce ',' minimal ' , 'Kayak', 'Banking', 'already', 'really', 'Lots', 'Features', 'Application', 'Heavy', 'Ujung', 'Dipake', '']</v>
      </c>
      <c r="D4927" s="3">
        <v>1.0</v>
      </c>
    </row>
    <row r="4928" ht="15.75" customHeight="1">
      <c r="A4928" s="1">
        <v>4926.0</v>
      </c>
      <c r="B4928" s="3" t="s">
        <v>4928</v>
      </c>
      <c r="C4928" s="3" t="str">
        <f>IFERROR(__xludf.DUMMYFUNCTION("GOOGLETRANSLATE(B4928,""id"",""en"")"),"['Disappointed', 'Heavy', 'Network', 'Telkomsel', 'Region', 'Rural', 'Sumatra', 'West', 'satisfying', 'Child', 'Learning', 'Online', ' Constrained ',' Network ',' Mbps', 'Tower', 'Telkomsel', 'Collection', 'Select', 'Network', 'Region', 'Rural', 'Java', '"&amp;"Stable', 'rather than' , 'Regions', 'Rural', 'Island', 'Javanese', 'Super', 'Disappointed', '']")</f>
        <v>['Disappointed', 'Heavy', 'Network', 'Telkomsel', 'Region', 'Rural', 'Sumatra', 'West', 'satisfying', 'Child', 'Learning', 'Online', ' Constrained ',' Network ',' Mbps', 'Tower', 'Telkomsel', 'Collection', 'Select', 'Network', 'Region', 'Rural', 'Java', 'Stable', 'rather than' , 'Regions', 'Rural', 'Island', 'Javanese', 'Super', 'Disappointed', '']</v>
      </c>
      <c r="D4928" s="3">
        <v>1.0</v>
      </c>
    </row>
    <row r="4929" ht="15.75" customHeight="1">
      <c r="A4929" s="1">
        <v>4927.0</v>
      </c>
      <c r="B4929" s="3" t="s">
        <v>4929</v>
      </c>
      <c r="C4929" s="3" t="str">
        <f>IFERROR(__xludf.DUMMYFUNCTION("GOOGLETRANSLATE(B4929,""id"",""en"")"),"['Switch', 'Points', 'With', 'Quota', 'Ntah', 'Strange', 'Exchange', 'Undi', 'Undi', 'Heppy']")</f>
        <v>['Switch', 'Points', 'With', 'Quota', 'Ntah', 'Strange', 'Exchange', 'Undi', 'Undi', 'Heppy']</v>
      </c>
      <c r="D4929" s="3">
        <v>1.0</v>
      </c>
    </row>
    <row r="4930" ht="15.75" customHeight="1">
      <c r="A4930" s="1">
        <v>4928.0</v>
      </c>
      <c r="B4930" s="3" t="s">
        <v>4930</v>
      </c>
      <c r="C4930" s="3" t="str">
        <f>IFERROR(__xludf.DUMMYFUNCTION("GOOGLETRANSLATE(B4930,""id"",""en"")"),"['udh', 'hmpir', 'signal', 'area', 'kulon', 'progo', 'stable', 'please', 'fix', 'klau', 'upgrade', 'signal', ' Fix ',' Governor ',' Signal ',' Stable ',' ']")</f>
        <v>['udh', 'hmpir', 'signal', 'area', 'kulon', 'progo', 'stable', 'please', 'fix', 'klau', 'upgrade', 'signal', ' Fix ',' Governor ',' Signal ',' Stable ',' ']</v>
      </c>
      <c r="D4930" s="3">
        <v>1.0</v>
      </c>
    </row>
    <row r="4931" ht="15.75" customHeight="1">
      <c r="A4931" s="1">
        <v>4929.0</v>
      </c>
      <c r="B4931" s="3" t="s">
        <v>4931</v>
      </c>
      <c r="C4931" s="3" t="str">
        <f>IFERROR(__xludf.DUMMYFUNCTION("GOOGLETRANSLATE(B4931,""id"",""en"")"),"['Please', 'Telkomsel', 'ugly', 'net', 'Telkomsel', 'Different', 'really', 'disappointed', 'Telkomsel', 'boro', 'boro', 'playing', ' Game ',' Open ',' ugly ',' really ',' naruhaaaa ',' disappointed ']")</f>
        <v>['Please', 'Telkomsel', 'ugly', 'net', 'Telkomsel', 'Different', 'really', 'disappointed', 'Telkomsel', 'boro', 'boro', 'playing', ' Game ',' Open ',' ugly ',' really ',' naruhaaaa ',' disappointed ']</v>
      </c>
      <c r="D4931" s="3">
        <v>1.0</v>
      </c>
    </row>
    <row r="4932" ht="15.75" customHeight="1">
      <c r="A4932" s="1">
        <v>4930.0</v>
      </c>
      <c r="B4932" s="3" t="s">
        <v>4932</v>
      </c>
      <c r="C4932" s="3" t="str">
        <f>IFERROR(__xludf.DUMMYFUNCTION("GOOGLETRANSLATE(B4932,""id"",""en"")"),"['application', 'good', 'TPI', 'menu', 'save', 'mode', 'pulse', 'sumps',' quota ',' run out ',' habit ',' sympathy ',' quota ',' run out ',' like ',' sucked ',' pulse ']")</f>
        <v>['application', 'good', 'TPI', 'menu', 'save', 'mode', 'pulse', 'sumps',' quota ',' run out ',' habit ',' sympathy ',' quota ',' run out ',' like ',' sucked ',' pulse ']</v>
      </c>
      <c r="D4932" s="3">
        <v>1.0</v>
      </c>
    </row>
    <row r="4933" ht="15.75" customHeight="1">
      <c r="A4933" s="1">
        <v>4931.0</v>
      </c>
      <c r="B4933" s="3" t="s">
        <v>4933</v>
      </c>
      <c r="C4933" s="3" t="str">
        <f>IFERROR(__xludf.DUMMYFUNCTION("GOOGLETRANSLATE(B4933,""id"",""en"")"),"['Sorry', 'Veronikya', 'sophisticated', 'stop', 'package', 'tsel', 'contents',' pulses', 'run out', 'sumps',' install ',' MyTelkomsel ',' Stop ',' what ',' seh ', ""]")</f>
        <v>['Sorry', 'Veronikya', 'sophisticated', 'stop', 'package', 'tsel', 'contents',' pulses', 'run out', 'sumps',' install ',' MyTelkomsel ',' Stop ',' what ',' seh ', "]</v>
      </c>
      <c r="D4933" s="3">
        <v>1.0</v>
      </c>
    </row>
    <row r="4934" ht="15.75" customHeight="1">
      <c r="A4934" s="1">
        <v>4932.0</v>
      </c>
      <c r="B4934" s="3" t="s">
        <v>4934</v>
      </c>
      <c r="C4934" s="3" t="str">
        <f>IFERROR(__xludf.DUMMYFUNCTION("GOOGLETRANSLATE(B4934,""id"",""en"")"),"['network', 'slow', 'dri', 'clock', 'night', 'and above', 'run out', 'quota', 'kyk', 'gini', 'fix', 'replace', ' Oprator ']")</f>
        <v>['network', 'slow', 'dri', 'clock', 'night', 'and above', 'run out', 'quota', 'kyk', 'gini', 'fix', 'replace', ' Oprator ']</v>
      </c>
      <c r="D4934" s="3">
        <v>1.0</v>
      </c>
    </row>
    <row r="4935" ht="15.75" customHeight="1">
      <c r="A4935" s="1">
        <v>4933.0</v>
      </c>
      <c r="B4935" s="3" t="s">
        <v>4935</v>
      </c>
      <c r="C4935" s="3" t="str">
        <f>IFERROR(__xludf.DUMMYFUNCTION("GOOGLETRANSLATE(B4935,""id"",""en"")"),"['Hello', 'sorry', 'before', 'ask', 'exchanging', 'point', 'contents',' reset ',' pulse ',' Please ',' information ',' thank ',' love']")</f>
        <v>['Hello', 'sorry', 'before', 'ask', 'exchanging', 'point', 'contents',' reset ',' pulse ',' Please ',' information ',' thank ',' love']</v>
      </c>
      <c r="D4935" s="3">
        <v>1.0</v>
      </c>
    </row>
    <row r="4936" ht="15.75" customHeight="1">
      <c r="A4936" s="1">
        <v>4934.0</v>
      </c>
      <c r="B4936" s="3" t="s">
        <v>4936</v>
      </c>
      <c r="C4936" s="3" t="str">
        <f>IFERROR(__xludf.DUMMYFUNCTION("GOOGLETRANSLATE(B4936,""id"",""en"")"),"['hopefully', 'Telkomnyet', 'fast', 'missing', 'face', 'earth', 'aduhhh', 'knapa', 'telkomnyet', 'emang', 'kontl', 'signal', ' Indilator ',' TPI ',' The way ',' Kayak ',' ']")</f>
        <v>['hopefully', 'Telkomnyet', 'fast', 'missing', 'face', 'earth', 'aduhhh', 'knapa', 'telkomnyet', 'emang', 'kontl', 'signal', ' Indilator ',' TPI ',' The way ',' Kayak ',' ']</v>
      </c>
      <c r="D4936" s="3">
        <v>1.0</v>
      </c>
    </row>
    <row r="4937" ht="15.75" customHeight="1">
      <c r="A4937" s="1">
        <v>4935.0</v>
      </c>
      <c r="B4937" s="3" t="s">
        <v>4937</v>
      </c>
      <c r="C4937" s="3" t="str">
        <f>IFERROR(__xludf.DUMMYFUNCTION("GOOGLETRANSLATE(B4937,""id"",""en"")"),"['Come', 'Network', 'Hard', 'Rain', 'Network', 'Lost', 'Price', 'Paketan', 'Expensive', 'Quality', 'Support']")</f>
        <v>['Come', 'Network', 'Hard', 'Rain', 'Network', 'Lost', 'Price', 'Paketan', 'Expensive', 'Quality', 'Support']</v>
      </c>
      <c r="D4937" s="3">
        <v>2.0</v>
      </c>
    </row>
    <row r="4938" ht="15.75" customHeight="1">
      <c r="A4938" s="1">
        <v>4936.0</v>
      </c>
      <c r="B4938" s="3" t="s">
        <v>4938</v>
      </c>
      <c r="C4938" s="3" t="str">
        <f>IFERROR(__xludf.DUMMYFUNCTION("GOOGLETRANSLATE(B4938,""id"",""en"")"),"['signal', 'bapuk', 'please', 'fix', 'user', 'Telkomsel', 'disappointed']")</f>
        <v>['signal', 'bapuk', 'please', 'fix', 'user', 'Telkomsel', 'disappointed']</v>
      </c>
      <c r="D4938" s="3">
        <v>1.0</v>
      </c>
    </row>
    <row r="4939" ht="15.75" customHeight="1">
      <c r="A4939" s="1">
        <v>4937.0</v>
      </c>
      <c r="B4939" s="3" t="s">
        <v>4939</v>
      </c>
      <c r="C4939" s="3" t="str">
        <f>IFERROR(__xludf.DUMMYFUNCTION("GOOGLETRANSLATE(B4939,""id"",""en"")"),"['The application', 'Helping', 'The network', 'repaired', 'smooth', 'Jaya', 'Telkomsel', 'Uda', 'loyal', 'must', 'Mendua', ""]")</f>
        <v>['The application', 'Helping', 'The network', 'repaired', 'smooth', 'Jaya', 'Telkomsel', 'Uda', 'loyal', 'must', 'Mendua', "]</v>
      </c>
      <c r="D4939" s="3">
        <v>2.0</v>
      </c>
    </row>
    <row r="4940" ht="15.75" customHeight="1">
      <c r="A4940" s="1">
        <v>4938.0</v>
      </c>
      <c r="B4940" s="3" t="s">
        <v>4940</v>
      </c>
      <c r="C4940" s="3" t="str">
        <f>IFERROR(__xludf.DUMMYFUNCTION("GOOGLETRANSLATE(B4940,""id"",""en"")"),"['Sorry', 'Kasi', 'disappointed', 'in', 'some', 'network', 'Telkomsel', 'slow', 'really', 'Test', 'DKI', 'JKT', ' Friends', 'neighbors',' experienced ',' events', 'hersinya', 'cards',' cellular ',' others', 'good', ""]")</f>
        <v>['Sorry', 'Kasi', 'disappointed', 'in', 'some', 'network', 'Telkomsel', 'slow', 'really', 'Test', 'DKI', 'JKT', ' Friends', 'neighbors',' experienced ',' events', 'hersinya', 'cards',' cellular ',' others', 'good', "]</v>
      </c>
      <c r="D4940" s="3">
        <v>1.0</v>
      </c>
    </row>
    <row r="4941" ht="15.75" customHeight="1">
      <c r="A4941" s="1">
        <v>4939.0</v>
      </c>
      <c r="B4941" s="3" t="s">
        <v>4941</v>
      </c>
      <c r="C4941" s="3" t="str">
        <f>IFERROR(__xludf.DUMMYFUNCTION("GOOGLETRANSLATE(B4941,""id"",""en"")"),"['update', 'apk', 'package', 'buy', 'missing', 'buy', 'package', 'use', 'prime', 'many' changed ',' upadate ',' opened ',' update ',' missing ',' package ',' disappointing ']")</f>
        <v>['update', 'apk', 'package', 'buy', 'missing', 'buy', 'package', 'use', 'prime', 'many' changed ',' upadate ',' opened ',' update ',' missing ',' package ',' disappointing ']</v>
      </c>
      <c r="D4941" s="3">
        <v>1.0</v>
      </c>
    </row>
    <row r="4942" ht="15.75" customHeight="1">
      <c r="A4942" s="1">
        <v>4940.0</v>
      </c>
      <c r="B4942" s="3" t="s">
        <v>4942</v>
      </c>
      <c r="C4942" s="3" t="str">
        <f>IFERROR(__xludf.DUMMYFUNCTION("GOOGLETRANSLATE(B4942,""id"",""en"")"),"['Steady', 'Gaes',' Middle School ',' subscribe ',' Telkomsel ',' UDH ',' Ahahah ',' family ',' use ',' Telkomsel ',' subscribe ',' Telkomsel ',' Hehehe', '']")</f>
        <v>['Steady', 'Gaes',' Middle School ',' subscribe ',' Telkomsel ',' UDH ',' Ahahah ',' family ',' use ',' Telkomsel ',' subscribe ',' Telkomsel ',' Hehehe', '']</v>
      </c>
      <c r="D4942" s="3">
        <v>5.0</v>
      </c>
    </row>
    <row r="4943" ht="15.75" customHeight="1">
      <c r="A4943" s="1">
        <v>4941.0</v>
      </c>
      <c r="B4943" s="3" t="s">
        <v>4943</v>
      </c>
      <c r="C4943" s="3" t="str">
        <f>IFERROR(__xludf.DUMMYFUNCTION("GOOGLETRANSLATE(B4943,""id"",""en"")"),"['Hello', 'min', 'network', 'area', 'down', 'disorder', 'alias', 'slow', 'please', 'action', 'cook', 'different' The area ',' in the city ',' Search ',' Google ',' Address', 'Kelurahan', 'Market', 'Surulangun', 'Regency', 'Musi', 'Rawas',' North ']")</f>
        <v>['Hello', 'min', 'network', 'area', 'down', 'disorder', 'alias', 'slow', 'please', 'action', 'cook', 'different' The area ',' in the city ',' Search ',' Google ',' Address', 'Kelurahan', 'Market', 'Surulangun', 'Regency', 'Musi', 'Rawas',' North ']</v>
      </c>
      <c r="D4943" s="3">
        <v>1.0</v>
      </c>
    </row>
    <row r="4944" ht="15.75" customHeight="1">
      <c r="A4944" s="1">
        <v>4942.0</v>
      </c>
      <c r="B4944" s="3" t="s">
        <v>4944</v>
      </c>
      <c r="C4944" s="3" t="str">
        <f>IFERROR(__xludf.DUMMYFUNCTION("GOOGLETRANSLATE(B4944,""id"",""en"")"),"['Telkomsel', 'right', 'times',' hit ',' roaming ',' TLP ',' province ',' sms', 'costs',' regret ',' sympathy ',' expensive ',' Compared to ',' card ',' TTEP ',' Telkomsel ',' Best ', ""]")</f>
        <v>['Telkomsel', 'right', 'times',' hit ',' roaming ',' TLP ',' province ',' sms', 'costs',' regret ',' sympathy ',' expensive ',' Compared to ',' card ',' TTEP ',' Telkomsel ',' Best ', "]</v>
      </c>
      <c r="D4944" s="3">
        <v>5.0</v>
      </c>
    </row>
    <row r="4945" ht="15.75" customHeight="1">
      <c r="A4945" s="1">
        <v>4943.0</v>
      </c>
      <c r="B4945" s="3" t="s">
        <v>4945</v>
      </c>
      <c r="C4945" s="3" t="str">
        <f>IFERROR(__xludf.DUMMYFUNCTION("GOOGLETRANSLATE(B4945,""id"",""en"")"),"['game', 'ugly', 'signal', 'kaota', 'expensive', 'expensive', 'ugly', 'signal', ""]")</f>
        <v>['game', 'ugly', 'signal', 'kaota', 'expensive', 'expensive', 'ugly', 'signal', "]</v>
      </c>
      <c r="D4945" s="3">
        <v>2.0</v>
      </c>
    </row>
    <row r="4946" ht="15.75" customHeight="1">
      <c r="A4946" s="1">
        <v>4944.0</v>
      </c>
      <c r="B4946" s="3" t="s">
        <v>4946</v>
      </c>
      <c r="C4946" s="3" t="str">
        <f>IFERROR(__xludf.DUMMYFUNCTION("GOOGLETRANSLATE(B4946,""id"",""en"")"),"['package', 'quota', 'divided', 'sosmed', 'youtube', 'game', 'film', 'etc.', 'package', 'quota', 'accessible', 'clock']")</f>
        <v>['package', 'quota', 'divided', 'sosmed', 'youtube', 'game', 'film', 'etc.', 'package', 'quota', 'accessible', 'clock']</v>
      </c>
      <c r="D4946" s="3">
        <v>4.0</v>
      </c>
    </row>
    <row r="4947" ht="15.75" customHeight="1">
      <c r="A4947" s="1">
        <v>4945.0</v>
      </c>
      <c r="B4947" s="3" t="s">
        <v>4947</v>
      </c>
      <c r="C4947" s="3" t="str">
        <f>IFERROR(__xludf.DUMMYFUNCTION("GOOGLETRANSLATE(B4947,""id"",""en"")"),"['network', 'slow', 'turn', 'motit', 'pulse', 'data', 'ilang', 'slow', 'expensive', 'pulses',' service ',' enhanced ',' expensive ',' doang ',' enhanced ']")</f>
        <v>['network', 'slow', 'turn', 'motit', 'pulse', 'data', 'ilang', 'slow', 'expensive', 'pulses',' service ',' enhanced ',' expensive ',' doang ',' enhanced ']</v>
      </c>
      <c r="D4947" s="3">
        <v>1.0</v>
      </c>
    </row>
    <row r="4948" ht="15.75" customHeight="1">
      <c r="A4948" s="1">
        <v>4946.0</v>
      </c>
      <c r="B4948" s="3" t="s">
        <v>4948</v>
      </c>
      <c r="C4948" s="3" t="str">
        <f>IFERROR(__xludf.DUMMYFUNCTION("GOOGLETRANSLATE(B4948,""id"",""en"")"),"['quota', 'run out', 'until', 'curious',' pull out ',' card ',' quota ',' run out ',' heart ',' user ',' Telkomsel ',' please ',' parties', 'Telkomsel', 'investigated', 'system', 'hack', 'Telkomsel', 'need', 'money', 'ppkm', 'chaotic', 'grapari', 'history"&amp;"', 'user' , 'Where', 'MBK', 'The counter', 'See', 'Severe', 'Telkomsel', 'Severe', '']")</f>
        <v>['quota', 'run out', 'until', 'curious',' pull out ',' card ',' quota ',' run out ',' heart ',' user ',' Telkomsel ',' please ',' parties', 'Telkomsel', 'investigated', 'system', 'hack', 'Telkomsel', 'need', 'money', 'ppkm', 'chaotic', 'grapari', 'history', 'user' , 'Where', 'MBK', 'The counter', 'See', 'Severe', 'Telkomsel', 'Severe', '']</v>
      </c>
      <c r="D4948" s="3">
        <v>1.0</v>
      </c>
    </row>
    <row r="4949" ht="15.75" customHeight="1">
      <c r="A4949" s="1">
        <v>4947.0</v>
      </c>
      <c r="B4949" s="3" t="s">
        <v>4949</v>
      </c>
      <c r="C4949" s="3" t="str">
        <f>IFERROR(__xludf.DUMMYFUNCTION("GOOGLETRANSLATE(B4949,""id"",""en"")"),"['promo', 'doang', 'managed', 'kouta', 'expensive', 'network', 'ugly', 'kayak', 'stay', 'disconnection', '']")</f>
        <v>['promo', 'doang', 'managed', 'kouta', 'expensive', 'network', 'ugly', 'kayak', 'stay', 'disconnection', '']</v>
      </c>
      <c r="D4949" s="3">
        <v>1.0</v>
      </c>
    </row>
    <row r="4950" ht="15.75" customHeight="1">
      <c r="A4950" s="1">
        <v>4948.0</v>
      </c>
      <c r="B4950" s="3" t="s">
        <v>4950</v>
      </c>
      <c r="C4950" s="3" t="str">
        <f>IFERROR(__xludf.DUMMYFUNCTION("GOOGLETRANSLATE(B4950,""id"",""en"")"),"['card', 'regret', 'really', 'already', 'Telkomsel', 'here', 'package', 'data', 'expensive', 'udh', 'mah', 'signal', ' slow ',' package ',' OMG ',' GB ',' RB ',' RB ',' Paketan ',' Abis', 'Gada', 'Notif', 'card', 'mah', 'package' , 'Abis',' Notif ',' then"&amp;" ',' network ',' internet ',' direct ',' off ',' mah ',' package ',' abis', 'take', 'pulse', ' Try ',' fix ',' card ',' expensive ',' quality ',' jlek ']")</f>
        <v>['card', 'regret', 'really', 'already', 'Telkomsel', 'here', 'package', 'data', 'expensive', 'udh', 'mah', 'signal', ' slow ',' package ',' OMG ',' GB ',' RB ',' RB ',' Paketan ',' Abis', 'Gada', 'Notif', 'card', 'mah', 'package' , 'Abis',' Notif ',' then ',' network ',' internet ',' direct ',' off ',' mah ',' package ',' abis', 'take', 'pulse', ' Try ',' fix ',' card ',' expensive ',' quality ',' jlek ']</v>
      </c>
      <c r="D4950" s="3">
        <v>1.0</v>
      </c>
    </row>
    <row r="4951" ht="15.75" customHeight="1">
      <c r="A4951" s="1">
        <v>4949.0</v>
      </c>
      <c r="B4951" s="3" t="s">
        <v>4951</v>
      </c>
      <c r="C4951" s="3" t="str">
        <f>IFERROR(__xludf.DUMMYFUNCTION("GOOGLETRANSLATE(B4951,""id"",""en"")"),"['Hopefully', 'Gift', 'Telkomsel', 'Success', 'Trus', 'Telkomsel', 'Jaya', 'air']")</f>
        <v>['Hopefully', 'Gift', 'Telkomsel', 'Success', 'Trus', 'Telkomsel', 'Jaya', 'air']</v>
      </c>
      <c r="D4951" s="3">
        <v>5.0</v>
      </c>
    </row>
    <row r="4952" ht="15.75" customHeight="1">
      <c r="A4952" s="1">
        <v>4950.0</v>
      </c>
      <c r="B4952" s="3" t="s">
        <v>4952</v>
      </c>
      <c r="C4952" s="3" t="str">
        <f>IFERROR(__xludf.DUMMYFUNCTION("GOOGLETRANSLATE(B4952,""id"",""en"")"),"['user', 'card', 'Hello', 'Telkomsel', 'Hello', 'already', 'no', 'deh', 'feeling', 'gmn', 'since' Telkomsel ',' Change ',' logo ',' child ',' band ',' commissioner ',' quality ',' signal ',' bapuk ',' ']")</f>
        <v>['user', 'card', 'Hello', 'Telkomsel', 'Hello', 'already', 'no', 'deh', 'feeling', 'gmn', 'since' Telkomsel ',' Change ',' logo ',' child ',' band ',' commissioner ',' quality ',' signal ',' bapuk ',' ']</v>
      </c>
      <c r="D4952" s="3">
        <v>2.0</v>
      </c>
    </row>
    <row r="4953" ht="15.75" customHeight="1">
      <c r="A4953" s="1">
        <v>4951.0</v>
      </c>
      <c r="B4953" s="3" t="s">
        <v>4953</v>
      </c>
      <c r="C4953" s="3" t="str">
        <f>IFERROR(__xludf.DUMMYFUNCTION("GOOGLETRANSLATE(B4953,""id"",""en"")"),"['Most', 'Click', 'Bait', 'package', 'skrg', 'Teparted', 'tele', 'written', 'unlimeted', 'limit', 'quota', 'expensive', ' Hack ',' hacker ',' ']")</f>
        <v>['Most', 'Click', 'Bait', 'package', 'skrg', 'Teparted', 'tele', 'written', 'unlimeted', 'limit', 'quota', 'expensive', ' Hack ',' hacker ',' ']</v>
      </c>
      <c r="D4953" s="3">
        <v>1.0</v>
      </c>
    </row>
    <row r="4954" ht="15.75" customHeight="1">
      <c r="A4954" s="1">
        <v>4952.0</v>
      </c>
      <c r="B4954" s="3" t="s">
        <v>4954</v>
      </c>
      <c r="C4954" s="3" t="str">
        <f>IFERROR(__xludf.DUMMYFUNCTION("GOOGLETRANSLATE(B4954,""id"",""en"")"),"['like', 'use', 'Telkomsel', 'transaction', 'buy', 'package', 'easy', 'choice', ""]")</f>
        <v>['like', 'use', 'Telkomsel', 'transaction', 'buy', 'package', 'easy', 'choice', "]</v>
      </c>
      <c r="D4954" s="3">
        <v>5.0</v>
      </c>
    </row>
    <row r="4955" ht="15.75" customHeight="1">
      <c r="A4955" s="1">
        <v>4953.0</v>
      </c>
      <c r="B4955" s="3" t="s">
        <v>4955</v>
      </c>
      <c r="C4955" s="3" t="str">
        <f>IFERROR(__xludf.DUMMYFUNCTION("GOOGLETRANSLATE(B4955,""id"",""en"")"),"['signal', 'Telkomsel', 'little', 'little', 'ngelag', 'game', 'ngelag', 'YouTube', 'smooth']")</f>
        <v>['signal', 'Telkomsel', 'little', 'little', 'ngelag', 'game', 'ngelag', 'YouTube', 'smooth']</v>
      </c>
      <c r="D4955" s="3">
        <v>1.0</v>
      </c>
    </row>
    <row r="4956" ht="15.75" customHeight="1">
      <c r="A4956" s="1">
        <v>4954.0</v>
      </c>
      <c r="B4956" s="3" t="s">
        <v>4956</v>
      </c>
      <c r="C4956" s="3" t="str">
        <f>IFERROR(__xludf.DUMMYFUNCTION("GOOGLETRANSLATE(B4956,""id"",""en"")"),"['knpa', 'plsa', 'like', 'abis', 'kga', 'subscription', 'no', 'nyesek', 'really', 'plsa', 'left', '']")</f>
        <v>['knpa', 'plsa', 'like', 'abis', 'kga', 'subscription', 'no', 'nyesek', 'really', 'plsa', 'left', '']</v>
      </c>
      <c r="D4956" s="3">
        <v>2.0</v>
      </c>
    </row>
    <row r="4957" ht="15.75" customHeight="1">
      <c r="A4957" s="1">
        <v>4955.0</v>
      </c>
      <c r="B4957" s="3" t="s">
        <v>4957</v>
      </c>
      <c r="C4957" s="3" t="str">
        <f>IFERROR(__xludf.DUMMYFUNCTION("GOOGLETRANSLATE(B4957,""id"",""en"")"),"['buy', 'package', 'internet', 'price', 'rb', 'quality', 'signal', 'ugly', 'minute', 'routine', 'signal', 'missing', ' bintaro ',' Telkomsel ',' signal ',' stable ',' please ',' tolooooooooong ',' ']")</f>
        <v>['buy', 'package', 'internet', 'price', 'rb', 'quality', 'signal', 'ugly', 'minute', 'routine', 'signal', 'missing', ' bintaro ',' Telkomsel ',' signal ',' stable ',' please ',' tolooooooooong ',' ']</v>
      </c>
      <c r="D4957" s="3">
        <v>1.0</v>
      </c>
    </row>
    <row r="4958" ht="15.75" customHeight="1">
      <c r="A4958" s="1">
        <v>4956.0</v>
      </c>
      <c r="B4958" s="3" t="s">
        <v>4958</v>
      </c>
      <c r="C4958" s="3" t="str">
        <f>IFERROR(__xludf.DUMMYFUNCTION("GOOGLETRANSLATE(B4958,""id"",""en"")"),"['Please', 'connection', 'internet', 'good', 'smooth', 'severe', 'rural', 'difficult']")</f>
        <v>['Please', 'connection', 'internet', 'good', 'smooth', 'severe', 'rural', 'difficult']</v>
      </c>
      <c r="D4958" s="3">
        <v>1.0</v>
      </c>
    </row>
    <row r="4959" ht="15.75" customHeight="1">
      <c r="A4959" s="1">
        <v>4957.0</v>
      </c>
      <c r="B4959" s="3" t="s">
        <v>4959</v>
      </c>
      <c r="C4959" s="3" t="str">
        <f>IFERROR(__xludf.DUMMYFUNCTION("GOOGLETRANSLATE(B4959,""id"",""en"")"),"['Credit', 'Cut', 'Data', 'On', 'Call', 'Check', 'Credit', 'Ntah', 'Rupiah', 'Sampe', 'Cut', 'Rb', ' help']")</f>
        <v>['Credit', 'Cut', 'Data', 'On', 'Call', 'Check', 'Credit', 'Ntah', 'Rupiah', 'Sampe', 'Cut', 'Rb', ' help']</v>
      </c>
      <c r="D4959" s="3">
        <v>1.0</v>
      </c>
    </row>
    <row r="4960" ht="15.75" customHeight="1">
      <c r="A4960" s="1">
        <v>4958.0</v>
      </c>
      <c r="B4960" s="3" t="s">
        <v>4960</v>
      </c>
      <c r="C4960" s="3" t="str">
        <f>IFERROR(__xludf.DUMMYFUNCTION("GOOGLETRANSLATE(B4960,""id"",""en"")"),"['Download', 'Dekk', 'Lina', 'Telkomsel', 'Help', 'in', 'transact', 'share', 'pulse', 'friend', 'bgmna', 'yaa', ' ']")</f>
        <v>['Download', 'Dekk', 'Lina', 'Telkomsel', 'Help', 'in', 'transact', 'share', 'pulse', 'friend', 'bgmna', 'yaa', ' ']</v>
      </c>
      <c r="D4960" s="3">
        <v>3.0</v>
      </c>
    </row>
    <row r="4961" ht="15.75" customHeight="1">
      <c r="A4961" s="1">
        <v>4959.0</v>
      </c>
      <c r="B4961" s="3" t="s">
        <v>4961</v>
      </c>
      <c r="C4961" s="3" t="str">
        <f>IFERROR(__xludf.DUMMYFUNCTION("GOOGLETRANSLATE(B4961,""id"",""en"")"),"['quota', 'run out', 'dated', 'September', 'date', 'August', 'check', 'quota', 'missing', 'where', 'aka', 'empty', ' ']")</f>
        <v>['quota', 'run out', 'dated', 'September', 'date', 'August', 'check', 'quota', 'missing', 'where', 'aka', 'empty', ' ']</v>
      </c>
      <c r="D4961" s="3">
        <v>1.0</v>
      </c>
    </row>
    <row r="4962" ht="15.75" customHeight="1">
      <c r="A4962" s="1">
        <v>4960.0</v>
      </c>
      <c r="B4962" s="3" t="s">
        <v>4962</v>
      </c>
      <c r="C4962" s="3" t="str">
        <f>IFERROR(__xludf.DUMMYFUNCTION("GOOGLETRANSLATE(B4962,""id"",""en"")"),"['Woy', 'Telkomsel', 'signal', 'good', 'signal', 'good', 'until', 'cave', 'slamming', 'slammed', 'cellphone', 'gegara', ' signal ',' Telkomsel ',' Gapernah ',' Bener ',' cave ',' users', 'Telkomsel', 'already', 'knp', 'skrng', 'signal', 'threat', ""]")</f>
        <v>['Woy', 'Telkomsel', 'signal', 'good', 'signal', 'good', 'until', 'cave', 'slamming', 'slammed', 'cellphone', 'gegara', ' signal ',' Telkomsel ',' Gapernah ',' Bener ',' cave ',' users', 'Telkomsel', 'already', 'knp', 'skrng', 'signal', 'threat', "]</v>
      </c>
      <c r="D4962" s="3">
        <v>1.0</v>
      </c>
    </row>
    <row r="4963" ht="15.75" customHeight="1">
      <c r="A4963" s="1">
        <v>4961.0</v>
      </c>
      <c r="B4963" s="3" t="s">
        <v>4963</v>
      </c>
      <c r="C4963" s="3" t="str">
        <f>IFERROR(__xludf.DUMMYFUNCTION("GOOGLETRANSLATE(B4963,""id"",""en"")"),"['makes it easy', 'transaction', 'thank', 'love', 'Telkomsel', 'network', 'increase', 'lottery', 'hope', 'win', 'amin', ""]")</f>
        <v>['makes it easy', 'transaction', 'thank', 'love', 'Telkomsel', 'network', 'increase', 'lottery', 'hope', 'win', 'amin', "]</v>
      </c>
      <c r="D4963" s="3">
        <v>5.0</v>
      </c>
    </row>
    <row r="4964" ht="15.75" customHeight="1">
      <c r="A4964" s="1">
        <v>4962.0</v>
      </c>
      <c r="B4964" s="3" t="s">
        <v>4964</v>
      </c>
      <c r="C4964" s="3" t="str">
        <f>IFERROR(__xludf.DUMMYFUNCTION("GOOGLETRANSLATE(B4964,""id"",""en"")"),"['Please', 'populat', 'price', 'data', 'divided', 'type', 'use', 'sometimes',' cheated ',' price ',' populat ',' quota ',' according to ',' price ',' karna ',' divided ',' multimedia ',' sometimes', 'slow', 'feel', 'many years',' customers', 'loyal', 'Tel"&amp;"komsel', 'the network' , 'Paraaaaah', 'Abis', 'Telkomsel', 'Please', 'reviewed', 'Min']")</f>
        <v>['Please', 'populat', 'price', 'data', 'divided', 'type', 'use', 'sometimes',' cheated ',' price ',' populat ',' quota ',' according to ',' price ',' karna ',' divided ',' multimedia ',' sometimes', 'slow', 'feel', 'many years',' customers', 'loyal', 'Telkomsel', 'the network' , 'Paraaaaah', 'Abis', 'Telkomsel', 'Please', 'reviewed', 'Min']</v>
      </c>
      <c r="D4964" s="3">
        <v>3.0</v>
      </c>
    </row>
    <row r="4965" ht="15.75" customHeight="1">
      <c r="A4965" s="1">
        <v>4963.0</v>
      </c>
      <c r="B4965" s="3" t="s">
        <v>4965</v>
      </c>
      <c r="C4965" s="3" t="str">
        <f>IFERROR(__xludf.DUMMYFUNCTION("GOOGLETRANSLATE(B4965,""id"",""en"")"),"['Sorry', 'Lower', 'Rating', 'Destroyed', 'Very', 'Network', 'Sulawesi', 'South', 'Region', 'Rajawali', 'Yesterday']")</f>
        <v>['Sorry', 'Lower', 'Rating', 'Destroyed', 'Very', 'Network', 'Sulawesi', 'South', 'Region', 'Rajawali', 'Yesterday']</v>
      </c>
      <c r="D4965" s="3">
        <v>1.0</v>
      </c>
    </row>
    <row r="4966" ht="15.75" customHeight="1">
      <c r="A4966" s="1">
        <v>4964.0</v>
      </c>
      <c r="B4966" s="3" t="s">
        <v>4966</v>
      </c>
      <c r="C4966" s="3" t="str">
        <f>IFERROR(__xludf.DUMMYFUNCTION("GOOGLETRANSLATE(B4966,""id"",""en"")"),"['night', 'min', 'cave', 'buy', 'pulse', 'package', 'right', 'ngactive', 'package', 'price', 'nge', 'right', ' The pulses', 'eaten', 'reduced', 'Please', 'repairs',' min ']")</f>
        <v>['night', 'min', 'cave', 'buy', 'pulse', 'package', 'right', 'ngactive', 'package', 'price', 'nge', 'right', ' The pulses', 'eaten', 'reduced', 'Please', 'repairs',' min ']</v>
      </c>
      <c r="D4966" s="3">
        <v>1.0</v>
      </c>
    </row>
    <row r="4967" ht="15.75" customHeight="1">
      <c r="A4967" s="1">
        <v>4965.0</v>
      </c>
      <c r="B4967" s="3" t="s">
        <v>4967</v>
      </c>
      <c r="C4967" s="3" t="str">
        <f>IFERROR(__xludf.DUMMYFUNCTION("GOOGLETRANSLATE(B4967,""id"",""en"")"),"['Chronology', 'Data', 'On', 'Diemin', 'Soon', 'Pas',' Open ',' Sinyal ',' Slow ',' Results', 'Turn Off', 'Turn on', ' Data ',' strange ',' Telkomsel ',' ']")</f>
        <v>['Chronology', 'Data', 'On', 'Diemin', 'Soon', 'Pas',' Open ',' Sinyal ',' Slow ',' Results', 'Turn Off', 'Turn on', ' Data ',' strange ',' Telkomsel ',' ']</v>
      </c>
      <c r="D4967" s="3">
        <v>1.0</v>
      </c>
    </row>
    <row r="4968" ht="15.75" customHeight="1">
      <c r="A4968" s="1">
        <v>4966.0</v>
      </c>
      <c r="B4968" s="3" t="s">
        <v>4968</v>
      </c>
      <c r="C4968" s="3" t="str">
        <f>IFERROR(__xludf.DUMMYFUNCTION("GOOGLETRANSLATE(B4968,""id"",""en"")"),"['application', 'heavy', 'loading', 'sometimes',' open ',' many ',' times', 'loading', 'smooth', 'promotion', 'ad', 'provided', ' interesting ',' program ',' daily ',' check ',' okay ',' darling ',' claim ',' quota ',' a day ',' ']")</f>
        <v>['application', 'heavy', 'loading', 'sometimes',' open ',' many ',' times', 'loading', 'smooth', 'promotion', 'ad', 'provided', ' interesting ',' program ',' daily ',' check ',' okay ',' darling ',' claim ',' quota ',' a day ',' ']</v>
      </c>
      <c r="D4968" s="3">
        <v>3.0</v>
      </c>
    </row>
    <row r="4969" ht="15.75" customHeight="1">
      <c r="A4969" s="1">
        <v>4967.0</v>
      </c>
      <c r="B4969" s="3" t="s">
        <v>4969</v>
      </c>
      <c r="C4969" s="3" t="str">
        <f>IFERROR(__xludf.DUMMYFUNCTION("GOOGLETRANSLATE(B4969,""id"",""en"")"),"['network', 'telomsel', 'here', 'slow', 'likes',' broke ',' broke ',' network ',' Semomanjak ',' Telkomsek ',' deteriorating ',' network ',' Lost ',' competitiveness', 'operator', 'Different', 'Network', 'Telkomsel', 'Tanidngan', 'Appeal', 'Network', 'Ope"&amp;"rator', 'User', 'Telkomsel', 'Card' , 'SIM', 'Card', 'Change', '']")</f>
        <v>['network', 'telomsel', 'here', 'slow', 'likes',' broke ',' broke ',' network ',' Semomanjak ',' Telkomsek ',' deteriorating ',' network ',' Lost ',' competitiveness', 'operator', 'Different', 'Network', 'Telkomsel', 'Tanidngan', 'Appeal', 'Network', 'Operator', 'User', 'Telkomsel', 'Card' , 'SIM', 'Card', 'Change', '']</v>
      </c>
      <c r="D4969" s="3">
        <v>1.0</v>
      </c>
    </row>
    <row r="4970" ht="15.75" customHeight="1">
      <c r="A4970" s="1">
        <v>4968.0</v>
      </c>
      <c r="B4970" s="3" t="s">
        <v>4970</v>
      </c>
      <c r="C4970" s="3" t="str">
        <f>IFERROR(__xludf.DUMMYFUNCTION("GOOGLETRANSLATE(B4970,""id"",""en"")"),"['Region', 'Current', 'Sometimes', 'Network', 'Lost', 'Main', 'Game']")</f>
        <v>['Region', 'Current', 'Sometimes', 'Network', 'Lost', 'Main', 'Game']</v>
      </c>
      <c r="D4970" s="3">
        <v>3.0</v>
      </c>
    </row>
    <row r="4971" ht="15.75" customHeight="1">
      <c r="A4971" s="1">
        <v>4969.0</v>
      </c>
      <c r="B4971" s="3" t="s">
        <v>4971</v>
      </c>
      <c r="C4971" s="3" t="str">
        <f>IFERROR(__xludf.DUMMYFUNCTION("GOOGLETRANSLATE(B4971,""id"",""en"")"),"['Buy', 'Package', 'Internet', 'Cut', 'Package', 'Pulsely', 'Out', 'Pantes', 'Fortunately', 'Gede', 'Nyolong', 'Nyolong']")</f>
        <v>['Buy', 'Package', 'Internet', 'Cut', 'Package', 'Pulsely', 'Out', 'Pantes', 'Fortunately', 'Gede', 'Nyolong', 'Nyolong']</v>
      </c>
      <c r="D4971" s="3">
        <v>1.0</v>
      </c>
    </row>
    <row r="4972" ht="15.75" customHeight="1">
      <c r="A4972" s="1">
        <v>4970.0</v>
      </c>
      <c r="B4972" s="3" t="s">
        <v>4972</v>
      </c>
      <c r="C4972" s="3" t="str">
        <f>IFERROR(__xludf.DUMMYFUNCTION("GOOGLETRANSLATE(B4972,""id"",""en"")"),"['Affordable', 'Quality', 'Playananan', 'BNYAK', 'Points', 'Bonus', '']")</f>
        <v>['Affordable', 'Quality', 'Playananan', 'BNYAK', 'Points', 'Bonus', '']</v>
      </c>
      <c r="D4972" s="3">
        <v>5.0</v>
      </c>
    </row>
    <row r="4973" ht="15.75" customHeight="1">
      <c r="A4973" s="1">
        <v>4971.0</v>
      </c>
      <c r="B4973" s="3" t="s">
        <v>4973</v>
      </c>
      <c r="C4973" s="3" t="str">
        <f>IFERROR(__xludf.DUMMYFUNCTION("GOOGLETRANSLATE(B4973,""id"",""en"")"),"['here', 'signal', 'stable', 'sometimes',' like ',' ilang ',' ilang ',' signal ',' disappointed ',' as', 'customer', 'Telkomsel', ' ']")</f>
        <v>['here', 'signal', 'stable', 'sometimes',' like ',' ilang ',' ilang ',' signal ',' disappointed ',' as', 'customer', 'Telkomsel', ' ']</v>
      </c>
      <c r="D4973" s="3">
        <v>1.0</v>
      </c>
    </row>
    <row r="4974" ht="15.75" customHeight="1">
      <c r="A4974" s="1">
        <v>4972.0</v>
      </c>
      <c r="B4974" s="3" t="s">
        <v>4974</v>
      </c>
      <c r="C4974" s="3" t="str">
        <f>IFERROR(__xludf.DUMMYFUNCTION("GOOGLETRANSLATE(B4974,""id"",""en"")"),"['enter', 'difficult', 'method', 'login', 'unrecommended']")</f>
        <v>['enter', 'difficult', 'method', 'login', 'unrecommended']</v>
      </c>
      <c r="D4974" s="3">
        <v>1.0</v>
      </c>
    </row>
    <row r="4975" ht="15.75" customHeight="1">
      <c r="A4975" s="1">
        <v>4973.0</v>
      </c>
      <c r="B4975" s="3" t="s">
        <v>4975</v>
      </c>
      <c r="C4975" s="3" t="str">
        <f>IFERROR(__xludf.DUMMYFUNCTION("GOOGLETRANSLATE(B4975,""id"",""en"")"),"['Hold', 'good', 'telephone', 'network', 'internet', 'slow', 'Telkomsel', 'best', 'please', 'network', 'repaired', 'network', ' slow ',' slow ',' leftover ',' pulse ',' run out ',' suggestion ',' given ',' key ',' axis', 'network', 'slow', 'slow', 'leftov"&amp;"er' , 'Credit', 'Safe', '']")</f>
        <v>['Hold', 'good', 'telephone', 'network', 'internet', 'slow', 'Telkomsel', 'best', 'please', 'network', 'repaired', 'network', ' slow ',' slow ',' leftover ',' pulse ',' run out ',' suggestion ',' given ',' key ',' axis', 'network', 'slow', 'slow', 'leftover' , 'Credit', 'Safe', '']</v>
      </c>
      <c r="D4975" s="3">
        <v>2.0</v>
      </c>
    </row>
    <row r="4976" ht="15.75" customHeight="1">
      <c r="A4976" s="1">
        <v>4974.0</v>
      </c>
      <c r="B4976" s="3" t="s">
        <v>4976</v>
      </c>
      <c r="C4976" s="3" t="str">
        <f>IFERROR(__xludf.DUMMYFUNCTION("GOOGLETRANSLATE(B4976,""id"",""en"")"),"['Suggestion', 'Since', 'Player', 'Game', 'Online', 'Difficult', 'Top', 'Diamond', 'Jdi', 'Thank you', 'Telkomsel', 'Can', ' provide ',' top ',' so, 'thank you']")</f>
        <v>['Suggestion', 'Since', 'Player', 'Game', 'Online', 'Difficult', 'Top', 'Diamond', 'Jdi', 'Thank you', 'Telkomsel', 'Can', ' provide ',' top ',' so, 'thank you']</v>
      </c>
      <c r="D4976" s="3">
        <v>4.0</v>
      </c>
    </row>
    <row r="4977" ht="15.75" customHeight="1">
      <c r="A4977" s="1">
        <v>4975.0</v>
      </c>
      <c r="B4977" s="3" t="s">
        <v>4977</v>
      </c>
      <c r="C4977" s="3" t="str">
        <f>IFERROR(__xludf.DUMMYFUNCTION("GOOGLETRANSLATE(B4977,""id"",""en"")"),"['Vocher', 'Telkomsel', 'regional', 'please', 'enlightenment', 'how', 'activate', 'sms', 'thank you']")</f>
        <v>['Vocher', 'Telkomsel', 'regional', 'please', 'enlightenment', 'how', 'activate', 'sms', 'thank you']</v>
      </c>
      <c r="D4977" s="3">
        <v>2.0</v>
      </c>
    </row>
    <row r="4978" ht="15.75" customHeight="1">
      <c r="A4978" s="1">
        <v>4976.0</v>
      </c>
      <c r="B4978" s="3" t="s">
        <v>4978</v>
      </c>
      <c r="C4978" s="3" t="str">
        <f>IFERROR(__xludf.DUMMYFUNCTION("GOOGLETRANSLATE(B4978,""id"",""en"")"),"['Contents',' pulses', 'directly', 'Abis',' data ',' GB ',' use ',' package ',' emergency ',' registered ',' ahead ',' billing ',' Direct ',' Taken ',' Price ',' Package ',' Emergency ',' RB ',' Gini ',' Maling ',' You ',' Bangsatt ', ""]")</f>
        <v>['Contents',' pulses', 'directly', 'Abis',' data ',' GB ',' use ',' package ',' emergency ',' registered ',' ahead ',' billing ',' Direct ',' Taken ',' Price ',' Package ',' Emergency ',' RB ',' Gini ',' Maling ',' You ',' Bangsatt ', "]</v>
      </c>
      <c r="D4978" s="3">
        <v>1.0</v>
      </c>
    </row>
    <row r="4979" ht="15.75" customHeight="1">
      <c r="A4979" s="1">
        <v>4977.0</v>
      </c>
      <c r="B4979" s="3" t="s">
        <v>4979</v>
      </c>
      <c r="C4979" s="3" t="str">
        <f>IFERROR(__xludf.DUMMYFUNCTION("GOOGLETRANSLATE(B4979,""id"",""en"")"),"['buy', 'package', 'internet', 'process', 'sometimes', 'all day', 'entry', 'process']")</f>
        <v>['buy', 'package', 'internet', 'process', 'sometimes', 'all day', 'entry', 'process']</v>
      </c>
      <c r="D4979" s="3">
        <v>5.0</v>
      </c>
    </row>
    <row r="4980" ht="15.75" customHeight="1">
      <c r="A4980" s="1">
        <v>4978.0</v>
      </c>
      <c r="B4980" s="3" t="s">
        <v>4980</v>
      </c>
      <c r="C4980" s="3" t="str">
        <f>IFERROR(__xludf.DUMMYFUNCTION("GOOGLETRANSLATE(B4980,""id"",""en"")"),"['', 'home', 'network', 'Sanhat', 'ugly', 'internet', '']")</f>
        <v>['', 'home', 'network', 'Sanhat', 'ugly', 'internet', '']</v>
      </c>
      <c r="D4980" s="3">
        <v>1.0</v>
      </c>
    </row>
    <row r="4981" ht="15.75" customHeight="1">
      <c r="A4981" s="1">
        <v>4979.0</v>
      </c>
      <c r="B4981" s="3" t="s">
        <v>4981</v>
      </c>
      <c r="C4981" s="3" t="str">
        <f>IFERROR(__xludf.DUMMYFUNCTION("GOOGLETRANSLATE(B4981,""id"",""en"")"),"['Najis',' ugly ',' really ',' Telkomsel ',' play ',' open ',' application ',' play ',' game ',' slow ',' severe ',' full ',' turn ',' complement ',' network ',' told ',' setting ',' APN ',' data ',' tetep ',' slow ',' severe ',' chih ',' ']")</f>
        <v>['Najis',' ugly ',' really ',' Telkomsel ',' play ',' open ',' application ',' play ',' game ',' slow ',' severe ',' full ',' turn ',' complement ',' network ',' told ',' setting ',' APN ',' data ',' tetep ',' slow ',' severe ',' chih ',' ']</v>
      </c>
      <c r="D4981" s="3">
        <v>1.0</v>
      </c>
    </row>
    <row r="4982" ht="15.75" customHeight="1">
      <c r="A4982" s="1">
        <v>4980.0</v>
      </c>
      <c r="B4982" s="3" t="s">
        <v>4982</v>
      </c>
      <c r="C4982" s="3" t="str">
        <f>IFERROR(__xludf.DUMMYFUNCTION("GOOGLETRANSLATE(B4982,""id"",""en"")"),"['Ginana', 'The story', 'quota', 'Available', 'right', 'buy', 'process',' pulse ',' meek ',' truncated ',' quota ',' enter ',' strange']")</f>
        <v>['Ginana', 'The story', 'quota', 'Available', 'right', 'buy', 'process',' pulse ',' meek ',' truncated ',' quota ',' enter ',' strange']</v>
      </c>
      <c r="D4982" s="3">
        <v>1.0</v>
      </c>
    </row>
    <row r="4983" ht="15.75" customHeight="1">
      <c r="A4983" s="1">
        <v>4981.0</v>
      </c>
      <c r="B4983" s="3" t="s">
        <v>4983</v>
      </c>
      <c r="C4983" s="3" t="str">
        <f>IFERROR(__xludf.DUMMYFUNCTION("GOOGLETRANSLATE(B4983,""id"",""en"")"),"['Hello', 'Sis',' Love ',' Bintang ',' BTW ',' Tsel ',' MOTH ',' Credit ',' Customer ',' Mulu ',' Seriously ',' Nnya ',' pdhal ',' quota ',' pulse ',' missing ',' stay ',' rupiah ',' pdhal ',' quota ',' ']")</f>
        <v>['Hello', 'Sis',' Love ',' Bintang ',' BTW ',' Tsel ',' MOTH ',' Credit ',' Customer ',' Mulu ',' Seriously ',' Nnya ',' pdhal ',' quota ',' pulse ',' missing ',' stay ',' rupiah ',' pdhal ',' quota ',' ']</v>
      </c>
      <c r="D4983" s="3">
        <v>5.0</v>
      </c>
    </row>
    <row r="4984" ht="15.75" customHeight="1">
      <c r="A4984" s="1">
        <v>4982.0</v>
      </c>
      <c r="B4984" s="3" t="s">
        <v>4984</v>
      </c>
      <c r="C4984" s="3" t="str">
        <f>IFERROR(__xludf.DUMMYFUNCTION("GOOGLETRANSLATE(B4984,""id"",""en"")"),"['NOT', 'good', 'ugly', 'signal', 'stay', 'in the city', 'kek', 'stay', 'disconnected', 'sad']")</f>
        <v>['NOT', 'good', 'ugly', 'signal', 'stay', 'in the city', 'kek', 'stay', 'disconnected', 'sad']</v>
      </c>
      <c r="D4984" s="3">
        <v>1.0</v>
      </c>
    </row>
    <row r="4985" ht="15.75" customHeight="1">
      <c r="A4985" s="1">
        <v>4983.0</v>
      </c>
      <c r="B4985" s="3" t="s">
        <v>4985</v>
      </c>
      <c r="C4985" s="3" t="str">
        <f>IFERROR(__xludf.DUMMYFUNCTION("GOOGLETRANSLATE(B4985,""id"",""en"")"),"['card', 'prime', 'price', 'quota', 'expensive', 'different', 'card', 'sympathy', '']")</f>
        <v>['card', 'prime', 'price', 'quota', 'expensive', 'different', 'card', 'sympathy', '']</v>
      </c>
      <c r="D4985" s="3">
        <v>5.0</v>
      </c>
    </row>
    <row r="4986" ht="15.75" customHeight="1">
      <c r="A4986" s="1">
        <v>4984.0</v>
      </c>
      <c r="B4986" s="3" t="s">
        <v>4986</v>
      </c>
      <c r="C4986" s="3" t="str">
        <f>IFERROR(__xludf.DUMMYFUNCTION("GOOGLETRANSLATE(B4986,""id"",""en"")"),"['please', 'Telkomsel', 'card', 'buy', 'package', 'internet', 'wait', 'week', 'pulse', 'sucked', 'buy', 'pulse', ' Activate ',' package ',' ']")</f>
        <v>['please', 'Telkomsel', 'card', 'buy', 'package', 'internet', 'wait', 'week', 'pulse', 'sucked', 'buy', 'pulse', ' Activate ',' package ',' ']</v>
      </c>
      <c r="D4986" s="3">
        <v>3.0</v>
      </c>
    </row>
    <row r="4987" ht="15.75" customHeight="1">
      <c r="A4987" s="1">
        <v>4985.0</v>
      </c>
      <c r="B4987" s="3" t="s">
        <v>4987</v>
      </c>
      <c r="C4987" s="3" t="str">
        <f>IFERROR(__xludf.DUMMYFUNCTION("GOOGLETRANSLATE(B4987,""id"",""en"")"),"['', 'Application', 'Different', 'quota', 'GB', 'price', 'apps', 'min', 'flatten', 'promo', ""]")</f>
        <v>['', 'Application', 'Different', 'quota', 'GB', 'price', 'apps', 'min', 'flatten', 'promo', "]</v>
      </c>
      <c r="D4987" s="3">
        <v>3.0</v>
      </c>
    </row>
    <row r="4988" ht="15.75" customHeight="1">
      <c r="A4988" s="1">
        <v>4986.0</v>
      </c>
      <c r="B4988" s="3" t="s">
        <v>4988</v>
      </c>
      <c r="C4988" s="3" t="str">
        <f>IFERROR(__xludf.DUMMYFUNCTION("GOOGLETRANSLATE(B4988,""id"",""en"")"),"['sorry', 'Sis',' Telkomsel ',' skrng ',' difficult ',' network ',' pdhal ',' Telkomsel ',' trkalen ',' good ',' network ',' right ',' Makek ',' Application ',' Awalx ',' Good ',' Current ',' Skrng ',' Login ',' App ',' Reasons', 'PKE', 'Network', 'Telkom"&amp;"sel', 'Lahh' , 'Ttrus',' buy ',' Card ',' Telkomsel ',' yaa ',' astagahhh ',' tlong ',' be used ',' children ',' disappointed ',' Sya ',' student ',' JDI ',' Need ',' Bngt ',' Brush ',' Sya ',' Lecture ',' Current ',' City ',' Denpasar ',' Darling ',' Ska"&amp;"li ',' Network ',' Kek ' , 'gini']")</f>
        <v>['sorry', 'Sis',' Telkomsel ',' skrng ',' difficult ',' network ',' pdhal ',' Telkomsel ',' trkalen ',' good ',' network ',' right ',' Makek ',' Application ',' Awalx ',' Good ',' Current ',' Skrng ',' Login ',' App ',' Reasons', 'PKE', 'Network', 'Telkomsel', 'Lahh' , 'Ttrus',' buy ',' Card ',' Telkomsel ',' yaa ',' astagahhh ',' tlong ',' be used ',' children ',' disappointed ',' Sya ',' student ',' JDI ',' Need ',' Bngt ',' Brush ',' Sya ',' Lecture ',' Current ',' City ',' Denpasar ',' Darling ',' Skali ',' Network ',' Kek ' , 'gini']</v>
      </c>
      <c r="D4988" s="3">
        <v>1.0</v>
      </c>
    </row>
    <row r="4989" ht="15.75" customHeight="1">
      <c r="A4989" s="1">
        <v>4987.0</v>
      </c>
      <c r="B4989" s="3" t="s">
        <v>4989</v>
      </c>
      <c r="C4989" s="3" t="str">
        <f>IFERROR(__xludf.DUMMYFUNCTION("GOOGLETRANSLATE(B4989,""id"",""en"")"),"['APAH', 'EASY', 'Buy', 'Data', 'Easy', 'Check', 'Data', 'Data', 'Open', 'App', 'Telkomsel', 'Data', ' pulses', 'buy', 'data', 'open', 'Telkomsel', 'kepo', 'tong', 'pulse', 'buy', 'package', 'kagak', 'kya', 'operator' , 'Next to', 'poor', 'network', 'ugly"&amp;"', 'asw']")</f>
        <v>['APAH', 'EASY', 'Buy', 'Data', 'Easy', 'Check', 'Data', 'Data', 'Open', 'App', 'Telkomsel', 'Data', ' pulses', 'buy', 'data', 'open', 'Telkomsel', 'kepo', 'tong', 'pulse', 'buy', 'package', 'kagak', 'kya', 'operator' , 'Next to', 'poor', 'network', 'ugly', 'asw']</v>
      </c>
      <c r="D4989" s="3">
        <v>1.0</v>
      </c>
    </row>
    <row r="4990" ht="15.75" customHeight="1">
      <c r="A4990" s="1">
        <v>4988.0</v>
      </c>
      <c r="B4990" s="3" t="s">
        <v>4990</v>
      </c>
      <c r="C4990" s="3" t="str">
        <f>IFERROR(__xludf.DUMMYFUNCTION("GOOGLETRANSLATE(B4990,""id"",""en"")"),"['Credit', 'Sumpot', 'Costs',' Access', 'Internet', 'Non', 'Quota', 'Ngilak', 'KB', 'Range', 'MB', 'Package', ' Midnight ',' expensive ',' app ',' error ',' recognized ',' network ',' provider ',' Telkomsel ',' stable ',' reach ',' widest ',' Indonesia ',"&amp;" ""]")</f>
        <v>['Credit', 'Sumpot', 'Costs',' Access', 'Internet', 'Non', 'Quota', 'Ngilak', 'KB', 'Range', 'MB', 'Package', ' Midnight ',' expensive ',' app ',' error ',' recognized ',' network ',' provider ',' Telkomsel ',' stable ',' reach ',' widest ',' Indonesia ', "]</v>
      </c>
      <c r="D4990" s="3">
        <v>1.0</v>
      </c>
    </row>
    <row r="4991" ht="15.75" customHeight="1">
      <c r="A4991" s="1">
        <v>4989.0</v>
      </c>
      <c r="B4991" s="3" t="s">
        <v>4991</v>
      </c>
      <c r="C4991" s="3" t="str">
        <f>IFERROR(__xludf.DUMMYFUNCTION("GOOGLETRANSLATE(B4991,""id"",""en"")"),"['account', 'according to', 'use', 'get', 'lottery', 'user', 'Telkomsel', 'uda', ""]")</f>
        <v>['account', 'according to', 'use', 'get', 'lottery', 'user', 'Telkomsel', 'uda', "]</v>
      </c>
      <c r="D4991" s="3">
        <v>5.0</v>
      </c>
    </row>
    <row r="4992" ht="15.75" customHeight="1">
      <c r="A4992" s="1">
        <v>4990.0</v>
      </c>
      <c r="B4992" s="3" t="s">
        <v>4992</v>
      </c>
      <c r="C4992" s="3" t="str">
        <f>IFERROR(__xludf.DUMMYFUNCTION("GOOGLETRANSLATE(B4992,""id"",""en"")"),"['Card', 'Telkomsel', 'Damaged', 'replaced', 'GraPARI', 'Telkomsel', 'what']")</f>
        <v>['Card', 'Telkomsel', 'Damaged', 'replaced', 'GraPARI', 'Telkomsel', 'what']</v>
      </c>
      <c r="D4992" s="3">
        <v>3.0</v>
      </c>
    </row>
    <row r="4993" ht="15.75" customHeight="1">
      <c r="A4993" s="1">
        <v>4991.0</v>
      </c>
      <c r="B4993" s="3" t="s">
        <v>4993</v>
      </c>
      <c r="C4993" s="3" t="str">
        <f>IFERROR(__xludf.DUMMYFUNCTION("GOOGLETRANSLATE(B4993,""id"",""en"")"),"['buy', 'package', 'expensive', 'signal', 'ugly', 'cave', 'kasi', 'star', 'dlu', 'signal', 'udh', 'good', ' Kasi ',' star ',' ']")</f>
        <v>['buy', 'package', 'expensive', 'signal', 'ugly', 'cave', 'kasi', 'star', 'dlu', 'signal', 'udh', 'good', ' Kasi ',' star ',' ']</v>
      </c>
      <c r="D4993" s="3">
        <v>1.0</v>
      </c>
    </row>
    <row r="4994" ht="15.75" customHeight="1">
      <c r="A4994" s="1">
        <v>4992.0</v>
      </c>
      <c r="B4994" s="3" t="s">
        <v>4994</v>
      </c>
      <c r="C4994" s="3" t="str">
        <f>IFERROR(__xludf.DUMMYFUNCTION("GOOGLETRANSLATE(B4994,""id"",""en"")"),"['Assalamualaikum', 'telecommonation', 'cellular', 'happy', 'card', 'SIM', 'Telkomsel', 'user', 'hope', 'Telkomsel', 'fluency', 'use', ' Do ',' a day ',' Telkomsel ',' Hopefully ',' Telkomsel ',' Best ',' Network ',' Telkomsel ',' deteriorating ',' repair"&amp;"s', 'network', 'South Sumatra', 'September' , '']")</f>
        <v>['Assalamualaikum', 'telecommonation', 'cellular', 'happy', 'card', 'SIM', 'Telkomsel', 'user', 'hope', 'Telkomsel', 'fluency', 'use', ' Do ',' a day ',' Telkomsel ',' Hopefully ',' Telkomsel ',' Best ',' Network ',' Telkomsel ',' deteriorating ',' repairs', 'network', 'South Sumatra', 'September' , '']</v>
      </c>
      <c r="D4994" s="3">
        <v>1.0</v>
      </c>
    </row>
    <row r="4995" ht="15.75" customHeight="1">
      <c r="A4995" s="1">
        <v>4993.0</v>
      </c>
      <c r="B4995" s="3" t="s">
        <v>4995</v>
      </c>
      <c r="C4995" s="3" t="str">
        <f>IFERROR(__xludf.DUMMYFUNCTION("GOOGLETRANSLATE(B4995,""id"",""en"")"),"['network', 'Telkomsel', 'no', 'rich', 'play', 'game', 'nge', 'lag', 'really', 'network', 'no', 'stable']")</f>
        <v>['network', 'Telkomsel', 'no', 'rich', 'play', 'game', 'nge', 'lag', 'really', 'network', 'no', 'stable']</v>
      </c>
      <c r="D4995" s="3">
        <v>1.0</v>
      </c>
    </row>
    <row r="4996" ht="15.75" customHeight="1">
      <c r="A4996" s="1">
        <v>4994.0</v>
      </c>
      <c r="B4996" s="3" t="s">
        <v>4996</v>
      </c>
      <c r="C4996" s="3" t="str">
        <f>IFERROR(__xludf.DUMMYFUNCTION("GOOGLETRANSLATE(B4996,""id"",""en"")"),"['Grapari', 'replace', 'number', 'the vastness',' run out ',' ruwetnya ',' mercy ',' number ',' personal ',' told ',' letter ',' information ',' Third ',' Gojek ',' Requirements', 'Complete', 'KTP', 'Employee', 'Grapari', 'Sidoarjo', 'Training', 'How', 'T"&amp;"elkomsel', 'Lost', ""]")</f>
        <v>['Grapari', 'replace', 'number', 'the vastness',' run out ',' ruwetnya ',' mercy ',' number ',' personal ',' told ',' letter ',' information ',' Third ',' Gojek ',' Requirements', 'Complete', 'KTP', 'Employee', 'Grapari', 'Sidoarjo', 'Training', 'How', 'Telkomsel', 'Lost', "]</v>
      </c>
      <c r="D4996" s="3">
        <v>1.0</v>
      </c>
    </row>
    <row r="4997" ht="15.75" customHeight="1">
      <c r="A4997" s="1">
        <v>4995.0</v>
      </c>
      <c r="B4997" s="3" t="s">
        <v>4997</v>
      </c>
      <c r="C4997" s="3" t="str">
        <f>IFERROR(__xludf.DUMMYFUNCTION("GOOGLETRANSLATE(B4997,""id"",""en"")"),"['cave', 'Season', 'really', 'stay', 'Dibrbes',' already ',' rich ',' forest ',' Telkomsel ',' network ',' lose ',' mercy ',' Please, 'Check', 'Signal', 'Telkomsel', 'Village', 'Lembarawa', 'Brebes', 'Already', 'Lose', 'Xsis', 'Network', 'Gimna', 'Tkkomse"&amp;"l' ]")</f>
        <v>['cave', 'Season', 'really', 'stay', 'Dibrbes',' already ',' rich ',' forest ',' Telkomsel ',' network ',' lose ',' mercy ',' Please, 'Check', 'Signal', 'Telkomsel', 'Village', 'Lembarawa', 'Brebes', 'Already', 'Lose', 'Xsis', 'Network', 'Gimna', 'Tkkomsel' ]</v>
      </c>
      <c r="D4997" s="3">
        <v>5.0</v>
      </c>
    </row>
    <row r="4998" ht="15.75" customHeight="1">
      <c r="A4998" s="1">
        <v>4996.0</v>
      </c>
      <c r="B4998" s="3" t="s">
        <v>4998</v>
      </c>
      <c r="C4998" s="3" t="str">
        <f>IFERROR(__xludf.DUMMYFUNCTION("GOOGLETRANSLATE(B4998,""id"",""en"")"),"['Bad', 'Matiin', 'Data', 'Monitor', 'Data', 'People', 'Order', 'Wait', 'August', 'Sampe', 'September']")</f>
        <v>['Bad', 'Matiin', 'Data', 'Monitor', 'Data', 'People', 'Order', 'Wait', 'August', 'Sampe', 'September']</v>
      </c>
      <c r="D4998" s="3">
        <v>1.0</v>
      </c>
    </row>
    <row r="4999" ht="15.75" customHeight="1">
      <c r="A4999" s="1">
        <v>4997.0</v>
      </c>
      <c r="B4999" s="3" t="s">
        <v>4999</v>
      </c>
      <c r="C4999" s="3" t="str">
        <f>IFERROR(__xludf.DUMMYFUNCTION("GOOGLETRANSLATE(B4999,""id"",""en"")"),"['Tortured', 'Tissue', 'Telkomsel', 'aka', 'Leet', 'Please', 'Repaired', 'People', 'Change', 'Card']")</f>
        <v>['Tortured', 'Tissue', 'Telkomsel', 'aka', 'Leet', 'Please', 'Repaired', 'People', 'Change', 'Card']</v>
      </c>
      <c r="D4999" s="3">
        <v>1.0</v>
      </c>
    </row>
    <row r="5000" ht="15.75" customHeight="1">
      <c r="A5000" s="1">
        <v>4998.0</v>
      </c>
      <c r="B5000" s="3" t="s">
        <v>5000</v>
      </c>
      <c r="C5000" s="3" t="str">
        <f>IFERROR(__xludf.DUMMYFUNCTION("GOOGLETRANSLATE(B5000,""id"",""en"")"),"['Telkomsel', 'down', 'decreases',' told ',' upgrade ',' pulse ',' suck ',' bored ',' moved ',' provider ',' complain ',' email ',' Teteap ']")</f>
        <v>['Telkomsel', 'down', 'decreases',' told ',' upgrade ',' pulse ',' suck ',' bored ',' moved ',' provider ',' complain ',' email ',' Teteap ']</v>
      </c>
      <c r="D5000" s="3">
        <v>1.0</v>
      </c>
    </row>
    <row r="5001" ht="15.75" customHeight="1">
      <c r="A5001" s="1">
        <v>4999.0</v>
      </c>
      <c r="B5001" s="3" t="s">
        <v>5001</v>
      </c>
      <c r="C5001" s="3" t="str">
        <f>IFERROR(__xludf.DUMMYFUNCTION("GOOGLETRANSLATE(B5001,""id"",""en"")"),"['signal', 'bad', 'jakarta', 'klu', 'Papua', 'rich', 'signal']")</f>
        <v>['signal', 'bad', 'jakarta', 'klu', 'Papua', 'rich', 'signal']</v>
      </c>
      <c r="D5001" s="3">
        <v>1.0</v>
      </c>
    </row>
    <row r="5002" ht="15.75" customHeight="1">
      <c r="A5002" s="1">
        <v>5000.0</v>
      </c>
      <c r="B5002" s="3" t="s">
        <v>5002</v>
      </c>
      <c r="C5002" s="3" t="str">
        <f>IFERROR(__xludf.DUMMYFUNCTION("GOOGLETRANSLATE(B5002,""id"",""en"")"),"['The application', 'slow', 'internet', 'smooth', 'watch', 'youtube', 'full', 'nge', 'game', 'smooth', 'right', 'open', ' Application ',' Telkomsel ',' Doank ',' Lemot ',' ']")</f>
        <v>['The application', 'slow', 'internet', 'smooth', 'watch', 'youtube', 'full', 'nge', 'game', 'smooth', 'right', 'open', ' Application ',' Telkomsel ',' Doank ',' Lemot ',' ']</v>
      </c>
      <c r="D5002" s="3">
        <v>1.0</v>
      </c>
    </row>
    <row r="5003" ht="15.75" customHeight="1">
      <c r="A5003" s="1">
        <v>5001.0</v>
      </c>
      <c r="B5003" s="3" t="s">
        <v>5003</v>
      </c>
      <c r="C5003" s="3" t="str">
        <f>IFERROR(__xludf.DUMMYFUNCTION("GOOGLETRANSLATE(B5003,""id"",""en"")"),"['', 'confused', 'card', 'extended', 'active', 'data', 'pulse', 'dipake', 'little', 'extended', 'a month', 'data', 'until ',' Tens', 'thousand', 'check', 'card', 'extended', 'HR', 'bsk', 'mmg', 'card', 'use', 'pulses',' active ', 'card', 'EXP', 'or', 'pul"&amp;"ses', 'missing', 'please', 'assisted', 'thanks', ""]")</f>
        <v>['', 'confused', 'card', 'extended', 'active', 'data', 'pulse', 'dipake', 'little', 'extended', 'a month', 'data', 'until ',' Tens', 'thousand', 'check', 'card', 'extended', 'HR', 'bsk', 'mmg', 'card', 'use', 'pulses',' active ', 'card', 'EXP', 'or', 'pulses', 'missing', 'please', 'assisted', 'thanks', "]</v>
      </c>
      <c r="D5003" s="3">
        <v>2.0</v>
      </c>
    </row>
    <row r="5004" ht="15.75" customHeight="1">
      <c r="A5004" s="1">
        <v>5002.0</v>
      </c>
      <c r="B5004" s="3" t="s">
        <v>5004</v>
      </c>
      <c r="C5004" s="3" t="str">
        <f>IFERROR(__xludf.DUMMYFUNCTION("GOOGLETRANSLATE(B5004,""id"",""en"")"),"['buy', 'package', 'date', 'run out', 'date', 'silly', 'pdhl', 'active', 'please', 'explanation']")</f>
        <v>['buy', 'package', 'date', 'run out', 'date', 'silly', 'pdhl', 'active', 'please', 'explanation']</v>
      </c>
      <c r="D5004" s="3">
        <v>2.0</v>
      </c>
    </row>
    <row r="5005" ht="15.75" customHeight="1">
      <c r="A5005" s="1">
        <v>5003.0</v>
      </c>
      <c r="B5005" s="3" t="s">
        <v>5005</v>
      </c>
      <c r="C5005" s="3" t="str">
        <f>IFERROR(__xludf.DUMMYFUNCTION("GOOGLETRANSLATE(B5005,""id"",""en"")"),"['apk', 'makes it easier', 'make it difficult', 'network', 'bar', 'lose', 'high school', 'exis',' already ',' package ',' expensive ',' unreg ',' Paketan ',' Internet ',' Application ',' Please ',' Gmnaa ',' application ',' makes it easier ',' menu ',' fu"&amp;"nction ',' unrege ',' stop ',' subscribe ',' Telkomsel ' , 'Nyari', 'Save', 'TPI', 'Thinking', 'Convenient', 'Pelangement', 'Credit', 'Fill', 'Cut', 'Abident', 'Package', 'Minjem', ' Credit ',' Telkomsel ',' GTU ',' take ',' right ',' Planggan ']")</f>
        <v>['apk', 'makes it easier', 'make it difficult', 'network', 'bar', 'lose', 'high school', 'exis',' already ',' package ',' expensive ',' unreg ',' Paketan ',' Internet ',' Application ',' Please ',' Gmnaa ',' application ',' makes it easier ',' menu ',' function ',' unrege ',' stop ',' subscribe ',' Telkomsel ' , 'Nyari', 'Save', 'TPI', 'Thinking', 'Convenient', 'Pelangement', 'Credit', 'Fill', 'Cut', 'Abident', 'Package', 'Minjem', ' Credit ',' Telkomsel ',' GTU ',' take ',' right ',' Planggan ']</v>
      </c>
      <c r="D5005" s="3">
        <v>1.0</v>
      </c>
    </row>
    <row r="5006" ht="15.75" customHeight="1">
      <c r="A5006" s="1">
        <v>5004.0</v>
      </c>
      <c r="B5006" s="3" t="s">
        <v>5006</v>
      </c>
      <c r="C5006" s="3" t="str">
        <f>IFERROR(__xludf.DUMMYFUNCTION("GOOGLETRANSLATE(B5006,""id"",""en"")"),"['Telkomsel', 'severe', 'network', 'internet', 'slow', '']")</f>
        <v>['Telkomsel', 'severe', 'network', 'internet', 'slow', '']</v>
      </c>
      <c r="D5006" s="3">
        <v>1.0</v>
      </c>
    </row>
    <row r="5007" ht="15.75" customHeight="1">
      <c r="A5007" s="1">
        <v>5005.0</v>
      </c>
      <c r="B5007" s="3" t="s">
        <v>5007</v>
      </c>
      <c r="C5007" s="3" t="str">
        <f>IFERROR(__xludf.DUMMYFUNCTION("GOOGLETRANSLATE(B5007,""id"",""en"")"),"['difficult', 'bnget', 'signal', 'Telkomsel', 'Bali', 'Sadhar', 'Kab', 'Way', 'right', 'open', 'YouTube', 'difficult', ' BNGET ',' Severe ',' difficult ',' signal ',' lose ',' package ',' expensive ',' really ', ""]")</f>
        <v>['difficult', 'bnget', 'signal', 'Telkomsel', 'Bali', 'Sadhar', 'Kab', 'Way', 'right', 'open', 'YouTube', 'difficult', ' BNGET ',' Severe ',' difficult ',' signal ',' lose ',' package ',' expensive ',' really ', "]</v>
      </c>
      <c r="D5007" s="3">
        <v>1.0</v>
      </c>
    </row>
    <row r="5008" ht="15.75" customHeight="1">
      <c r="A5008" s="1">
        <v>5006.0</v>
      </c>
      <c r="B5008" s="3" t="s">
        <v>5008</v>
      </c>
      <c r="C5008" s="3" t="str">
        <f>IFERROR(__xludf.DUMMYFUNCTION("GOOGLETRANSLATE(B5008,""id"",""en"")"),"['Please', 'Exchange', 'Points', 'Reduce', 'Price', 'Expensive', 'Thank', 'Love']")</f>
        <v>['Please', 'Exchange', 'Points', 'Reduce', 'Price', 'Expensive', 'Thank', 'Love']</v>
      </c>
      <c r="D5008" s="3">
        <v>3.0</v>
      </c>
    </row>
    <row r="5009" ht="15.75" customHeight="1">
      <c r="A5009" s="1">
        <v>5007.0</v>
      </c>
      <c r="B5009" s="3" t="s">
        <v>5009</v>
      </c>
      <c r="C5009" s="3" t="str">
        <f>IFERROR(__xludf.DUMMYFUNCTION("GOOGLETRANSLATE(B5009,""id"",""en"")"),"['complaining', 'Telkomsel', 'contents',' pulse ',' Telkomsel ',' network ',' internet ',' taunya ',' grace ',' run out ',' okay ',' Telkomsel ',' Direct ',' Activate ',' number ',' Sya ',' disappointing ',' knp ',' buy ',' number ',' vaccine ',' Sya ',' "&amp;"DFTRKAN ',' ADLH ',' Telkomsel ' , 'Krna', 'Telkomsel', 'sya', 'tidk', 'activation', 'certificate', 'vaccine', 'sya', 'tidk', 'tlng', 'prsulit', ""]")</f>
        <v>['complaining', 'Telkomsel', 'contents',' pulse ',' Telkomsel ',' network ',' internet ',' taunya ',' grace ',' run out ',' okay ',' Telkomsel ',' Direct ',' Activate ',' number ',' Sya ',' disappointing ',' knp ',' buy ',' number ',' vaccine ',' Sya ',' DFTRKAN ',' ADLH ',' Telkomsel ' , 'Krna', 'Telkomsel', 'sya', 'tidk', 'activation', 'certificate', 'vaccine', 'sya', 'tidk', 'tlng', 'prsulit', "]</v>
      </c>
      <c r="D5009" s="3">
        <v>1.0</v>
      </c>
    </row>
    <row r="5010" ht="15.75" customHeight="1">
      <c r="A5010" s="1">
        <v>5008.0</v>
      </c>
      <c r="B5010" s="3" t="s">
        <v>5010</v>
      </c>
      <c r="C5010" s="3" t="str">
        <f>IFERROR(__xludf.DUMMYFUNCTION("GOOGLETRANSLATE(B5010,""id"",""en"")"),"['Application', 'Ribet', 'trpaksa', 'Install', 'Karna', 'check', 'package', 'quota', 'difficult', 'download', 'features',' needs', ' useful ',' except ',' check ',' quota ',' pulse ',' promo ',' missing ',' appears', 'promo', 'expensive', 'point', 'confus"&amp;"ed', 'dikemanain' , 'Karna', 'according to', 'need', 'signal', 'difficult', 'urban', 'Telkomsel', 'asyikk', ""]")</f>
        <v>['Application', 'Ribet', 'trpaksa', 'Install', 'Karna', 'check', 'package', 'quota', 'difficult', 'download', 'features',' needs', ' useful ',' except ',' check ',' quota ',' pulse ',' promo ',' missing ',' appears', 'promo', 'expensive', 'point', 'confused', 'dikemanain' , 'Karna', 'according to', 'need', 'signal', 'difficult', 'urban', 'Telkomsel', 'asyikk', "]</v>
      </c>
      <c r="D5010" s="3">
        <v>1.0</v>
      </c>
    </row>
    <row r="5011" ht="15.75" customHeight="1">
      <c r="A5011" s="1">
        <v>5009.0</v>
      </c>
      <c r="B5011" s="3" t="s">
        <v>5011</v>
      </c>
      <c r="C5011" s="3" t="str">
        <f>IFERROR(__xludf.DUMMYFUNCTION("GOOGLETRANSLATE(B5011,""id"",""en"")"),"['package', 'emergency', 'mysterious',' data ',' info ',' report ',' payment ',' bills', 'package', 'emergency', 'enter', 'package', ' Regular ',' application ',' sane ',' deliberate ',' track ',' record ',' purchase ',' pulse ',' number ',' play ',' suck"&amp;" ',' suck ',' pulses' , 'Season', 'number', '']")</f>
        <v>['package', 'emergency', 'mysterious',' data ',' info ',' report ',' payment ',' bills', 'package', 'emergency', 'enter', 'package', ' Regular ',' application ',' sane ',' deliberate ',' track ',' record ',' purchase ',' pulse ',' number ',' play ',' suck ',' suck ',' pulses' , 'Season', 'number', '']</v>
      </c>
      <c r="D5011" s="3">
        <v>5.0</v>
      </c>
    </row>
    <row r="5012" ht="15.75" customHeight="1">
      <c r="A5012" s="1">
        <v>5010.0</v>
      </c>
      <c r="B5012" s="3" t="s">
        <v>5012</v>
      </c>
      <c r="C5012" s="3" t="str">
        <f>IFERROR(__xludf.DUMMYFUNCTION("GOOGLETRANSLATE(B5012,""id"",""en"")"),"['Buy', 'Package', 'Data', 'Sometimes',' Credit ',' Cut ',' Kayak ',' Provider ',' Package ',' Out ',' Credit ',' Cut ',' Buy ',' Package ',' On ',' On ',' Kirain ',' Description ',' Buy ',' Turn ',' Buy ',' Package ',' On ',' Package ',' Active ' , 'Telk"&amp;"omsel', 'poor', '']")</f>
        <v>['Buy', 'Package', 'Data', 'Sometimes',' Credit ',' Cut ',' Kayak ',' Provider ',' Package ',' Out ',' Credit ',' Cut ',' Buy ',' Package ',' On ',' On ',' Kirain ',' Description ',' Buy ',' Turn ',' Buy ',' Package ',' On ',' Package ',' Active ' , 'Telkomsel', 'poor', '']</v>
      </c>
      <c r="D5012" s="3">
        <v>1.0</v>
      </c>
    </row>
    <row r="5013" ht="15.75" customHeight="1">
      <c r="A5013" s="1">
        <v>5011.0</v>
      </c>
      <c r="B5013" s="3" t="s">
        <v>5013</v>
      </c>
      <c r="C5013" s="3" t="str">
        <f>IFERROR(__xludf.DUMMYFUNCTION("GOOGLETRANSLATE(B5013,""id"",""en"")"),"['Telkomsel', 'Young', 'Purchase', 'Package', 'quota', 'Young', 'check', 'leftover', 'quota']")</f>
        <v>['Telkomsel', 'Young', 'Purchase', 'Package', 'quota', 'Young', 'check', 'leftover', 'quota']</v>
      </c>
      <c r="D5013" s="3">
        <v>5.0</v>
      </c>
    </row>
    <row r="5014" ht="15.75" customHeight="1">
      <c r="A5014" s="1">
        <v>5012.0</v>
      </c>
      <c r="B5014" s="3" t="s">
        <v>5014</v>
      </c>
      <c r="C5014" s="3" t="str">
        <f>IFERROR(__xludf.DUMMYFUNCTION("GOOGLETRANSLATE(B5014,""id"",""en"")"),"['application', 'mantulll', 'good', 'easy', 'spirit', '']")</f>
        <v>['application', 'mantulll', 'good', 'easy', 'spirit', '']</v>
      </c>
      <c r="D5014" s="3">
        <v>4.0</v>
      </c>
    </row>
    <row r="5015" ht="15.75" customHeight="1">
      <c r="A5015" s="1">
        <v>5013.0</v>
      </c>
      <c r="B5015" s="3" t="s">
        <v>5015</v>
      </c>
      <c r="C5015" s="3" t="str">
        <f>IFERROR(__xludf.DUMMYFUNCTION("GOOGLETRANSLATE(B5015,""id"",""en"")"),"['price', 'quota', 'Telkomsel', 'expensive', 'signal', 'slow', 'disappointing']")</f>
        <v>['price', 'quota', 'Telkomsel', 'expensive', 'signal', 'slow', 'disappointing']</v>
      </c>
      <c r="D5015" s="3">
        <v>1.0</v>
      </c>
    </row>
    <row r="5016" ht="15.75" customHeight="1">
      <c r="A5016" s="1">
        <v>5014.0</v>
      </c>
      <c r="B5016" s="3" t="s">
        <v>5016</v>
      </c>
      <c r="C5016" s="3" t="str">
        <f>IFERROR(__xludf.DUMMYFUNCTION("GOOGLETRANSLATE(B5016,""id"",""en"")"),"['Telkomsel', 'slow', 'really', 'network', 'buy', 'expensive', 'quota', 'open', 'application', 'gabisa', 'Telkomsel', 'expensive', ' The network is', 'Severe', 'really', 'loading', 'emotion', '']")</f>
        <v>['Telkomsel', 'slow', 'really', 'network', 'buy', 'expensive', 'quota', 'open', 'application', 'gabisa', 'Telkomsel', 'expensive', ' The network is', 'Severe', 'really', 'loading', 'emotion', '']</v>
      </c>
      <c r="D5016" s="3">
        <v>1.0</v>
      </c>
    </row>
    <row r="5017" ht="15.75" customHeight="1">
      <c r="A5017" s="1">
        <v>5015.0</v>
      </c>
      <c r="B5017" s="3" t="s">
        <v>5017</v>
      </c>
      <c r="C5017" s="3" t="str">
        <f>IFERROR(__xludf.DUMMYFUNCTION("GOOGLETRANSLATE(B5017,""id"",""en"")"),"['Holy', 'entry', 'want', 'replace', 'Hello', 'Muahal', 'Benerrrr', 'according to', 'promo', 'disappointed', 'expensive', 'fast', ' Expensive ',' slow ',' many ',' pressing ',' Nongol ',' application ',' Telkomsel ']")</f>
        <v>['Holy', 'entry', 'want', 'replace', 'Hello', 'Muahal', 'Benerrrr', 'according to', 'promo', 'disappointed', 'expensive', 'fast', ' Expensive ',' slow ',' many ',' pressing ',' Nongol ',' application ',' Telkomsel ']</v>
      </c>
      <c r="D5017" s="3">
        <v>1.0</v>
      </c>
    </row>
    <row r="5018" ht="15.75" customHeight="1">
      <c r="A5018" s="1">
        <v>5016.0</v>
      </c>
      <c r="B5018" s="3" t="s">
        <v>5018</v>
      </c>
      <c r="C5018" s="3" t="str">
        <f>IFERROR(__xludf.DUMMYFUNCTION("GOOGLETRANSLATE(B5018,""id"",""en"")"),"['quota', 'multimedia', 'reduced', 'application', 'youtube', 'facebook', 'quota', 'internet', 'regular', 'reduced', '']")</f>
        <v>['quota', 'multimedia', 'reduced', 'application', 'youtube', 'facebook', 'quota', 'internet', 'regular', 'reduced', '']</v>
      </c>
      <c r="D5018" s="3">
        <v>3.0</v>
      </c>
    </row>
    <row r="5019" ht="15.75" customHeight="1">
      <c r="A5019" s="1">
        <v>5017.0</v>
      </c>
      <c r="B5019" s="3" t="s">
        <v>5019</v>
      </c>
      <c r="C5019" s="3" t="str">
        <f>IFERROR(__xludf.DUMMYFUNCTION("GOOGLETRANSLATE(B5019,""id"",""en"")"),"['package', 'internet', 'expensive', 'promo', 'take', 'consolain', 'customer', 'service', 'process', 'promo', 'run out', 'bad' Telkomsel ']")</f>
        <v>['package', 'internet', 'expensive', 'promo', 'take', 'consolain', 'customer', 'service', 'process', 'promo', 'run out', 'bad' Telkomsel ']</v>
      </c>
      <c r="D5019" s="3">
        <v>1.0</v>
      </c>
    </row>
    <row r="5020" ht="15.75" customHeight="1">
      <c r="A5020" s="1">
        <v>5018.0</v>
      </c>
      <c r="B5020" s="3" t="s">
        <v>5020</v>
      </c>
      <c r="C5020" s="3" t="str">
        <f>IFERROR(__xludf.DUMMYFUNCTION("GOOGLETRANSLATE(B5020,""id"",""en"")"),"['Sorry', 'Rate', 'because', 'BBR', 'MNGGU', 'Network', 'Embarrassing', 'Udh', 'Buy', 'Credit', 'Package', 'Expensive', ' Quality ',' Burikk ',' Phone ',' Improvement ',' Network ',' Emng ',' Preparation ',' Reason ',' Bentar ',' Makai ',' Package ',' Tel"&amp;"komsel ',' a little ' , 'Change', 'Service', 'Understand', ""]")</f>
        <v>['Sorry', 'Rate', 'because', 'BBR', 'MNGGU', 'Network', 'Embarrassing', 'Udh', 'Buy', 'Credit', 'Package', 'Expensive', ' Quality ',' Burikk ',' Phone ',' Improvement ',' Network ',' Emng ',' Preparation ',' Reason ',' Bentar ',' Makai ',' Package ',' Telkomsel ',' a little ' , 'Change', 'Service', 'Understand', "]</v>
      </c>
      <c r="D5020" s="3">
        <v>1.0</v>
      </c>
    </row>
    <row r="5021" ht="15.75" customHeight="1">
      <c r="A5021" s="1">
        <v>5019.0</v>
      </c>
      <c r="B5021" s="3" t="s">
        <v>5021</v>
      </c>
      <c r="C5021" s="3" t="str">
        <f>IFERROR(__xludf.DUMMYFUNCTION("GOOGLETRANSLATE(B5021,""id"",""en"")"),"['Main', 'game', 'calm', 'missing', 'singal', 'package', 'expensive', 'haduhhhh', 'disappointing', '']")</f>
        <v>['Main', 'game', 'calm', 'missing', 'singal', 'package', 'expensive', 'haduhhhh', 'disappointing', '']</v>
      </c>
      <c r="D5021" s="3">
        <v>1.0</v>
      </c>
    </row>
    <row r="5022" ht="15.75" customHeight="1">
      <c r="A5022" s="1">
        <v>5020.0</v>
      </c>
      <c r="B5022" s="3" t="s">
        <v>5022</v>
      </c>
      <c r="C5022" s="3" t="str">
        <f>IFERROR(__xludf.DUMMYFUNCTION("GOOGLETRANSLATE(B5022,""id"",""en"")"),"['Help', 'bother', 'bli', 'package', 'quota', 'balance', 'expensive', 'gpp', 'laah', 'cmn', 'operator', 'area', ' trpencil ']")</f>
        <v>['Help', 'bother', 'bli', 'package', 'quota', 'balance', 'expensive', 'gpp', 'laah', 'cmn', 'operator', 'area', ' trpencil ']</v>
      </c>
      <c r="D5022" s="3">
        <v>5.0</v>
      </c>
    </row>
    <row r="5023" ht="15.75" customHeight="1">
      <c r="A5023" s="1">
        <v>5021.0</v>
      </c>
      <c r="B5023" s="3" t="s">
        <v>5023</v>
      </c>
      <c r="C5023" s="3" t="str">
        <f>IFERROR(__xludf.DUMMYFUNCTION("GOOGLETRANSLATE(B5023,""id"",""en"")"),"['hoax', 'SMS', 'promo', 'payment', 'via', 'gopay', 'purchase', 'pulse', 'package', 'data', 'buy', 'promo', ' Cashback ',' etc. ']")</f>
        <v>['hoax', 'SMS', 'promo', 'payment', 'via', 'gopay', 'purchase', 'pulse', 'package', 'data', 'buy', 'promo', ' Cashback ',' etc. ']</v>
      </c>
      <c r="D5023" s="3">
        <v>1.0</v>
      </c>
    </row>
    <row r="5024" ht="15.75" customHeight="1">
      <c r="A5024" s="1">
        <v>5022.0</v>
      </c>
      <c r="B5024" s="3" t="s">
        <v>5024</v>
      </c>
      <c r="C5024" s="3" t="str">
        <f>IFERROR(__xludf.DUMMYFUNCTION("GOOGLETRANSLATE(B5024,""id"",""en"")"),"['Network', 'ngaaco', 'data', 'said', 'quota', 'run out', 'network', 'jelekkkkk', 'alsoaa', 'operator', 'stay', 'moved', ' Indosat ',' Discard ',' Card ',' Telkomsel ']")</f>
        <v>['Network', 'ngaaco', 'data', 'said', 'quota', 'run out', 'network', 'jelekkkkk', 'alsoaa', 'operator', 'stay', 'moved', ' Indosat ',' Discard ',' Card ',' Telkomsel ']</v>
      </c>
      <c r="D5024" s="3">
        <v>1.0</v>
      </c>
    </row>
    <row r="5025" ht="15.75" customHeight="1">
      <c r="A5025" s="1">
        <v>5023.0</v>
      </c>
      <c r="B5025" s="3" t="s">
        <v>5025</v>
      </c>
      <c r="C5025" s="3" t="str">
        <f>IFERROR(__xludf.DUMMYFUNCTION("GOOGLETRANSLATE(B5025,""id"",""en"")"),"['Download', 'Application', 'Ngelem', 'Boong', ""]")</f>
        <v>['Download', 'Application', 'Ngelem', 'Boong', "]</v>
      </c>
      <c r="D5025" s="3">
        <v>5.0</v>
      </c>
    </row>
    <row r="5026" ht="15.75" customHeight="1">
      <c r="A5026" s="1">
        <v>5024.0</v>
      </c>
      <c r="B5026" s="3" t="s">
        <v>5026</v>
      </c>
      <c r="C5026" s="3" t="str">
        <f>IFERROR(__xludf.DUMMYFUNCTION("GOOGLETRANSLATE(B5026,""id"",""en"")"),"['signal', 'reinforced', 'rich', 'slow', 'fast', 'number', '']")</f>
        <v>['signal', 'reinforced', 'rich', 'slow', 'fast', 'number', '']</v>
      </c>
      <c r="D5026" s="3">
        <v>3.0</v>
      </c>
    </row>
    <row r="5027" ht="15.75" customHeight="1">
      <c r="A5027" s="1">
        <v>5025.0</v>
      </c>
      <c r="B5027" s="3" t="s">
        <v>5027</v>
      </c>
      <c r="C5027" s="3" t="str">
        <f>IFERROR(__xludf.DUMMYFUNCTION("GOOGLETRANSLATE(B5027,""id"",""en"")"),"['Package', 'Data', 'expensive', 'network', 'Sometimes',' ilang ',' slow ',' stay ',' forest ',' anjg ',' price ',' package ',' Expensive ',' Data ',' Meras', 'Money', 'People', 'Covid', 'Gini', 'Disappointed', 'Telkomsel', 'Network', 'Stable', 'Instructi"&amp;"on', 'Change' , 'Network', 'Manual', 'Lahhh', 'Tauuuuu', 'Price', 'Data', 'Mahalllllllll', 'Very', 'Anjg', 'Package', 'a little', 'Please', ' Jan ',' troublesome ',' users', 'Telkomsel', '']")</f>
        <v>['Package', 'Data', 'expensive', 'network', 'Sometimes',' ilang ',' slow ',' stay ',' forest ',' anjg ',' price ',' package ',' Expensive ',' Data ',' Meras', 'Money', 'People', 'Covid', 'Gini', 'Disappointed', 'Telkomsel', 'Network', 'Stable', 'Instruction', 'Change' , 'Network', 'Manual', 'Lahhh', 'Tauuuuu', 'Price', 'Data', 'Mahalllllllll', 'Very', 'Anjg', 'Package', 'a little', 'Please', ' Jan ',' troublesome ',' users', 'Telkomsel', '']</v>
      </c>
      <c r="D5027" s="3">
        <v>1.0</v>
      </c>
    </row>
    <row r="5028" ht="15.75" customHeight="1">
      <c r="A5028" s="1">
        <v>5026.0</v>
      </c>
      <c r="B5028" s="3" t="s">
        <v>5028</v>
      </c>
      <c r="C5028" s="3" t="str">
        <f>IFERROR(__xludf.DUMMYFUNCTION("GOOGLETRANSLATE(B5028,""id"",""en"")"),"['', 'area', 'oki', 'river', 'baung', 'bar', 'network', 'class', 'Telkomsel', 'slow', 'really', 'the network', "" ]")</f>
        <v>['', 'area', 'oki', 'river', 'baung', 'bar', 'network', 'class', 'Telkomsel', 'slow', 'really', 'the network', " ]</v>
      </c>
      <c r="D5028" s="3">
        <v>1.0</v>
      </c>
    </row>
    <row r="5029" ht="15.75" customHeight="1">
      <c r="A5029" s="1">
        <v>5027.0</v>
      </c>
      <c r="B5029" s="3" t="s">
        <v>5029</v>
      </c>
      <c r="C5029" s="3" t="str">
        <f>IFERROR(__xludf.DUMMYFUNCTION("GOOGLETRANSLATE(B5029,""id"",""en"")"),"['Bad', 'Telfon', 'Veronika', 'SMS', 'Credit', 'Enter', 'Kgk', 'Paketan', 'Doang', 'Expensive', 'Network', 'Sometimes',' Disconnect ',' expensive ',' doang ',' service ',' expensive ',' doang ',' essence ']")</f>
        <v>['Bad', 'Telfon', 'Veronika', 'SMS', 'Credit', 'Enter', 'Kgk', 'Paketan', 'Doang', 'Expensive', 'Network', 'Sometimes',' Disconnect ',' expensive ',' doang ',' service ',' expensive ',' doang ',' essence ']</v>
      </c>
      <c r="D5029" s="3">
        <v>1.0</v>
      </c>
    </row>
    <row r="5030" ht="15.75" customHeight="1">
      <c r="A5030" s="1">
        <v>5028.0</v>
      </c>
      <c r="B5030" s="3" t="s">
        <v>5030</v>
      </c>
      <c r="C5030" s="3" t="str">
        <f>IFERROR(__xludf.DUMMYFUNCTION("GOOGLETRANSLATE(B5030,""id"",""en"")"),"['Excuse', 'Telkomsel', 'Knp', 'open', 'Mobile', 'Legends',' YouTube ',' Tiktok ',' Update ',' Download ',' Paketan ',' Telkomsel ',' Cutting ',' pulse ',' annoying ',' pulse ',' rb ',' cut ',' rb ',' pulse ',' directly ',' ']")</f>
        <v>['Excuse', 'Telkomsel', 'Knp', 'open', 'Mobile', 'Legends',' YouTube ',' Tiktok ',' Update ',' Download ',' Paketan ',' Telkomsel ',' Cutting ',' pulse ',' annoying ',' pulse ',' rb ',' cut ',' rb ',' pulse ',' directly ',' ']</v>
      </c>
      <c r="D5030" s="3">
        <v>2.0</v>
      </c>
    </row>
    <row r="5031" ht="15.75" customHeight="1">
      <c r="A5031" s="1">
        <v>5029.0</v>
      </c>
      <c r="B5031" s="3" t="s">
        <v>5031</v>
      </c>
      <c r="C5031" s="3" t="str">
        <f>IFERROR(__xludf.DUMMYFUNCTION("GOOGLETRANSLATE(B5031,""id"",""en"")"),"['', 'Anyway', 'loss',' bnyak ',' package ',' cheap ',' just ',' hepi ',' bngt ',' tsel ',' then ',' nuker ',' points ',' Dapetin ',' Toyota ',' Yaris', 'Hopefully', 'Win', 'already', 'Tsel']")</f>
        <v>['', 'Anyway', 'loss',' bnyak ',' package ',' cheap ',' just ',' hepi ',' bngt ',' tsel ',' then ',' nuker ',' points ',' Dapetin ',' Toyota ',' Yaris', 'Hopefully', 'Win', 'already', 'Tsel']</v>
      </c>
      <c r="D5031" s="3">
        <v>5.0</v>
      </c>
    </row>
    <row r="5032" ht="15.75" customHeight="1">
      <c r="A5032" s="1">
        <v>5030.0</v>
      </c>
      <c r="B5032" s="3" t="s">
        <v>5032</v>
      </c>
      <c r="C5032" s="3" t="str">
        <f>IFERROR(__xludf.DUMMYFUNCTION("GOOGLETRANSLATE(B5032,""id"",""en"")"),"['price', 'package', 'internet', 'sisin', 'unlimited', 'donk', 'telkomsel', 'price', 'please', 'adjust', 'pandemic', 'manyin', ' Bonus', 'Pieces',' Price ',' Thank ']")</f>
        <v>['price', 'package', 'internet', 'sisin', 'unlimited', 'donk', 'telkomsel', 'price', 'please', 'adjust', 'pandemic', 'manyin', ' Bonus', 'Pieces',' Price ',' Thank ']</v>
      </c>
      <c r="D5032" s="3">
        <v>5.0</v>
      </c>
    </row>
    <row r="5033" ht="15.75" customHeight="1">
      <c r="A5033" s="1">
        <v>5031.0</v>
      </c>
      <c r="B5033" s="3" t="s">
        <v>5033</v>
      </c>
      <c r="C5033" s="3" t="str">
        <f>IFERROR(__xludf.DUMMYFUNCTION("GOOGLETRANSLATE(B5033,""id"",""en"")"),"['', 'Telkomsel', 'Badkkkkkkkkkkkkkkkkkkkkkkkkkkkkkk', 'jeeellleeeeeeeekkkkkk', 'price', 'package', 'internet', 'expensive', 'really', 'how', 'banyk', 'banyk', 'people ',' Buy ',' Package ',' Data ',' Try ',' Think ',' Student ',' Disappointed ',' App ','"&amp;" Telkomsel ',' Price ',' Peket ',' Internet ', 'given', 'discount', 'discount', 'times',' difficult ',' pandemic ',' student ',' need ',' package ',' internet ',' friendly ',' incoming ',' please ',' ']")</f>
        <v>['', 'Telkomsel', 'Badkkkkkkkkkkkkkkkkkkkkkkkkkkkkkk', 'jeeellleeeeeeeekkkkkk', 'price', 'package', 'internet', 'expensive', 'really', 'how', 'banyk', 'banyk', 'people ',' Buy ',' Package ',' Data ',' Try ',' Think ',' Student ',' Disappointed ',' App ',' Telkomsel ',' Price ',' Peket ',' Internet ', 'given', 'discount', 'discount', 'times',' difficult ',' pandemic ',' student ',' need ',' package ',' internet ',' friendly ',' incoming ',' please ',' ']</v>
      </c>
      <c r="D5033" s="3">
        <v>1.0</v>
      </c>
    </row>
    <row r="5034" ht="15.75" customHeight="1">
      <c r="A5034" s="1">
        <v>5032.0</v>
      </c>
      <c r="B5034" s="3" t="s">
        <v>5034</v>
      </c>
      <c r="C5034" s="3" t="str">
        <f>IFERROR(__xludf.DUMMYFUNCTION("GOOGLETRANSLATE(B5034,""id"",""en"")"),"['Credit', 'sucked', 'quota', 'sosmed', 'GB', 'turn on', 'data', 'quota', 'sucked', 'pulse', 'sucked', 'finished', ' bus', 'bus',' remaining ',' Rp ',' community ',' Indonesia ',' poor ',' Gara ',' Gara ',' use ',' Telkomsel ', ""]")</f>
        <v>['Credit', 'sucked', 'quota', 'sosmed', 'GB', 'turn on', 'data', 'quota', 'sucked', 'pulse', 'sucked', 'finished', ' bus', 'bus',' remaining ',' Rp ',' community ',' Indonesia ',' poor ',' Gara ',' Gara ',' use ',' Telkomsel ', "]</v>
      </c>
      <c r="D5034" s="3">
        <v>1.0</v>
      </c>
    </row>
    <row r="5035" ht="15.75" customHeight="1">
      <c r="A5035" s="1">
        <v>5033.0</v>
      </c>
      <c r="B5035" s="3" t="s">
        <v>5035</v>
      </c>
      <c r="C5035" s="3" t="str">
        <f>IFERROR(__xludf.DUMMYFUNCTION("GOOGLETRANSLATE(B5035,""id"",""en"")"),"['strange', 'kmren', 'buy', 'package', 'corporate', 'already', 'contents',' pulse ',' menu ',' package ',' corporatenya ',' missing ',' buy ',' quota ',' combo ',' appears', 'package', 'corporate', 'just', 'package', 'combo', 'abis',' content ',' pulse ',"&amp;"' price ' , 'Changed', 'package', 'cunning']")</f>
        <v>['strange', 'kmren', 'buy', 'package', 'corporate', 'already', 'contents',' pulse ',' menu ',' package ',' corporatenya ',' missing ',' buy ',' quota ',' combo ',' appears', 'package', 'corporate', 'just', 'package', 'combo', 'abis',' content ',' pulse ',' price ' , 'Changed', 'package', 'cunning']</v>
      </c>
      <c r="D5035" s="3">
        <v>1.0</v>
      </c>
    </row>
    <row r="5036" ht="15.75" customHeight="1">
      <c r="A5036" s="1">
        <v>5034.0</v>
      </c>
      <c r="B5036" s="3" t="s">
        <v>5036</v>
      </c>
      <c r="C5036" s="3" t="str">
        <f>IFERROR(__xludf.DUMMYFUNCTION("GOOGLETRANSLATE(B5036,""id"",""en"")"),"['Telkomsel', 'skrg', 'card', 'watch', 'listen', 'music', 'kah', 'telkomsel', 'internet']")</f>
        <v>['Telkomsel', 'skrg', 'card', 'watch', 'listen', 'music', 'kah', 'telkomsel', 'internet']</v>
      </c>
      <c r="D5036" s="3">
        <v>1.0</v>
      </c>
    </row>
    <row r="5037" ht="15.75" customHeight="1">
      <c r="A5037" s="1">
        <v>5035.0</v>
      </c>
      <c r="B5037" s="3" t="s">
        <v>5037</v>
      </c>
      <c r="C5037" s="3" t="str">
        <f>IFERROR(__xludf.DUMMYFUNCTION("GOOGLETRANSLATE(B5037,""id"",""en"")"),"['Please', 'Package', 'bought', 'appeared', 'column', 'shopping', 'tired', 'alternating', 'balek', 'tried', 'buy', 'bisabisa', ' Purchased ',' ']")</f>
        <v>['Please', 'Package', 'bought', 'appeared', 'column', 'shopping', 'tired', 'alternating', 'balek', 'tried', 'buy', 'bisabisa', ' Purchased ',' ']</v>
      </c>
      <c r="D5037" s="3">
        <v>2.0</v>
      </c>
    </row>
    <row r="5038" ht="15.75" customHeight="1">
      <c r="A5038" s="1">
        <v>5036.0</v>
      </c>
      <c r="B5038" s="3" t="s">
        <v>5038</v>
      </c>
      <c r="C5038" s="3" t="str">
        <f>IFERROR(__xludf.DUMMYFUNCTION("GOOGLETRANSLATE(B5038,""id"",""en"")"),"['Customer', 'Telkomsel', 'Satisfied', 'Samapai', '']")</f>
        <v>['Customer', 'Telkomsel', 'Satisfied', 'Samapai', '']</v>
      </c>
      <c r="D5038" s="3">
        <v>5.0</v>
      </c>
    </row>
    <row r="5039" ht="15.75" customHeight="1">
      <c r="A5039" s="1">
        <v>5037.0</v>
      </c>
      <c r="B5039" s="3" t="s">
        <v>5039</v>
      </c>
      <c r="C5039" s="3" t="str">
        <f>IFERROR(__xludf.DUMMYFUNCTION("GOOGLETRANSLATE(B5039,""id"",""en"")"),"['number', 'sympathy', 'replaced', 'card', 'hello', 'koq', 'move', 'hand', 'use', 'person', 'access', 'group' Fortunately, 'Friends', 'Jelly', 'See', 'Telkomsel', 'Dangerous', 'Change', 'Card', 'Grapari', 'Margocity', 'Depok', 'Please', 'Beared' , 'Heart'"&amp;", 'users', 'Telkomsel', 'experience', 'wearing', 'customers', 'loyal', 'Telkomsel', '']")</f>
        <v>['number', 'sympathy', 'replaced', 'card', 'hello', 'koq', 'move', 'hand', 'use', 'person', 'access', 'group' Fortunately, 'Friends', 'Jelly', 'See', 'Telkomsel', 'Dangerous', 'Change', 'Card', 'Grapari', 'Margocity', 'Depok', 'Please', 'Beared' , 'Heart', 'users', 'Telkomsel', 'experience', 'wearing', 'customers', 'loyal', 'Telkomsel', '']</v>
      </c>
      <c r="D5039" s="3">
        <v>3.0</v>
      </c>
    </row>
    <row r="5040" ht="15.75" customHeight="1">
      <c r="A5040" s="1">
        <v>5038.0</v>
      </c>
      <c r="B5040" s="3" t="s">
        <v>5040</v>
      </c>
      <c r="C5040" s="3" t="str">
        <f>IFERROR(__xludf.DUMMYFUNCTION("GOOGLETRANSLATE(B5040,""id"",""en"")"),"['Rada', 'slow', 'yaa', 'Telkomsel', 'youtube', 'slow', 'already', 'pairs', 'package', 'unlimited', '']")</f>
        <v>['Rada', 'slow', 'yaa', 'Telkomsel', 'youtube', 'slow', 'already', 'pairs', 'package', 'unlimited', '']</v>
      </c>
      <c r="D5040" s="3">
        <v>5.0</v>
      </c>
    </row>
    <row r="5041" ht="15.75" customHeight="1">
      <c r="A5041" s="1">
        <v>5039.0</v>
      </c>
      <c r="B5041" s="3" t="s">
        <v>5041</v>
      </c>
      <c r="C5041" s="3" t="str">
        <f>IFERROR(__xludf.DUMMYFUNCTION("GOOGLETRANSLATE(B5041,""id"",""en"")"),"['star "",' down ',' nth ',' what ',' right ',' transaction ',' buy ',' package ',' katany ',' pulse ',' pdhl ',' pulses ',' right ',' ktika ',' buy ',' package ',' hrgany ',' dibwah ',' pulse ',' ttp ',' dibing ',' pulse ',' tlong ',' lhh ', ""]")</f>
        <v>['star ",' down ',' nth ',' what ',' right ',' transaction ',' buy ',' package ',' katany ',' pulse ',' pdhl ',' pulses ',' right ',' ktika ',' buy ',' package ',' hrgany ',' dibwah ',' pulse ',' ttp ',' dibing ',' pulse ',' tlong ',' lhh ', "]</v>
      </c>
      <c r="D5041" s="3">
        <v>3.0</v>
      </c>
    </row>
    <row r="5042" ht="15.75" customHeight="1">
      <c r="A5042" s="1">
        <v>5040.0</v>
      </c>
      <c r="B5042" s="3" t="s">
        <v>5042</v>
      </c>
      <c r="C5042" s="3" t="str">
        <f>IFERROR(__xludf.DUMMYFUNCTION("GOOGLETRANSLATE(B5042,""id"",""en"")"),"['If', 'Points', 'Direct', 'exchanged', 'quota', 'Nambah', 'Rupiah', 'Joss', ""]")</f>
        <v>['If', 'Points', 'Direct', 'exchanged', 'quota', 'Nambah', 'Rupiah', 'Joss', "]</v>
      </c>
      <c r="D5042" s="3">
        <v>5.0</v>
      </c>
    </row>
    <row r="5043" ht="15.75" customHeight="1">
      <c r="A5043" s="1">
        <v>5041.0</v>
      </c>
      <c r="B5043" s="3" t="s">
        <v>5043</v>
      </c>
      <c r="C5043" s="3" t="str">
        <f>IFERROR(__xludf.DUMMYFUNCTION("GOOGLETRANSLATE(B5043,""id"",""en"")"),"['application', 'MyTelkomsel', 'help', 'transaction', 'package', 'data', '']")</f>
        <v>['application', 'MyTelkomsel', 'help', 'transaction', 'package', 'data', '']</v>
      </c>
      <c r="D5043" s="3">
        <v>5.0</v>
      </c>
    </row>
    <row r="5044" ht="15.75" customHeight="1">
      <c r="A5044" s="1">
        <v>5042.0</v>
      </c>
      <c r="B5044" s="3" t="s">
        <v>5044</v>
      </c>
      <c r="C5044" s="3" t="str">
        <f>IFERROR(__xludf.DUMMYFUNCTION("GOOGLETRANSLATE(B5044,""id"",""en"")"),"['My place', 'sinynya', 'slow', 'really', 'really', 'really', 'already', 'sough', 'active', 'quota', 'GB', 'Lahkok', ' pulseku ',' pakek ',' cut ',' piye ',' thooo ',' loss', 'city', '']")</f>
        <v>['My place', 'sinynya', 'slow', 'really', 'really', 'really', 'already', 'sough', 'active', 'quota', 'GB', 'Lahkok', ' pulseku ',' pakek ',' cut ',' piye ',' thooo ',' loss', 'city', '']</v>
      </c>
      <c r="D5044" s="3">
        <v>2.0</v>
      </c>
    </row>
    <row r="5045" ht="15.75" customHeight="1">
      <c r="A5045" s="1">
        <v>5043.0</v>
      </c>
      <c r="B5045" s="3" t="s">
        <v>5045</v>
      </c>
      <c r="C5045" s="3" t="str">
        <f>IFERROR(__xludf.DUMMYFUNCTION("GOOGLETRANSLATE(B5045,""id"",""en"")"),"['fill', 'pulse', 'direct', 'cut', 'payment', 'package', 'emergency', 'take', 'package', 'emergency', 'contents',' pulse ',' buy ',' quota ',' leftover ',' pulse ',' purchase ',' run out ',' quota ',' pulse ',' run out ',' really ']")</f>
        <v>['fill', 'pulse', 'direct', 'cut', 'payment', 'package', 'emergency', 'take', 'package', 'emergency', 'contents',' pulse ',' buy ',' quota ',' leftover ',' pulse ',' purchase ',' run out ',' quota ',' pulse ',' run out ',' really ']</v>
      </c>
      <c r="D5045" s="3">
        <v>1.0</v>
      </c>
    </row>
    <row r="5046" ht="15.75" customHeight="1">
      <c r="A5046" s="1">
        <v>5044.0</v>
      </c>
      <c r="B5046" s="3" t="s">
        <v>5046</v>
      </c>
      <c r="C5046" s="3" t="str">
        <f>IFERROR(__xludf.DUMMYFUNCTION("GOOGLETRANSLATE(B5046,""id"",""en"")"),"['buy', 'Package', 'Unlimited', 'YouTube', 'for', 'a day', 'Cut', 'Credit', 'Stay', 'Credit', 'Out', 'Activine', ' Package ',' Unlimited ',' YouTube ',' Lngsung ',' Application ',' YouTube ',' Browsing ',' Google ',' Credit ',' Cut ',' Knp ',' Cut ',' Rea"&amp;"lly ' , 'Bener', 'Telkomsel', 'Bad', 'Service', 'Thief', 'already', 'Litue', 'Package', 'YouTube', 'Unlimited', 'Dipake', 'Open', ' YouTube ',' buffering ',' star ',' reasonable ',' Telkomsel ',' mksih ']")</f>
        <v>['buy', 'Package', 'Unlimited', 'YouTube', 'for', 'a day', 'Cut', 'Credit', 'Stay', 'Credit', 'Out', 'Activine', ' Package ',' Unlimited ',' YouTube ',' Lngsung ',' Application ',' YouTube ',' Browsing ',' Google ',' Credit ',' Cut ',' Knp ',' Cut ',' Really ' , 'Bener', 'Telkomsel', 'Bad', 'Service', 'Thief', 'already', 'Litue', 'Package', 'YouTube', 'Unlimited', 'Dipake', 'Open', ' YouTube ',' buffering ',' star ',' reasonable ',' Telkomsel ',' mksih ']</v>
      </c>
      <c r="D5046" s="3">
        <v>1.0</v>
      </c>
    </row>
    <row r="5047" ht="15.75" customHeight="1">
      <c r="A5047" s="1">
        <v>5045.0</v>
      </c>
      <c r="B5047" s="3" t="s">
        <v>5047</v>
      </c>
      <c r="C5047" s="3" t="str">
        <f>IFERROR(__xludf.DUMMYFUNCTION("GOOGLETRANSLATE(B5047,""id"",""en"")"),"['updated', 'device', 'the latest', 'strange', 'pulse', 'me', 'me', 'buy', 'plsa', 'teln', 'a month', 'he've', ' pulse', '']")</f>
        <v>['updated', 'device', 'the latest', 'strange', 'pulse', 'me', 'me', 'buy', 'plsa', 'teln', 'a month', 'he've', ' pulse', '']</v>
      </c>
      <c r="D5047" s="3">
        <v>1.0</v>
      </c>
    </row>
    <row r="5048" ht="15.75" customHeight="1">
      <c r="A5048" s="1">
        <v>5046.0</v>
      </c>
      <c r="B5048" s="3" t="s">
        <v>5048</v>
      </c>
      <c r="C5048" s="3" t="str">
        <f>IFERROR(__xludf.DUMMYFUNCTION("GOOGLETRANSLATE(B5048,""id"",""en"")"),"['menu', 'cheerful', 'dilist', 'app', 'mytelkomsel', 'bought', 'hny', 'promotion', 'atw', 'interesting', 'consumer', 'promo', ' ']")</f>
        <v>['menu', 'cheerful', 'dilist', 'app', 'mytelkomsel', 'bought', 'hny', 'promotion', 'atw', 'interesting', 'consumer', 'promo', ' ']</v>
      </c>
      <c r="D5048" s="3">
        <v>1.0</v>
      </c>
    </row>
    <row r="5049" ht="15.75" customHeight="1">
      <c r="A5049" s="1">
        <v>5047.0</v>
      </c>
      <c r="B5049" s="3" t="s">
        <v>5049</v>
      </c>
      <c r="C5049" s="3" t="str">
        <f>IFERROR(__xludf.DUMMYFUNCTION("GOOGLETRANSLATE(B5049,""id"",""en"")"),"['Network', 'really', 'Telkomsel', 'Provider', 'Best', 'Indonesia', 'Mantap', 'Broaches', ""]")</f>
        <v>['Network', 'really', 'Telkomsel', 'Provider', 'Best', 'Indonesia', 'Mantap', 'Broaches', "]</v>
      </c>
      <c r="D5049" s="3">
        <v>5.0</v>
      </c>
    </row>
    <row r="5050" ht="15.75" customHeight="1">
      <c r="A5050" s="1">
        <v>5048.0</v>
      </c>
      <c r="B5050" s="3" t="s">
        <v>5050</v>
      </c>
      <c r="C5050" s="3" t="str">
        <f>IFERROR(__xludf.DUMMYFUNCTION("GOOGLETRANSLATE(B5050,""id"",""en"")"),"['Customer', 'Telkomsel', 'Points',' Hangus', 'Try', 'Exchange', 'Points',' Hopefully ',' Luck ',' Siding ',' number ',' Insha ',' God', '']")</f>
        <v>['Customer', 'Telkomsel', 'Points',' Hangus', 'Try', 'Exchange', 'Points',' Hopefully ',' Luck ',' Siding ',' number ',' Insha ',' God', '']</v>
      </c>
      <c r="D5050" s="3">
        <v>5.0</v>
      </c>
    </row>
    <row r="5051" ht="15.75" customHeight="1">
      <c r="A5051" s="1">
        <v>5049.0</v>
      </c>
      <c r="B5051" s="3" t="s">
        <v>5051</v>
      </c>
      <c r="C5051" s="3" t="str">
        <f>IFERROR(__xludf.DUMMYFUNCTION("GOOGLETRANSLATE(B5051,""id"",""en"")"),"['complain', 'kmrn', 'bln', 'buy', 'package', 'society', 'last night', 'date', 'package', 'data', 'kemendikbud', 'bln', ' Overnight ',' used ',' Ministry of Education and Culture ',' Buy ',' GB ',' Sunday ',' UDH ',' Out ',' Ministry of Education and Cult"&amp;"ure ',' Ngak ',' Repaired ',' Sia ' , 'Sia', 'buy', 'package', 'data', 'gini', 'already', 'contact', 'veronika', 'klen']")</f>
        <v>['complain', 'kmrn', 'bln', 'buy', 'package', 'society', 'last night', 'date', 'package', 'data', 'kemendikbud', 'bln', ' Overnight ',' used ',' Ministry of Education and Culture ',' Buy ',' GB ',' Sunday ',' UDH ',' Out ',' Ministry of Education and Culture ',' Ngak ',' Repaired ',' Sia ' , 'Sia', 'buy', 'package', 'data', 'gini', 'already', 'contact', 'veronika', 'klen']</v>
      </c>
      <c r="D5051" s="3">
        <v>1.0</v>
      </c>
    </row>
    <row r="5052" ht="15.75" customHeight="1">
      <c r="A5052" s="1">
        <v>5050.0</v>
      </c>
      <c r="B5052" s="3" t="s">
        <v>5052</v>
      </c>
      <c r="C5052" s="3" t="str">
        <f>IFERROR(__xludf.DUMMYFUNCTION("GOOGLETRANSLATE(B5052,""id"",""en"")"),"['Credit', 'Cut', 'Package', 'Complete', 'Remnant', 'Credit', 'BBR', 'Lost', 'Network', 'pdhal', 'Tens',' Telkomsel ',' Koq ',' gini ',' yaa ',' here ',' ']")</f>
        <v>['Credit', 'Cut', 'Package', 'Complete', 'Remnant', 'Credit', 'BBR', 'Lost', 'Network', 'pdhal', 'Tens',' Telkomsel ',' Koq ',' gini ',' yaa ',' here ',' ']</v>
      </c>
      <c r="D5052" s="3">
        <v>1.0</v>
      </c>
    </row>
    <row r="5053" ht="15.75" customHeight="1">
      <c r="A5053" s="1">
        <v>5051.0</v>
      </c>
      <c r="B5053" s="3" t="s">
        <v>5053</v>
      </c>
      <c r="C5053" s="3" t="str">
        <f>IFERROR(__xludf.DUMMYFUNCTION("GOOGLETRANSLATE(B5053,""id"",""en"")"),"['base', 'application', 'stupid', 'contents', 'pulse', 'direct', 'sumps', 'report']")</f>
        <v>['base', 'application', 'stupid', 'contents', 'pulse', 'direct', 'sumps', 'report']</v>
      </c>
      <c r="D5053" s="3">
        <v>1.0</v>
      </c>
    </row>
    <row r="5054" ht="15.75" customHeight="1">
      <c r="A5054" s="1">
        <v>5052.0</v>
      </c>
      <c r="B5054" s="3" t="s">
        <v>5054</v>
      </c>
      <c r="C5054" s="3" t="str">
        <f>IFERROR(__xludf.DUMMYFUNCTION("GOOGLETRANSLATE(B5054,""id"",""en"")"),"['The application', 'useful', 'card', 'Hallo', 'Telkomsel', 'belongs', 'hope', 'in the future', 'user', ""]")</f>
        <v>['The application', 'useful', 'card', 'Hallo', 'Telkomsel', 'belongs', 'hope', 'in the future', 'user', "]</v>
      </c>
      <c r="D5054" s="3">
        <v>5.0</v>
      </c>
    </row>
    <row r="5055" ht="15.75" customHeight="1">
      <c r="A5055" s="1">
        <v>5053.0</v>
      </c>
      <c r="B5055" s="3" t="s">
        <v>5055</v>
      </c>
      <c r="C5055" s="3" t="str">
        <f>IFERROR(__xludf.DUMMYFUNCTION("GOOGLETRANSLATE(B5055,""id"",""en"")"),"['application', 'price', 'package', 'internet', 'expensive', 'compared to', 'friend', 'user', 'customer', 'plus',' promo ',' different ',' Friends', 'users',' BYK ',' promo ']")</f>
        <v>['application', 'price', 'package', 'internet', 'expensive', 'compared to', 'friend', 'user', 'customer', 'plus',' promo ',' different ',' Friends', 'users',' BYK ',' promo ']</v>
      </c>
      <c r="D5055" s="3">
        <v>1.0</v>
      </c>
    </row>
    <row r="5056" ht="15.75" customHeight="1">
      <c r="A5056" s="1">
        <v>5054.0</v>
      </c>
      <c r="B5056" s="3" t="s">
        <v>5056</v>
      </c>
      <c r="C5056" s="3" t="str">
        <f>IFERROR(__xludf.DUMMYFUNCTION("GOOGLETRANSLATE(B5056,""id"",""en"")"),"['Hopefully', 'get', 'uuh', 'bismillah', 'fighters', 'Points', 'fast', 'Download']")</f>
        <v>['Hopefully', 'get', 'uuh', 'bismillah', 'fighters', 'Points', 'fast', 'Download']</v>
      </c>
      <c r="D5056" s="3">
        <v>5.0</v>
      </c>
    </row>
    <row r="5057" ht="15.75" customHeight="1">
      <c r="A5057" s="1">
        <v>5055.0</v>
      </c>
      <c r="B5057" s="3" t="s">
        <v>5057</v>
      </c>
      <c r="C5057" s="3" t="str">
        <f>IFERROR(__xludf.DUMMYFUNCTION("GOOGLETRANSLATE(B5057,""id"",""en"")"),"['', 'buy', 'quota', 'the application', 'strange', 'network', 'kenceng', 'connection', 'connection']")</f>
        <v>['', 'buy', 'quota', 'the application', 'strange', 'network', 'kenceng', 'connection', 'connection']</v>
      </c>
      <c r="D5057" s="3">
        <v>1.0</v>
      </c>
    </row>
    <row r="5058" ht="15.75" customHeight="1">
      <c r="A5058" s="1">
        <v>5056.0</v>
      </c>
      <c r="B5058" s="3" t="s">
        <v>5058</v>
      </c>
      <c r="C5058" s="3" t="str">
        <f>IFERROR(__xludf.DUMMYFUNCTION("GOOGLETRANSLATE(B5058,""id"",""en"")"),"['What', 'Try', 'Fund', 'Error', 'Pas', 'Fund', 'Already', 'Telkomsel', 'Please', 'Connect', 'Fund']")</f>
        <v>['What', 'Try', 'Fund', 'Error', 'Pas', 'Fund', 'Already', 'Telkomsel', 'Please', 'Connect', 'Fund']</v>
      </c>
      <c r="D5058" s="3">
        <v>1.0</v>
      </c>
    </row>
    <row r="5059" ht="15.75" customHeight="1">
      <c r="A5059" s="1">
        <v>5057.0</v>
      </c>
      <c r="B5059" s="3" t="s">
        <v>5059</v>
      </c>
      <c r="C5059" s="3" t="str">
        <f>IFERROR(__xludf.DUMMYFUNCTION("GOOGLETRANSLATE(B5059,""id"",""en"")"),"['Proud', 'Telkomsel', 'Change']")</f>
        <v>['Proud', 'Telkomsel', 'Change']</v>
      </c>
      <c r="D5059" s="3">
        <v>5.0</v>
      </c>
    </row>
    <row r="5060" ht="15.75" customHeight="1">
      <c r="A5060" s="1">
        <v>5058.0</v>
      </c>
      <c r="B5060" s="3" t="s">
        <v>5060</v>
      </c>
      <c r="C5060" s="3" t="str">
        <f>IFERROR(__xludf.DUMMYFUNCTION("GOOGLETRANSLATE(B5060,""id"",""en"")"),"['Sis', 'Telkomsel', 'problematic', 'yesterday', 'buy', 'quota', 'problematic', 'disappointing']")</f>
        <v>['Sis', 'Telkomsel', 'problematic', 'yesterday', 'buy', 'quota', 'problematic', 'disappointing']</v>
      </c>
      <c r="D5060" s="3">
        <v>1.0</v>
      </c>
    </row>
    <row r="5061" ht="15.75" customHeight="1">
      <c r="A5061" s="1">
        <v>5059.0</v>
      </c>
      <c r="B5061" s="3" t="s">
        <v>5061</v>
      </c>
      <c r="C5061" s="3" t="str">
        <f>IFERROR(__xludf.DUMMYFUNCTION("GOOGLETRANSLATE(B5061,""id"",""en"")"),"['Please', 'Sorry', 'Forced', 'Rating', 'Star', 'Prlu', 'Btang', 'KCW', 'Severe', 'Monthly', 'Network', 'Special', ' In ',' RMH ',' missing ',' fence ',' bar ',' spot ',' kdg ',' edge ',' kdg ',' jrg ',' replace ',' number ',' Telkomsel ' , 'Kmrin', 'Hell"&amp;"o', 'Nonative', 'Dipake', 'Come', 'Kasi', 'Solution', 'Forced', 'Move', 'Heart', 'Gara', 'Network', ' Providers', 'neighbors',' lbh ',' bgs', 'grapari', 'report', '']")</f>
        <v>['Please', 'Sorry', 'Forced', 'Rating', 'Star', 'Prlu', 'Btang', 'KCW', 'Severe', 'Monthly', 'Network', 'Special', ' In ',' RMH ',' missing ',' fence ',' bar ',' spot ',' kdg ',' edge ',' kdg ',' jrg ',' replace ',' number ',' Telkomsel ' , 'Kmrin', 'Hello', 'Nonative', 'Dipake', 'Come', 'Kasi', 'Solution', 'Forced', 'Move', 'Heart', 'Gara', 'Network', ' Providers', 'neighbors',' lbh ',' bgs', 'grapari', 'report', '']</v>
      </c>
      <c r="D5061" s="3">
        <v>1.0</v>
      </c>
    </row>
    <row r="5062" ht="15.75" customHeight="1">
      <c r="A5062" s="1">
        <v>5060.0</v>
      </c>
      <c r="B5062" s="3" t="s">
        <v>5062</v>
      </c>
      <c r="C5062" s="3" t="str">
        <f>IFERROR(__xludf.DUMMYFUNCTION("GOOGLETRANSLATE(B5062,""id"",""en"")"),"['', 'Telkomsel', 'Different', 'moved', 'card', 'Hello', 'package', 'unlimitid', 'bln', 'Timature', 'contents',' pulses', 'wasted ',' Klou ',' SMS ',' Paying ',' Timature ',' Credit ',' Paying ',' Automatic ',' Open ',' SMS ',' Paying ',' Please ',' admin"&amp;" ',' admin ', 'how', 'BLM', 'BYK', 'Please', 'Info', ""]")</f>
        <v>['', 'Telkomsel', 'Different', 'moved', 'card', 'Hello', 'package', 'unlimitid', 'bln', 'Timature', 'contents',' pulses', 'wasted ',' Klou ',' SMS ',' Paying ',' Timature ',' Credit ',' Paying ',' Automatic ',' Open ',' SMS ',' Paying ',' Please ',' admin ',' admin ', 'how', 'BLM', 'BYK', 'Please', 'Info', "]</v>
      </c>
      <c r="D5062" s="3">
        <v>5.0</v>
      </c>
    </row>
    <row r="5063" ht="15.75" customHeight="1">
      <c r="A5063" s="1">
        <v>5061.0</v>
      </c>
      <c r="B5063" s="3" t="s">
        <v>5063</v>
      </c>
      <c r="C5063" s="3" t="str">
        <f>IFERROR(__xludf.DUMMYFUNCTION("GOOGLETRANSLATE(B5063,""id"",""en"")"),"['Disappointed', 'use', 'Telkomsel', 'quota', 'unlimited', 'pulse', 'directly', 'cut', 'run out', 'right', 'night', 'notification', ' already ',' kyak ',' gini ',' program ',' how ',' heart ',' heart ',' contents', 'pulse', 'use', 'quota']")</f>
        <v>['Disappointed', 'use', 'Telkomsel', 'quota', 'unlimited', 'pulse', 'directly', 'cut', 'run out', 'right', 'night', 'notification', ' already ',' kyak ',' gini ',' program ',' how ',' heart ',' heart ',' contents', 'pulse', 'use', 'quota']</v>
      </c>
      <c r="D5063" s="3">
        <v>1.0</v>
      </c>
    </row>
    <row r="5064" ht="15.75" customHeight="1">
      <c r="A5064" s="1">
        <v>5062.0</v>
      </c>
      <c r="B5064" s="3" t="s">
        <v>5064</v>
      </c>
      <c r="C5064" s="3" t="str">
        <f>IFERROR(__xludf.DUMMYFUNCTION("GOOGLETRANSLATE(B5064,""id"",""en"")"),"['directed', 'Telkomsel', 'makes it easier', 'move', 'package', 'tip', 'grapari', 'then', 'use', 'apk', 'make it easier', ' Center ',' Grief ',' GraPARI ',' Nearest ',' Nach ',' Call ',' Center ',' Privilege ',' ']")</f>
        <v>['directed', 'Telkomsel', 'makes it easier', 'move', 'package', 'tip', 'grapari', 'then', 'use', 'apk', 'make it easier', ' Center ',' Grief ',' GraPARI ',' Nearest ',' Nach ',' Call ',' Center ',' Privilege ',' ']</v>
      </c>
      <c r="D5064" s="3">
        <v>1.0</v>
      </c>
    </row>
    <row r="5065" ht="15.75" customHeight="1">
      <c r="A5065" s="1">
        <v>5063.0</v>
      </c>
      <c r="B5065" s="3" t="s">
        <v>5065</v>
      </c>
      <c r="C5065" s="3" t="str">
        <f>IFERROR(__xludf.DUMMYFUNCTION("GOOGLETRANSLATE(B5065,""id"",""en"")"),"['Please', 'Note', 'Telkomsel', 'SKR', 'widespread', 'LGI', 'Nomer', 'know', 'entry', 'LWT', 'TLP', 'SMS', ' WhatsApp ',' etc. ',' annoying ',' activity ',' trimakasih ']")</f>
        <v>['Please', 'Note', 'Telkomsel', 'SKR', 'widespread', 'LGI', 'Nomer', 'know', 'entry', 'LWT', 'TLP', 'SMS', ' WhatsApp ',' etc. ',' annoying ',' activity ',' trimakasih ']</v>
      </c>
      <c r="D5065" s="3">
        <v>3.0</v>
      </c>
    </row>
    <row r="5066" ht="15.75" customHeight="1">
      <c r="A5066" s="1">
        <v>5064.0</v>
      </c>
      <c r="B5066" s="3" t="s">
        <v>5066</v>
      </c>
      <c r="C5066" s="3" t="str">
        <f>IFERROR(__xludf.DUMMYFUNCTION("GOOGLETRANSLATE(B5066,""id"",""en"")"),"['credit', 'buy', 'package', 'pulse', 'sufficient', 'pulse', 'reduced', '']")</f>
        <v>['credit', 'buy', 'package', 'pulse', 'sufficient', 'pulse', 'reduced', '']</v>
      </c>
      <c r="D5066" s="3">
        <v>1.0</v>
      </c>
    </row>
    <row r="5067" ht="15.75" customHeight="1">
      <c r="A5067" s="1">
        <v>5065.0</v>
      </c>
      <c r="B5067" s="3" t="s">
        <v>5067</v>
      </c>
      <c r="C5067" s="3" t="str">
        <f>IFERROR(__xludf.DUMMYFUNCTION("GOOGLETRANSLATE(B5067,""id"",""en"")"),"['Network', 'Internet', 'Telkomsel', 'Dead', 'Nyala', 'Disappointed', ""]")</f>
        <v>['Network', 'Internet', 'Telkomsel', 'Dead', 'Nyala', 'Disappointed', "]</v>
      </c>
      <c r="D5067" s="3">
        <v>1.0</v>
      </c>
    </row>
    <row r="5068" ht="15.75" customHeight="1">
      <c r="A5068" s="1">
        <v>5066.0</v>
      </c>
      <c r="B5068" s="3" t="s">
        <v>5068</v>
      </c>
      <c r="C5068" s="3" t="str">
        <f>IFERROR(__xludf.DUMMYFUNCTION("GOOGLETRANSLATE(B5068,""id"",""en"")"),"['Package', 'Internet', 'Credit', 'Suck', 'Internet', 'Bad', 'Rating']")</f>
        <v>['Package', 'Internet', 'Credit', 'Suck', 'Internet', 'Bad', 'Rating']</v>
      </c>
      <c r="D5068" s="3">
        <v>1.0</v>
      </c>
    </row>
    <row r="5069" ht="15.75" customHeight="1">
      <c r="A5069" s="1">
        <v>5067.0</v>
      </c>
      <c r="B5069" s="3" t="s">
        <v>5069</v>
      </c>
      <c r="C5069" s="3" t="str">
        <f>IFERROR(__xludf.DUMMYFUNCTION("GOOGLETRANSLATE(B5069,""id"",""en"")"),"['', 'PAKEK', 'Telkomsel', 'Times',' Credit ',' I ',' Sumpot ',' Package ',' Data ',' SMS ',' Access', 'Internet', 'Rates ',' Non ',' package ',' funny ',' data ',' wifi ',' pulse ',' RAIP ',' Where ',' super ',' disappointed ']")</f>
        <v>['', 'PAKEK', 'Telkomsel', 'Times',' Credit ',' I ',' Sumpot ',' Package ',' Data ',' SMS ',' Access', 'Internet', 'Rates ',' Non ',' package ',' funny ',' data ',' wifi ',' pulse ',' RAIP ',' Where ',' super ',' disappointed ']</v>
      </c>
      <c r="D5069" s="3">
        <v>1.0</v>
      </c>
    </row>
    <row r="5070" ht="15.75" customHeight="1">
      <c r="A5070" s="1">
        <v>5068.0</v>
      </c>
      <c r="B5070" s="3" t="s">
        <v>5070</v>
      </c>
      <c r="C5070" s="3" t="str">
        <f>IFERROR(__xludf.DUMMYFUNCTION("GOOGLETRANSLATE(B5070,""id"",""en"")"),"['problem', 'internet', 'slow', 'network', 'data', 'disconnected', 'tower', 'near', 'lohh', 'klauu', 'disorder', 'all-round', ' expensive ',' lohh ',' package ',' data ',' Telkomsel ',' bad ']")</f>
        <v>['problem', 'internet', 'slow', 'network', 'data', 'disconnected', 'tower', 'near', 'lohh', 'klauu', 'disorder', 'all-round', ' expensive ',' lohh ',' package ',' data ',' Telkomsel ',' bad ']</v>
      </c>
      <c r="D5070" s="3">
        <v>1.0</v>
      </c>
    </row>
    <row r="5071" ht="15.75" customHeight="1">
      <c r="A5071" s="1">
        <v>5069.0</v>
      </c>
      <c r="B5071" s="3" t="s">
        <v>5071</v>
      </c>
      <c r="C5071" s="3" t="str">
        <f>IFERROR(__xludf.DUMMYFUNCTION("GOOGLETRANSLATE(B5071,""id"",""en"")"),"['Package', 'Multimedia', 'Credit', 'Reduced', 'Needs', 'Package', 'Multimedia', '']")</f>
        <v>['Package', 'Multimedia', 'Credit', 'Reduced', 'Needs', 'Package', 'Multimedia', '']</v>
      </c>
      <c r="D5071" s="3">
        <v>1.0</v>
      </c>
    </row>
    <row r="5072" ht="15.75" customHeight="1">
      <c r="A5072" s="1">
        <v>5070.0</v>
      </c>
      <c r="B5072" s="3" t="s">
        <v>5072</v>
      </c>
      <c r="C5072" s="3" t="str">
        <f>IFERROR(__xludf.DUMMYFUNCTION("GOOGLETRANSLATE(B5072,""id"",""en"")"),"['Exchange', 'Points',' Paketan ',' Failed ',' Points', 'Exchange', 'Points',' Failed ',' SMS ',' Enter ',' Exchange ',' Failed ',' System ',' Busy ',' Please ',' Banti ',' Smentara ',' Love ',' Star ',' Update ',' Kasihan ',' Love ',' Star ', ""]")</f>
        <v>['Exchange', 'Points',' Paketan ',' Failed ',' Points', 'Exchange', 'Points',' Failed ',' SMS ',' Enter ',' Exchange ',' Failed ',' System ',' Busy ',' Please ',' Banti ',' Smentara ',' Love ',' Star ',' Update ',' Kasihan ',' Love ',' Star ', "]</v>
      </c>
      <c r="D5072" s="3">
        <v>1.0</v>
      </c>
    </row>
    <row r="5073" ht="15.75" customHeight="1">
      <c r="A5073" s="1">
        <v>5071.0</v>
      </c>
      <c r="B5073" s="3" t="s">
        <v>5073</v>
      </c>
      <c r="C5073" s="3" t="str">
        <f>IFERROR(__xludf.DUMMYFUNCTION("GOOGLETRANSLATE(B5073,""id"",""en"")"),"['card', 'signal', 'difficult', 'disorder', 'mulu', 'devil', 'right']")</f>
        <v>['card', 'signal', 'difficult', 'disorder', 'mulu', 'devil', 'right']</v>
      </c>
      <c r="D5073" s="3">
        <v>1.0</v>
      </c>
    </row>
    <row r="5074" ht="15.75" customHeight="1">
      <c r="A5074" s="1">
        <v>5072.0</v>
      </c>
      <c r="B5074" s="3" t="s">
        <v>5074</v>
      </c>
      <c r="C5074" s="3" t="str">
        <f>IFERROR(__xludf.DUMMYFUNCTION("GOOGLETRANSLATE(B5074,""id"",""en"")"),"['Disappointed', 'Strength', 'Signal', 'Card', 'Katru', 'Klah', 'Kembutan', 'Sousal', 'Axis', 'Hima']")</f>
        <v>['Disappointed', 'Strength', 'Signal', 'Card', 'Katru', 'Klah', 'Kembutan', 'Sousal', 'Axis', 'Hima']</v>
      </c>
      <c r="D5074" s="3">
        <v>1.0</v>
      </c>
    </row>
    <row r="5075" ht="15.75" customHeight="1">
      <c r="A5075" s="1">
        <v>5073.0</v>
      </c>
      <c r="B5075" s="3" t="s">
        <v>5075</v>
      </c>
      <c r="C5075" s="3" t="str">
        <f>IFERROR(__xludf.DUMMYFUNCTION("GOOGLETRANSLATE(B5075,""id"",""en"")"),"['Wrong', 'quota', 'internet', 'run out', 'make sure', 'have', 'quota', 'check', 'periodic', 'quota', 'buy', 'package', ' Tsel ',' Tsel ',' Hub ', ""]")</f>
        <v>['Wrong', 'quota', 'internet', 'run out', 'make sure', 'have', 'quota', 'check', 'periodic', 'quota', 'buy', 'package', ' Tsel ',' Tsel ',' Hub ', "]</v>
      </c>
      <c r="D5075" s="3">
        <v>5.0</v>
      </c>
    </row>
    <row r="5076" ht="15.75" customHeight="1">
      <c r="A5076" s="1">
        <v>5074.0</v>
      </c>
      <c r="B5076" s="3" t="s">
        <v>5076</v>
      </c>
      <c r="C5076" s="3" t="str">
        <f>IFERROR(__xludf.DUMMYFUNCTION("GOOGLETRANSLATE(B5076,""id"",""en"")"),"['The network', 'rotatekkk', 'nge', 'lag', 'klu', 'dipake', 'nge', 'game', 'according to', 'price', 'package', 'super', ' Expensive ',' Quality ',' Mumpuni ',' ']")</f>
        <v>['The network', 'rotatekkk', 'nge', 'lag', 'klu', 'dipake', 'nge', 'game', 'according to', 'price', 'package', 'super', ' Expensive ',' Quality ',' Mumpuni ',' ']</v>
      </c>
      <c r="D5076" s="3">
        <v>1.0</v>
      </c>
    </row>
    <row r="5077" ht="15.75" customHeight="1">
      <c r="A5077" s="1">
        <v>5075.0</v>
      </c>
      <c r="B5077" s="3" t="s">
        <v>5077</v>
      </c>
      <c r="C5077" s="3" t="str">
        <f>IFERROR(__xludf.DUMMYFUNCTION("GOOGLETRANSLATE(B5077,""id"",""en"")"),"['Telkomsel', 'pig', 'signal', 'threat', 'recomend', 'bngt', 'provider', 'idiot', 'emotion']")</f>
        <v>['Telkomsel', 'pig', 'signal', 'threat', 'recomend', 'bngt', 'provider', 'idiot', 'emotion']</v>
      </c>
      <c r="D5077" s="3">
        <v>1.0</v>
      </c>
    </row>
    <row r="5078" ht="15.75" customHeight="1">
      <c r="A5078" s="1">
        <v>5076.0</v>
      </c>
      <c r="B5078" s="3" t="s">
        <v>5078</v>
      </c>
      <c r="C5078" s="3" t="str">
        <f>IFERROR(__xludf.DUMMYFUNCTION("GOOGLETRANSLATE(B5078,""id"",""en"")"),"['Application', 'Good', 'Price', 'Package', 'GraPARI', 'Telkomsel', 'Counter', ""]")</f>
        <v>['Application', 'Good', 'Price', 'Package', 'GraPARI', 'Telkomsel', 'Counter', "]</v>
      </c>
      <c r="D5078" s="3">
        <v>3.0</v>
      </c>
    </row>
    <row r="5079" ht="15.75" customHeight="1">
      <c r="A5079" s="1">
        <v>5077.0</v>
      </c>
      <c r="B5079" s="3" t="s">
        <v>5079</v>
      </c>
      <c r="C5079" s="3" t="str">
        <f>IFERROR(__xludf.DUMMYFUNCTION("GOOGLETRANSLATE(B5079,""id"",""en"")"),"['quota', 'expensive', 'price', 'signal', 'package', 'data', 'users',' Telkomsel ',' disappointed ',' quality ',' Telkomsel ',' declined ',' Moving ',' ']")</f>
        <v>['quota', 'expensive', 'price', 'signal', 'package', 'data', 'users',' Telkomsel ',' disappointed ',' quality ',' Telkomsel ',' declined ',' Moving ',' ']</v>
      </c>
      <c r="D5079" s="3">
        <v>1.0</v>
      </c>
    </row>
    <row r="5080" ht="15.75" customHeight="1">
      <c r="A5080" s="1">
        <v>5078.0</v>
      </c>
      <c r="B5080" s="3" t="s">
        <v>5080</v>
      </c>
      <c r="C5080" s="3" t="str">
        <f>IFERROR(__xludf.DUMMYFUNCTION("GOOGLETRANSLATE(B5080,""id"",""en"")"),"['', 'Package', 'thousand', 'Bula', 'expensive', 'strange', 'Males', 'Telkomsel', ""]")</f>
        <v>['', 'Package', 'thousand', 'Bula', 'expensive', 'strange', 'Males', 'Telkomsel', "]</v>
      </c>
      <c r="D5080" s="3">
        <v>1.0</v>
      </c>
    </row>
    <row r="5081" ht="15.75" customHeight="1">
      <c r="A5081" s="1">
        <v>5079.0</v>
      </c>
      <c r="B5081" s="3" t="s">
        <v>5081</v>
      </c>
      <c r="C5081" s="3" t="str">
        <f>IFERROR(__xludf.DUMMYFUNCTION("GOOGLETRANSLATE(B5081,""id"",""en"")"),"['Package', 'Telkomsel', 'Policy', 'Package', 'Cheap', 'Karnakan', 'Impact', 'PPKM', 'Design', 'Package', 'Klw', 'Customer', ' Telkomsel ',' Move ',' ']")</f>
        <v>['Package', 'Telkomsel', 'Policy', 'Package', 'Cheap', 'Karnakan', 'Impact', 'PPKM', 'Design', 'Package', 'Klw', 'Customer', ' Telkomsel ',' Move ',' ']</v>
      </c>
      <c r="D5081" s="3">
        <v>1.0</v>
      </c>
    </row>
    <row r="5082" ht="15.75" customHeight="1">
      <c r="A5082" s="1">
        <v>5080.0</v>
      </c>
      <c r="B5082" s="3" t="s">
        <v>5082</v>
      </c>
      <c r="C5082" s="3" t="str">
        <f>IFERROR(__xludf.DUMMYFUNCTION("GOOGLETRANSLATE(B5082,""id"",""en"")"),"['Please', 'Response', 'Buy', 'Package', 'Combo', 'Sakti', 'Max', 'Used', 'Full', 'Reduced']")</f>
        <v>['Please', 'Response', 'Buy', 'Package', 'Combo', 'Sakti', 'Max', 'Used', 'Full', 'Reduced']</v>
      </c>
      <c r="D5082" s="3">
        <v>1.0</v>
      </c>
    </row>
    <row r="5083" ht="15.75" customHeight="1">
      <c r="A5083" s="1">
        <v>5081.0</v>
      </c>
      <c r="B5083" s="3" t="s">
        <v>5083</v>
      </c>
      <c r="C5083" s="3" t="str">
        <f>IFERROR(__xludf.DUMMYFUNCTION("GOOGLETRANSLATE(B5083,""id"",""en"")"),"['Points',' ugly ',' charging ',' pulse ',' get ',' exchange ',' package ',' data ',' pay ',' card ',' exchange ',' point ',' Direct ',' package ',' data ',' severe ',' win ',' expensive ',' doang ',' kaga ',' according to ',' ']")</f>
        <v>['Points',' ugly ',' charging ',' pulse ',' get ',' exchange ',' package ',' data ',' pay ',' card ',' exchange ',' point ',' Direct ',' package ',' data ',' severe ',' win ',' expensive ',' doang ',' kaga ',' according to ',' ']</v>
      </c>
      <c r="D5083" s="3">
        <v>1.0</v>
      </c>
    </row>
    <row r="5084" ht="15.75" customHeight="1">
      <c r="A5084" s="1">
        <v>5082.0</v>
      </c>
      <c r="B5084" s="3" t="s">
        <v>5084</v>
      </c>
      <c r="C5084" s="3" t="str">
        <f>IFERROR(__xludf.DUMMYFUNCTION("GOOGLETRANSLATE(B5084,""id"",""en"")"),"['Download', 'network', 'Telkomsel', 'poor', 'contact', 'via', 'email', 'Telkomsel', 'Change', 'Tetep', 'Severe', 'Mending', ' Change ',' Provider ',' ']")</f>
        <v>['Download', 'network', 'Telkomsel', 'poor', 'contact', 'via', 'email', 'Telkomsel', 'Change', 'Tetep', 'Severe', 'Mending', ' Change ',' Provider ',' ']</v>
      </c>
      <c r="D5084" s="3">
        <v>1.0</v>
      </c>
    </row>
    <row r="5085" ht="15.75" customHeight="1">
      <c r="A5085" s="1">
        <v>5083.0</v>
      </c>
      <c r="B5085" s="3" t="s">
        <v>5085</v>
      </c>
      <c r="C5085" s="3" t="str">
        <f>IFERROR(__xludf.DUMMYFUNCTION("GOOGLETRANSLATE(B5085,""id"",""en"")"),"['Buy', 'Package', 'Promo', 'GB', 'Check', 'GB', 'Package', 'Regular', 'Sarangahnya', 'GB', 'Unlimited', 'GB', ' Costs', 'Admin', 'Unfortunately', 'Unlimited', 'Mbps',' Lalod ',' Severe ',' YouTube ',' Nda ',' Telkomsel ',' please ',' intention ',' promo "&amp;"' , 'sidah', ""]")</f>
        <v>['Buy', 'Package', 'Promo', 'GB', 'Check', 'GB', 'Package', 'Regular', 'Sarangahnya', 'GB', 'Unlimited', 'GB', ' Costs', 'Admin', 'Unfortunately', 'Unlimited', 'Mbps',' Lalod ',' Severe ',' YouTube ',' Nda ',' Telkomsel ',' please ',' intention ',' promo ' , 'sidah', "]</v>
      </c>
      <c r="D5085" s="3">
        <v>1.0</v>
      </c>
    </row>
    <row r="5086" ht="15.75" customHeight="1">
      <c r="A5086" s="1">
        <v>5084.0</v>
      </c>
      <c r="B5086" s="3" t="s">
        <v>5086</v>
      </c>
      <c r="C5086" s="3" t="str">
        <f>IFERROR(__xludf.DUMMYFUNCTION("GOOGLETRANSLATE(B5086,""id"",""en"")"),"['contents',' voucher ',' writing ',' network ',' busy ',' yesterday ',' until ',' tetep ',' udh ',' times', 'buy', 'voucher', ' Discard ',' money ',' voucher ',' please ',' solution ',' ']")</f>
        <v>['contents',' voucher ',' writing ',' network ',' busy ',' yesterday ',' until ',' tetep ',' udh ',' times', 'buy', 'voucher', ' Discard ',' money ',' voucher ',' please ',' solution ',' ']</v>
      </c>
      <c r="D5086" s="3">
        <v>1.0</v>
      </c>
    </row>
    <row r="5087" ht="15.75" customHeight="1">
      <c r="A5087" s="1">
        <v>5085.0</v>
      </c>
      <c r="B5087" s="3" t="s">
        <v>5087</v>
      </c>
      <c r="C5087" s="3" t="str">
        <f>IFERROR(__xludf.DUMMYFUNCTION("GOOGLETRANSLATE(B5087,""id"",""en"")"),"['rain', 'electricity', 'dead', 'signal', 'lost', 'price', 'package', 'internet', 'telephone', 'expensive', 'appeal', 'provider', ' Sevice ',' comparable ',' price ']")</f>
        <v>['rain', 'electricity', 'dead', 'signal', 'lost', 'price', 'package', 'internet', 'telephone', 'expensive', 'appeal', 'provider', ' Sevice ',' comparable ',' price ']</v>
      </c>
      <c r="D5087" s="3">
        <v>1.0</v>
      </c>
    </row>
    <row r="5088" ht="15.75" customHeight="1">
      <c r="A5088" s="1">
        <v>5086.0</v>
      </c>
      <c r="B5088" s="3" t="s">
        <v>5088</v>
      </c>
      <c r="C5088" s="3" t="str">
        <f>IFERROR(__xludf.DUMMYFUNCTION("GOOGLETRANSLATE(B5088,""id"",""en"")"),"['Telkomsel', 'weve', 'Cool', 'Th', 'Pakek', 'Telkomsel', 'signal', 'strong', 'rare', 'disorder', 'price', 'according to' Quality ',' staple ',' love ',' Telkomsel ']")</f>
        <v>['Telkomsel', 'weve', 'Cool', 'Th', 'Pakek', 'Telkomsel', 'signal', 'strong', 'rare', 'disorder', 'price', 'according to' Quality ',' staple ',' love ',' Telkomsel ']</v>
      </c>
      <c r="D5088" s="3">
        <v>5.0</v>
      </c>
    </row>
    <row r="5089" ht="15.75" customHeight="1">
      <c r="A5089" s="1">
        <v>5087.0</v>
      </c>
      <c r="B5089" s="3" t="s">
        <v>5089</v>
      </c>
      <c r="C5089" s="3" t="str">
        <f>IFERROR(__xludf.DUMMYFUNCTION("GOOGLETRANSLATE(B5089,""id"",""en"")"),"['Org', 'download', 'enter', 'his writing', 'Loading', 'page', 'trs', 'wifi', 'please', 'dongg']")</f>
        <v>['Org', 'download', 'enter', 'his writing', 'Loading', 'page', 'trs', 'wifi', 'please', 'dongg']</v>
      </c>
      <c r="D5089" s="3">
        <v>1.0</v>
      </c>
    </row>
    <row r="5090" ht="15.75" customHeight="1">
      <c r="A5090" s="1">
        <v>5088.0</v>
      </c>
      <c r="B5090" s="3" t="s">
        <v>5090</v>
      </c>
      <c r="C5090" s="3" t="str">
        <f>IFERROR(__xludf.DUMMYFUNCTION("GOOGLETRANSLATE(B5090,""id"",""en"")"),"['Nga', 'Login', 'Abis',' Update ',' Already ',' Click ',' Link ',' Sent ',' Via ',' SMS ',' Mail ',' TTP ',' Nga ',' Login ']")</f>
        <v>['Nga', 'Login', 'Abis',' Update ',' Already ',' Click ',' Link ',' Sent ',' Via ',' SMS ',' Mail ',' TTP ',' Nga ',' Login ']</v>
      </c>
      <c r="D5090" s="3">
        <v>2.0</v>
      </c>
    </row>
    <row r="5091" ht="15.75" customHeight="1">
      <c r="A5091" s="1">
        <v>5089.0</v>
      </c>
      <c r="B5091" s="3" t="s">
        <v>5091</v>
      </c>
      <c r="C5091" s="3" t="str">
        <f>IFERROR(__xludf.DUMMYFUNCTION("GOOGLETRANSLATE(B5091,""id"",""en"")"),"['Telkomsel', 'gerangan', 'signal', 'TPI', 'Ngelag', 'card', 'next door', 'original', 'capee', 'diginin', 'udh', 'comfortable', ' Gini ',' turned ',' Card ',' Telkomsel ',' Believe ',' Dri ',' Class', 'pliis']")</f>
        <v>['Telkomsel', 'gerangan', 'signal', 'TPI', 'Ngelag', 'card', 'next door', 'original', 'capee', 'diginin', 'udh', 'comfortable', ' Gini ',' turned ',' Card ',' Telkomsel ',' Believe ',' Dri ',' Class', 'pliis']</v>
      </c>
      <c r="D5091" s="3">
        <v>4.0</v>
      </c>
    </row>
    <row r="5092" ht="15.75" customHeight="1">
      <c r="A5092" s="1">
        <v>5090.0</v>
      </c>
      <c r="B5092" s="3" t="s">
        <v>5092</v>
      </c>
      <c r="C5092" s="3" t="str">
        <f>IFERROR(__xludf.DUMMYFUNCTION("GOOGLETRANSLATE(B5092,""id"",""en"")"),"['Please', 'Provide', 'Features',' Lock ',' Credit ',' Disruptive ',' Tissue ',' Telkomsel ',' ugly ',' Package ',' Cheers', 'Network', ' Credit ',' Keeperep ',' Please ',' Provide ',' Feature ']")</f>
        <v>['Please', 'Provide', 'Features',' Lock ',' Credit ',' Disruptive ',' Tissue ',' Telkomsel ',' ugly ',' Package ',' Cheers', 'Network', ' Credit ',' Keeperep ',' Please ',' Provide ',' Feature ']</v>
      </c>
      <c r="D5092" s="3">
        <v>2.0</v>
      </c>
    </row>
    <row r="5093" ht="15.75" customHeight="1">
      <c r="A5093" s="1">
        <v>5091.0</v>
      </c>
      <c r="B5093" s="3" t="s">
        <v>5093</v>
      </c>
      <c r="C5093" s="3" t="str">
        <f>IFERROR(__xludf.DUMMYFUNCTION("GOOGLETRANSLATE(B5093,""id"",""en"")"),"['Telkomsial', 'Increases',' Quality ',' Network ',' Land ',' Karo ',' Sumatran ',' North ',' Kabanjahe ',' Good ',' Closed ',' Network ',' BANGJE ',' alternating ',' mode ',' plane ',' report ',' complaints', 'Telkomsial', 'answer', 'disorder', 'improvem"&amp;"ent', 'network', 'run out', 'reason' , 'Package', 'Rb', 'a month', 'quality', 'network', 'taik', 'renewal', 'application', 'MB', 'the way', 'taik', 'stuck', ' Pipes', 'water', 'Season', 'times',' UDH ',' Telkomsial ']")</f>
        <v>['Telkomsial', 'Increases',' Quality ',' Network ',' Land ',' Karo ',' Sumatran ',' North ',' Kabanjahe ',' Good ',' Closed ',' Network ',' BANGJE ',' alternating ',' mode ',' plane ',' report ',' complaints', 'Telkomsial', 'answer', 'disorder', 'improvement', 'network', 'run out', 'reason' , 'Package', 'Rb', 'a month', 'quality', 'network', 'taik', 'renewal', 'application', 'MB', 'the way', 'taik', 'stuck', ' Pipes', 'water', 'Season', 'times',' UDH ',' Telkomsial ']</v>
      </c>
      <c r="D5093" s="3">
        <v>1.0</v>
      </c>
    </row>
    <row r="5094" ht="15.75" customHeight="1">
      <c r="A5094" s="1">
        <v>5092.0</v>
      </c>
      <c r="B5094" s="3" t="s">
        <v>5094</v>
      </c>
      <c r="C5094" s="3" t="str">
        <f>IFERROR(__xludf.DUMMYFUNCTION("GOOGLETRANSLATE(B5094,""id"",""en"")"),"['please', 'Telkomsel', 'info', 'signal', 'bad', 'kasian', 'ojol', 'ngeluh', 'difficult', 'orders',' signal ',' ilang ',' lost', '']")</f>
        <v>['please', 'Telkomsel', 'info', 'signal', 'bad', 'kasian', 'ojol', 'ngeluh', 'difficult', 'orders',' signal ',' ilang ',' lost', '']</v>
      </c>
      <c r="D5094" s="3">
        <v>1.0</v>
      </c>
    </row>
    <row r="5095" ht="15.75" customHeight="1">
      <c r="A5095" s="1">
        <v>5093.0</v>
      </c>
      <c r="B5095" s="3" t="s">
        <v>5095</v>
      </c>
      <c r="C5095" s="3" t="str">
        <f>IFERROR(__xludf.DUMMYFUNCTION("GOOGLETRANSLATE(B5095,""id"",""en"")"),"['Ngaktivin', 'package', 'times',' application ',' status', 'processed', 'activation', 'Wait', 'clock', 'tip', 'tip', 'solution', ' application']")</f>
        <v>['Ngaktivin', 'package', 'times',' application ',' status', 'processed', 'activation', 'Wait', 'clock', 'tip', 'tip', 'solution', ' application']</v>
      </c>
      <c r="D5095" s="3">
        <v>1.0</v>
      </c>
    </row>
    <row r="5096" ht="15.75" customHeight="1">
      <c r="A5096" s="1">
        <v>5094.0</v>
      </c>
      <c r="B5096" s="3" t="s">
        <v>5096</v>
      </c>
      <c r="C5096" s="3" t="str">
        <f>IFERROR(__xludf.DUMMYFUNCTION("GOOGLETRANSLATE(B5096,""id"",""en"")"),"['Exchange', 'Point', 'quota', 'point', 'difficult', 'forgiveness', 'system', 'aibul']")</f>
        <v>['Exchange', 'Point', 'quota', 'point', 'difficult', 'forgiveness', 'system', 'aibul']</v>
      </c>
      <c r="D5096" s="3">
        <v>3.0</v>
      </c>
    </row>
    <row r="5097" ht="15.75" customHeight="1">
      <c r="A5097" s="1">
        <v>5095.0</v>
      </c>
      <c r="B5097" s="3" t="s">
        <v>5097</v>
      </c>
      <c r="C5097" s="3" t="str">
        <f>IFERROR(__xludf.DUMMYFUNCTION("GOOGLETRANSLATE(B5097,""id"",""en"")"),"['disappointing', 'subscribe', 'disappointing', '']")</f>
        <v>['disappointing', 'subscribe', 'disappointing', '']</v>
      </c>
      <c r="D5097" s="3">
        <v>1.0</v>
      </c>
    </row>
    <row r="5098" ht="15.75" customHeight="1">
      <c r="A5098" s="1">
        <v>5096.0</v>
      </c>
      <c r="B5098" s="3" t="s">
        <v>5098</v>
      </c>
      <c r="C5098" s="3" t="str">
        <f>IFERROR(__xludf.DUMMYFUNCTION("GOOGLETRANSLATE(B5098,""id"",""en"")"),"['Okay', 'Try', 'Install', 'Network', 'Uda', 'Good', 'Love', 'Bintang', 'Klau', 'BNAR', 'Good', 'Ntr', ' love', '']")</f>
        <v>['Okay', 'Try', 'Install', 'Network', 'Uda', 'Good', 'Love', 'Bintang', 'Klau', 'BNAR', 'Good', 'Ntr', ' love', '']</v>
      </c>
      <c r="D5098" s="3">
        <v>3.0</v>
      </c>
    </row>
    <row r="5099" ht="15.75" customHeight="1">
      <c r="A5099" s="1">
        <v>5097.0</v>
      </c>
      <c r="B5099" s="3" t="s">
        <v>5099</v>
      </c>
      <c r="C5099" s="3" t="str">
        <f>IFERROR(__xludf.DUMMYFUNCTION("GOOGLETRANSLATE(B5099,""id"",""en"")"),"['Stay', 'in the city', 'Network', 'Tetep', 'Bambang', 'Bambang', 'GMN', 'Live', 'Lined', 'WKWKWK', 'Lost', 'Provaider']")</f>
        <v>['Stay', 'in the city', 'Network', 'Tetep', 'Bambang', 'Bambang', 'GMN', 'Live', 'Lined', 'WKWKWK', 'Lost', 'Provaider']</v>
      </c>
      <c r="D5099" s="3">
        <v>1.0</v>
      </c>
    </row>
    <row r="5100" ht="15.75" customHeight="1">
      <c r="A5100" s="1">
        <v>5098.0</v>
      </c>
      <c r="B5100" s="3" t="s">
        <v>5100</v>
      </c>
      <c r="C5100" s="3" t="str">
        <f>IFERROR(__xludf.DUMMYFUNCTION("GOOGLETRANSLATE(B5100,""id"",""en"")"),"['Please', 'Fix', 'Telkomsel', 'Area', 'Ogan', 'Komering', 'Ulu', 'Monsced', 'City', 'Baturaja', 'Signal', 'Internet', ' Drop ',' users', 'Telkomsel', 'disappointed', 'Krna', 'buy', 'oaket', 'data', 'expensive', 'sesui', 'service', 'please', 'response' ]")</f>
        <v>['Please', 'Fix', 'Telkomsel', 'Area', 'Ogan', 'Komering', 'Ulu', 'Monsced', 'City', 'Baturaja', 'Signal', 'Internet', ' Drop ',' users', 'Telkomsel', 'disappointed', 'Krna', 'buy', 'oaket', 'data', 'expensive', 'sesui', 'service', 'please', 'response' ]</v>
      </c>
      <c r="D5100" s="3">
        <v>1.0</v>
      </c>
    </row>
    <row r="5101" ht="15.75" customHeight="1">
      <c r="A5101" s="1">
        <v>5099.0</v>
      </c>
      <c r="B5101" s="3" t="s">
        <v>5101</v>
      </c>
      <c r="C5101" s="3" t="str">
        <f>IFERROR(__xludf.DUMMYFUNCTION("GOOGLETRANSLATE(B5101,""id"",""en"")"),"['The intention', 'turning back', 'pulse', 'kouta', 'emergency', 'contents', 'rb', 'eat', 'oat', 'severe', 'operator', ""]")</f>
        <v>['The intention', 'turning back', 'pulse', 'kouta', 'emergency', 'contents', 'rb', 'eat', 'oat', 'severe', 'operator', "]</v>
      </c>
      <c r="D5101" s="3">
        <v>1.0</v>
      </c>
    </row>
    <row r="5102" ht="15.75" customHeight="1">
      <c r="A5102" s="1">
        <v>5100.0</v>
      </c>
      <c r="B5102" s="3" t="s">
        <v>5102</v>
      </c>
      <c r="C5102" s="3" t="str">
        <f>IFERROR(__xludf.DUMMYFUNCTION("GOOGLETRANSLATE(B5102,""id"",""en"")"),"['Already', 'Disappointed', 'Telkomsel', 'Network', 'Leet', 'Nauzubillah', 'Network', 'Lost', 'Hope', 'Disappointed', 'Telkomsel', ""]")</f>
        <v>['Already', 'Disappointed', 'Telkomsel', 'Network', 'Leet', 'Nauzubillah', 'Network', 'Lost', 'Hope', 'Disappointed', 'Telkomsel', "]</v>
      </c>
      <c r="D5102" s="3">
        <v>1.0</v>
      </c>
    </row>
    <row r="5103" ht="15.75" customHeight="1">
      <c r="A5103" s="1">
        <v>5101.0</v>
      </c>
      <c r="B5103" s="3" t="s">
        <v>5103</v>
      </c>
      <c r="C5103" s="3" t="str">
        <f>IFERROR(__xludf.DUMMYFUNCTION("GOOGLETRANSLATE(B5103,""id"",""en"")"),"['It's easy', 'purchase', 'package', 'internet', 'promo', 'interesting', '']")</f>
        <v>['It's easy', 'purchase', 'package', 'internet', 'promo', 'interesting', '']</v>
      </c>
      <c r="D5103" s="3">
        <v>5.0</v>
      </c>
    </row>
    <row r="5104" ht="15.75" customHeight="1">
      <c r="A5104" s="1">
        <v>5102.0</v>
      </c>
      <c r="B5104" s="3" t="s">
        <v>5104</v>
      </c>
      <c r="C5104" s="3" t="str">
        <f>IFERROR(__xludf.DUMMYFUNCTION("GOOGLETRANSLATE(B5104,""id"",""en"")"),"['many years',' loyal ',' make ',' Telkomsel ',' no ',' maintenance ',' signal ',' stable ',' service ',' customer ',' declined ',' potatoes', ' Brand ']")</f>
        <v>['many years',' loyal ',' make ',' Telkomsel ',' no ',' maintenance ',' signal ',' stable ',' service ',' customer ',' declined ',' potatoes', ' Brand ']</v>
      </c>
      <c r="D5104" s="3">
        <v>1.0</v>
      </c>
    </row>
    <row r="5105" ht="15.75" customHeight="1">
      <c r="A5105" s="1">
        <v>5103.0</v>
      </c>
      <c r="B5105" s="3" t="s">
        <v>5105</v>
      </c>
      <c r="C5105" s="3" t="str">
        <f>IFERROR(__xludf.DUMMYFUNCTION("GOOGLETRANSLATE(B5105,""id"",""en"")"),"['Please', 'Assisted', 'Upgrade', 'Signal', 'Desa', 'Hewatolang', 'Subdistrict', 'Hewoklang', 'County', 'Sikka', 'NTT', 'Signal', ' The area ',' sad ',' village ',' next door ',' network ',' good ',' network ',' internet ',' difficult ',' region ',' Pleas"&amp;"e ',' help ']")</f>
        <v>['Please', 'Assisted', 'Upgrade', 'Signal', 'Desa', 'Hewatolang', 'Subdistrict', 'Hewoklang', 'County', 'Sikka', 'NTT', 'Signal', ' The area ',' sad ',' village ',' next door ',' network ',' good ',' network ',' internet ',' difficult ',' region ',' Please ',' help ']</v>
      </c>
      <c r="D5105" s="3">
        <v>5.0</v>
      </c>
    </row>
    <row r="5106" ht="15.75" customHeight="1">
      <c r="A5106" s="1">
        <v>5104.0</v>
      </c>
      <c r="B5106" s="3" t="s">
        <v>5106</v>
      </c>
      <c r="C5106" s="3" t="str">
        <f>IFERROR(__xludf.DUMMYFUNCTION("GOOGLETRANSLATE(B5106,""id"",""en"")"),"['buy', 'quota', 'combo', 'Sakti', 'unlimited', 'GB', 'HRI', 'right', 'quota', 'main', 'finished', 'pulses',' Cut ',' Check ',' Description ',' Package ',' Combo ',' Sakti ',' Unlimited ',' Quota ',' Main ',' Out ',' Speed ​​',' Internet ',' Customize ' ,"&amp;" 'Kbps',' Cutting ',' Credit ',' Customer ',' Suggest ',' Buy ',' Quota ',' Combo ',' Sakti ',' Telkomsel ',' Nipu ',' Disappointed ',' ']")</f>
        <v>['buy', 'quota', 'combo', 'Sakti', 'unlimited', 'GB', 'HRI', 'right', 'quota', 'main', 'finished', 'pulses',' Cut ',' Check ',' Description ',' Package ',' Combo ',' Sakti ',' Unlimited ',' Quota ',' Main ',' Out ',' Speed ​​',' Internet ',' Customize ' , 'Kbps',' Cutting ',' Credit ',' Customer ',' Suggest ',' Buy ',' Quota ',' Combo ',' Sakti ',' Telkomsel ',' Nipu ',' Disappointed ',' ']</v>
      </c>
      <c r="D5106" s="3">
        <v>1.0</v>
      </c>
    </row>
    <row r="5107" ht="15.75" customHeight="1">
      <c r="A5107" s="1">
        <v>5105.0</v>
      </c>
      <c r="B5107" s="3" t="s">
        <v>5107</v>
      </c>
      <c r="C5107" s="3" t="str">
        <f>IFERROR(__xludf.DUMMYFUNCTION("GOOGLETRANSLATE(B5107,""id"",""en"")"),"['signal', 'internet', 'village', 'price', 'expensive', 'fix it', 'spiker', 'jagan', 'lazy', '']")</f>
        <v>['signal', 'internet', 'village', 'price', 'expensive', 'fix it', 'spiker', 'jagan', 'lazy', '']</v>
      </c>
      <c r="D5107" s="3">
        <v>2.0</v>
      </c>
    </row>
    <row r="5108" ht="15.75" customHeight="1">
      <c r="A5108" s="1">
        <v>5106.0</v>
      </c>
      <c r="B5108" s="3" t="s">
        <v>5108</v>
      </c>
      <c r="C5108" s="3" t="str">
        <f>IFERROR(__xludf.DUMMYFUNCTION("GOOGLETRANSLATE(B5108,""id"",""en"")"),"['LEG', 'Access',' Network ',' Telkomsel ',' Sunday ',' Please ',' Help ',' Min ',' Koeta ',' Leet ',' Live ',' City ',' Aceh ',' ']")</f>
        <v>['LEG', 'Access',' Network ',' Telkomsel ',' Sunday ',' Please ',' Help ',' Min ',' Koeta ',' Leet ',' Live ',' City ',' Aceh ',' ']</v>
      </c>
      <c r="D5108" s="3">
        <v>1.0</v>
      </c>
    </row>
    <row r="5109" ht="15.75" customHeight="1">
      <c r="A5109" s="1">
        <v>5107.0</v>
      </c>
      <c r="B5109" s="3" t="s">
        <v>5109</v>
      </c>
      <c r="C5109" s="3" t="str">
        <f>IFERROR(__xludf.DUMMYFUNCTION("GOOGLETRANSLATE(B5109,""id"",""en"")"),"['Telkomsel', 'ugly', 'Good', 'Severe', 'Play', 'Game', 'Network', 'Direct', 'Lost', 'Turn', 'Connect', 'Player', ' game ',' like ',' emotion ',' because 'network', 'lost', 'fast', 'hot', 'because', 'network', 'stable', 'fix', 'disappointed' , '']")</f>
        <v>['Telkomsel', 'ugly', 'Good', 'Severe', 'Play', 'Game', 'Network', 'Direct', 'Lost', 'Turn', 'Connect', 'Player', ' game ',' like ',' emotion ',' because 'network', 'lost', 'fast', 'hot', 'because', 'network', 'stable', 'fix', 'disappointed' , '']</v>
      </c>
      <c r="D5109" s="3">
        <v>1.0</v>
      </c>
    </row>
    <row r="5110" ht="15.75" customHeight="1">
      <c r="A5110" s="1">
        <v>5108.0</v>
      </c>
      <c r="B5110" s="3" t="s">
        <v>5110</v>
      </c>
      <c r="C5110" s="3" t="str">
        <f>IFERROR(__xludf.DUMMYFUNCTION("GOOGLETRANSLATE(B5110,""id"",""en"")"),"['Network', 'Region', 'City', 'Banda', 'Aceh', 'Good', 'Disconnect', 'Disconnect', 'Network']")</f>
        <v>['Network', 'Region', 'City', 'Banda', 'Aceh', 'Good', 'Disconnect', 'Disconnect', 'Network']</v>
      </c>
      <c r="D5110" s="3">
        <v>4.0</v>
      </c>
    </row>
    <row r="5111" ht="15.75" customHeight="1">
      <c r="A5111" s="1">
        <v>5109.0</v>
      </c>
      <c r="B5111" s="3" t="s">
        <v>5111</v>
      </c>
      <c r="C5111" s="3" t="str">
        <f>IFERROR(__xludf.DUMMYFUNCTION("GOOGLETRANSLATE(B5111,""id"",""en"")"),"['network', 'Telkomsel', 'child', 'haram', 'package', 'expensive', 'network', 'repaired', 'AJG', 'expensive', 'slow', 'dead', ' Bnagsat ']")</f>
        <v>['network', 'Telkomsel', 'child', 'haram', 'package', 'expensive', 'network', 'repaired', 'AJG', 'expensive', 'slow', 'dead', ' Bnagsat ']</v>
      </c>
      <c r="D5111" s="3">
        <v>1.0</v>
      </c>
    </row>
    <row r="5112" ht="15.75" customHeight="1">
      <c r="A5112" s="1">
        <v>5110.0</v>
      </c>
      <c r="B5112" s="3" t="s">
        <v>5112</v>
      </c>
      <c r="C5112" s="3" t="str">
        <f>IFERROR(__xludf.DUMMYFUNCTION("GOOGLETRANSLATE(B5112,""id"",""en"")"),"['sorry', 'collapsed', 'network', 'Telkomsel', 'poor', 'UDH', 'enter', 'room', 'network', 'direct', 'ilang']")</f>
        <v>['sorry', 'collapsed', 'network', 'Telkomsel', 'poor', 'UDH', 'enter', 'room', 'network', 'direct', 'ilang']</v>
      </c>
      <c r="D5112" s="3">
        <v>2.0</v>
      </c>
    </row>
    <row r="5113" ht="15.75" customHeight="1">
      <c r="A5113" s="1">
        <v>5111.0</v>
      </c>
      <c r="B5113" s="3" t="s">
        <v>5113</v>
      </c>
      <c r="C5113" s="3" t="str">
        <f>IFERROR(__xludf.DUMMYFUNCTION("GOOGLETRANSLATE(B5113,""id"",""en"")"),"['Credit', 'Cut "",' Telkomsel ',' Opened ',' WiFi ',' home ',""]")</f>
        <v>['Credit', 'Cut ",' Telkomsel ',' Opened ',' WiFi ',' home ',"]</v>
      </c>
      <c r="D5113" s="3">
        <v>1.0</v>
      </c>
    </row>
    <row r="5114" ht="15.75" customHeight="1">
      <c r="A5114" s="1">
        <v>5112.0</v>
      </c>
      <c r="B5114" s="3" t="s">
        <v>5114</v>
      </c>
      <c r="C5114" s="3" t="str">
        <f>IFERROR(__xludf.DUMMYFUNCTION("GOOGLETRANSLATE(B5114,""id"",""en"")"),"['Application', 'Najis', 'Mulu', 'Login', 'Netep', 'HRUS', 'Login', 'reset', 'garbage', 'Ribet', 'entered', ""]")</f>
        <v>['Application', 'Najis', 'Mulu', 'Login', 'Netep', 'HRUS', 'Login', 'reset', 'garbage', 'Ribet', 'entered', "]</v>
      </c>
      <c r="D5114" s="3">
        <v>1.0</v>
      </c>
    </row>
    <row r="5115" ht="15.75" customHeight="1">
      <c r="A5115" s="1">
        <v>5113.0</v>
      </c>
      <c r="B5115" s="3" t="s">
        <v>5115</v>
      </c>
      <c r="C5115" s="3" t="str">
        <f>IFERROR(__xludf.DUMMYFUNCTION("GOOGLETRANSLATE(B5115,""id"",""en"")"),"['quota', 'expensive', 'network', 'snail', 'nyesel', '']")</f>
        <v>['quota', 'expensive', 'network', 'snail', 'nyesel', '']</v>
      </c>
      <c r="D5115" s="3">
        <v>1.0</v>
      </c>
    </row>
    <row r="5116" ht="15.75" customHeight="1">
      <c r="A5116" s="1">
        <v>5114.0</v>
      </c>
      <c r="B5116" s="3" t="s">
        <v>5116</v>
      </c>
      <c r="C5116" s="3" t="str">
        <f>IFERROR(__xludf.DUMMYFUNCTION("GOOGLETRANSLATE(B5116,""id"",""en"")"),"['Ngelag', 'already', 'signatn', 'severe', 'expensive', '']")</f>
        <v>['Ngelag', 'already', 'signatn', 'severe', 'expensive', '']</v>
      </c>
      <c r="D5116" s="3">
        <v>1.0</v>
      </c>
    </row>
    <row r="5117" ht="15.75" customHeight="1">
      <c r="A5117" s="1">
        <v>5115.0</v>
      </c>
      <c r="B5117" s="3" t="s">
        <v>5117</v>
      </c>
      <c r="C5117" s="3" t="str">
        <f>IFERROR(__xludf.DUMMYFUNCTION("GOOGLETRANSLATE(B5117,""id"",""en"")"),"['fill', 'pulse', 'enter', 'NLP', 'times', 'phone', 'nlp', 'satisfying', 'disappointed']")</f>
        <v>['fill', 'pulse', 'enter', 'NLP', 'times', 'phone', 'nlp', 'satisfying', 'disappointed']</v>
      </c>
      <c r="D5117" s="3">
        <v>1.0</v>
      </c>
    </row>
    <row r="5118" ht="15.75" customHeight="1">
      <c r="A5118" s="1">
        <v>5116.0</v>
      </c>
      <c r="B5118" s="3" t="s">
        <v>5118</v>
      </c>
      <c r="C5118" s="3" t="str">
        <f>IFERROR(__xludf.DUMMYFUNCTION("GOOGLETRANSLATE(B5118,""id"",""en"")"),"['star', 'Kalai', 'update', 'unlimited', 'bored', 'buy', 'package', 'expensive', 'thousand', 'get', 'giga', 'max', ' usage ',' so ',' thanks', 'hope', 'in the future', 'unlimited', 'package']")</f>
        <v>['star', 'Kalai', 'update', 'unlimited', 'bored', 'buy', 'package', 'expensive', 'thousand', 'get', 'giga', 'max', ' usage ',' so ',' thanks', 'hope', 'in the future', 'unlimited', 'package']</v>
      </c>
      <c r="D5118" s="3">
        <v>4.0</v>
      </c>
    </row>
    <row r="5119" ht="15.75" customHeight="1">
      <c r="A5119" s="1">
        <v>5117.0</v>
      </c>
      <c r="B5119" s="3" t="s">
        <v>5119</v>
      </c>
      <c r="C5119" s="3" t="str">
        <f>IFERROR(__xludf.DUMMYFUNCTION("GOOGLETRANSLATE(B5119,""id"",""en"")"),"['card', 'package', 'cheap', 'cheap', 'card', 'kewasiii']")</f>
        <v>['card', 'package', 'cheap', 'cheap', 'card', 'kewasiii']</v>
      </c>
      <c r="D5119" s="3">
        <v>1.0</v>
      </c>
    </row>
    <row r="5120" ht="15.75" customHeight="1">
      <c r="A5120" s="1">
        <v>5118.0</v>
      </c>
      <c r="B5120" s="3" t="s">
        <v>5120</v>
      </c>
      <c r="C5120" s="3" t="str">
        <f>IFERROR(__xludf.DUMMYFUNCTION("GOOGLETRANSLATE(B5120,""id"",""en"")"),"['date', 'application', 'Telkomsel', 'account', 'automatic', 'log', 'out', 'log', 'difficult', 'Wait', 'mptiri', 'sms',' Minutes', 'enter', 'OTP', 'Code', 'habitation', 'apply', 'seconds',' pulse ',' spotted ',' contents', 'pulse', 'thousand', 'the next d"&amp;"ay' , 'leftover', 'thousand', 'package', 'data', 'activity', 'class', 'Telkomsel', 'lho', 'hellooooo']")</f>
        <v>['date', 'application', 'Telkomsel', 'account', 'automatic', 'log', 'out', 'log', 'difficult', 'Wait', 'mptiri', 'sms',' Minutes', 'enter', 'OTP', 'Code', 'habitation', 'apply', 'seconds',' pulse ',' spotted ',' contents', 'pulse', 'thousand', 'the next day' , 'leftover', 'thousand', 'package', 'data', 'activity', 'class', 'Telkomsel', 'lho', 'hellooooo']</v>
      </c>
      <c r="D5120" s="3">
        <v>1.0</v>
      </c>
    </row>
    <row r="5121" ht="15.75" customHeight="1">
      <c r="A5121" s="1">
        <v>5119.0</v>
      </c>
      <c r="B5121" s="3" t="s">
        <v>5121</v>
      </c>
      <c r="C5121" s="3" t="str">
        <f>IFERROR(__xludf.DUMMYFUNCTION("GOOGLETRANSLATE(B5121,""id"",""en"")"),"['Cost', 'Transfer', 'pulses',' expensive ',' minimum ',' leftover ',' pulse ',' transfer ',' raised ',' thousand ',' rupiah ',' beloved ',' very', '']")</f>
        <v>['Cost', 'Transfer', 'pulses',' expensive ',' minimum ',' leftover ',' pulse ',' transfer ',' raised ',' thousand ',' rupiah ',' beloved ',' very', '']</v>
      </c>
      <c r="D5121" s="3">
        <v>1.0</v>
      </c>
    </row>
    <row r="5122" ht="15.75" customHeight="1">
      <c r="A5122" s="1">
        <v>5120.0</v>
      </c>
      <c r="B5122" s="3" t="s">
        <v>5122</v>
      </c>
      <c r="C5122" s="3" t="str">
        <f>IFERROR(__xludf.DUMMYFUNCTION("GOOGLETRANSLATE(B5122,""id"",""en"")"),"['Pulse', 'Sumpot', 'buy', 'pulse', 'Rp', 'strange', 'data', 'cellular', 'Dinalin', 'intention', 'buy', 'package', ' quota ',' a month ']")</f>
        <v>['Pulse', 'Sumpot', 'buy', 'pulse', 'Rp', 'strange', 'data', 'cellular', 'Dinalin', 'intention', 'buy', 'package', ' quota ',' a month ']</v>
      </c>
      <c r="D5122" s="3">
        <v>1.0</v>
      </c>
    </row>
    <row r="5123" ht="15.75" customHeight="1">
      <c r="A5123" s="1">
        <v>5121.0</v>
      </c>
      <c r="B5123" s="3" t="s">
        <v>5123</v>
      </c>
      <c r="C5123" s="3" t="str">
        <f>IFERROR(__xludf.DUMMYFUNCTION("GOOGLETRANSLATE(B5123,""id"",""en"")"),"['', 'network', 'slow', 'driver', 'ojol', 'difficult', 'orders', 'Please', 'clarity', '']")</f>
        <v>['', 'network', 'slow', 'driver', 'ojol', 'difficult', 'orders', 'Please', 'clarity', '']</v>
      </c>
      <c r="D5123" s="3">
        <v>1.0</v>
      </c>
    </row>
    <row r="5124" ht="15.75" customHeight="1">
      <c r="A5124" s="1">
        <v>5122.0</v>
      </c>
      <c r="B5124" s="3" t="s">
        <v>5124</v>
      </c>
      <c r="C5124" s="3" t="str">
        <f>IFERROR(__xludf.DUMMYFUNCTION("GOOGLETRANSLATE(B5124,""id"",""en"")"),"['Since', 'Credit', 'Cut', 'Details',' Daily ',' Check ',' Notif ',' Males', 'PKE', 'Tsel', 'JLAS', 'Application', ' QNA ',' SMA ',' Veronica ',' DPT ',' Solution ',' Mgkin ',' Order ',' Move ',' Haluan ',' Direct ', ""]")</f>
        <v>['Since', 'Credit', 'Cut', 'Details',' Daily ',' Check ',' Notif ',' Males', 'PKE', 'Tsel', 'JLAS', 'Application', ' QNA ',' SMA ',' Veronica ',' DPT ',' Solution ',' Mgkin ',' Order ',' Move ',' Haluan ',' Direct ', "]</v>
      </c>
      <c r="D5124" s="3">
        <v>1.0</v>
      </c>
    </row>
    <row r="5125" ht="15.75" customHeight="1">
      <c r="A5125" s="1">
        <v>5123.0</v>
      </c>
      <c r="B5125" s="3" t="s">
        <v>5125</v>
      </c>
      <c r="C5125" s="3" t="str">
        <f>IFERROR(__xludf.DUMMYFUNCTION("GOOGLETRANSLATE(B5125,""id"",""en"")"),"['A yaa ',' sales', 'package', 'like', 'different', 'users',' Telkomsel ',' ']")</f>
        <v>['A yaa ',' sales', 'package', 'like', 'different', 'users',' Telkomsel ',' ']</v>
      </c>
      <c r="D5125" s="3">
        <v>1.0</v>
      </c>
    </row>
    <row r="5126" ht="15.75" customHeight="1">
      <c r="A5126" s="1">
        <v>5124.0</v>
      </c>
      <c r="B5126" s="3" t="s">
        <v>5126</v>
      </c>
      <c r="C5126" s="3" t="str">
        <f>IFERROR(__xludf.DUMMYFUNCTION("GOOGLETRANSLATE(B5126,""id"",""en"")"),"['signal', 'strong', 'anywhere', 'slalu', 'promo', 'quota', 'gift', 'interesting', 'optimistic']")</f>
        <v>['signal', 'strong', 'anywhere', 'slalu', 'promo', 'quota', 'gift', 'interesting', 'optimistic']</v>
      </c>
      <c r="D5126" s="3">
        <v>5.0</v>
      </c>
    </row>
    <row r="5127" ht="15.75" customHeight="1">
      <c r="A5127" s="1">
        <v>5125.0</v>
      </c>
      <c r="B5127" s="3" t="s">
        <v>5127</v>
      </c>
      <c r="C5127" s="3" t="str">
        <f>IFERROR(__xludf.DUMMYFUNCTION("GOOGLETRANSLATE(B5127,""id"",""en"")"),"['open', 'application', 'Telkomsel', 'smooth', 'open', 'Kaliny', 'application', 'Telkomsel', 'screen', 'white', 'Haeus',' Download ',' Song ',' open ',' mhon ',' explanation ']")</f>
        <v>['open', 'application', 'Telkomsel', 'smooth', 'open', 'Kaliny', 'application', 'Telkomsel', 'screen', 'white', 'Haeus',' Download ',' Song ',' open ',' mhon ',' explanation ']</v>
      </c>
      <c r="D5127" s="3">
        <v>4.0</v>
      </c>
    </row>
    <row r="5128" ht="15.75" customHeight="1">
      <c r="A5128" s="1">
        <v>5126.0</v>
      </c>
      <c r="B5128" s="3" t="s">
        <v>5128</v>
      </c>
      <c r="C5128" s="3" t="str">
        <f>IFERROR(__xludf.DUMMYFUNCTION("GOOGLETRANSLATE(B5128,""id"",""en"")"),"['bgs', 'bat', '']")</f>
        <v>['bgs', 'bat', '']</v>
      </c>
      <c r="D5128" s="3">
        <v>5.0</v>
      </c>
    </row>
    <row r="5129" ht="15.75" customHeight="1">
      <c r="A5129" s="1">
        <v>5127.0</v>
      </c>
      <c r="B5129" s="3" t="s">
        <v>5129</v>
      </c>
      <c r="C5129" s="3" t="str">
        <f>IFERROR(__xludf.DUMMYFUNCTION("GOOGLETRANSLATE(B5129,""id"",""en"")"),"['buy', 'Package', 'Telkomsel', 'processed', 'continued', 'fail', 'success', 'move', 'provider', 'hopefully', 'fast', 'resolved']")</f>
        <v>['buy', 'Package', 'Telkomsel', 'processed', 'continued', 'fail', 'success', 'move', 'provider', 'hopefully', 'fast', 'resolved']</v>
      </c>
      <c r="D5129" s="3">
        <v>1.0</v>
      </c>
    </row>
    <row r="5130" ht="15.75" customHeight="1">
      <c r="A5130" s="1">
        <v>5128.0</v>
      </c>
      <c r="B5130" s="3" t="s">
        <v>5130</v>
      </c>
      <c r="C5130" s="3" t="str">
        <f>IFERROR(__xludf.DUMMYFUNCTION("GOOGLETRANSLATE(B5130,""id"",""en"")"),"['Package', 'Data', 'Abis', 'Direct', 'sucked', 'pulse', 'nyedot', 'Severe', ""]")</f>
        <v>['Package', 'Data', 'Abis', 'Direct', 'sucked', 'pulse', 'nyedot', 'Severe', "]</v>
      </c>
      <c r="D5130" s="3">
        <v>1.0</v>
      </c>
    </row>
    <row r="5131" ht="15.75" customHeight="1">
      <c r="A5131" s="1">
        <v>5129.0</v>
      </c>
      <c r="B5131" s="3" t="s">
        <v>5131</v>
      </c>
      <c r="C5131" s="3" t="str">
        <f>IFERROR(__xludf.DUMMYFUNCTION("GOOGLETRANSLATE(B5131,""id"",""en"")"),"['Lemot', 'forced', 'use', 'Telkomsel', 'Kampung', 'ngak', 'his competitors']")</f>
        <v>['Lemot', 'forced', 'use', 'Telkomsel', 'Kampung', 'ngak', 'his competitors']</v>
      </c>
      <c r="D5131" s="3">
        <v>1.0</v>
      </c>
    </row>
    <row r="5132" ht="15.75" customHeight="1">
      <c r="A5132" s="1">
        <v>5130.0</v>
      </c>
      <c r="B5132" s="3" t="s">
        <v>5132</v>
      </c>
      <c r="C5132" s="3" t="str">
        <f>IFERROR(__xludf.DUMMYFUNCTION("GOOGLETRANSLATE(B5132,""id"",""en"")"),"['Telkomsel', 'TLP', 'cellular', 'cheap', 'klau', 'package', 'internet', 'expensive', 'appeal']")</f>
        <v>['Telkomsel', 'TLP', 'cellular', 'cheap', 'klau', 'package', 'internet', 'expensive', 'appeal']</v>
      </c>
      <c r="D5132" s="3">
        <v>5.0</v>
      </c>
    </row>
    <row r="5133" ht="15.75" customHeight="1">
      <c r="A5133" s="1">
        <v>5131.0</v>
      </c>
      <c r="B5133" s="3" t="s">
        <v>5133</v>
      </c>
      <c r="C5133" s="3" t="str">
        <f>IFERROR(__xludf.DUMMYFUNCTION("GOOGLETRANSLATE(B5133,""id"",""en"")"),"['Thank you', 'class',' Telkomsel ',' network ',' rare ',' discount ',' package ',' internet ',' fair ',' expensive ',' counted ',' customers', ' Rarely ',' Reward ',' Hope ']")</f>
        <v>['Thank you', 'class',' Telkomsel ',' network ',' rare ',' discount ',' package ',' internet ',' fair ',' expensive ',' counted ',' customers', ' Rarely ',' Reward ',' Hope ']</v>
      </c>
      <c r="D5133" s="3">
        <v>5.0</v>
      </c>
    </row>
    <row r="5134" ht="15.75" customHeight="1">
      <c r="A5134" s="1">
        <v>5132.0</v>
      </c>
      <c r="B5134" s="3" t="s">
        <v>5134</v>
      </c>
      <c r="C5134" s="3" t="str">
        <f>IFERROR(__xludf.DUMMYFUNCTION("GOOGLETRANSLATE(B5134,""id"",""en"")"),"['Mentang', 'Package', 'Promo', 'Cheerful', 'Morning', 'Try', 'Active', 'Purchase', 'Process',' Wait ',' Activation ',' Sampe ',' Wait ',' already ',' morning ',' pairs', 'package', 'active', 'Please', 'clarity', ""]")</f>
        <v>['Mentang', 'Package', 'Promo', 'Cheerful', 'Morning', 'Try', 'Active', 'Purchase', 'Process',' Wait ',' Activation ',' Sampe ',' Wait ',' already ',' morning ',' pairs', 'package', 'active', 'Please', 'clarity', "]</v>
      </c>
      <c r="D5134" s="3">
        <v>1.0</v>
      </c>
    </row>
    <row r="5135" ht="15.75" customHeight="1">
      <c r="A5135" s="1">
        <v>5133.0</v>
      </c>
      <c r="B5135" s="3" t="s">
        <v>5135</v>
      </c>
      <c r="C5135" s="3" t="str">
        <f>IFERROR(__xludf.DUMMYFUNCTION("GOOGLETRANSLATE(B5135,""id"",""en"")"),"['', 'buy', 'pulse', 'sumps', 'then', 'package', 'internet', 'Telkomsel', 'kah', 'here', 'doubt', '']")</f>
        <v>['', 'buy', 'pulse', 'sumps', 'then', 'package', 'internet', 'Telkomsel', 'kah', 'here', 'doubt', '']</v>
      </c>
      <c r="D5135" s="3">
        <v>1.0</v>
      </c>
    </row>
    <row r="5136" ht="15.75" customHeight="1">
      <c r="A5136" s="1">
        <v>5134.0</v>
      </c>
      <c r="B5136" s="3" t="s">
        <v>5136</v>
      </c>
      <c r="C5136" s="3" t="str">
        <f>IFERROR(__xludf.DUMMYFUNCTION("GOOGLETRANSLATE(B5136,""id"",""en"")"),"['Hello', 'Sis',' name ',' MHD ',' Riski ',' Ridho ',' Nanya ',' Sis', 'Exchange', 'Points',' Diamond ',' Free ',' Fire ',' apk ',' Telkomsel ',' NGK ',' Sis', 'How', 'overcome it']")</f>
        <v>['Hello', 'Sis',' name ',' MHD ',' Riski ',' Ridho ',' Nanya ',' Sis', 'Exchange', 'Points',' Diamond ',' Free ',' Fire ',' apk ',' Telkomsel ',' NGK ',' Sis', 'How', 'overcome it']</v>
      </c>
      <c r="D5136" s="3">
        <v>2.0</v>
      </c>
    </row>
    <row r="5137" ht="15.75" customHeight="1">
      <c r="A5137" s="1">
        <v>5135.0</v>
      </c>
      <c r="B5137" s="3" t="s">
        <v>5137</v>
      </c>
      <c r="C5137" s="3" t="str">
        <f>IFERROR(__xludf.DUMMYFUNCTION("GOOGLETRANSLATE(B5137,""id"",""en"")"),"['Bad', 'network', 'Telkomsel', 'buy', 'package', 'expensive', 'network', 'ugly']")</f>
        <v>['Bad', 'network', 'Telkomsel', 'buy', 'package', 'expensive', 'network', 'ugly']</v>
      </c>
      <c r="D5137" s="3">
        <v>1.0</v>
      </c>
    </row>
    <row r="5138" ht="15.75" customHeight="1">
      <c r="A5138" s="1">
        <v>5136.0</v>
      </c>
      <c r="B5138" s="3" t="s">
        <v>5138</v>
      </c>
      <c r="C5138" s="3" t="str">
        <f>IFERROR(__xludf.DUMMYFUNCTION("GOOGLETRANSLATE(B5138,""id"",""en"")"),"['please', 'Telkom', 'fix', 'system', 'contents',' pulse ',' turn on ',' data ',' second ',' ilang ',' pulse ',' harm ',' very', '']")</f>
        <v>['please', 'Telkom', 'fix', 'system', 'contents',' pulse ',' turn on ',' data ',' second ',' ilang ',' pulse ',' harm ',' very', '']</v>
      </c>
      <c r="D5138" s="3">
        <v>1.0</v>
      </c>
    </row>
    <row r="5139" ht="15.75" customHeight="1">
      <c r="A5139" s="1">
        <v>5137.0</v>
      </c>
      <c r="B5139" s="3" t="s">
        <v>5139</v>
      </c>
      <c r="C5139" s="3" t="str">
        <f>IFERROR(__xludf.DUMMYFUNCTION("GOOGLETRANSLATE(B5139,""id"",""en"")"),"['Signal', 'strong', 'remote', 'yrs', 'use', 'Telkomsel', '']")</f>
        <v>['Signal', 'strong', 'remote', 'yrs', 'use', 'Telkomsel', '']</v>
      </c>
      <c r="D5139" s="3">
        <v>5.0</v>
      </c>
    </row>
    <row r="5140" ht="15.75" customHeight="1">
      <c r="A5140" s="1">
        <v>5138.0</v>
      </c>
      <c r="B5140" s="3" t="s">
        <v>5140</v>
      </c>
      <c r="C5140" s="3" t="str">
        <f>IFERROR(__xludf.DUMMYFUNCTION("GOOGLETRANSLATE(B5140,""id"",""en"")"),"['Telkomsel', 'here', 'ugly', 'the network', 'at home', 'already', 'many years',' Telkomsel ',' please ',' repair ',' yaaa ',' like ',' SAY ',' GARA ',' Network ',' ugly ']")</f>
        <v>['Telkomsel', 'here', 'ugly', 'the network', 'at home', 'already', 'many years',' Telkomsel ',' please ',' repair ',' yaaa ',' like ',' SAY ',' GARA ',' Network ',' ugly ']</v>
      </c>
      <c r="D5140" s="3">
        <v>4.0</v>
      </c>
    </row>
    <row r="5141" ht="15.75" customHeight="1">
      <c r="A5141" s="1">
        <v>5139.0</v>
      </c>
      <c r="B5141" s="3" t="s">
        <v>5141</v>
      </c>
      <c r="C5141" s="3" t="str">
        <f>IFERROR(__xludf.DUMMYFUNCTION("GOOGLETRANSLATE(B5141,""id"",""en"")"),"['Telkomsel', 'migration', 'card', 'hello', 'signal', 'senile', 'smartfren', 'area', 'cikarang', 'south', 'bekasi']")</f>
        <v>['Telkomsel', 'migration', 'card', 'hello', 'signal', 'senile', 'smartfren', 'area', 'cikarang', 'south', 'bekasi']</v>
      </c>
      <c r="D5141" s="3">
        <v>2.0</v>
      </c>
    </row>
    <row r="5142" ht="15.75" customHeight="1">
      <c r="A5142" s="1">
        <v>5140.0</v>
      </c>
      <c r="B5142" s="3" t="s">
        <v>5142</v>
      </c>
      <c r="C5142" s="3" t="str">
        <f>IFERROR(__xludf.DUMMYFUNCTION("GOOGLETRANSLATE(B5142,""id"",""en"")"),"['Kasi', 'star', 'please', 'prank', 'network', 'Jekpot', ""]")</f>
        <v>['Kasi', 'star', 'please', 'prank', 'network', 'Jekpot', "]</v>
      </c>
      <c r="D5142" s="3">
        <v>5.0</v>
      </c>
    </row>
    <row r="5143" ht="15.75" customHeight="1">
      <c r="A5143" s="1">
        <v>5141.0</v>
      </c>
      <c r="B5143" s="3" t="s">
        <v>5143</v>
      </c>
      <c r="C5143" s="3" t="str">
        <f>IFERROR(__xludf.DUMMYFUNCTION("GOOGLETRANSLATE(B5143,""id"",""en"")"),"['Package', 'leftover', 'MB', 'Download', 'Diplaystore', 'MB', 'Broken', 'Remnant', 'expensive', 'Bet', 'Masi', 'Wait', ' Appears', 'quota', 'cheap', ""]")</f>
        <v>['Package', 'leftover', 'MB', 'Download', 'Diplaystore', 'MB', 'Broken', 'Remnant', 'expensive', 'Bet', 'Masi', 'Wait', ' Appears', 'quota', 'cheap', "]</v>
      </c>
      <c r="D5143" s="3">
        <v>1.0</v>
      </c>
    </row>
    <row r="5144" ht="15.75" customHeight="1">
      <c r="A5144" s="1">
        <v>5142.0</v>
      </c>
      <c r="B5144" s="3" t="s">
        <v>5144</v>
      </c>
      <c r="C5144" s="3" t="str">
        <f>IFERROR(__xludf.DUMMYFUNCTION("GOOGLETRANSLATE(B5144,""id"",""en"")"),"['Response', 'migration', 'card', 'Hello', 'Unfortunately', 'card', 'number', 'scorched', 'stop', 'subscribe', 'card', 'Hello', ' ']")</f>
        <v>['Response', 'migration', 'card', 'Hello', 'Unfortunately', 'card', 'number', 'scorched', 'stop', 'subscribe', 'card', 'Hello', ' ']</v>
      </c>
      <c r="D5144" s="3">
        <v>3.0</v>
      </c>
    </row>
    <row r="5145" ht="15.75" customHeight="1">
      <c r="A5145" s="1">
        <v>5143.0</v>
      </c>
      <c r="B5145" s="3" t="s">
        <v>5145</v>
      </c>
      <c r="C5145" s="3" t="str">
        <f>IFERROR(__xludf.DUMMYFUNCTION("GOOGLETRANSLATE(B5145,""id"",""en"")"),"['happy', 'dng', 'Telkomsel', 'help', 'free', 'quota', 'teacher', 'student', 'at school', 'pandemic', 'covid', 'grateful', ' Hopefully ',' Telkomsel ',' advanced ',' Jaya ',' Success', 'Aamiin', ""]")</f>
        <v>['happy', 'dng', 'Telkomsel', 'help', 'free', 'quota', 'teacher', 'student', 'at school', 'pandemic', 'covid', 'grateful', ' Hopefully ',' Telkomsel ',' advanced ',' Jaya ',' Success', 'Aamiin', "]</v>
      </c>
      <c r="D5145" s="3">
        <v>5.0</v>
      </c>
    </row>
    <row r="5146" ht="15.75" customHeight="1">
      <c r="A5146" s="1">
        <v>5144.0</v>
      </c>
      <c r="B5146" s="3" t="s">
        <v>5146</v>
      </c>
      <c r="C5146" s="3" t="str">
        <f>IFERROR(__xludf.DUMMYFUNCTION("GOOGLETRANSLATE(B5146,""id"",""en"")"),"['application', 'good', 'eat', 'quota', 'application', 'version', 'contents',' promo ',' quota ',' application ',' bnyk ',' brita ',' GTU ',' Mreka ',' Nyri ',' Money ',' Dri ',' Ad ',' Brita ',' TPI ',' Disturbs']")</f>
        <v>['application', 'good', 'eat', 'quota', 'application', 'version', 'contents',' promo ',' quota ',' application ',' bnyk ',' brita ',' GTU ',' Mreka ',' Nyri ',' Money ',' Dri ',' Ad ',' Brita ',' TPI ',' Disturbs']</v>
      </c>
      <c r="D5146" s="3">
        <v>1.0</v>
      </c>
    </row>
    <row r="5147" ht="15.75" customHeight="1">
      <c r="A5147" s="1">
        <v>5145.0</v>
      </c>
      <c r="B5147" s="3" t="s">
        <v>5147</v>
      </c>
      <c r="C5147" s="3" t="str">
        <f>IFERROR(__xludf.DUMMYFUNCTION("GOOGLETRANSLATE(B5147,""id"",""en"")"),"['Fix', 'network', 'times', 'stay', 'city', 'Where', 'lag', 'lose', 'card', 'Where', 'smooth', ""]")</f>
        <v>['Fix', 'network', 'times', 'stay', 'city', 'Where', 'lag', 'lose', 'card', 'Where', 'smooth', "]</v>
      </c>
      <c r="D5147" s="3">
        <v>1.0</v>
      </c>
    </row>
    <row r="5148" ht="15.75" customHeight="1">
      <c r="A5148" s="1">
        <v>5146.0</v>
      </c>
      <c r="B5148" s="3" t="s">
        <v>5148</v>
      </c>
      <c r="C5148" s="3" t="str">
        <f>IFERROR(__xludf.DUMMYFUNCTION("GOOGLETRANSLATE(B5148,""id"",""en"")"),"['Not bad', 'good', 'sometimes', 'slow', 'network', 'easy', 'hopefully']")</f>
        <v>['Not bad', 'good', 'sometimes', 'slow', 'network', 'easy', 'hopefully']</v>
      </c>
      <c r="D5148" s="3">
        <v>4.0</v>
      </c>
    </row>
    <row r="5149" ht="15.75" customHeight="1">
      <c r="A5149" s="1">
        <v>5147.0</v>
      </c>
      <c r="B5149" s="3" t="s">
        <v>5149</v>
      </c>
      <c r="C5149" s="3" t="str">
        <f>IFERROR(__xludf.DUMMYFUNCTION("GOOGLETRANSLATE(B5149,""id"",""en"")"),"['Nipu', 'contents',' pulse ',' package ',' so ',' turn ',' fill ',' buy ',' package ',' busy ',' package ',' ilang ',' Loss', 'cave', 'contents',' pulse ']")</f>
        <v>['Nipu', 'contents',' pulse ',' package ',' so ',' turn ',' fill ',' buy ',' package ',' busy ',' package ',' ilang ',' Loss', 'cave', 'contents',' pulse ']</v>
      </c>
      <c r="D5149" s="3">
        <v>1.0</v>
      </c>
    </row>
    <row r="5150" ht="15.75" customHeight="1">
      <c r="A5150" s="1">
        <v>5148.0</v>
      </c>
      <c r="B5150" s="3" t="s">
        <v>5150</v>
      </c>
      <c r="C5150" s="3" t="str">
        <f>IFERROR(__xludf.DUMMYFUNCTION("GOOGLETRANSLATE(B5150,""id"",""en"")"),"['AOLTIATION', 'exciting', 'promo', 'expensive', 'user', 'Telkomsel', 'already', 'tadinta', 'cool', 'complicated', 'moved', 'network', ' Tri ']")</f>
        <v>['AOLTIATION', 'exciting', 'promo', 'expensive', 'user', 'Telkomsel', 'already', 'tadinta', 'cool', 'complicated', 'moved', 'network', ' Tri ']</v>
      </c>
      <c r="D5150" s="3">
        <v>1.0</v>
      </c>
    </row>
    <row r="5151" ht="15.75" customHeight="1">
      <c r="A5151" s="1">
        <v>5149.0</v>
      </c>
      <c r="B5151" s="3" t="s">
        <v>5151</v>
      </c>
      <c r="C5151" s="3" t="str">
        <f>IFERROR(__xludf.DUMMYFUNCTION("GOOGLETRANSLATE(B5151,""id"",""en"")"),"['Often', 'connection', 'Location', 'Jabodetabek', 'Name', 'Cinta', 'Kumaha', 'Atuh', 'Mang', ""]")</f>
        <v>['Often', 'connection', 'Location', 'Jabodetabek', 'Name', 'Cinta', 'Kumaha', 'Atuh', 'Mang', "]</v>
      </c>
      <c r="D5151" s="3">
        <v>1.0</v>
      </c>
    </row>
    <row r="5152" ht="15.75" customHeight="1">
      <c r="A5152" s="1">
        <v>5150.0</v>
      </c>
      <c r="B5152" s="3" t="s">
        <v>5152</v>
      </c>
      <c r="C5152" s="3" t="str">
        <f>IFERROR(__xludf.DUMMYFUNCTION("GOOGLETRANSLATE(B5152,""id"",""en"")"),"['Thanks', 'Tsel', 'thanks', 'cracked', 'earphone', 'broke', 'getting', 'mentally']")</f>
        <v>['Thanks', 'Tsel', 'thanks', 'cracked', 'earphone', 'broke', 'getting', 'mentally']</v>
      </c>
      <c r="D5152" s="3">
        <v>5.0</v>
      </c>
    </row>
    <row r="5153" ht="15.75" customHeight="1">
      <c r="A5153" s="1">
        <v>5151.0</v>
      </c>
      <c r="B5153" s="3" t="s">
        <v>5153</v>
      </c>
      <c r="C5153" s="3" t="str">
        <f>IFERROR(__xludf.DUMMYFUNCTION("GOOGLETRANSLATE(B5153,""id"",""en"")"),"['multiply', 'package', 'package', 'promo', 'love', 'limit', 'buy']")</f>
        <v>['multiply', 'package', 'package', 'promo', 'love', 'limit', 'buy']</v>
      </c>
      <c r="D5153" s="3">
        <v>2.0</v>
      </c>
    </row>
    <row r="5154" ht="15.75" customHeight="1">
      <c r="A5154" s="1">
        <v>5152.0</v>
      </c>
      <c r="B5154" s="3" t="s">
        <v>5154</v>
      </c>
      <c r="C5154" s="3" t="str">
        <f>IFERROR(__xludf.DUMMYFUNCTION("GOOGLETRANSLATE(B5154,""id"",""en"")"),"['Data', 'Game', 'No', 'Play', 'Free', 'Fire', 'Mobile', 'Legends',' Telkomsel ',' Enuh ',' Game ',' Free ',' Fire ',' Please ',' response ',' ']")</f>
        <v>['Data', 'Game', 'No', 'Play', 'Free', 'Fire', 'Mobile', 'Legends',' Telkomsel ',' Enuh ',' Game ',' Free ',' Fire ',' Please ',' response ',' ']</v>
      </c>
      <c r="D5154" s="3">
        <v>1.0</v>
      </c>
    </row>
    <row r="5155" ht="15.75" customHeight="1">
      <c r="A5155" s="1">
        <v>5153.0</v>
      </c>
      <c r="B5155" s="3" t="s">
        <v>5155</v>
      </c>
      <c r="C5155" s="3" t="str">
        <f>IFERROR(__xludf.DUMMYFUNCTION("GOOGLETRANSLATE(B5155,""id"",""en"")"),"['signal', 'poor', 'right', 'sympathy', 'signal', 'okay', 'lose', 'package', 'love', 'star']")</f>
        <v>['signal', 'poor', 'right', 'sympathy', 'signal', 'okay', 'lose', 'package', 'love', 'star']</v>
      </c>
      <c r="D5155" s="3">
        <v>2.0</v>
      </c>
    </row>
    <row r="5156" ht="15.75" customHeight="1">
      <c r="A5156" s="1">
        <v>5154.0</v>
      </c>
      <c r="B5156" s="3" t="s">
        <v>5156</v>
      </c>
      <c r="C5156" s="3" t="str">
        <f>IFERROR(__xludf.DUMMYFUNCTION("GOOGLETRANSLATE(B5156,""id"",""en"")"),"['Sorry', 'developer', 'love', 'input', 'please', 'fix', 'network', 'remote', 'village', 'village', 'Indonesia', ' ugly ',' card ',' Telkomsel ',' network ',' weak ',' Hadi ',' annoying ',' user ',' go ',' search ',' network ',' network ',' network ' , 'N"&amp;"ot bad', 'work', 'task', 'road', 'km']")</f>
        <v>['Sorry', 'developer', 'love', 'input', 'please', 'fix', 'network', 'remote', 'village', 'village', 'Indonesia', ' ugly ',' card ',' Telkomsel ',' network ',' weak ',' Hadi ',' annoying ',' user ',' go ',' search ',' network ',' network ',' network ' , 'Not bad', 'work', 'task', 'road', 'km']</v>
      </c>
      <c r="D5156" s="3">
        <v>1.0</v>
      </c>
    </row>
    <row r="5157" ht="15.75" customHeight="1">
      <c r="A5157" s="1">
        <v>5155.0</v>
      </c>
      <c r="B5157" s="3" t="s">
        <v>5157</v>
      </c>
      <c r="C5157" s="3" t="str">
        <f>IFERROR(__xludf.DUMMYFUNCTION("GOOGLETRANSLATE(B5157,""id"",""en"")"),"['How', 'Sinyal', 'Kaga', 'slow', 'already', 'City']")</f>
        <v>['How', 'Sinyal', 'Kaga', 'slow', 'already', 'City']</v>
      </c>
      <c r="D5157" s="3">
        <v>1.0</v>
      </c>
    </row>
    <row r="5158" ht="15.75" customHeight="1">
      <c r="A5158" s="1">
        <v>5156.0</v>
      </c>
      <c r="B5158" s="3" t="s">
        <v>5158</v>
      </c>
      <c r="C5158" s="3" t="str">
        <f>IFERROR(__xludf.DUMMYFUNCTION("GOOGLETRANSLATE(B5158,""id"",""en"")"),"['Increases', 'Features', 'Features', 'APK', 'MyTelkomsel', '']")</f>
        <v>['Increases', 'Features', 'Features', 'APK', 'MyTelkomsel', '']</v>
      </c>
      <c r="D5158" s="3">
        <v>5.0</v>
      </c>
    </row>
    <row r="5159" ht="15.75" customHeight="1">
      <c r="A5159" s="1">
        <v>5157.0</v>
      </c>
      <c r="B5159" s="3" t="s">
        <v>5159</v>
      </c>
      <c r="C5159" s="3" t="str">
        <f>IFERROR(__xludf.DUMMYFUNCTION("GOOGLETRANSLATE(B5159,""id"",""en"")"),"['Telkomsel', 'knapa', 'always',' contents', 'pulse', 'should', 'always',' sumps', 'sms',' ndam ',' telfn ',' ndak ',' owe ',' no ',' wants', 'sucked', 'try', 'Reply', 'Review', '']")</f>
        <v>['Telkomsel', 'knapa', 'always',' contents', 'pulse', 'should', 'always',' sumps', 'sms',' ndam ',' telfn ',' ndak ',' owe ',' no ',' wants', 'sucked', 'try', 'Reply', 'Review', '']</v>
      </c>
      <c r="D5159" s="3">
        <v>5.0</v>
      </c>
    </row>
    <row r="5160" ht="15.75" customHeight="1">
      <c r="A5160" s="1">
        <v>5158.0</v>
      </c>
      <c r="B5160" s="3" t="s">
        <v>5160</v>
      </c>
      <c r="C5160" s="3" t="str">
        <f>IFERROR(__xludf.DUMMYFUNCTION("GOOGLETRANSLATE(B5160,""id"",""en"")"),"['Telkomsel', 'back', 'pulse', 'cook', 'buy', 'package', 'internet', 'credit', 'take', 'buy', 'pulse', 'minta', ' Please, 'Restore', 'Credit']")</f>
        <v>['Telkomsel', 'back', 'pulse', 'cook', 'buy', 'package', 'internet', 'credit', 'take', 'buy', 'pulse', 'minta', ' Please, 'Restore', 'Credit']</v>
      </c>
      <c r="D5160" s="3">
        <v>1.0</v>
      </c>
    </row>
    <row r="5161" ht="15.75" customHeight="1">
      <c r="A5161" s="1">
        <v>5159.0</v>
      </c>
      <c r="B5161" s="3" t="s">
        <v>5161</v>
      </c>
      <c r="C5161" s="3" t="str">
        <f>IFERROR(__xludf.DUMMYFUNCTION("GOOGLETRANSLATE(B5161,""id"",""en"")"),"['Telkomsel', 'here', 'Severe', 'Change', 'Card', '']")</f>
        <v>['Telkomsel', 'here', 'Severe', 'Change', 'Card', '']</v>
      </c>
      <c r="D5161" s="3">
        <v>1.0</v>
      </c>
    </row>
    <row r="5162" ht="15.75" customHeight="1">
      <c r="A5162" s="1">
        <v>5160.0</v>
      </c>
      <c r="B5162" s="3" t="s">
        <v>5162</v>
      </c>
      <c r="C5162" s="3" t="str">
        <f>IFERROR(__xludf.DUMMYFUNCTION("GOOGLETRANSLATE(B5162,""id"",""en"")"),"['package', 'emang', 'network', 'bad', 'purchase', 'expensive', 'strong', 'Makai', 'Telkomsel', 'Indosat', 'Come', 'Discard', ' card ',' Telkomsel ',' friend ',' change ',' use ',' Indosat ',' guarantee ',' network ', ""]")</f>
        <v>['package', 'emang', 'network', 'bad', 'purchase', 'expensive', 'strong', 'Makai', 'Telkomsel', 'Indosat', 'Come', 'Discard', ' card ',' Telkomsel ',' friend ',' change ',' use ',' Indosat ',' guarantee ',' network ', "]</v>
      </c>
      <c r="D5162" s="3">
        <v>1.0</v>
      </c>
    </row>
    <row r="5163" ht="15.75" customHeight="1">
      <c r="A5163" s="1">
        <v>5161.0</v>
      </c>
      <c r="B5163" s="3" t="s">
        <v>5163</v>
      </c>
      <c r="C5163" s="3" t="str">
        <f>IFERROR(__xludf.DUMMYFUNCTION("GOOGLETRANSLATE(B5163,""id"",""en"")"),"['already', 'make', 'Telkomsel', 'network', 'slow', 'really', 'lose', 'card', 'card', 'pulse', 'sumps',' data ',' activated ',' then ',' pulse ',' cheek ',' pdahal ',' minjam ',' package ',' emergency ',' ']")</f>
        <v>['already', 'make', 'Telkomsel', 'network', 'slow', 'really', 'lose', 'card', 'card', 'pulse', 'sumps',' data ',' activated ',' then ',' pulse ',' cheek ',' pdahal ',' minjam ',' package ',' emergency ',' ']</v>
      </c>
      <c r="D5163" s="3">
        <v>1.0</v>
      </c>
    </row>
    <row r="5164" ht="15.75" customHeight="1">
      <c r="A5164" s="1">
        <v>5162.0</v>
      </c>
      <c r="B5164" s="3" t="s">
        <v>5164</v>
      </c>
      <c r="C5164" s="3" t="str">
        <f>IFERROR(__xludf.DUMMYFUNCTION("GOOGLETRANSLATE(B5164,""id"",""en"")"),"['Service', 'Customer', 'Center', 'Card', 'Hello', 'Help', 'Impressed', 'Persulit', 'Bad', 'Service', ""]")</f>
        <v>['Service', 'Customer', 'Center', 'Card', 'Hello', 'Help', 'Impressed', 'Persulit', 'Bad', 'Service', "]</v>
      </c>
      <c r="D5164" s="3">
        <v>2.0</v>
      </c>
    </row>
    <row r="5165" ht="15.75" customHeight="1">
      <c r="A5165" s="1">
        <v>5163.0</v>
      </c>
      <c r="B5165" s="3" t="s">
        <v>5165</v>
      </c>
      <c r="C5165" s="3" t="str">
        <f>IFERROR(__xludf.DUMMYFUNCTION("GOOGLETRANSLATE(B5165,""id"",""en"")"),"['convenience', 'transaction', 'good', 'really', 'please', 'network', 'repaired', ""]")</f>
        <v>['convenience', 'transaction', 'good', 'really', 'please', 'network', 'repaired', "]</v>
      </c>
      <c r="D5165" s="3">
        <v>5.0</v>
      </c>
    </row>
    <row r="5166" ht="15.75" customHeight="1">
      <c r="A5166" s="1">
        <v>5164.0</v>
      </c>
      <c r="B5166" s="3" t="s">
        <v>5166</v>
      </c>
      <c r="C5166" s="3" t="str">
        <f>IFERROR(__xludf.DUMMYFUNCTION("GOOGLETRANSLATE(B5166,""id"",""en"")"),"['signal', 'Telkomsel', 'ugly', 'open', 'application', 'signal', 'good', 'play', 'game', 'signal', 'ugly', 'please', ' Fix ',' Costumer ',' Comfortable ',' ']")</f>
        <v>['signal', 'Telkomsel', 'ugly', 'open', 'application', 'signal', 'good', 'play', 'game', 'signal', 'ugly', 'please', ' Fix ',' Costumer ',' Comfortable ',' ']</v>
      </c>
      <c r="D5166" s="3">
        <v>1.0</v>
      </c>
    </row>
    <row r="5167" ht="15.75" customHeight="1">
      <c r="A5167" s="1">
        <v>5165.0</v>
      </c>
      <c r="B5167" s="3" t="s">
        <v>5167</v>
      </c>
      <c r="C5167" s="3" t="str">
        <f>IFERROR(__xludf.DUMMYFUNCTION("GOOGLETRANSLATE(B5167,""id"",""en"")"),"['Good', 'quality', 'signal', 'apek', 'hadeuh', '']")</f>
        <v>['Good', 'quality', 'signal', 'apek', 'hadeuh', '']</v>
      </c>
      <c r="D5167" s="3">
        <v>1.0</v>
      </c>
    </row>
    <row r="5168" ht="15.75" customHeight="1">
      <c r="A5168" s="1">
        <v>5166.0</v>
      </c>
      <c r="B5168" s="3" t="s">
        <v>5168</v>
      </c>
      <c r="C5168" s="3" t="str">
        <f>IFERROR(__xludf.DUMMYFUNCTION("GOOGLETRANSLATE(B5168,""id"",""en"")"),"['bad', 'network', 'city', 'JKRT', 'signal', 'down', 'fast', 'run out', 'internet', 'loading', 'mulu', 'slow', ' ']")</f>
        <v>['bad', 'network', 'city', 'JKRT', 'signal', 'down', 'fast', 'run out', 'internet', 'loading', 'mulu', 'slow', ' ']</v>
      </c>
      <c r="D5168" s="3">
        <v>1.0</v>
      </c>
    </row>
    <row r="5169" ht="15.75" customHeight="1">
      <c r="A5169" s="1">
        <v>5167.0</v>
      </c>
      <c r="B5169" s="3" t="s">
        <v>5169</v>
      </c>
      <c r="C5169" s="3" t="str">
        <f>IFERROR(__xludf.DUMMYFUNCTION("GOOGLETRANSLATE(B5169,""id"",""en"")"),"['Please', 'Sorry', 'Star', 'a month', 'Network', 'lag']")</f>
        <v>['Please', 'Sorry', 'Star', 'a month', 'Network', 'lag']</v>
      </c>
      <c r="D5169" s="3">
        <v>1.0</v>
      </c>
    </row>
    <row r="5170" ht="15.75" customHeight="1">
      <c r="A5170" s="1">
        <v>5168.0</v>
      </c>
      <c r="B5170" s="3" t="s">
        <v>5170</v>
      </c>
      <c r="C5170" s="3" t="str">
        <f>IFERROR(__xludf.DUMMYFUNCTION("GOOGLETRANSLATE(B5170,""id"",""en"")"),"['Good', 'really', 'Purchase', 'Packet', 'quota', 'counted', 'cheap', 'signal', 'dikami', 'good', 'klu', 'packet', ' Love ',' Cheap ',' Use ',' Combo ',' Sakti ',' ']")</f>
        <v>['Good', 'really', 'Purchase', 'Packet', 'quota', 'counted', 'cheap', 'signal', 'dikami', 'good', 'klu', 'packet', ' Love ',' Cheap ',' Use ',' Combo ',' Sakti ',' ']</v>
      </c>
      <c r="D5170" s="3">
        <v>3.0</v>
      </c>
    </row>
    <row r="5171" ht="15.75" customHeight="1">
      <c r="A5171" s="1">
        <v>5169.0</v>
      </c>
      <c r="B5171" s="3" t="s">
        <v>5171</v>
      </c>
      <c r="C5171" s="3" t="str">
        <f>IFERROR(__xludf.DUMMYFUNCTION("GOOGLETRANSLATE(B5171,""id"",""en"")"),"['price', 'package', 'expensive', 'quality', 'ugly', 'clock', 'noon', 'network', 'lbih', 'severe', 'network', 'edge', ' Telkomsel ',' please ',' fix ',' network ',' user ',' loyal ',' Telkomsel ', ""]")</f>
        <v>['price', 'package', 'expensive', 'quality', 'ugly', 'clock', 'noon', 'network', 'lbih', 'severe', 'network', 'edge', ' Telkomsel ',' please ',' fix ',' network ',' user ',' loyal ',' Telkomsel ', "]</v>
      </c>
      <c r="D5171" s="3">
        <v>1.0</v>
      </c>
    </row>
    <row r="5172" ht="15.75" customHeight="1">
      <c r="A5172" s="1">
        <v>5170.0</v>
      </c>
      <c r="B5172" s="3" t="s">
        <v>5172</v>
      </c>
      <c r="C5172" s="3" t="str">
        <f>IFERROR(__xludf.DUMMYFUNCTION("GOOGLETRANSLATE(B5172,""id"",""en"")"),"['', 'Lord', 'Wrong', 'Apalg', 'Buy', 'Credit', 'Sumpot', 'Mulu', 'Udh', 'Stop', 'msh', 'my computer', 'expensive ',' ']")</f>
        <v>['', 'Lord', 'Wrong', 'Apalg', 'Buy', 'Credit', 'Sumpot', 'Mulu', 'Udh', 'Stop', 'msh', 'my computer', 'expensive ',' ']</v>
      </c>
      <c r="D5172" s="3">
        <v>1.0</v>
      </c>
    </row>
    <row r="5173" ht="15.75" customHeight="1">
      <c r="A5173" s="1">
        <v>5171.0</v>
      </c>
      <c r="B5173" s="3" t="s">
        <v>5173</v>
      </c>
      <c r="C5173" s="3" t="str">
        <f>IFERROR(__xludf.DUMMYFUNCTION("GOOGLETRANSLATE(B5173,""id"",""en"")"),"['quota', 'sms',' access', 'internet', 'non', 'package', 'cut', 'pulse', 'strange', 'fix', 'convenience', 'customer', ' ']")</f>
        <v>['quota', 'sms',' access', 'internet', 'non', 'package', 'cut', 'pulse', 'strange', 'fix', 'convenience', 'customer', ' ']</v>
      </c>
      <c r="D5173" s="3">
        <v>1.0</v>
      </c>
    </row>
    <row r="5174" ht="15.75" customHeight="1">
      <c r="A5174" s="1">
        <v>5172.0</v>
      </c>
      <c r="B5174" s="3" t="s">
        <v>5174</v>
      </c>
      <c r="C5174" s="3" t="str">
        <f>IFERROR(__xludf.DUMMYFUNCTION("GOOGLETRANSLATE(B5174,""id"",""en"")"),"['internet', 'slow', 'really', 'application', 'open', 'mytelkomsel', 'fast', 'strange', '']")</f>
        <v>['internet', 'slow', 'really', 'application', 'open', 'mytelkomsel', 'fast', 'strange', '']</v>
      </c>
      <c r="D5174" s="3">
        <v>1.0</v>
      </c>
    </row>
    <row r="5175" ht="15.75" customHeight="1">
      <c r="A5175" s="1">
        <v>5173.0</v>
      </c>
      <c r="B5175" s="3" t="s">
        <v>5175</v>
      </c>
      <c r="C5175" s="3" t="str">
        <f>IFERROR(__xludf.DUMMYFUNCTION("GOOGLETRANSLATE(B5175,""id"",""en"")"),"['Help', 'fast', 'Hopefully', 'Telkomsel', 'Terbaii', '']")</f>
        <v>['Help', 'fast', 'Hopefully', 'Telkomsel', 'Terbaii', '']</v>
      </c>
      <c r="D5175" s="3">
        <v>5.0</v>
      </c>
    </row>
    <row r="5176" ht="15.75" customHeight="1">
      <c r="A5176" s="1">
        <v>5174.0</v>
      </c>
      <c r="B5176" s="3" t="s">
        <v>5176</v>
      </c>
      <c r="C5176" s="3" t="str">
        <f>IFERROR(__xludf.DUMMYFUNCTION("GOOGLETRANSLATE(B5176,""id"",""en"")"),"['Severe', 'sucked', 'pulse', 'transaction', 'uda', 'many', 'times',' pulse ',' sucked ',' veronika ',' answer ',' robot ',' solution']")</f>
        <v>['Severe', 'sucked', 'pulse', 'transaction', 'uda', 'many', 'times',' pulse ',' sucked ',' veronika ',' answer ',' robot ',' solution']</v>
      </c>
      <c r="D5176" s="3">
        <v>1.0</v>
      </c>
    </row>
    <row r="5177" ht="15.75" customHeight="1">
      <c r="A5177" s="1">
        <v>5175.0</v>
      </c>
      <c r="B5177" s="3" t="s">
        <v>5177</v>
      </c>
      <c r="C5177" s="3" t="str">
        <f>IFERROR(__xludf.DUMMYFUNCTION("GOOGLETRANSLATE(B5177,""id"",""en"")"),"['Subscription', 'Telkomsel', 'Note', 'Quality', 'Telkomsel', 'Bad', 'Telephone', 'Internet', 'ugly', 'Easy', 'Disconnected', 'Price', ' Most expensive ',' Quality ',' Rare ',' Note ',' Buru ',' Buru ',' Promo ',' Comfort ',' Used ']")</f>
        <v>['Subscription', 'Telkomsel', 'Note', 'Quality', 'Telkomsel', 'Bad', 'Telephone', 'Internet', 'ugly', 'Easy', 'Disconnected', 'Price', ' Most expensive ',' Quality ',' Rare ',' Note ',' Buru ',' Buru ',' Promo ',' Comfort ',' Used ']</v>
      </c>
      <c r="D5177" s="3">
        <v>2.0</v>
      </c>
    </row>
    <row r="5178" ht="15.75" customHeight="1">
      <c r="A5178" s="1">
        <v>5176.0</v>
      </c>
      <c r="B5178" s="3" t="s">
        <v>5178</v>
      </c>
      <c r="C5178" s="3" t="str">
        <f>IFERROR(__xludf.DUMMYFUNCTION("GOOGLETRANSLATE(B5178,""id"",""en"")"),"['try', 'application', 'easy', 'hopefully', 'can', 'info', 'lbh', 'can', 'prize', '']")</f>
        <v>['try', 'application', 'easy', 'hopefully', 'can', 'info', 'lbh', 'can', 'prize', '']</v>
      </c>
      <c r="D5178" s="3">
        <v>5.0</v>
      </c>
    </row>
    <row r="5179" ht="15.75" customHeight="1">
      <c r="A5179" s="1">
        <v>5177.0</v>
      </c>
      <c r="B5179" s="3" t="s">
        <v>5179</v>
      </c>
      <c r="C5179" s="3" t="str">
        <f>IFERROR(__xludf.DUMMYFUNCTION("GOOGLETRANSLATE(B5179,""id"",""en"")"),"['Sbnernya', 'like', 'Telkomsel', 'phone', 'expensive', 'sodara', 'cianjur', 'phone', 'cheap', 'good', 'knpa', 'district', ' Different ',' package ',' cheap ',' buy ',' a month ',' tasty ',' that's', 'money']")</f>
        <v>['Sbnernya', 'like', 'Telkomsel', 'phone', 'expensive', 'sodara', 'cianjur', 'phone', 'cheap', 'good', 'knpa', 'district', ' Different ',' package ',' cheap ',' buy ',' a month ',' tasty ',' that's', 'money']</v>
      </c>
      <c r="D5179" s="3">
        <v>1.0</v>
      </c>
    </row>
    <row r="5180" ht="15.75" customHeight="1">
      <c r="A5180" s="1">
        <v>5178.0</v>
      </c>
      <c r="B5180" s="3" t="s">
        <v>5180</v>
      </c>
      <c r="C5180" s="3" t="str">
        <f>IFERROR(__xludf.DUMMYFUNCTION("GOOGLETRANSLATE(B5180,""id"",""en"")"),"['buy', 'quota', 'omg', 'appears',' extra ',' unlimited ',' yahh ',' please ',' help ',' buy ',' pulse ',' expensive ',' Lohhh ',' ']")</f>
        <v>['buy', 'quota', 'omg', 'appears',' extra ',' unlimited ',' yahh ',' please ',' help ',' buy ',' pulse ',' expensive ',' Lohhh ',' ']</v>
      </c>
      <c r="D5180" s="3">
        <v>3.0</v>
      </c>
    </row>
    <row r="5181" ht="15.75" customHeight="1">
      <c r="A5181" s="1">
        <v>5179.0</v>
      </c>
      <c r="B5181" s="3" t="s">
        <v>5181</v>
      </c>
      <c r="C5181" s="3" t="str">
        <f>IFERROR(__xludf.DUMMYFUNCTION("GOOGLETRANSLATE(B5181,""id"",""en"")"),"['repeated', 'times', 'husband', 'problematic', 'network', 'bad']")</f>
        <v>['repeated', 'times', 'husband', 'problematic', 'network', 'bad']</v>
      </c>
      <c r="D5181" s="3">
        <v>1.0</v>
      </c>
    </row>
    <row r="5182" ht="15.75" customHeight="1">
      <c r="A5182" s="1">
        <v>5180.0</v>
      </c>
      <c r="B5182" s="3" t="s">
        <v>5182</v>
      </c>
      <c r="C5182" s="3" t="str">
        <f>IFERROR(__xludf.DUMMYFUNCTION("GOOGLETRANSLATE(B5182,""id"",""en"")"),"['Help', 'Information', 'Consumer', 'Professional', 'Increase']")</f>
        <v>['Help', 'Information', 'Consumer', 'Professional', 'Increase']</v>
      </c>
      <c r="D5182" s="3">
        <v>5.0</v>
      </c>
    </row>
    <row r="5183" ht="15.75" customHeight="1">
      <c r="A5183" s="1">
        <v>5181.0</v>
      </c>
      <c r="B5183" s="3" t="s">
        <v>5183</v>
      </c>
      <c r="C5183" s="3" t="str">
        <f>IFERROR(__xludf.DUMMYFUNCTION("GOOGLETRANSLATE(B5183,""id"",""en"")"),"['Please', 'noticed', 'noticed', 'quota', 'run out', 'direct', 'suck', 'balance', 'pulse', 'times',' repeat ',' action ',' Fix ',' System ',' Signal ',' Times', 'ilang', 'Area', 'Gurah', 'Kediri']")</f>
        <v>['Please', 'noticed', 'noticed', 'quota', 'run out', 'direct', 'suck', 'balance', 'pulse', 'times',' repeat ',' action ',' Fix ',' System ',' Signal ',' Times', 'ilang', 'Area', 'Gurah', 'Kediri']</v>
      </c>
      <c r="D5183" s="3">
        <v>2.0</v>
      </c>
    </row>
    <row r="5184" ht="15.75" customHeight="1">
      <c r="A5184" s="1">
        <v>5182.0</v>
      </c>
      <c r="B5184" s="3" t="s">
        <v>5184</v>
      </c>
      <c r="C5184" s="3" t="str">
        <f>IFERROR(__xludf.DUMMYFUNCTION("GOOGLETRANSLATE(B5184,""id"",""en"")"),"['Money', 'Father', 'Money', 'Search', 'Buyin', 'Quota', 'Network', 'Telkomsel', 'Jngan', 'Main', ""]")</f>
        <v>['Money', 'Father', 'Money', 'Search', 'Buyin', 'Quota', 'Network', 'Telkomsel', 'Jngan', 'Main', "]</v>
      </c>
      <c r="D5184" s="3">
        <v>1.0</v>
      </c>
    </row>
    <row r="5185" ht="15.75" customHeight="1">
      <c r="A5185" s="1">
        <v>5183.0</v>
      </c>
      <c r="B5185" s="3" t="s">
        <v>5185</v>
      </c>
      <c r="C5185" s="3" t="str">
        <f>IFERROR(__xludf.DUMMYFUNCTION("GOOGLETRANSLATE(B5185,""id"",""en"")"),"['', 'Samsung', 'buy', 'package', 'internet', 'no', 'open', 'You', 'tube', 'open', 'application', 'map', 'fox ',' Setting ',' Thank ',' ']")</f>
        <v>['', 'Samsung', 'buy', 'package', 'internet', 'no', 'open', 'You', 'tube', 'open', 'application', 'map', 'fox ',' Setting ',' Thank ',' ']</v>
      </c>
      <c r="D5185" s="3">
        <v>3.0</v>
      </c>
    </row>
    <row r="5186" ht="15.75" customHeight="1">
      <c r="A5186" s="1">
        <v>5184.0</v>
      </c>
      <c r="B5186" s="3" t="s">
        <v>5186</v>
      </c>
      <c r="C5186" s="3" t="str">
        <f>IFERROR(__xludf.DUMMYFUNCTION("GOOGLETRANSLATE(B5186,""id"",""en"")"),"['Telkomsel', 'cheats',' pulseku ',' finished ',' sucked ',' pdhal ',' nsp ',' package ',' stand ',' telponan ',' whatsapp ',' already ',' Check ',' Counter ',' Direct ',' Sucked ',' Eat ',' Credit ',' Fast ',' Rich ',' You ',' ']")</f>
        <v>['Telkomsel', 'cheats',' pulseku ',' finished ',' sucked ',' pdhal ',' nsp ',' package ',' stand ',' telponan ',' whatsapp ',' already ',' Check ',' Counter ',' Direct ',' Sucked ',' Eat ',' Credit ',' Fast ',' Rich ',' You ',' ']</v>
      </c>
      <c r="D5186" s="3">
        <v>1.0</v>
      </c>
    </row>
    <row r="5187" ht="15.75" customHeight="1">
      <c r="A5187" s="1">
        <v>5185.0</v>
      </c>
      <c r="B5187" s="3" t="s">
        <v>5187</v>
      </c>
      <c r="C5187" s="3" t="str">
        <f>IFERROR(__xludf.DUMMYFUNCTION("GOOGLETRANSLATE(B5187,""id"",""en"")"),"['APK', 'Opened', 'Loading', 'Bener', 'Network', 'Kenceng', 'Dipake', 'Watch', 'YouTube', 'Quality', 'HD', 'Current', ' Download ',' translucent ',' Speed ​​',' MB ',' Android ',' UDH ',' Turn ',' Open ',' APK ',' Loading ',' Bener ',' Serasa ',' Network "&amp;"' , '']")</f>
        <v>['APK', 'Opened', 'Loading', 'Bener', 'Network', 'Kenceng', 'Dipake', 'Watch', 'YouTube', 'Quality', 'HD', 'Current', ' Download ',' translucent ',' Speed ​​',' MB ',' Android ',' UDH ',' Turn ',' Open ',' APK ',' Loading ',' Bener ',' Serasa ',' Network ' , '']</v>
      </c>
      <c r="D5187" s="3">
        <v>1.0</v>
      </c>
    </row>
    <row r="5188" ht="15.75" customHeight="1">
      <c r="A5188" s="1">
        <v>5186.0</v>
      </c>
      <c r="B5188" s="3" t="s">
        <v>5188</v>
      </c>
      <c r="C5188" s="3" t="str">
        <f>IFERROR(__xludf.DUMMYFUNCTION("GOOGLETRANSLATE(B5188,""id"",""en"")"),"['Customer', 'Telkom', 'Ksini', 'service', 'Telkom', 'satisfying', 'loss', 'signal', 'Please', 'repaired', 'service', ""]")</f>
        <v>['Customer', 'Telkom', 'Ksini', 'service', 'Telkom', 'satisfying', 'loss', 'signal', 'Please', 'repaired', 'service', "]</v>
      </c>
      <c r="D5188" s="3">
        <v>1.0</v>
      </c>
    </row>
    <row r="5189" ht="15.75" customHeight="1">
      <c r="A5189" s="1">
        <v>5187.0</v>
      </c>
      <c r="B5189" s="3" t="s">
        <v>811</v>
      </c>
      <c r="C5189" s="3" t="str">
        <f>IFERROR(__xludf.DUMMYFUNCTION("GOOGLETRANSLATE(B5189,""id"",""en"")"),"['Application', 'Good', '']")</f>
        <v>['Application', 'Good', '']</v>
      </c>
      <c r="D5189" s="3">
        <v>5.0</v>
      </c>
    </row>
    <row r="5190" ht="15.75" customHeight="1">
      <c r="A5190" s="1">
        <v>5188.0</v>
      </c>
      <c r="B5190" s="3" t="s">
        <v>5189</v>
      </c>
      <c r="C5190" s="3" t="str">
        <f>IFERROR(__xludf.DUMMYFUNCTION("GOOGLETRANSLATE(B5190,""id"",""en"")"),"['The application', 'bgs',' really ',' ngak ',' nyesel ',' deh ',' me ',' dwonload ',' install ',' hunt ',' deh ',' install ',' ']")</f>
        <v>['The application', 'bgs',' really ',' ngak ',' nyesel ',' deh ',' me ',' dwonload ',' install ',' hunt ',' deh ',' install ',' ']</v>
      </c>
      <c r="D5190" s="3">
        <v>5.0</v>
      </c>
    </row>
    <row r="5191" ht="15.75" customHeight="1">
      <c r="A5191" s="1">
        <v>5189.0</v>
      </c>
      <c r="B5191" s="3" t="s">
        <v>5190</v>
      </c>
      <c r="C5191" s="3" t="str">
        <f>IFERROR(__xludf.DUMMYFUNCTION("GOOGLETRANSLATE(B5191,""id"",""en"")"),"['Network', 'Down', 'Sometimes', 'Sometimes', 'Lost', 'Please', 'Fix', '']")</f>
        <v>['Network', 'Down', 'Sometimes', 'Sometimes', 'Lost', 'Please', 'Fix', '']</v>
      </c>
      <c r="D5191" s="3">
        <v>3.0</v>
      </c>
    </row>
    <row r="5192" ht="15.75" customHeight="1">
      <c r="A5192" s="1">
        <v>5190.0</v>
      </c>
      <c r="B5192" s="3" t="s">
        <v>5191</v>
      </c>
      <c r="C5192" s="3" t="str">
        <f>IFERROR(__xludf.DUMMYFUNCTION("GOOGLETRANSLATE(B5192,""id"",""en"")"),"['Severe', 'Telkomel', 'Packagein', 'Quota', 'Payment', 'Gopay', 'Nyari', 'Method', 'Payment', 'Telkomsel', 'Severe', ""]")</f>
        <v>['Severe', 'Telkomel', 'Packagein', 'Quota', 'Payment', 'Gopay', 'Nyari', 'Method', 'Payment', 'Telkomsel', 'Severe', "]</v>
      </c>
      <c r="D5192" s="3">
        <v>1.0</v>
      </c>
    </row>
    <row r="5193" ht="15.75" customHeight="1">
      <c r="A5193" s="1">
        <v>5191.0</v>
      </c>
      <c r="B5193" s="3" t="s">
        <v>5192</v>
      </c>
      <c r="C5193" s="3" t="str">
        <f>IFERROR(__xludf.DUMMYFUNCTION("GOOGLETRANSLATE(B5193,""id"",""en"")"),"['credit', 'opened', 'pulse', 'eat', 'pulse', 'contents',' thousand ',' buy ',' package ',' visits', 'process',' pulse ',' Cut ',' Reasons', 'Internet', 'Package', 'Notif', 'Package', 'Bought', 'Bought', 'Karna', 'Credit', 'Adequate', 'Taik', ""]")</f>
        <v>['credit', 'opened', 'pulse', 'eat', 'pulse', 'contents',' thousand ',' buy ',' package ',' visits', 'process',' pulse ',' Cut ',' Reasons', 'Internet', 'Package', 'Notif', 'Package', 'Bought', 'Bought', 'Karna', 'Credit', 'Adequate', 'Taik', "]</v>
      </c>
      <c r="D5193" s="3">
        <v>1.0</v>
      </c>
    </row>
    <row r="5194" ht="15.75" customHeight="1">
      <c r="A5194" s="1">
        <v>5192.0</v>
      </c>
      <c r="B5194" s="3" t="s">
        <v>5193</v>
      </c>
      <c r="C5194" s="3" t="str">
        <f>IFERROR(__xludf.DUMMYFUNCTION("GOOGLETRANSLATE(B5194,""id"",""en"")"),"['Dear', 'Developer', 'Telkom', 'KNP', 'Network', 'Telkom', 'Difficult', 'Comfortable', 'Network', 'Telkom', 'Current', 'TPI', ' Knp ',' slow ',' disappointed ',' Telkom ',' ']")</f>
        <v>['Dear', 'Developer', 'Telkom', 'KNP', 'Network', 'Telkom', 'Difficult', 'Comfortable', 'Network', 'Telkom', 'Current', 'TPI', ' Knp ',' slow ',' disappointed ',' Telkom ',' ']</v>
      </c>
      <c r="D5194" s="3">
        <v>1.0</v>
      </c>
    </row>
    <row r="5195" ht="15.75" customHeight="1">
      <c r="A5195" s="1">
        <v>5193.0</v>
      </c>
      <c r="B5195" s="3" t="s">
        <v>5194</v>
      </c>
      <c r="C5195" s="3" t="str">
        <f>IFERROR(__xludf.DUMMYFUNCTION("GOOGLETRANSLATE(B5195,""id"",""en"")"),"['package', 'data', 'cheap', 'festive', 'network', 'region', 'cottage', 'pumpkin', 'cilandak', 'good']")</f>
        <v>['package', 'data', 'cheap', 'festive', 'network', 'region', 'cottage', 'pumpkin', 'cilandak', 'good']</v>
      </c>
      <c r="D5195" s="3">
        <v>5.0</v>
      </c>
    </row>
    <row r="5196" ht="15.75" customHeight="1">
      <c r="A5196" s="1">
        <v>5194.0</v>
      </c>
      <c r="B5196" s="3" t="s">
        <v>5195</v>
      </c>
      <c r="C5196" s="3" t="str">
        <f>IFERROR(__xludf.DUMMYFUNCTION("GOOGLETRANSLATE(B5196,""id"",""en"")"),"['Telkomsel', 'good', 'please', 'min', 'purchase', 'package', 'data', '']")</f>
        <v>['Telkomsel', 'good', 'please', 'min', 'purchase', 'package', 'data', '']</v>
      </c>
      <c r="D5196" s="3">
        <v>5.0</v>
      </c>
    </row>
    <row r="5197" ht="15.75" customHeight="1">
      <c r="A5197" s="1">
        <v>5195.0</v>
      </c>
      <c r="B5197" s="3" t="s">
        <v>5196</v>
      </c>
      <c r="C5197" s="3" t="str">
        <f>IFERROR(__xludf.DUMMYFUNCTION("GOOGLETRANSLATE(B5197,""id"",""en"")"),"['signal', 'rich', 'axsis', 'mah', 'already', 'mah', 'expensive', 'quality', 'network', 'slow', 'mah', 'rich']")</f>
        <v>['signal', 'rich', 'axsis', 'mah', 'already', 'mah', 'expensive', 'quality', 'network', 'slow', 'mah', 'rich']</v>
      </c>
      <c r="D5197" s="3">
        <v>2.0</v>
      </c>
    </row>
    <row r="5198" ht="15.75" customHeight="1">
      <c r="A5198" s="1">
        <v>5196.0</v>
      </c>
      <c r="B5198" s="3" t="s">
        <v>5197</v>
      </c>
      <c r="C5198" s="3" t="str">
        <f>IFERROR(__xludf.DUMMYFUNCTION("GOOGLETRANSLATE(B5198,""id"",""en"")"),"['Damaged', 'Telkomsel', 'crazy', 'package', 'quota', 'cheap', 'plus', 'kagak', 'severe', 'oath', 'telkomsel', 'skrg']")</f>
        <v>['Damaged', 'Telkomsel', 'crazy', 'package', 'quota', 'cheap', 'plus', 'kagak', 'severe', 'oath', 'telkomsel', 'skrg']</v>
      </c>
      <c r="D5198" s="3">
        <v>1.0</v>
      </c>
    </row>
    <row r="5199" ht="15.75" customHeight="1">
      <c r="A5199" s="1">
        <v>5197.0</v>
      </c>
      <c r="B5199" s="3" t="s">
        <v>5198</v>
      </c>
      <c r="C5199" s="3" t="str">
        <f>IFERROR(__xludf.DUMMYFUNCTION("GOOGLETRANSLATE(B5199,""id"",""en"")"),"['Alhamdulillah', 'already', 'Pakek', 'Telkomsel', 'price', 'package', 'affordable', 'help', 'work', 'thank', 'love', 'Telkomsel']")</f>
        <v>['Alhamdulillah', 'already', 'Pakek', 'Telkomsel', 'price', 'package', 'affordable', 'help', 'work', 'thank', 'love', 'Telkomsel']</v>
      </c>
      <c r="D5199" s="3">
        <v>5.0</v>
      </c>
    </row>
    <row r="5200" ht="15.75" customHeight="1">
      <c r="A5200" s="1">
        <v>5198.0</v>
      </c>
      <c r="B5200" s="3" t="s">
        <v>5199</v>
      </c>
      <c r="C5200" s="3" t="str">
        <f>IFERROR(__xludf.DUMMYFUNCTION("GOOGLETRANSLATE(B5200,""id"",""en"")"),"['Lunas',' restore ',' package ',' emergency ',' run out ',' pulse ',' activate ',' package ',' emergency ',' hub ',' check ',' application ',' mytelkomsel ',' apply ',' funny ',' forced ',' paid ',' Perny ',' borrow ',' take ',' package ',' debt ',' dire"&amp;"ct ',' play ',' cut ' , 'Credit', 'Top', 'pulse']")</f>
        <v>['Lunas',' restore ',' package ',' emergency ',' run out ',' pulse ',' activate ',' package ',' emergency ',' hub ',' check ',' application ',' mytelkomsel ',' apply ',' funny ',' forced ',' paid ',' Perny ',' borrow ',' take ',' package ',' debt ',' direct ',' play ',' cut ' , 'Credit', 'Top', 'pulse']</v>
      </c>
      <c r="D5200" s="3">
        <v>1.0</v>
      </c>
    </row>
    <row r="5201" ht="15.75" customHeight="1">
      <c r="A5201" s="1">
        <v>5199.0</v>
      </c>
      <c r="B5201" s="3" t="s">
        <v>5200</v>
      </c>
      <c r="C5201" s="3" t="str">
        <f>IFERROR(__xludf.DUMMYFUNCTION("GOOGLETRANSLATE(B5201,""id"",""en"")"),"['customer', 'loyal', 'price', 'quota', 'no', 'cheap', 'expensive', 'right', 'quota', 'my need', 'little', 'loss',' ']")</f>
        <v>['customer', 'loyal', 'price', 'quota', 'no', 'cheap', 'expensive', 'right', 'quota', 'my need', 'little', 'loss',' ']</v>
      </c>
      <c r="D5201" s="3">
        <v>2.0</v>
      </c>
    </row>
    <row r="5202" ht="15.75" customHeight="1">
      <c r="A5202" s="1">
        <v>5200.0</v>
      </c>
      <c r="B5202" s="3" t="s">
        <v>5201</v>
      </c>
      <c r="C5202" s="3" t="str">
        <f>IFERROR(__xludf.DUMMYFUNCTION("GOOGLETRANSLATE(B5202,""id"",""en"")"),"['Simple', 'help', 'it's easy', 'info', 'program', 'Telkomsel']")</f>
        <v>['Simple', 'help', 'it's easy', 'info', 'program', 'Telkomsel']</v>
      </c>
      <c r="D5202" s="3">
        <v>5.0</v>
      </c>
    </row>
    <row r="5203" ht="15.75" customHeight="1">
      <c r="A5203" s="1">
        <v>5201.0</v>
      </c>
      <c r="B5203" s="3" t="s">
        <v>5202</v>
      </c>
      <c r="C5203" s="3" t="str">
        <f>IFERROR(__xludf.DUMMYFUNCTION("GOOGLETRANSLATE(B5203,""id"",""en"")"),"['love', 'star', 'lose', 'neighbor', 'next door', 'free', 'access',' quota ',' right ',' quota ',' finished ',' buy ',' Package ',' app ',' difficult ',' because ',' package ', ""]")</f>
        <v>['love', 'star', 'lose', 'neighbor', 'next door', 'free', 'access',' quota ',' right ',' quota ',' finished ',' buy ',' Package ',' app ',' difficult ',' because ',' package ', "]</v>
      </c>
      <c r="D5203" s="3">
        <v>2.0</v>
      </c>
    </row>
    <row r="5204" ht="15.75" customHeight="1">
      <c r="A5204" s="1">
        <v>5202.0</v>
      </c>
      <c r="B5204" s="3" t="s">
        <v>5203</v>
      </c>
      <c r="C5204" s="3" t="str">
        <f>IFERROR(__xludf.DUMMYFUNCTION("GOOGLETRANSLATE(B5204,""id"",""en"")"),"['use', 'Telkomsel', 'keep', 'best', 'prlanggar']")</f>
        <v>['use', 'Telkomsel', 'keep', 'best', 'prlanggar']</v>
      </c>
      <c r="D5204" s="3">
        <v>5.0</v>
      </c>
    </row>
    <row r="5205" ht="15.75" customHeight="1">
      <c r="A5205" s="1">
        <v>5203.0</v>
      </c>
      <c r="B5205" s="3" t="s">
        <v>5204</v>
      </c>
      <c r="C5205" s="3" t="str">
        <f>IFERROR(__xludf.DUMMYFUNCTION("GOOGLETRANSLATE(B5205,""id"",""en"")"),"['The application', 'problematic', 'upgrade', ""]")</f>
        <v>['The application', 'problematic', 'upgrade', "]</v>
      </c>
      <c r="D5205" s="3">
        <v>2.0</v>
      </c>
    </row>
    <row r="5206" ht="15.75" customHeight="1">
      <c r="A5206" s="1">
        <v>5204.0</v>
      </c>
      <c r="B5206" s="3" t="s">
        <v>5205</v>
      </c>
      <c r="C5206" s="3" t="str">
        <f>IFERROR(__xludf.DUMMYFUNCTION("GOOGLETRANSLATE(B5206,""id"",""en"")"),"['love', 'promo', 'package', 'cheap', 'kak', 'pandemic', 'sis',' difficult ',' money ',' need ',' quota ',' package ',' Cheap ',' Dijilanin ']")</f>
        <v>['love', 'promo', 'package', 'cheap', 'kak', 'pandemic', 'sis',' difficult ',' money ',' need ',' quota ',' package ',' Cheap ',' Dijilanin ']</v>
      </c>
      <c r="D5206" s="3">
        <v>5.0</v>
      </c>
    </row>
    <row r="5207" ht="15.75" customHeight="1">
      <c r="A5207" s="1">
        <v>5205.0</v>
      </c>
      <c r="B5207" s="3" t="s">
        <v>5206</v>
      </c>
      <c r="C5207" s="3" t="str">
        <f>IFERROR(__xludf.DUMMYFUNCTION("GOOGLETRANSLATE(B5207,""id"",""en"")"),"['Ngellag', 'Ngelag', 'Play', 'Game', 'Signal', 'Telkomsel', 'Solution', 'Description', 'Card', 'Already', 'Signal', 'Sometimes',' stable', '']")</f>
        <v>['Ngellag', 'Ngelag', 'Play', 'Game', 'Signal', 'Telkomsel', 'Solution', 'Description', 'Card', 'Already', 'Signal', 'Sometimes',' stable', '']</v>
      </c>
      <c r="D5207" s="3">
        <v>4.0</v>
      </c>
    </row>
    <row r="5208" ht="15.75" customHeight="1">
      <c r="A5208" s="1">
        <v>5206.0</v>
      </c>
      <c r="B5208" s="3" t="s">
        <v>5207</v>
      </c>
      <c r="C5208" s="3" t="str">
        <f>IFERROR(__xludf.DUMMYFUNCTION("GOOGLETRANSLATE(B5208,""id"",""en"")"),"['Disappointed', 'Disappointed', 'TDI', 'Promo', 'GB', 'A Week', 'Belik', 'Wait', 'Credit', 'Cut', 'Disappointed']")</f>
        <v>['Disappointed', 'Disappointed', 'TDI', 'Promo', 'GB', 'A Week', 'Belik', 'Wait', 'Credit', 'Cut', 'Disappointed']</v>
      </c>
      <c r="D5208" s="3">
        <v>1.0</v>
      </c>
    </row>
    <row r="5209" ht="15.75" customHeight="1">
      <c r="A5209" s="1">
        <v>5207.0</v>
      </c>
      <c r="B5209" s="3" t="s">
        <v>5208</v>
      </c>
      <c r="C5209" s="3" t="str">
        <f>IFERROR(__xludf.DUMMYFUNCTION("GOOGLETRANSLATE(B5209,""id"",""en"")"),"['updated', 'not', 'opened', 'ngebug', 'crash', 'buy', 'package', 'data', 'restore', 'application', 'Telkomsel', 'update', ' Thank you ',' fix ',' Application ',' Seneng ',' Customer ',' CARE ',' POFESIONAL ',' Paying ',' Satisfaction ',' Customer ',' Suc"&amp;"cess', 'Telkomsel', ""]")</f>
        <v>['updated', 'not', 'opened', 'ngebug', 'crash', 'buy', 'package', 'data', 'restore', 'application', 'Telkomsel', 'update', ' Thank you ',' fix ',' Application ',' Seneng ',' Customer ',' CARE ',' POFESIONAL ',' Paying ',' Satisfaction ',' Customer ',' Success', 'Telkomsel', "]</v>
      </c>
      <c r="D5209" s="3">
        <v>4.0</v>
      </c>
    </row>
    <row r="5210" ht="15.75" customHeight="1">
      <c r="A5210" s="1">
        <v>5208.0</v>
      </c>
      <c r="B5210" s="3" t="s">
        <v>5209</v>
      </c>
      <c r="C5210" s="3" t="str">
        <f>IFERROR(__xludf.DUMMYFUNCTION("GOOGLETRANSLATE(B5210,""id"",""en"")"),"['transaction', 'cheerful', 'process', 'pulse', 'run out', 'package', 'visits', 'accepted']")</f>
        <v>['transaction', 'cheerful', 'process', 'pulse', 'run out', 'package', 'visits', 'accepted']</v>
      </c>
      <c r="D5210" s="3">
        <v>2.0</v>
      </c>
    </row>
    <row r="5211" ht="15.75" customHeight="1">
      <c r="A5211" s="1">
        <v>5209.0</v>
      </c>
      <c r="B5211" s="3" t="s">
        <v>5210</v>
      </c>
      <c r="C5211" s="3" t="str">
        <f>IFERROR(__xludf.DUMMYFUNCTION("GOOGLETRANSLATE(B5211,""id"",""en"")"),"['application', 'problematic', 'connection', 'network', 'slow', 'appears',' icon ',' post ',' page ',' apk ',' price ',' already ',' Such is', 'Depends',' The area ', ""]")</f>
        <v>['application', 'problematic', 'connection', 'network', 'slow', 'appears',' icon ',' post ',' page ',' apk ',' price ',' already ',' Such is', 'Depends',' The area ', "]</v>
      </c>
      <c r="D5211" s="3">
        <v>5.0</v>
      </c>
    </row>
    <row r="5212" ht="15.75" customHeight="1">
      <c r="A5212" s="1">
        <v>5210.0</v>
      </c>
      <c r="B5212" s="3" t="s">
        <v>5211</v>
      </c>
      <c r="C5212" s="3" t="str">
        <f>IFERROR(__xludf.DUMMYFUNCTION("GOOGLETRANSLATE(B5212,""id"",""en"")"),"['TLP', 'operator', 'free', 'package', 'Hello', 'unlimited', 'reality', 'get', 'cost', 'pulse', 'gtu', 'pakat', ' Multimedia ',' no ',' get ',' data ']")</f>
        <v>['TLP', 'operator', 'free', 'package', 'Hello', 'unlimited', 'reality', 'get', 'cost', 'pulse', 'gtu', 'pakat', ' Multimedia ',' no ',' get ',' data ']</v>
      </c>
      <c r="D5212" s="3">
        <v>1.0</v>
      </c>
    </row>
    <row r="5213" ht="15.75" customHeight="1">
      <c r="A5213" s="1">
        <v>5211.0</v>
      </c>
      <c r="B5213" s="3" t="s">
        <v>5212</v>
      </c>
      <c r="C5213" s="3" t="str">
        <f>IFERROR(__xludf.DUMMYFUNCTION("GOOGLETRANSLATE(B5213,""id"",""en"")"),"['Sometimes', 'Nge', 'lag', 'Sis', 'makes it easy', 'hope', 'blessing', 'for me', 'Insyallah']")</f>
        <v>['Sometimes', 'Nge', 'lag', 'Sis', 'makes it easy', 'hope', 'blessing', 'for me', 'Insyallah']</v>
      </c>
      <c r="D5213" s="3">
        <v>5.0</v>
      </c>
    </row>
    <row r="5214" ht="15.75" customHeight="1">
      <c r="A5214" s="1">
        <v>5212.0</v>
      </c>
      <c r="B5214" s="3" t="s">
        <v>5213</v>
      </c>
      <c r="C5214" s="3" t="str">
        <f>IFERROR(__xludf.DUMMYFUNCTION("GOOGLETRANSLATE(B5214,""id"",""en"")"),"['application', 'loading', 'slow', 'method', 'payment', 'accessible', 'application', 'promo', 'bought', 'I', 'Telkomsel', 'promo', ' Ogah ',' promo ',' expensive ',' package ',' closed ',' Loe ']")</f>
        <v>['application', 'loading', 'slow', 'method', 'payment', 'accessible', 'application', 'promo', 'bought', 'I', 'Telkomsel', 'promo', ' Ogah ',' promo ',' expensive ',' package ',' closed ',' Loe ']</v>
      </c>
      <c r="D5214" s="3">
        <v>1.0</v>
      </c>
    </row>
    <row r="5215" ht="15.75" customHeight="1">
      <c r="A5215" s="1">
        <v>5213.0</v>
      </c>
      <c r="B5215" s="3" t="s">
        <v>5214</v>
      </c>
      <c r="C5215" s="3" t="str">
        <f>IFERROR(__xludf.DUMMYFUNCTION("GOOGLETRANSLATE(B5215,""id"",""en"")"),"['Talikin', 'pulse', 'thousand', 'transaction', 'success', 'pulses', 'entry', 'nicknomsel', '']")</f>
        <v>['Talikin', 'pulse', 'thousand', 'transaction', 'success', 'pulses', 'entry', 'nicknomsel', '']</v>
      </c>
      <c r="D5215" s="3">
        <v>1.0</v>
      </c>
    </row>
    <row r="5216" ht="15.75" customHeight="1">
      <c r="A5216" s="1">
        <v>5214.0</v>
      </c>
      <c r="B5216" s="3" t="s">
        <v>5215</v>
      </c>
      <c r="C5216" s="3" t="str">
        <f>IFERROR(__xludf.DUMMYFUNCTION("GOOGLETRANSLATE(B5216,""id"",""en"")"),"['Quota', 'Learning', 'KEK', 'Trash', 'Nomade', 'Gmeet', 'Application', 'Conference', 'Current', 'Black', 'Screen', 'Enter', ' Application ',' Mulu ',' ']")</f>
        <v>['Quota', 'Learning', 'KEK', 'Trash', 'Nomade', 'Gmeet', 'Application', 'Conference', 'Current', 'Black', 'Screen', 'Enter', ' Application ',' Mulu ',' ']</v>
      </c>
      <c r="D5216" s="3">
        <v>1.0</v>
      </c>
    </row>
    <row r="5217" ht="15.75" customHeight="1">
      <c r="A5217" s="1">
        <v>5215.0</v>
      </c>
      <c r="B5217" s="3" t="s">
        <v>5216</v>
      </c>
      <c r="C5217" s="3" t="str">
        <f>IFERROR(__xludf.DUMMYFUNCTION("GOOGLETRANSLATE(B5217,""id"",""en"")"),"['Increases', 'service', 'quality', 'price', 'affordable', 'groups', 'medium', 'down', ""]")</f>
        <v>['Increases', 'service', 'quality', 'price', 'affordable', 'groups', 'medium', 'down', "]</v>
      </c>
      <c r="D5217" s="3">
        <v>5.0</v>
      </c>
    </row>
    <row r="5218" ht="15.75" customHeight="1">
      <c r="A5218" s="1">
        <v>5216.0</v>
      </c>
      <c r="B5218" s="3" t="s">
        <v>5217</v>
      </c>
      <c r="C5218" s="3" t="str">
        <f>IFERROR(__xludf.DUMMYFUNCTION("GOOGLETRANSLATE(B5218,""id"",""en"")"),"['Please', 'Very', 'Telkom', 'Fix', 'Forgot', 'Maketin', 'Click', 'Monitor', 'Data', 'Credit', 'Direct', 'Abis',' SEZ ',' Discard ',' Money ',' Please ',' See ',' Fix ',' Money ',' Difficult ', ""]")</f>
        <v>['Please', 'Very', 'Telkom', 'Fix', 'Forgot', 'Maketin', 'Click', 'Monitor', 'Data', 'Credit', 'Direct', 'Abis',' SEZ ',' Discard ',' Money ',' Please ',' See ',' Fix ',' Money ',' Difficult ', "]</v>
      </c>
      <c r="D5218" s="3">
        <v>5.0</v>
      </c>
    </row>
    <row r="5219" ht="15.75" customHeight="1">
      <c r="A5219" s="1">
        <v>5217.0</v>
      </c>
      <c r="B5219" s="3" t="s">
        <v>5218</v>
      </c>
      <c r="C5219" s="3" t="str">
        <f>IFERROR(__xludf.DUMMYFUNCTION("GOOGLETRANSLATE(B5219,""id"",""en"")"),"['Disappointed', 'Karna', 'Notification', 'Telkomsel', 'Package', 'Emergency', 'On', 'Borrow', 'Package', 'Emergency', 'Where', 'Package', ' Useful ',' Disappointed ',' Telkomsel ',' Sampe ',' Believe ',' Season ']")</f>
        <v>['Disappointed', 'Karna', 'Notification', 'Telkomsel', 'Package', 'Emergency', 'On', 'Borrow', 'Package', 'Emergency', 'Where', 'Package', ' Useful ',' Disappointed ',' Telkomsel ',' Sampe ',' Believe ',' Season ']</v>
      </c>
      <c r="D5219" s="3">
        <v>1.0</v>
      </c>
    </row>
    <row r="5220" ht="15.75" customHeight="1">
      <c r="A5220" s="1">
        <v>5218.0</v>
      </c>
      <c r="B5220" s="3" t="s">
        <v>5219</v>
      </c>
      <c r="C5220" s="3" t="str">
        <f>IFERROR(__xludf.DUMMYFUNCTION("GOOGLETRANSLATE(B5220,""id"",""en"")"),"['ownership', 'package', 'cheerful', 'GB', 'disorder', 'system', 'melululu', ""]")</f>
        <v>['ownership', 'package', 'cheerful', 'GB', 'disorder', 'system', 'melululu', "]</v>
      </c>
      <c r="D5220" s="3">
        <v>1.0</v>
      </c>
    </row>
    <row r="5221" ht="15.75" customHeight="1">
      <c r="A5221" s="1">
        <v>5219.0</v>
      </c>
      <c r="B5221" s="3" t="s">
        <v>5220</v>
      </c>
      <c r="C5221" s="3" t="str">
        <f>IFERROR(__xludf.DUMMYFUNCTION("GOOGLETRANSLATE(B5221,""id"",""en"")"),"['purchase', 'package', 'assistant', 'virtual', 'Telkomsel', 'fraud', 'bills',' swollen ',' times', 'people', 'buy', 'package', ' Bill ',' enter ',' number ',' Hello ',' ']")</f>
        <v>['purchase', 'package', 'assistant', 'virtual', 'Telkomsel', 'fraud', 'bills',' swollen ',' times', 'people', 'buy', 'package', ' Bill ',' enter ',' number ',' Hello ',' ']</v>
      </c>
      <c r="D5221" s="3">
        <v>1.0</v>
      </c>
    </row>
    <row r="5222" ht="15.75" customHeight="1">
      <c r="A5222" s="1">
        <v>5220.0</v>
      </c>
      <c r="B5222" s="3" t="s">
        <v>5221</v>
      </c>
      <c r="C5222" s="3" t="str">
        <f>IFERROR(__xludf.DUMMYFUNCTION("GOOGLETRANSLATE(B5222,""id"",""en"")"),"['subscription', 'buy', 'package', 'combo', 'omg', 'GB', 'price', 'drastic', 'gamau', 'buy', 'price', 'that way', ' disappointed', '']")</f>
        <v>['subscription', 'buy', 'package', 'combo', 'omg', 'GB', 'price', 'drastic', 'gamau', 'buy', 'price', 'that way', ' disappointed', '']</v>
      </c>
      <c r="D5222" s="3">
        <v>1.0</v>
      </c>
    </row>
    <row r="5223" ht="15.75" customHeight="1">
      <c r="A5223" s="1">
        <v>5221.0</v>
      </c>
      <c r="B5223" s="3" t="s">
        <v>5222</v>
      </c>
      <c r="C5223" s="3" t="str">
        <f>IFERROR(__xludf.DUMMYFUNCTION("GOOGLETRANSLATE(B5223,""id"",""en"")"),"['expensive', 'already', 'complement', 'MyTelkomsel', 'tetep', 'network', 'tetep', 'bad', 'number', 'work', 'already', 'replace', ' "", 'already', 'many years', 'Telkomsel', 'already', 'expensive', 'bad', 'kualitanya', 'difficult', 'where']")</f>
        <v>['expensive', 'already', 'complement', 'MyTelkomsel', 'tetep', 'network', 'tetep', 'bad', 'number', 'work', 'already', 'replace', ' ", 'already', 'many years', 'Telkomsel', 'already', 'expensive', 'bad', 'kualitanya', 'difficult', 'where']</v>
      </c>
      <c r="D5223" s="3">
        <v>1.0</v>
      </c>
    </row>
    <row r="5224" ht="15.75" customHeight="1">
      <c r="A5224" s="1">
        <v>5222.0</v>
      </c>
      <c r="B5224" s="3" t="s">
        <v>5223</v>
      </c>
      <c r="C5224" s="3" t="str">
        <f>IFERROR(__xludf.DUMMYFUNCTION("GOOGLETRANSLATE(B5224,""id"",""en"")"),"['Package', 'Combo', 'Sakti', 'Paketan', 'Strange', 'Knp', 'Quota', 'Multimedia', 'Dipake', 'Quota', 'Main', 'Out' bother ',' quota ',' big ',' number ',' doank ',' thanks']")</f>
        <v>['Package', 'Combo', 'Sakti', 'Paketan', 'Strange', 'Knp', 'Quota', 'Multimedia', 'Dipake', 'Quota', 'Main', 'Out' bother ',' quota ',' big ',' number ',' doank ',' thanks']</v>
      </c>
      <c r="D5224" s="3">
        <v>2.0</v>
      </c>
    </row>
    <row r="5225" ht="15.75" customHeight="1">
      <c r="A5225" s="1">
        <v>5223.0</v>
      </c>
      <c r="B5225" s="3" t="s">
        <v>5224</v>
      </c>
      <c r="C5225" s="3" t="str">
        <f>IFERROR(__xludf.DUMMYFUNCTION("GOOGLETRANSLATE(B5225,""id"",""en"")"),"['Redeem', 'Coin', 'MyTelkomsel', 'Coins',' Reedem ',' Package ',' Data ',' Coins', 'Adequate', 'Requirements',' Redeem ',' MyTelkomsel ',' ']")</f>
        <v>['Redeem', 'Coin', 'MyTelkomsel', 'Coins',' Reedem ',' Package ',' Data ',' Coins', 'Adequate', 'Requirements',' Redeem ',' MyTelkomsel ',' ']</v>
      </c>
      <c r="D5225" s="3">
        <v>1.0</v>
      </c>
    </row>
    <row r="5226" ht="15.75" customHeight="1">
      <c r="A5226" s="1">
        <v>5224.0</v>
      </c>
      <c r="B5226" s="3" t="s">
        <v>5225</v>
      </c>
      <c r="C5226" s="3" t="str">
        <f>IFERROR(__xludf.DUMMYFUNCTION("GOOGLETRANSLATE(B5226,""id"",""en"")"),"['price', 'package', 'expensive', 'quality', 'that's',' usage ',' quota ',' balance ',' suck ',' quota ',' main ',' multimedia ',' Dear ',' quota ',' main ',' run out ',' package ',' run out ',' right ',' a month ',' quota ',' multimedia ',' whole ',' buy"&amp;" ',' package ' , 'combo', 'main', 'multimedia', 'please', 'fix it', 'usage', 'internet', 'quota', 'used', 'balance', 'left', 'quota', ' accumulated ',' buy ',' package ',' ']")</f>
        <v>['price', 'package', 'expensive', 'quality', 'that's',' usage ',' quota ',' balance ',' suck ',' quota ',' main ',' multimedia ',' Dear ',' quota ',' main ',' run out ',' package ',' run out ',' right ',' a month ',' quota ',' multimedia ',' whole ',' buy ',' package ' , 'combo', 'main', 'multimedia', 'please', 'fix it', 'usage', 'internet', 'quota', 'used', 'balance', 'left', 'quota', ' accumulated ',' buy ',' package ',' ']</v>
      </c>
      <c r="D5226" s="3">
        <v>1.0</v>
      </c>
    </row>
    <row r="5227" ht="15.75" customHeight="1">
      <c r="A5227" s="1">
        <v>5225.0</v>
      </c>
      <c r="B5227" s="3" t="s">
        <v>5226</v>
      </c>
      <c r="C5227" s="3" t="str">
        <f>IFERROR(__xludf.DUMMYFUNCTION("GOOGLETRANSLATE(B5227,""id"",""en"")"),"['Thank you', 'Telkomsel', 'Application', 'Good', 'Help', 'Price', 'Paketan', 'Cheap', 'Success',' Telkomsel ',' Thanks', 'Mantappp', ' Jossss', '']")</f>
        <v>['Thank you', 'Telkomsel', 'Application', 'Good', 'Help', 'Price', 'Paketan', 'Cheap', 'Success',' Telkomsel ',' Thanks', 'Mantappp', ' Jossss', '']</v>
      </c>
      <c r="D5227" s="3">
        <v>5.0</v>
      </c>
    </row>
    <row r="5228" ht="15.75" customHeight="1">
      <c r="A5228" s="1">
        <v>5226.0</v>
      </c>
      <c r="B5228" s="3" t="s">
        <v>5227</v>
      </c>
      <c r="C5228" s="3" t="str">
        <f>IFERROR(__xludf.DUMMYFUNCTION("GOOGLETRANSLATE(B5228,""id"",""en"")"),"['Love', 'Bintang', 'Package', 'RB', 'Activities', 'Outside', 'At Home', 'Indi', 'Home', ""]")</f>
        <v>['Love', 'Bintang', 'Package', 'RB', 'Activities', 'Outside', 'At Home', 'Indi', 'Home', "]</v>
      </c>
      <c r="D5228" s="3">
        <v>5.0</v>
      </c>
    </row>
    <row r="5229" ht="15.75" customHeight="1">
      <c r="A5229" s="1">
        <v>5227.0</v>
      </c>
      <c r="B5229" s="3" t="s">
        <v>5228</v>
      </c>
      <c r="C5229" s="3" t="str">
        <f>IFERROR(__xludf.DUMMYFUNCTION("GOOGLETRANSLATE(B5229,""id"",""en"")"),"['App', 'compared to', 'need', 'result', 'slow', 'open', 'need', '']")</f>
        <v>['App', 'compared to', 'need', 'result', 'slow', 'open', 'need', '']</v>
      </c>
      <c r="D5229" s="3">
        <v>4.0</v>
      </c>
    </row>
    <row r="5230" ht="15.75" customHeight="1">
      <c r="A5230" s="1">
        <v>5228.0</v>
      </c>
      <c r="B5230" s="3" t="s">
        <v>5229</v>
      </c>
      <c r="C5230" s="3" t="str">
        <f>IFERROR(__xludf.DUMMYFUNCTION("GOOGLETRANSLATE(B5230,""id"",""en"")"),"['The package', 'please', 'expensive', 'expensive', 'please', 'help', 'his people', 'Allah', 'help', 'ppkm', 'kwkwk']")</f>
        <v>['The package', 'please', 'expensive', 'expensive', 'please', 'help', 'his people', 'Allah', 'help', 'ppkm', 'kwkwk']</v>
      </c>
      <c r="D5230" s="3">
        <v>4.0</v>
      </c>
    </row>
    <row r="5231" ht="15.75" customHeight="1">
      <c r="A5231" s="1">
        <v>5229.0</v>
      </c>
      <c r="B5231" s="3" t="s">
        <v>5230</v>
      </c>
      <c r="C5231" s="3" t="str">
        <f>IFERROR(__xludf.DUMMYFUNCTION("GOOGLETRANSLATE(B5231,""id"",""en"")"),"['Application', 'Exchange', 'Points', 'Switch', 'Point', 'Quota', 'Internet', 'Wear', 'Card', 'Hallo', ""]")</f>
        <v>['Application', 'Exchange', 'Points', 'Switch', 'Point', 'Quota', 'Internet', 'Wear', 'Card', 'Hallo', "]</v>
      </c>
      <c r="D5231" s="3">
        <v>4.0</v>
      </c>
    </row>
    <row r="5232" ht="15.75" customHeight="1">
      <c r="A5232" s="1">
        <v>5230.0</v>
      </c>
      <c r="B5232" s="3" t="s">
        <v>5231</v>
      </c>
      <c r="C5232" s="3" t="str">
        <f>IFERROR(__xludf.DUMMYFUNCTION("GOOGLETRANSLATE(B5232,""id"",""en"")"),"['Telkomsel', 'Network', 'communication', 'Handled', 'Hopefully', 'Price', 'Quota', 'Network', 'Signal', 'Reach', 'Community', 'Medium', ' Widespread ',' remote ',' country ',' ']")</f>
        <v>['Telkomsel', 'Network', 'communication', 'Handled', 'Hopefully', 'Price', 'Quota', 'Network', 'Signal', 'Reach', 'Community', 'Medium', ' Widespread ',' remote ',' country ',' ']</v>
      </c>
      <c r="D5232" s="3">
        <v>5.0</v>
      </c>
    </row>
    <row r="5233" ht="15.75" customHeight="1">
      <c r="A5233" s="1">
        <v>5231.0</v>
      </c>
      <c r="B5233" s="3" t="s">
        <v>5232</v>
      </c>
      <c r="C5233" s="3" t="str">
        <f>IFERROR(__xludf.DUMMYFUNCTION("GOOGLETRANSLATE(B5233,""id"",""en"")"),"['Use', 'Telkom', 'Ksini', 'slow', 'Ajaa', 'Stream', 'Game', 'Etc.', 'please', 'fix']")</f>
        <v>['Use', 'Telkom', 'Ksini', 'slow', 'Ajaa', 'Stream', 'Game', 'Etc.', 'please', 'fix']</v>
      </c>
      <c r="D5233" s="3">
        <v>4.0</v>
      </c>
    </row>
    <row r="5234" ht="15.75" customHeight="1">
      <c r="A5234" s="1">
        <v>5232.0</v>
      </c>
      <c r="B5234" s="3" t="s">
        <v>5233</v>
      </c>
      <c r="C5234" s="3" t="str">
        <f>IFERROR(__xludf.DUMMYFUNCTION("GOOGLETRANSLATE(B5234,""id"",""en"")"),"['miss',' quota ',' package ',' data ',' quota ',' remaining ',' pretty ',' bnyak ',' night ',' package ',' night ',' the rest ',' quota ',' package ',' data ',' normal ',' usage ',' data ',' GB ',' total ',' quota ',' left ']")</f>
        <v>['miss',' quota ',' package ',' data ',' quota ',' remaining ',' pretty ',' bnyak ',' night ',' package ',' night ',' the rest ',' quota ',' package ',' data ',' normal ',' usage ',' data ',' GB ',' total ',' quota ',' left ']</v>
      </c>
      <c r="D5234" s="3">
        <v>1.0</v>
      </c>
    </row>
    <row r="5235" ht="15.75" customHeight="1">
      <c r="A5235" s="1">
        <v>5233.0</v>
      </c>
      <c r="B5235" s="3" t="s">
        <v>5234</v>
      </c>
      <c r="C5235" s="3" t="str">
        <f>IFERROR(__xludf.DUMMYFUNCTION("GOOGLETRANSLATE(B5235,""id"",""en"")"),"['Hope', 'in the future', 'package', 'interesting', 'affordable', '']")</f>
        <v>['Hope', 'in the future', 'package', 'interesting', 'affordable', '']</v>
      </c>
      <c r="D5235" s="3">
        <v>5.0</v>
      </c>
    </row>
    <row r="5236" ht="15.75" customHeight="1">
      <c r="A5236" s="1">
        <v>5234.0</v>
      </c>
      <c r="B5236" s="3" t="s">
        <v>5235</v>
      </c>
      <c r="C5236" s="3" t="str">
        <f>IFERROR(__xludf.DUMMYFUNCTION("GOOGLETRANSLATE(B5236,""id"",""en"")"),"['Daridulu', 'use', 'Telkomsel', 'destroyed', 'Kirain', 'slow', 'ehh', 'network', 'friend', 'RAM', 'Lemot', 'Live', ' City ',' shy ',' network ',' neighbors', 'Kirain', 'temperature', 'wood', 'wood', '']")</f>
        <v>['Daridulu', 'use', 'Telkomsel', 'destroyed', 'Kirain', 'slow', 'ehh', 'network', 'friend', 'RAM', 'Lemot', 'Live', ' City ',' shy ',' network ',' neighbors', 'Kirain', 'temperature', 'wood', 'wood', '']</v>
      </c>
      <c r="D5236" s="3">
        <v>1.0</v>
      </c>
    </row>
    <row r="5237" ht="15.75" customHeight="1">
      <c r="A5237" s="1">
        <v>5235.0</v>
      </c>
      <c r="B5237" s="3" t="s">
        <v>5236</v>
      </c>
      <c r="C5237" s="3" t="str">
        <f>IFERROR(__xludf.DUMMYFUNCTION("GOOGLETRANSLATE(B5237,""id"",""en"")"),"['Increases', 'Performance', 'reach', 'interests', 'nation', 'people', 'Indonesia', 'advanced', 'BUMN', 'Sejahtera', 'Society', ""]")</f>
        <v>['Increases', 'Performance', 'reach', 'interests', 'nation', 'people', 'Indonesia', 'advanced', 'BUMN', 'Sejahtera', 'Society', "]</v>
      </c>
      <c r="D5237" s="3">
        <v>5.0</v>
      </c>
    </row>
    <row r="5238" ht="15.75" customHeight="1">
      <c r="A5238" s="1">
        <v>5236.0</v>
      </c>
      <c r="B5238" s="3" t="s">
        <v>5237</v>
      </c>
      <c r="C5238" s="3" t="str">
        <f>IFERROR(__xludf.DUMMYFUNCTION("GOOGLETRANSLATE(B5238,""id"",""en"")"),"['The package', 'in', 'sense', 'Mending', 'Delete', 'Combo', 'Sakti', 'Unlimited', 'September', 'YouTube', 'Lost', 'List', ' Unlimited ',' missing ']")</f>
        <v>['The package', 'in', 'sense', 'Mending', 'Delete', 'Combo', 'Sakti', 'Unlimited', 'September', 'YouTube', 'Lost', 'List', ' Unlimited ',' missing ']</v>
      </c>
      <c r="D5238" s="3">
        <v>1.0</v>
      </c>
    </row>
    <row r="5239" ht="15.75" customHeight="1">
      <c r="A5239" s="1">
        <v>5237.0</v>
      </c>
      <c r="B5239" s="3" t="s">
        <v>5238</v>
      </c>
      <c r="C5239" s="3" t="str">
        <f>IFERROR(__xludf.DUMMYFUNCTION("GOOGLETRANSLATE(B5239,""id"",""en"")"),"['Steady', 'Read', ""]")</f>
        <v>['Steady', 'Read', "]</v>
      </c>
      <c r="D5239" s="3">
        <v>5.0</v>
      </c>
    </row>
    <row r="5240" ht="15.75" customHeight="1">
      <c r="A5240" s="1">
        <v>5238.0</v>
      </c>
      <c r="B5240" s="3" t="s">
        <v>5239</v>
      </c>
      <c r="C5240" s="3" t="str">
        <f>IFERROR(__xludf.DUMMYFUNCTION("GOOGLETRANSLATE(B5240,""id"",""en"")"),"['Redeem', 'Points',' balance ',' Link ',' Severe ',' really ',' emang ',' Telkomsel ',' Gadang ',' Gadang ',' Link ',' Telkomsel ',' stingy ',' really ',' point ',' stated ',' balance ',' link ',' funny ',' time ',' use ',' Telkomsel ',' ']")</f>
        <v>['Redeem', 'Points',' balance ',' Link ',' Severe ',' really ',' emang ',' Telkomsel ',' Gadang ',' Gadang ',' Link ',' Telkomsel ',' stingy ',' really ',' point ',' stated ',' balance ',' link ',' funny ',' time ',' use ',' Telkomsel ',' ']</v>
      </c>
      <c r="D5240" s="3">
        <v>1.0</v>
      </c>
    </row>
    <row r="5241" ht="15.75" customHeight="1">
      <c r="A5241" s="1">
        <v>5239.0</v>
      </c>
      <c r="B5241" s="3" t="s">
        <v>5240</v>
      </c>
      <c r="C5241" s="3" t="str">
        <f>IFERROR(__xludf.DUMMYFUNCTION("GOOGLETRANSLATE(B5241,""id"",""en"")"),"['service', 'clock', 'kaga', 'bales', 'signal', 'good', 'proof', 'Sonya', 'udh', 'ugly']")</f>
        <v>['service', 'clock', 'kaga', 'bales', 'signal', 'good', 'proof', 'Sonya', 'udh', 'ugly']</v>
      </c>
      <c r="D5241" s="3">
        <v>1.0</v>
      </c>
    </row>
    <row r="5242" ht="15.75" customHeight="1">
      <c r="A5242" s="1">
        <v>5240.0</v>
      </c>
      <c r="B5242" s="3" t="s">
        <v>5241</v>
      </c>
      <c r="C5242" s="3" t="str">
        <f>IFERROR(__xludf.DUMMYFUNCTION("GOOGLETRANSLATE(B5242,""id"",""en"")"),"['quality', 'service', 'Bangus',' quality ',' signal ',' good ',' tapinkenapa ',' logo ',' rich ',' company ',' tube ',' gas', ' ']")</f>
        <v>['quality', 'service', 'Bangus',' quality ',' signal ',' good ',' tapinkenapa ',' logo ',' rich ',' company ',' tube ',' gas', ' ']</v>
      </c>
      <c r="D5242" s="3">
        <v>4.0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2022-02-26T07:23:26Z</dcterms:created>
  <dc:creator>openpyxl</dc:creator>
</cp:coreProperties>
</file>