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xampp\htdocs\backoffice\modules\Sales\docs\"/>
    </mc:Choice>
  </mc:AlternateContent>
  <xr:revisionPtr revIDLastSave="0" documentId="13_ncr:1_{28135CDE-CC76-4D72-866B-6F6EB5B2DBF5}" xr6:coauthVersionLast="47" xr6:coauthVersionMax="47" xr10:uidLastSave="{00000000-0000-0000-0000-000000000000}"/>
  <bookViews>
    <workbookView xWindow="-120" yWindow="-120" windowWidth="29040" windowHeight="15840" tabRatio="783" xr2:uid="{00000000-000D-0000-FFFF-FFFF00000000}"/>
  </bookViews>
  <sheets>
    <sheet name="Target Total  " sheetId="4" r:id="rId1"/>
    <sheet name="Pipeline  Total" sheetId="41" r:id="rId2"/>
    <sheet name="Total TAR+PIP" sheetId="43" r:id="rId3"/>
    <sheet name="Kittinat" sheetId="8" r:id="rId4"/>
    <sheet name="Supatra" sheetId="9" r:id="rId5"/>
    <sheet name="Wuttichai" sheetId="10" r:id="rId6"/>
    <sheet name="Saowanee" sheetId="7" r:id="rId7"/>
    <sheet name="Wissanupong " sheetId="5" r:id="rId8"/>
    <sheet name="Period- Product Cat" sheetId="6" r:id="rId9"/>
  </sheets>
  <definedNames>
    <definedName name="_xlnm._FilterDatabase" localSheetId="3" hidden="1">Kittinat!$A$2:$G$55</definedName>
    <definedName name="_xlnm._FilterDatabase" localSheetId="6" hidden="1">Saowanee!$A$2:$G$41</definedName>
    <definedName name="_xlnm._FilterDatabase" localSheetId="4" hidden="1">Supatra!$A$2:$G$137</definedName>
    <definedName name="_xlnm._FilterDatabase" localSheetId="7" hidden="1">'Wissanupong '!$A$2:$I$28</definedName>
    <definedName name="_xlnm._FilterDatabase" localSheetId="5" hidden="1">Wuttichai!$A$2:$G$102</definedName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4" l="1"/>
  <c r="I39" i="4"/>
  <c r="J39" i="4"/>
  <c r="K39" i="4"/>
  <c r="H39" i="4"/>
  <c r="L36" i="4"/>
  <c r="L37" i="4"/>
  <c r="L38" i="4"/>
  <c r="L35" i="4"/>
  <c r="I36" i="4"/>
  <c r="J36" i="4"/>
  <c r="K36" i="4"/>
  <c r="I37" i="4"/>
  <c r="J37" i="4"/>
  <c r="K37" i="4"/>
  <c r="I38" i="4"/>
  <c r="J38" i="4"/>
  <c r="K38" i="4"/>
  <c r="H38" i="4"/>
  <c r="H37" i="4"/>
  <c r="H36" i="4"/>
  <c r="I35" i="4"/>
  <c r="J35" i="4"/>
  <c r="K35" i="4"/>
  <c r="H35" i="4"/>
  <c r="B36" i="4"/>
  <c r="B37" i="4"/>
  <c r="B38" i="4"/>
  <c r="B35" i="4"/>
  <c r="E28" i="43"/>
  <c r="E29" i="43"/>
  <c r="E30" i="43"/>
  <c r="E31" i="43"/>
  <c r="C32" i="43"/>
  <c r="D32" i="43"/>
  <c r="D25" i="43"/>
  <c r="F1" i="7"/>
  <c r="D3" i="43"/>
  <c r="D57" i="7"/>
  <c r="G57" i="7"/>
  <c r="F57" i="7"/>
  <c r="E57" i="7"/>
  <c r="E32" i="43" l="1"/>
  <c r="F31" i="41"/>
  <c r="F30" i="41"/>
  <c r="F29" i="41"/>
  <c r="E31" i="41"/>
  <c r="E30" i="41"/>
  <c r="E29" i="41"/>
  <c r="D31" i="41"/>
  <c r="D30" i="41"/>
  <c r="D29" i="41"/>
  <c r="C31" i="41"/>
  <c r="C30" i="41"/>
  <c r="D35" i="5"/>
  <c r="C29" i="41"/>
  <c r="F11" i="41"/>
  <c r="F10" i="41"/>
  <c r="E12" i="41"/>
  <c r="E11" i="41"/>
  <c r="E10" i="41"/>
  <c r="D12" i="41"/>
  <c r="D11" i="41"/>
  <c r="D10" i="41"/>
  <c r="C12" i="41"/>
  <c r="C11" i="41"/>
  <c r="C10" i="41"/>
  <c r="K27" i="4"/>
  <c r="K26" i="4"/>
  <c r="I26" i="4"/>
  <c r="K20" i="4"/>
  <c r="I20" i="4"/>
  <c r="I9" i="4"/>
  <c r="K19" i="4"/>
  <c r="I19" i="4"/>
  <c r="P6" i="43"/>
  <c r="P5" i="43"/>
  <c r="P4" i="43"/>
  <c r="I21" i="4"/>
  <c r="K21" i="4"/>
  <c r="K9" i="4"/>
  <c r="L19" i="4" l="1"/>
  <c r="L20" i="4"/>
  <c r="L9" i="4"/>
  <c r="G30" i="41" l="1"/>
  <c r="P7" i="43" s="1"/>
  <c r="F35" i="5"/>
  <c r="E35" i="5"/>
  <c r="G33" i="5"/>
  <c r="F33" i="5"/>
  <c r="E33" i="5"/>
  <c r="D33" i="5"/>
  <c r="G35" i="5"/>
  <c r="F1" i="10"/>
  <c r="H32" i="5"/>
  <c r="J6" i="43"/>
  <c r="J5" i="43"/>
  <c r="J4" i="43"/>
  <c r="J3" i="43"/>
  <c r="D106" i="10"/>
  <c r="E106" i="10"/>
  <c r="F106" i="10"/>
  <c r="G106" i="10"/>
  <c r="G107" i="10"/>
  <c r="F107" i="10"/>
  <c r="E107" i="10"/>
  <c r="D107" i="10"/>
  <c r="D108" i="10"/>
  <c r="E108" i="10"/>
  <c r="F108" i="10"/>
  <c r="G108" i="10"/>
  <c r="G109" i="10"/>
  <c r="G5" i="43"/>
  <c r="G4" i="43"/>
  <c r="G3" i="43"/>
  <c r="F143" i="9"/>
  <c r="E143" i="9"/>
  <c r="D143" i="9"/>
  <c r="D142" i="9"/>
  <c r="E142" i="9"/>
  <c r="F142" i="9"/>
  <c r="G142" i="9"/>
  <c r="G141" i="9"/>
  <c r="F141" i="9"/>
  <c r="E141" i="9"/>
  <c r="D141" i="9"/>
  <c r="G61" i="8"/>
  <c r="F6" i="41" s="1"/>
  <c r="F61" i="8"/>
  <c r="E6" i="41" s="1"/>
  <c r="E61" i="8"/>
  <c r="D6" i="41" s="1"/>
  <c r="D61" i="8"/>
  <c r="C6" i="41" s="1"/>
  <c r="D60" i="8"/>
  <c r="C5" i="41" s="1"/>
  <c r="E60" i="8"/>
  <c r="D5" i="41" s="1"/>
  <c r="F60" i="8"/>
  <c r="E5" i="41" s="1"/>
  <c r="G60" i="8"/>
  <c r="F5" i="41" s="1"/>
  <c r="G59" i="8"/>
  <c r="F4" i="41" s="1"/>
  <c r="F59" i="8"/>
  <c r="E4" i="41" s="1"/>
  <c r="E59" i="8"/>
  <c r="D4" i="41" s="1"/>
  <c r="D59" i="8"/>
  <c r="C4" i="41" s="1"/>
  <c r="F1" i="8"/>
  <c r="F23" i="41"/>
  <c r="G58" i="7"/>
  <c r="F24" i="41" s="1"/>
  <c r="F58" i="7"/>
  <c r="E24" i="41" s="1"/>
  <c r="E23" i="41"/>
  <c r="D58" i="7"/>
  <c r="C24" i="41" s="1"/>
  <c r="C23" i="41"/>
  <c r="I11" i="4"/>
  <c r="I4" i="4"/>
  <c r="I14" i="4"/>
  <c r="K14" i="4" s="1"/>
  <c r="L14" i="4" s="1"/>
  <c r="I6" i="4"/>
  <c r="E24" i="43"/>
  <c r="E23" i="43"/>
  <c r="E22" i="43"/>
  <c r="E21" i="43"/>
  <c r="C25" i="43"/>
  <c r="E14" i="5"/>
  <c r="E13" i="5"/>
  <c r="E12" i="5"/>
  <c r="K16" i="4"/>
  <c r="C8" i="41" l="1"/>
  <c r="E25" i="43"/>
  <c r="H33" i="5"/>
  <c r="H35" i="5"/>
  <c r="F110" i="10"/>
  <c r="E110" i="10"/>
  <c r="H107" i="10"/>
  <c r="D110" i="10"/>
  <c r="G110" i="10"/>
  <c r="H108" i="10"/>
  <c r="H109" i="10"/>
  <c r="H106" i="10"/>
  <c r="G145" i="9"/>
  <c r="H143" i="9"/>
  <c r="E145" i="9"/>
  <c r="D145" i="9"/>
  <c r="F145" i="9"/>
  <c r="H142" i="9"/>
  <c r="H141" i="9"/>
  <c r="E63" i="8"/>
  <c r="F63" i="8"/>
  <c r="H61" i="8"/>
  <c r="D5" i="43" s="1"/>
  <c r="G63" i="8"/>
  <c r="D63" i="8"/>
  <c r="H60" i="8"/>
  <c r="D4" i="43" s="1"/>
  <c r="H59" i="8"/>
  <c r="H110" i="10" l="1"/>
  <c r="H145" i="9"/>
  <c r="H63" i="8"/>
  <c r="L3" i="43"/>
  <c r="D14" i="43"/>
  <c r="I10" i="4"/>
  <c r="I5" i="4"/>
  <c r="G7" i="43" l="1"/>
  <c r="I3" i="43"/>
  <c r="K3" i="43" s="1"/>
  <c r="J7" i="43"/>
  <c r="D7" i="43"/>
  <c r="G4" i="41" l="1"/>
  <c r="G28" i="41"/>
  <c r="G13" i="41"/>
  <c r="F14" i="41"/>
  <c r="G12" i="41"/>
  <c r="G11" i="41"/>
  <c r="E14" i="41"/>
  <c r="D14" i="41"/>
  <c r="C14" i="41"/>
  <c r="G29" i="41"/>
  <c r="G32" i="41" s="1"/>
  <c r="F20" i="41"/>
  <c r="E20" i="41"/>
  <c r="C20" i="41"/>
  <c r="G19" i="41"/>
  <c r="G18" i="41"/>
  <c r="G17" i="41"/>
  <c r="G16" i="41"/>
  <c r="F8" i="41"/>
  <c r="E8" i="41"/>
  <c r="D8" i="41"/>
  <c r="G7" i="41"/>
  <c r="G6" i="41"/>
  <c r="G5" i="41"/>
  <c r="G10" i="41" l="1"/>
  <c r="G8" i="41"/>
  <c r="G20" i="41"/>
  <c r="G14" i="41" l="1"/>
  <c r="E9" i="9" l="1"/>
  <c r="E41" i="7"/>
  <c r="E40" i="7"/>
  <c r="E56" i="7" s="1"/>
  <c r="E25" i="7"/>
  <c r="F56" i="7" s="1"/>
  <c r="E19" i="7"/>
  <c r="E18" i="7"/>
  <c r="E58" i="7" s="1"/>
  <c r="E17" i="7"/>
  <c r="E9" i="7"/>
  <c r="E7" i="7"/>
  <c r="E21" i="5"/>
  <c r="E32" i="41" s="1"/>
  <c r="E22" i="5"/>
  <c r="F32" i="41" s="1"/>
  <c r="E20" i="5"/>
  <c r="D32" i="41" s="1"/>
  <c r="E19" i="5"/>
  <c r="C32" i="41" s="1"/>
  <c r="D24" i="41" l="1"/>
  <c r="G24" i="41" s="1"/>
  <c r="H58" i="7"/>
  <c r="M5" i="43" s="1"/>
  <c r="D13" i="43" s="1"/>
  <c r="D23" i="41"/>
  <c r="G23" i="41" s="1"/>
  <c r="H57" i="7"/>
  <c r="M4" i="43" s="1"/>
  <c r="D12" i="43" s="1"/>
  <c r="E22" i="41"/>
  <c r="E26" i="41" s="1"/>
  <c r="E33" i="41" s="1"/>
  <c r="F60" i="7"/>
  <c r="D22" i="41"/>
  <c r="E60" i="7"/>
  <c r="E8" i="7"/>
  <c r="D56" i="7"/>
  <c r="G4" i="5"/>
  <c r="G5" i="5"/>
  <c r="G6" i="5"/>
  <c r="G3" i="5"/>
  <c r="G15" i="5"/>
  <c r="E18" i="5"/>
  <c r="E17" i="5"/>
  <c r="E16" i="5"/>
  <c r="E15" i="5"/>
  <c r="E11" i="5"/>
  <c r="D26" i="41" l="1"/>
  <c r="D33" i="41" s="1"/>
  <c r="D60" i="7"/>
  <c r="C22" i="41"/>
  <c r="C26" i="41" s="1"/>
  <c r="C33" i="41" s="1"/>
  <c r="D34" i="5"/>
  <c r="D36" i="5" s="1"/>
  <c r="F1" i="5"/>
  <c r="G18" i="5"/>
  <c r="G34" i="5"/>
  <c r="G36" i="5" s="1"/>
  <c r="G16" i="5"/>
  <c r="E34" i="5"/>
  <c r="E36" i="5" s="1"/>
  <c r="G17" i="5"/>
  <c r="F34" i="5"/>
  <c r="G56" i="7"/>
  <c r="E84" i="9"/>
  <c r="E78" i="9"/>
  <c r="E10" i="9"/>
  <c r="E8" i="9"/>
  <c r="E7" i="9"/>
  <c r="E6" i="9"/>
  <c r="E5" i="9"/>
  <c r="F1" i="9" s="1"/>
  <c r="E4" i="9"/>
  <c r="E3" i="9"/>
  <c r="G60" i="7" l="1"/>
  <c r="F22" i="41"/>
  <c r="H56" i="7"/>
  <c r="H34" i="5"/>
  <c r="H36" i="5" s="1"/>
  <c r="F36" i="5"/>
  <c r="E33" i="8"/>
  <c r="E25" i="8"/>
  <c r="E24" i="8"/>
  <c r="E22" i="8"/>
  <c r="E21" i="8"/>
  <c r="E20" i="8"/>
  <c r="E19" i="8"/>
  <c r="E18" i="8"/>
  <c r="E17" i="8"/>
  <c r="E16" i="8"/>
  <c r="E15" i="8"/>
  <c r="E14" i="8"/>
  <c r="E13" i="8"/>
  <c r="E12" i="8"/>
  <c r="E11" i="8"/>
  <c r="E8" i="8"/>
  <c r="E6" i="8"/>
  <c r="E5" i="8"/>
  <c r="E4" i="8"/>
  <c r="E3" i="8"/>
  <c r="H60" i="7" l="1"/>
  <c r="M3" i="43"/>
  <c r="G22" i="41"/>
  <c r="G26" i="41" s="1"/>
  <c r="F26" i="41"/>
  <c r="F33" i="41" s="1"/>
  <c r="G33" i="41" s="1"/>
  <c r="E102" i="10"/>
  <c r="E101" i="10"/>
  <c r="E99" i="10"/>
  <c r="E98" i="10"/>
  <c r="E97" i="10"/>
  <c r="E95" i="10"/>
  <c r="E94" i="10"/>
  <c r="E90" i="10"/>
  <c r="E89" i="10"/>
  <c r="E88" i="10"/>
  <c r="E83" i="10"/>
  <c r="E81" i="10"/>
  <c r="E78" i="10"/>
  <c r="E50" i="10"/>
  <c r="E46" i="10"/>
  <c r="E43" i="10"/>
  <c r="E36" i="10"/>
  <c r="E29" i="10"/>
  <c r="E28" i="10"/>
  <c r="E24" i="10"/>
  <c r="E19" i="10"/>
  <c r="E15" i="10"/>
  <c r="E14" i="10"/>
  <c r="E13" i="10"/>
  <c r="D11" i="43" l="1"/>
  <c r="D15" i="43" s="1"/>
  <c r="N3" i="43"/>
  <c r="M7" i="43"/>
  <c r="K23" i="4"/>
  <c r="I25" i="4"/>
  <c r="F28" i="4"/>
  <c r="E28" i="4"/>
  <c r="D28" i="4"/>
  <c r="C28" i="4"/>
  <c r="L27" i="4"/>
  <c r="G27" i="4"/>
  <c r="L26" i="4"/>
  <c r="G26" i="4"/>
  <c r="G25" i="4"/>
  <c r="L24" i="4"/>
  <c r="G24" i="4"/>
  <c r="I15" i="4"/>
  <c r="I16" i="4"/>
  <c r="J11" i="4"/>
  <c r="K11" i="4" s="1"/>
  <c r="K6" i="4"/>
  <c r="L6" i="4" s="1"/>
  <c r="K4" i="4"/>
  <c r="L4" i="4" s="1"/>
  <c r="F23" i="4"/>
  <c r="E23" i="4"/>
  <c r="D23" i="4"/>
  <c r="C23" i="4"/>
  <c r="L22" i="4"/>
  <c r="G22" i="4"/>
  <c r="G21" i="4"/>
  <c r="I23" i="4"/>
  <c r="G20" i="4"/>
  <c r="G19" i="4"/>
  <c r="F18" i="4"/>
  <c r="E18" i="4"/>
  <c r="D18" i="4"/>
  <c r="C18" i="4"/>
  <c r="L17" i="4"/>
  <c r="G17" i="4"/>
  <c r="G16" i="4"/>
  <c r="G15" i="4"/>
  <c r="G14" i="4"/>
  <c r="K25" i="4" l="1"/>
  <c r="L25" i="4" s="1"/>
  <c r="C3" i="43"/>
  <c r="K10" i="4"/>
  <c r="L10" i="4" s="1"/>
  <c r="C5" i="43"/>
  <c r="E5" i="43" s="1"/>
  <c r="O5" i="43"/>
  <c r="Q5" i="43" s="1"/>
  <c r="O6" i="43"/>
  <c r="K15" i="4"/>
  <c r="K18" i="4" s="1"/>
  <c r="K5" i="4"/>
  <c r="L5" i="4" s="1"/>
  <c r="G23" i="4"/>
  <c r="I28" i="4"/>
  <c r="J28" i="4"/>
  <c r="G28" i="4"/>
  <c r="G18" i="4"/>
  <c r="H28" i="4"/>
  <c r="I18" i="4"/>
  <c r="H23" i="4"/>
  <c r="H18" i="4"/>
  <c r="O4" i="43" l="1"/>
  <c r="L4" i="43"/>
  <c r="C4" i="43"/>
  <c r="E3" i="43"/>
  <c r="J18" i="4"/>
  <c r="L18" i="4" s="1"/>
  <c r="C14" i="43"/>
  <c r="E14" i="43" s="1"/>
  <c r="Q6" i="43"/>
  <c r="L16" i="4"/>
  <c r="L15" i="4"/>
  <c r="K28" i="4"/>
  <c r="L28" i="4" s="1"/>
  <c r="D1" i="5" s="1"/>
  <c r="G1" i="5" s="1"/>
  <c r="F13" i="4"/>
  <c r="E13" i="4"/>
  <c r="D13" i="4"/>
  <c r="C13" i="4"/>
  <c r="L12" i="4"/>
  <c r="G12" i="4"/>
  <c r="G11" i="4"/>
  <c r="F4" i="43"/>
  <c r="H4" i="43" s="1"/>
  <c r="G10" i="4"/>
  <c r="J13" i="4"/>
  <c r="H13" i="4"/>
  <c r="G9" i="4"/>
  <c r="D1" i="10" l="1"/>
  <c r="G1" i="10" s="1"/>
  <c r="I4" i="43"/>
  <c r="K4" i="43" s="1"/>
  <c r="N4" i="43"/>
  <c r="E4" i="43"/>
  <c r="C7" i="43"/>
  <c r="O7" i="43"/>
  <c r="Q4" i="43"/>
  <c r="I5" i="43"/>
  <c r="G13" i="4"/>
  <c r="K13" i="4"/>
  <c r="L11" i="4"/>
  <c r="I13" i="4"/>
  <c r="F3" i="43"/>
  <c r="C11" i="43" s="1"/>
  <c r="C12" i="43" l="1"/>
  <c r="E12" i="43" s="1"/>
  <c r="F5" i="43"/>
  <c r="H5" i="43" s="1"/>
  <c r="L13" i="4"/>
  <c r="D1" i="9" s="1"/>
  <c r="G1" i="9" s="1"/>
  <c r="E8" i="43"/>
  <c r="E7" i="43"/>
  <c r="E11" i="43"/>
  <c r="H3" i="43"/>
  <c r="Q7" i="43"/>
  <c r="Q8" i="43"/>
  <c r="I7" i="43"/>
  <c r="K5" i="43"/>
  <c r="K8" i="4"/>
  <c r="K29" i="4" s="1"/>
  <c r="J8" i="4"/>
  <c r="I8" i="4"/>
  <c r="I29" i="4" s="1"/>
  <c r="H8" i="4"/>
  <c r="F8" i="4"/>
  <c r="F29" i="4" s="1"/>
  <c r="E8" i="4"/>
  <c r="E29" i="4" s="1"/>
  <c r="D8" i="4"/>
  <c r="D29" i="4" s="1"/>
  <c r="C8" i="4"/>
  <c r="C29" i="4" s="1"/>
  <c r="L7" i="4"/>
  <c r="G7" i="4"/>
  <c r="G6" i="4"/>
  <c r="G5" i="4"/>
  <c r="G4" i="4"/>
  <c r="F7" i="43" l="1"/>
  <c r="H7" i="43" s="1"/>
  <c r="H29" i="4"/>
  <c r="L8" i="4"/>
  <c r="K8" i="43"/>
  <c r="K7" i="43"/>
  <c r="G8" i="4"/>
  <c r="G29" i="4" s="1"/>
  <c r="H8" i="43" l="1"/>
  <c r="D1" i="8"/>
  <c r="G1" i="8" s="1"/>
  <c r="J23" i="4"/>
  <c r="L23" i="4" s="1"/>
  <c r="L29" i="4" s="1"/>
  <c r="L21" i="4"/>
  <c r="J29" i="4" l="1"/>
  <c r="L5" i="43"/>
  <c r="D1" i="7" l="1"/>
  <c r="G1" i="7" s="1"/>
  <c r="N5" i="43"/>
  <c r="L7" i="43"/>
  <c r="N7" i="43" s="1"/>
  <c r="C13" i="43"/>
  <c r="N8" i="43" l="1"/>
  <c r="C15" i="43"/>
  <c r="E13" i="43"/>
  <c r="E16" i="43" l="1"/>
  <c r="E15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20" authorId="0" shapeId="0" xr:uid="{8E44BAFF-2315-FA44-AAA7-F9048B4117A4}">
      <text>
        <r>
          <rPr>
            <b/>
            <sz val="10"/>
            <color rgb="FF000000"/>
            <rFont val="Tahoma"/>
            <family val="2"/>
          </rPr>
          <t xml:space="preserve">1.  </t>
        </r>
        <r>
          <rPr>
            <b/>
            <sz val="10"/>
            <color rgb="FF000000"/>
            <rFont val="Tahoma"/>
            <family val="2"/>
          </rPr>
          <t>จากที่ได้ปี</t>
        </r>
        <r>
          <rPr>
            <b/>
            <sz val="10"/>
            <color rgb="FF000000"/>
            <rFont val="Tahoma"/>
            <family val="2"/>
          </rPr>
          <t xml:space="preserve"> 2024 :</t>
        </r>
        <r>
          <rPr>
            <b/>
            <sz val="10"/>
            <color rgb="FF000000"/>
            <rFont val="Tahoma"/>
            <family val="2"/>
          </rPr>
          <t>งาน</t>
        </r>
        <r>
          <rPr>
            <b/>
            <sz val="10"/>
            <color rgb="FF000000"/>
            <rFont val="Tahoma"/>
            <family val="2"/>
          </rPr>
          <t xml:space="preserve"> Services </t>
        </r>
        <r>
          <rPr>
            <b/>
            <sz val="10"/>
            <color rgb="FF000000"/>
            <rFont val="Tahoma"/>
            <family val="2"/>
          </rPr>
          <t>ติดตั้ง</t>
        </r>
        <r>
          <rPr>
            <b/>
            <sz val="10"/>
            <color rgb="FF000000"/>
            <rFont val="Tahoma"/>
            <family val="2"/>
          </rPr>
          <t xml:space="preserve"> / </t>
        </r>
        <r>
          <rPr>
            <b/>
            <sz val="10"/>
            <color rgb="FF000000"/>
            <rFont val="Tahoma"/>
            <family val="2"/>
          </rPr>
          <t>เช่าคลัง</t>
        </r>
        <r>
          <rPr>
            <b/>
            <sz val="10"/>
            <color rgb="FF000000"/>
            <rFont val="Tahoma"/>
            <family val="2"/>
          </rPr>
          <t xml:space="preserve">/CM
</t>
        </r>
        <r>
          <rPr>
            <b/>
            <sz val="10"/>
            <color rgb="FF000000"/>
            <rFont val="Tahoma"/>
            <family val="2"/>
          </rPr>
          <t xml:space="preserve">2. </t>
        </r>
        <r>
          <rPr>
            <b/>
            <sz val="10"/>
            <color rgb="FF000000"/>
            <rFont val="Tahoma"/>
            <family val="2"/>
          </rPr>
          <t>งานที่เพิ่มของปี</t>
        </r>
        <r>
          <rPr>
            <b/>
            <sz val="10"/>
            <color rgb="FF000000"/>
            <rFont val="Tahoma"/>
            <family val="2"/>
          </rPr>
          <t xml:space="preserve"> 2025 
</t>
        </r>
        <r>
          <rPr>
            <b/>
            <sz val="10"/>
            <color rgb="FF000000"/>
            <rFont val="Tahoma"/>
            <family val="2"/>
          </rPr>
          <t xml:space="preserve">Q1 350 set x (hw rental 750-, servie 450-)
</t>
        </r>
        <r>
          <rPr>
            <b/>
            <sz val="10"/>
            <color rgb="FF000000"/>
            <rFont val="Tahoma"/>
            <family val="2"/>
          </rPr>
          <t xml:space="preserve">Q2 350
</t>
        </r>
        <r>
          <rPr>
            <b/>
            <sz val="10"/>
            <color rgb="FF000000"/>
            <rFont val="Tahoma"/>
            <family val="2"/>
          </rPr>
          <t xml:space="preserve">Q3 400
</t>
        </r>
        <r>
          <rPr>
            <b/>
            <sz val="10"/>
            <color rgb="FF000000"/>
            <rFont val="Tahoma"/>
            <family val="2"/>
          </rPr>
          <t>Q4 400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Oraya Jang. Krachonsuk</author>
  </authors>
  <commentList>
    <comment ref="B3" authorId="0" shapeId="0" xr:uid="{456E8858-52E6-4D92-B69D-1BEA874D4A8E}">
      <text>
        <r>
          <rPr>
            <b/>
            <sz val="9"/>
            <color indexed="81"/>
            <rFont val="Tahoma"/>
            <family val="2"/>
          </rPr>
          <t>01,02,03</t>
        </r>
      </text>
    </comment>
    <comment ref="B4" authorId="0" shapeId="0" xr:uid="{48581BF9-04E3-44CE-BF7C-F494E2E0B40E}">
      <text>
        <r>
          <rPr>
            <b/>
            <sz val="9"/>
            <color indexed="81"/>
            <rFont val="Tahoma"/>
            <family val="2"/>
          </rPr>
          <t>เดือน 04,05,06</t>
        </r>
      </text>
    </comment>
    <comment ref="B5" authorId="0" shapeId="0" xr:uid="{B3A57051-1227-4DBA-999D-943239E092E3}">
      <text>
        <r>
          <rPr>
            <b/>
            <sz val="9"/>
            <color indexed="81"/>
            <rFont val="Tahoma"/>
            <family val="2"/>
          </rPr>
          <t>เดือน 07,08,09</t>
        </r>
      </text>
    </comment>
    <comment ref="B8" authorId="0" shapeId="0" xr:uid="{DE03E853-6FB6-4C6A-8C8A-BC4B17AAEC9B}">
      <text>
        <r>
          <rPr>
            <b/>
            <sz val="9"/>
            <color indexed="81"/>
            <rFont val="Tahoma"/>
            <family val="2"/>
          </rPr>
          <t xml:space="preserve">1. (ชุมพร) Jan 24/01/2022 - 23/01/2027  เช่าใช้ POS ราย 5 ปี
2.(สมุทรสงครามอุดมชัย กู๊ดโฮม)  Jan (  start July 2023-2028 )  เช่าใช้ POS ราย 5 ปี
3. (พัทลุง ชีย้งฮวด)  03/02/2022 - 02/02/2027
4. (ขอนแก่น แม็กซ์โฮม)  21/02/2022 - 20/02/2027  เช่าใช้ POS ราย 5 ปี
5. (มหาสารคาม)  ย้ายไป จันทบุรี อ. เมือง  </t>
        </r>
      </text>
    </comment>
    <comment ref="B9" authorId="0" shapeId="0" xr:uid="{B15401E8-920F-420A-B5A1-7A010299A0E1}">
      <text>
        <r>
          <rPr>
            <b/>
            <sz val="9"/>
            <color indexed="81"/>
            <rFont val="Tahoma"/>
            <family val="2"/>
          </rPr>
          <t xml:space="preserve"> อุดมชัย สมุทรสงคราม  อุดมชัย Goodhome  25/07/2023 - 20/06/2028 เช่าใช้ POS ราย 5 ปี</t>
        </r>
      </text>
    </comment>
    <comment ref="B10" authorId="0" shapeId="0" xr:uid="{C042D6B9-C002-4AE3-82E3-C99F9C241E30}">
      <text>
        <r>
          <rPr>
            <b/>
            <sz val="9"/>
            <color indexed="81"/>
            <rFont val="Tahoma"/>
            <family val="2"/>
          </rPr>
          <t>10.  15/12/2021 - 14/12/2026</t>
        </r>
      </text>
    </comment>
    <comment ref="B11" authorId="0" shapeId="0" xr:uid="{7D037CA8-EDC1-4A56-93CC-7756F59A2500}">
      <text>
        <r>
          <rPr>
            <b/>
            <sz val="9"/>
            <color indexed="81"/>
            <rFont val="Tahoma"/>
            <family val="2"/>
          </rPr>
          <t>1. (อุดรธานี คูย่งฮวด) 15/02/2021 - 14/02/2026  เช่าใช้ POS ราย 5 ปี
2. (โคราช หัวทะเล)  15/02/2021 - 14/02/2026  เช่าใช้ POS ราย 5 ปี
3. (ชลบุรี ฮาร์ดแวร์เฮาส์)  ย้ายไปหัวทะเลโคราช  15/02/2021 - 14/02/2026
4. (สุโขทัย) 15/02/2021 - 14/02/2026  เช่าใช้ POS ราย 5 ปี
5. (3K Homebase)  15/03/2021 - 14/03/2026 เช่าใช้ POS ราย 5 ปี</t>
        </r>
      </text>
    </comment>
    <comment ref="B12" authorId="0" shapeId="0" xr:uid="{C71218A8-8ECC-4634-AB73-6FFC52BA0032}">
      <text>
        <r>
          <rPr>
            <b/>
            <sz val="9"/>
            <color indexed="81"/>
            <rFont val="Tahoma"/>
            <family val="2"/>
          </rPr>
          <t>1.  (จันทุบรี หจก.บุญทวีวัสดุ) 29/04/2021 - 28/04/2026 เช่าใช้ POS ราย 5 ปี
2. (อุบล เมืองวัสดุ วารินชำราบ) ย้ายไป สาขาชลบุรี (ฮาร์ดแวร์เฮ้าส์ ศรีราชา)   12/04/2021 - 11/04/2026 เช่าใช้ POS ราย 5 ปี
3. (โคราช หัวทะเล) ย้ายไปอุบล เมืองวัสดุ วารินชำราบ 15/05/2021 - 14/05/2026 เช่าใช้ POS ราย 5 ปี 
4. (ชลบุรี ฮาร์ดแวร์เฮาส์ ศรีราชา)  15/05/2021 - 14/05/2026 เช่าใช้ POS ราย 5 ปี</t>
        </r>
      </text>
    </comment>
    <comment ref="B13" authorId="0" shapeId="0" xr:uid="{512DA2D0-E8D0-45E3-8FF4-A40F967A63AE}">
      <text>
        <r>
          <rPr>
            <b/>
            <sz val="9"/>
            <color indexed="81"/>
            <rFont val="Tahoma"/>
            <family val="2"/>
          </rPr>
          <t>1. (ขอนแก่น เปรมปรีดิ์) 01/08/2021 - 31/07/2026 เช่าใช้ POS ราย 5 ปี
2. (กระบี่ โฮมมาร์ท ซ.โลหะกิจ)  01/08/2021 - 31/07/2026 เช่าใช้ POS ราย 5 ปี
3.(โคราช เซ็นทรัลโฮม) 01/08/2021 - 31/07/2026
4.  (ลพบุรี วู๊ด แอนด์ เซรามิค)01/08/2021 - 31/07/2026 เช่าใช้ POS ราย 5 ปี
5.  (สะเดา สงขลา หจก.กิจเจริญสงขลา) 02/08/2021 - 01/08/2026
6. (สระแก้ว บ.เอกภัณฑ์ซีเมนต์)  ย้ายไปบุญทวี Home center  23/08/2021 - 22/08/2026 R5Y
7.  (นครนายก สหชัยบ้านนา) ย้ายเครื่อง มาจาก JYSK  01/07/2021 - 30/06/2026 เช่าใช้ POS ราย 5 ปี</t>
        </r>
      </text>
    </comment>
    <comment ref="B14" authorId="0" shapeId="0" xr:uid="{4B59D406-D65B-43D9-AC23-4A809E133AB0}">
      <text>
        <r>
          <rPr>
            <b/>
            <sz val="9"/>
            <color indexed="81"/>
            <rFont val="Tahoma"/>
            <family val="2"/>
          </rPr>
          <t>1. (สระแก้ว บ.เอกภัณฑ์อรัญโฮม) 23/08/2021 - 22/08/2026 เช่าใช้ POS ราย 5 ปี
2.  (อำนาจเจริญ วอวิศว์) 16/08/2021 - 15/08/2026 เช่าใช้ POS ราย 5 ปี
3. (นครปฐม บ.จำหน่ายวัสดุก่อสร้าง)  ย้ายไปสมุทรสงคราม แล้วย้ายไป จันทบุรี 02/09/2021 - 01/09/2026 R5</t>
        </r>
      </text>
    </comment>
    <comment ref="B15" authorId="0" shapeId="0" xr:uid="{1F02E033-6FA1-4353-8D6C-094800DD1C07}">
      <text>
        <r>
          <rPr>
            <b/>
            <sz val="9"/>
            <color indexed="81"/>
            <rFont val="Tahoma"/>
            <family val="2"/>
          </rPr>
          <t>เดือน 01,02</t>
        </r>
      </text>
    </comment>
    <comment ref="B17" authorId="0" shapeId="0" xr:uid="{A27F2595-8EDD-4709-A3D1-917BA8D6B726}">
      <text>
        <r>
          <rPr>
            <b/>
            <sz val="9"/>
            <color indexed="81"/>
            <rFont val="Tahoma"/>
            <family val="2"/>
          </rPr>
          <t xml:space="preserve">เดือน 04,05
</t>
        </r>
      </text>
    </comment>
    <comment ref="B21" authorId="0" shapeId="0" xr:uid="{8F9FDF43-7A2C-4F55-AE19-8247323393D5}">
      <text>
        <r>
          <rPr>
            <b/>
            <sz val="9"/>
            <color indexed="81"/>
            <rFont val="Tahoma"/>
            <family val="2"/>
          </rPr>
          <t>เดือน 01,02,03</t>
        </r>
      </text>
    </comment>
    <comment ref="B22" authorId="0" shapeId="0" xr:uid="{CF35CB10-2C69-4658-95B3-158D931D465E}">
      <text>
        <r>
          <rPr>
            <b/>
            <sz val="9"/>
            <color indexed="81"/>
            <rFont val="Tahoma"/>
            <family val="2"/>
          </rPr>
          <t xml:space="preserve">เดือน 04,05
</t>
        </r>
      </text>
    </comment>
    <comment ref="B27" authorId="0" shapeId="0" xr:uid="{88E58D8D-BC6C-4A46-8F7C-B9C5AC8ACCA1}">
      <text>
        <r>
          <rPr>
            <b/>
            <sz val="9"/>
            <color indexed="81"/>
            <rFont val="Tahoma"/>
            <family val="2"/>
          </rPr>
          <t xml:space="preserve">ขึ้น SAP HANA  </t>
        </r>
      </text>
    </comment>
    <comment ref="B33" authorId="0" shapeId="0" xr:uid="{270D6B3F-0999-44A9-8413-A1389CB15071}">
      <text>
        <r>
          <rPr>
            <b/>
            <sz val="9"/>
            <color indexed="81"/>
            <rFont val="Tahoma"/>
            <family val="2"/>
          </rPr>
          <t xml:space="preserve"> 1. (อุบล หจก.กิจเจริญอาณาจักรภัณฑ์)30/11/2020 - 29/11/2025 เช่าใช้ POS ราย 5 ปี 
2. (นครศรีธรรมราช ร้านศิริภัณฑ์ ท่าศาลา)  30/11/2020 - 29/11/2025 เช่าใช้ POS ราย 5 ปี
3.(สกลนคร โฮมโซลูชั่น สว่างรุ่งโรจน์)  30/11/2020 - 29/11/2025 เช่าใช้ POS ราย 5 ปี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Oraya Jang. Krachonsuk</author>
  </authors>
  <commentList>
    <comment ref="B13" authorId="0" shapeId="0" xr:uid="{99A0B2FF-4844-4831-84DE-4C071ADAD646}">
      <text>
        <r>
          <rPr>
            <b/>
            <sz val="16"/>
            <color indexed="81"/>
            <rFont val="Tahoma"/>
            <family val="2"/>
          </rPr>
          <t xml:space="preserve">แบ่ง
</t>
        </r>
        <r>
          <rPr>
            <b/>
            <sz val="14"/>
            <color indexed="81"/>
            <rFont val="Tahoma"/>
            <family val="2"/>
          </rPr>
          <t>1. 540,000 Baht
2. ขายตั๋ว 108,000.00 Baht.
3. ของที่ระลึก 108,000.00 Baht.
4. ร้านอาหาร 108,000.00 Baht.
4. ร้านอาหารนำกัน  45,000 Baht</t>
        </r>
      </text>
    </comment>
    <comment ref="B14" authorId="0" shapeId="0" xr:uid="{2B732F15-A8E4-4795-BED8-9AF98722C742}">
      <text>
        <r>
          <rPr>
            <b/>
            <sz val="12"/>
            <color indexed="81"/>
            <rFont val="Tahoma"/>
            <family val="2"/>
          </rPr>
          <t>แบ่ง
1. ขายตั๋ว 50,000 Baht.
2. ของที่ระลึก 50,000 Baht.
3. ร้านอาหาร 50,000 Baht.
4. ร้านอาหารนำกัน  50,000 Baht.</t>
        </r>
      </text>
    </comment>
    <comment ref="B15" authorId="0" shapeId="0" xr:uid="{DB960173-AA44-4F4E-90C3-03BC647C569B}">
      <text>
        <r>
          <rPr>
            <b/>
            <sz val="11"/>
            <color indexed="81"/>
            <rFont val="Tahoma"/>
            <family val="2"/>
          </rPr>
          <t>แบ่ง
1. ขายตั๋ว 322,200 Baht.
2. ของที่ระลึก322,200 Baht.
3. ร้านอาหาร 322,200 Baht.
4. ร้านอาหารนำกัน  134,250 Baht.</t>
        </r>
      </text>
    </comment>
    <comment ref="B28" authorId="0" shapeId="0" xr:uid="{52F0403C-50F4-4E26-BF86-0D34F9C101A7}">
      <text>
        <r>
          <rPr>
            <b/>
            <sz val="9"/>
            <color indexed="81"/>
            <rFont val="Tahoma"/>
            <family val="2"/>
          </rPr>
          <t>1. งวดที่ 3 Customize 30% = 356,412.00
2. 184,800.00</t>
        </r>
      </text>
    </comment>
    <comment ref="B29" authorId="0" shapeId="0" xr:uid="{E80AF04E-B915-479C-8419-4CB381987A30}">
      <text>
        <r>
          <rPr>
            <b/>
            <sz val="9"/>
            <color indexed="81"/>
            <rFont val="Tahoma"/>
            <family val="2"/>
          </rPr>
          <t xml:space="preserve">1.(Interface PIMO) = 287,600.00
2. 160,300.00 Baht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 xr:uid="{DAE9869D-E4DF-4045-B631-2CF08DB2E2AD}">
      <text>
        <r>
          <rPr>
            <b/>
            <sz val="9"/>
            <color indexed="81"/>
            <rFont val="Tahoma"/>
            <family val="2"/>
          </rPr>
          <t>-Replicate Data = 37,440.00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A8B2AE64-6709-49F2-AF04-7242F66B4D8E}">
      <text>
        <r>
          <rPr>
            <b/>
            <sz val="9"/>
            <color indexed="81"/>
            <rFont val="Tahoma"/>
            <family val="2"/>
          </rPr>
          <t>1.-ขายตั๋ว 18,000
2.ขายของที่ระลึก 9,000
3.Interface Website 225,000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Oraya Jang. Krachonsuk</author>
  </authors>
  <commentList>
    <comment ref="C3" authorId="0" shapeId="0" xr:uid="{E97A4ACF-C6D5-4764-9983-A4028BEB5585}">
      <text>
        <r>
          <rPr>
            <b/>
            <sz val="9"/>
            <color indexed="81"/>
            <rFont val="Tahoma"/>
            <family val="2"/>
          </rPr>
          <t xml:space="preserve">Amz2000 (เช่าเครื่อง)
</t>
        </r>
      </text>
    </comment>
    <comment ref="C4" authorId="0" shapeId="0" xr:uid="{052C7CB2-FAF2-489B-9610-1B59DC16E628}">
      <text>
        <r>
          <rPr>
            <b/>
            <sz val="9"/>
            <color indexed="81"/>
            <rFont val="Tahoma"/>
            <family val="2"/>
          </rPr>
          <t xml:space="preserve">Amz2000 (เช่าเครื่อง)
</t>
        </r>
      </text>
    </comment>
    <comment ref="C5" authorId="0" shapeId="0" xr:uid="{CE917742-677E-4106-A1E0-1992ACBCA534}">
      <text>
        <r>
          <rPr>
            <b/>
            <sz val="9"/>
            <color indexed="81"/>
            <rFont val="Tahoma"/>
            <family val="2"/>
          </rPr>
          <t xml:space="preserve">Amz2000 (เช่าเครื่อง)
</t>
        </r>
      </text>
    </comment>
    <comment ref="C6" authorId="0" shapeId="0" xr:uid="{CAC969E1-0EEA-40AE-A29D-0009ABF2F474}">
      <text>
        <r>
          <rPr>
            <b/>
            <sz val="9"/>
            <color indexed="81"/>
            <rFont val="Tahoma"/>
            <family val="2"/>
          </rPr>
          <t xml:space="preserve">Amz2000 (เช่าเครื่อง)
</t>
        </r>
      </text>
    </comment>
  </commentList>
</comments>
</file>

<file path=xl/sharedStrings.xml><?xml version="1.0" encoding="utf-8"?>
<sst xmlns="http://schemas.openxmlformats.org/spreadsheetml/2006/main" count="2136" uniqueCount="320">
  <si>
    <t>Total</t>
  </si>
  <si>
    <t>Q4</t>
  </si>
  <si>
    <t>Q1</t>
  </si>
  <si>
    <t>Q2</t>
  </si>
  <si>
    <t>Q3</t>
  </si>
  <si>
    <t>Sale Target</t>
  </si>
  <si>
    <t>Digital Platform</t>
  </si>
  <si>
    <t>Digital Services</t>
  </si>
  <si>
    <t>Digital Devices</t>
  </si>
  <si>
    <t>Digital Development</t>
  </si>
  <si>
    <t>Saleperson</t>
  </si>
  <si>
    <t>Supatra</t>
  </si>
  <si>
    <t>Wuttichai</t>
  </si>
  <si>
    <t>Saowanee</t>
  </si>
  <si>
    <t>TOTAL</t>
  </si>
  <si>
    <t>Wissanupong</t>
  </si>
  <si>
    <t>Dummy</t>
  </si>
  <si>
    <t>Kittinat</t>
  </si>
  <si>
    <t>Salesperson</t>
  </si>
  <si>
    <t>Customer</t>
  </si>
  <si>
    <t>Product Category</t>
  </si>
  <si>
    <t>Project Name (if not n/a)</t>
  </si>
  <si>
    <t>Amount (bf VAT)</t>
  </si>
  <si>
    <t>Period</t>
  </si>
  <si>
    <t>Refinery - Oil Control</t>
  </si>
  <si>
    <t>Cost</t>
  </si>
  <si>
    <t>Pipeline forecast for 2025</t>
  </si>
  <si>
    <t>PTT DIGITAL SOLUTIONS COMPANY LIMITED</t>
  </si>
  <si>
    <t xml:space="preserve">Monthly SCG Boonthavorn (Meter Charge)  </t>
  </si>
  <si>
    <t>AdaPOS+ POS Rental ร้านไอติมกะทิสด x  1 POS Monthly</t>
  </si>
  <si>
    <t>HW + Servive POS Rental ร้านไอติมกะทิสด x  1 POS Monthly</t>
  </si>
  <si>
    <t xml:space="preserve">POS for Ricoh Thai Yamazaki 9 U </t>
  </si>
  <si>
    <t>Kiosk iMIN demo</t>
  </si>
  <si>
    <t>Interface SAP ร้านไอศกรีมกะทิสด  Phase II</t>
  </si>
  <si>
    <t>Data Warehouse for Boonthavorn  ( Vertica Vs Oracle)</t>
  </si>
  <si>
    <t>AdaPOS+ POS Rental ร้านไอติมกะทิสด x  2 POS Monthly</t>
  </si>
  <si>
    <t xml:space="preserve">Replace POS Vananava 10 nits </t>
  </si>
  <si>
    <t>AdaPOS+ POS Rental ร้านไอติมกะทิสด x  3 POS Monthly</t>
  </si>
  <si>
    <t>HW + Servive POS Rental ร้านไอติมกะทิสด x  2 POS Monthly</t>
  </si>
  <si>
    <t>POS SET For Siam Piwat  50 Units</t>
  </si>
  <si>
    <t xml:space="preserve">Interface SAP ร้านไอศกรีมกะทิสด  Phase III </t>
  </si>
  <si>
    <t>HW for Ricoh  (  Thai Yamazaki _ Naraya)</t>
  </si>
  <si>
    <t xml:space="preserve">Monthly SCG Boonthavorn (Meter Charge) </t>
  </si>
  <si>
    <t>Tarteg</t>
  </si>
  <si>
    <t xml:space="preserve">บริษัท เอสซีจี บุญถาวร จำกัด </t>
  </si>
  <si>
    <t>บริษัท เอสซีจีโฮม รีเทล จำกัด (1)</t>
  </si>
  <si>
    <t>บริษัท เอสซีจีโฮม รีเทล จำกัด (2)</t>
  </si>
  <si>
    <t>บริษัท เอสซีจีโฮม รีเทล จำกัด  (2)</t>
  </si>
  <si>
    <t xml:space="preserve">บริษัท เอสซีจีโฮม รีเทล จำกัด (1) </t>
  </si>
  <si>
    <t>บริษัท เล่าจิ้นกวงเชียงใหม่ จำกัด</t>
  </si>
  <si>
    <t>N/A</t>
  </si>
  <si>
    <t>Project Name 
(if not n/a)</t>
  </si>
  <si>
    <t xml:space="preserve">ห้างหุ้นส่วนจากัด 24 มินิมารท์ สาขาที่ 4 </t>
  </si>
  <si>
    <t>บริษัท เจ ที เอ็น เอเชีย จำกัด  (1HQ/3BR)</t>
  </si>
  <si>
    <t>เทวพรการเกษตร (เพชรบูรณ์) ระบบสวนน้ำ</t>
  </si>
  <si>
    <t>SKYWORLD ADVENTURE CO., LTD.(hanumanworldphuket.)</t>
  </si>
  <si>
    <t>บริษัท  สามัคยานุสรณ์  กรุ๊ป  จำกัด</t>
  </si>
  <si>
    <t>บริษัท  ลีโอเนียน(ประเทศไทย) จำกัด (สำนักงานใหญ่)</t>
  </si>
  <si>
    <t>Samakee mart sole co.,ltd.-Lao</t>
  </si>
  <si>
    <t>UOB (YIS)</t>
  </si>
  <si>
    <t xml:space="preserve">มูลนิธิส่งเสริมศิลปาชีพในสมเด็จพระนางเจ้าสิริกิติ์ พระบรมราชินีนาถ </t>
  </si>
  <si>
    <t xml:space="preserve">บริษัท ไบร์ทมายด์ รีเทล จำกัด (  ใบเมี่ยง  )  </t>
  </si>
  <si>
    <t>บริษัท เจอร์นัล คอร์ป จำกัด (สำนักงานใหญ่)</t>
  </si>
  <si>
    <t>บริษัท อาชวี 2550 จำกัด</t>
  </si>
  <si>
    <t>บริษัท เจอร์นัล คอร์ป จำกัด (สำนักงานใหญ่) (สาขา POP UP)</t>
  </si>
  <si>
    <t>บริษัท มงกุฎเวชภัณฑ์ จำกัด (สำนักงานใหญ่)</t>
  </si>
  <si>
    <t>บริษัท รังสิตพลาซ่า จำกัด (สำนักงานใหญ่)</t>
  </si>
  <si>
    <t>ห้างหุ้นส่วนจำกัด แฟมิลี่ ไฮเปอร์มาร์ท (สำนักงานใหญ่)</t>
  </si>
  <si>
    <t>ห้างหุ้นส่วนจำกัด แฟมิลี่ ไฮเปอร์มาร์ท (สำนักงานใหญ่)-SQL/Windows</t>
  </si>
  <si>
    <t>บริษัท  ส.ล.แลนด์  จำกัด (สาขาที่ 00001)</t>
  </si>
  <si>
    <t>บริษัท เอส.อาร์.ซุปเปอร์มาร์ท จำกัด (สำนักงานใหญ่)</t>
  </si>
  <si>
    <t>บริษัท รอบบรรเจิด  จำกัด (สำนักงานใหญ่)</t>
  </si>
  <si>
    <t xml:space="preserve">บริษัท  ท็อปแลนด์เทคนิคอล  จำกัด </t>
  </si>
  <si>
    <t xml:space="preserve">บริษัท ท็อปแลนด์ พลาซ่า จำกัด </t>
  </si>
  <si>
    <t>บริษัท ท็อปแลนด์อาเขต จำกัด</t>
  </si>
  <si>
    <t>บริษัท ท็อปแลนด์เพชรบูรณ์  จำกัด</t>
  </si>
  <si>
    <t>บริษัท  บี.เอส.แลนด์ ดีเวลอปเม้นท์ จำกัด</t>
  </si>
  <si>
    <t xml:space="preserve">บริษัท  ท็อปแลนด์สุโขทัย  จำกัด </t>
  </si>
  <si>
    <t>บริษัท  อุตรดิตถ์  เอส.ที.เทรดดิ้ง  จำกัด</t>
  </si>
  <si>
    <t>บริษัท  บุรีรัมย์  ยูไนเต็ดอินเตอร์เนชั่นแนลเซอร์กิต  จำกัด</t>
  </si>
  <si>
    <t>บริษัท เจริญโลหะพาณิชย์ จำกัด (ทรัพย์ฮาร์ดแวร์)</t>
  </si>
  <si>
    <t>บริษัท  ทรู  ยูไนเต็ด  ฟุตบอล คลับ จำกัด (สำนักงานใหญ่)</t>
  </si>
  <si>
    <t xml:space="preserve">บริษัท ฟาฉายไลติ้งโฮม จำกัด (สำนักงานใหญ่) </t>
  </si>
  <si>
    <t>บริษัท จงกลณี การไฟฟ้า จำกัด</t>
  </si>
  <si>
    <t xml:space="preserve">บริษัท มงกุฎเวชภัณฑ์ จำกัด (สำนักงานใหญ่) </t>
  </si>
  <si>
    <t>บริษัท สิงหาครุภัณฑ์การแพทย์ จำกัด (สำนักงานใหญ่)</t>
  </si>
  <si>
    <t xml:space="preserve">บริษัท  ส.ล.โฮลเชล  จำกัด </t>
  </si>
  <si>
    <t>Zipcode Ltd (DIB) -ขายของที่ระลึก/ขายตั๋ว</t>
  </si>
  <si>
    <t xml:space="preserve">Zipcode Ltd (DIB) </t>
  </si>
  <si>
    <t>Siam Piwat Company Limited (YIS)</t>
  </si>
  <si>
    <t>Project SPA</t>
  </si>
  <si>
    <t xml:space="preserve">บริษัท เจอร์นัล คอร์ป จำกัด (สำนักงานใหญ่) </t>
  </si>
  <si>
    <t>Mr.Big</t>
  </si>
  <si>
    <t>บริษัท ทรูซัคเซส เมดิคอล ซัพพลาย จำกัด (สำนักงานใหญ่) งวดที่ 2</t>
  </si>
  <si>
    <t>Onitsuka Tiger</t>
  </si>
  <si>
    <t>บริษัท แฟชั่น อี-คอมเมิร์ซ เอเชีย จำกัด</t>
  </si>
  <si>
    <t>Pipeline Total</t>
  </si>
  <si>
    <t>บริษัท  โมชิ  โมชิ  รีเทล  คอร์ปอเรชั่น  จำกัด (มหาชน) (สำนักงานใหญ่)</t>
  </si>
  <si>
    <t>บริษัท  ศรญา  ดีเวลลอปเมนท์  จำกัด (สำนักงานใหญ่)</t>
  </si>
  <si>
    <t>ห้างหุ้นส่วนจำกัด เอสบี  ซอฟท์แวร์  เซอรวิส  (สำนักงานใหญ่)</t>
  </si>
  <si>
    <t>บริษัท  สยามคูโบต้าคอร์ปอเรชั่น จำกัด (สำนักงานใหญ่)</t>
  </si>
  <si>
    <t>บริษัท  วี โฮม  โซลูชั่น  จำกัด(สำนักงานใหญ่)</t>
  </si>
  <si>
    <t>บริษัท  ระฟ้า  เทคโนโลยี  จำกัด (สำนักงานใหญ่)</t>
  </si>
  <si>
    <t>บริษัท  พีพีอี  เมท  จำกัด  (สำนักงานใหญ่)</t>
  </si>
  <si>
    <t>ห้างหุ้นส่วนจำกัด ตงโหดีพาร์ทเม้นท์ สโตร์ (สำนักงานใหญ่)</t>
  </si>
  <si>
    <t>คุณจักรภพ  สู้งาน</t>
  </si>
  <si>
    <t>คุณธวัชชัย จงทัน</t>
  </si>
  <si>
    <t>คุณนิชพัฒน์   พัฒนปรีชากุล</t>
  </si>
  <si>
    <t>คุณประพันธ์ สาวิสัย</t>
  </si>
  <si>
    <t>คุณศุวินัย  เจะแว</t>
  </si>
  <si>
    <t>นางสมจิตร  จงทัน</t>
  </si>
  <si>
    <t>บริษัท  สายน้ำผึ้งพาณิชย์  จำกัด(สำนักงานใหญ่)</t>
  </si>
  <si>
    <t>บริษัท กำมะเชียรค้าส่ง จำกัด (สำนักงานใหญ่)</t>
  </si>
  <si>
    <t>บริษัท กินซะโด (ประเทศไทย) จำกัด (สำนักงานใหญ่)</t>
  </si>
  <si>
    <t>บริษัท กินซะโด (ประเทศไทย) จำกัด สาขาที่ 00001</t>
  </si>
  <si>
    <t>บริษัท เกษร ซุปเปอร์เซ็นเตอร์ จำกัด (สำนักงานใหญ่)</t>
  </si>
  <si>
    <t>บริษัท แก้วตา ดวงใจ (2546) จำกัด (สำนักงานใหญ่)</t>
  </si>
  <si>
    <t>บริษัท คนนิยม จำกัด (สำนักงานใหญ่)</t>
  </si>
  <si>
    <t>บริษัท ครบครัน เบเกอรี่ ฟู้ดส์ แอนด์ แพคเกจจิ้ง จำกัด (สำนักงานใหญ่)</t>
  </si>
  <si>
    <t>บริษัท คาลิฟาส จำกัด (สำนักงานใหญ่)</t>
  </si>
  <si>
    <t>บริษัท เค.ซี.ซี. ฟู้ดส์ แอนด์ แพคเกจจิ้ง จำกัด (สำนักงานใหญ่)</t>
  </si>
  <si>
    <t>บริษัท ชมทะเล  จำกัด (สำนักงานใหญ่)</t>
  </si>
  <si>
    <t>บริษัท โชคดีงาม จำกัด (สำนักงานใหญ่)</t>
  </si>
  <si>
    <t>บริษัท ซี.ดี.สุไหงโก-ลกซุปเปอร์มาร์เก็ต จำกัด (สำนักงานใหญ่)</t>
  </si>
  <si>
    <t>บริษัท เดอะ เคดี เฮ้าส์ จำกัด (สำนักงานใหญ่)</t>
  </si>
  <si>
    <t>บริษัท มาทานนท์ จำกัด</t>
  </si>
  <si>
    <t>บริษัท เยอร์บีร่า เฮ้าส์ จำกัด</t>
  </si>
  <si>
    <t>บริษัท ลา โมนิต้า จำกัด (สาขาที่ 00001)</t>
  </si>
  <si>
    <t>บริษัท ศรีสมัย ซุปเปอร์สโตร์ จำกัด (สำนักงานใหญ่)</t>
  </si>
  <si>
    <t>บริษัท ศรีสมัยค้าส่ง จำกัด (สำนักงานใหญ่)</t>
  </si>
  <si>
    <t>บริษัท เฮลล่า กู้ด จำกัด (สาขาที่ 00001)</t>
  </si>
  <si>
    <t>พรเจริญเซ็นเตอร์</t>
  </si>
  <si>
    <t>Project POS_SENOR_Refurbished มือ 2 Packaged 9,800.-  / 5 Account</t>
  </si>
  <si>
    <t>New Customer (Call , Event , Online)</t>
  </si>
  <si>
    <t>บริษัท ต.ไทยเจริญ มาร์เก็ต จำกัด(สำนักงานใหญ่)</t>
  </si>
  <si>
    <t>บริษัท ไทย ดีเอ็มอาร์ รีเทล จำกัด (สาขาที่ 00006)</t>
  </si>
  <si>
    <t>บริษัท นางทองกรุ๊ป จำกัด(สำนักงานใหญ่)</t>
  </si>
  <si>
    <t>บริษัท บางกอกคลับ จำกัด (สาขา 00003)</t>
  </si>
  <si>
    <t>บริษัท บูรพาสาส์น ( 1991 )  จำกัด(สำนักงานใหญ่)</t>
  </si>
  <si>
    <t>บริษัท พรธนาพัฒน์ จำกัด (สำนักงานใหญ่)</t>
  </si>
  <si>
    <t>บริษัท พัฒนาประชากร จำกัด (สำนักงานใหญ่)</t>
  </si>
  <si>
    <t>บริษัท โพรวองซ์ แอนด์ โก จำกัด (สำนักงานใหญ่)</t>
  </si>
  <si>
    <t>บริษัท ฟี้ดดิ้ง เฟรนซี จำกัด (สำนักงานใหญ่)</t>
  </si>
  <si>
    <t>บริษัท ฟู้ดโคม่า จำกัด (สำนักงานใหญ่)</t>
  </si>
  <si>
    <t>บริษัท ภรณ์นิเวศน์ ซุปเปอร์สโตร์ จำกัด (สำนักงานใหญ่)</t>
  </si>
  <si>
    <t>พิพิธภัณฑ์ธนาคารแห่งประเทศไทย</t>
  </si>
  <si>
    <t>ร้าน ก. เจริญพานิชย์</t>
  </si>
  <si>
    <t xml:space="preserve">ร้าน เดอะซัน ช็อป (สำนักงานใหญ่) </t>
  </si>
  <si>
    <t>ร้านจินไถ่ จูเนียร์</t>
  </si>
  <si>
    <t>วัดมเหยงคณ์</t>
  </si>
  <si>
    <t>วิไล  บุญอนันต์ธนสาร</t>
  </si>
  <si>
    <t>ศรีสุภัค พาณิชย์ (สำนักงานใหญ่)</t>
  </si>
  <si>
    <t>ศูนย์ OTOP  อบจ. ชัยนาท (สำนักงานใหญ่)</t>
  </si>
  <si>
    <t>สินเจริญ</t>
  </si>
  <si>
    <t>ห้างหุ้นส่วนจำกัด เคซุปเปอร์สโตร์ (สำนักงานใหญ่)</t>
  </si>
  <si>
    <t>เกียรติโชคชัย เบเกอร์มาร์ท</t>
  </si>
  <si>
    <t>ห้างหุ้นส่วนจำกัด ไทยช็อป 2022</t>
  </si>
  <si>
    <t>ห้างหุ้นส่วนจำกัด ม.ฮะกีมี (สำนักงานใหญ่)</t>
  </si>
  <si>
    <t xml:space="preserve">ห้างหุ้นส่วนจำกัด วรพรนวภัณฑ์ (สำนักงานใหญ่) </t>
  </si>
  <si>
    <t>ห้างหุ้นส่วนจำกัด หนองคายแสงสุวรรณ (สำนักงานใหญ่)</t>
  </si>
  <si>
    <t xml:space="preserve">อภิบาล  มาร์ท </t>
  </si>
  <si>
    <t xml:space="preserve">CYBERLINKS CO.,LTD SINGAPORE BRANCH </t>
  </si>
  <si>
    <t>บริษัท  บัวจันทร์  กรุ๊ป  จำกัด (สำนักงานใหญ่)</t>
  </si>
  <si>
    <t>ดวงใจ กิจฉลอง</t>
  </si>
  <si>
    <t>บริษัท จีคอมเมิร์ช จำกัด (สำนักงานใหญ่)</t>
  </si>
  <si>
    <t>บริษัท โนเบิล มาร์เก็ตติ้ง จำกัด-บริษัท ซิตี้ เฟรช ฟรุ๊ต จำกัด</t>
  </si>
  <si>
    <t>คุณรัชชา วงศ์สาวาส์</t>
  </si>
  <si>
    <t>บริษัท  อินโนเวชั่น  พลัส  จำกัด (สำนักงานใหญ่)</t>
  </si>
  <si>
    <t>บริษัท  อีสตินี่  เฟรชฟู้ดส์  จำกัด(สำนักงานใหญ่)</t>
  </si>
  <si>
    <t>บริษัท โคฟเวอร์ฟิช  888  จำกัด (สำนักงานใหญ่)</t>
  </si>
  <si>
    <t>บริษัท อมรและบุตร จำกัด (สำนักงานใหญ่</t>
  </si>
  <si>
    <t>วี โฮม โซลูชั่น จำกัด</t>
  </si>
  <si>
    <t>ร้านวดี (สำเพ็ง)</t>
  </si>
  <si>
    <t>บริษัท เลิศราชพฤกษ์ จำกัด (สำนักงานใหญ่)</t>
  </si>
  <si>
    <t>บริษัท วัฒนาพานิช(1960) จำกัด (สำนักงานใหญ่)</t>
  </si>
  <si>
    <t>กุ้งมินิมาร์ท</t>
  </si>
  <si>
    <t>Amz2T24047</t>
  </si>
  <si>
    <t>SCG24048</t>
  </si>
  <si>
    <t>MtBTV24042</t>
  </si>
  <si>
    <t>MtBTV24043</t>
  </si>
  <si>
    <t>MtBTV24044</t>
  </si>
  <si>
    <t>MtBTV24045</t>
  </si>
  <si>
    <t>MtBTV24046</t>
  </si>
  <si>
    <t>LnKTS24037</t>
  </si>
  <si>
    <t xml:space="preserve">SKYWORLD ADVENTURE CO., LTD.(hanumanworldphuket.) </t>
  </si>
  <si>
    <t>BluportHuahin</t>
  </si>
  <si>
    <t>บริษัท แชปเตอร์ คอร์ปอเรชั่น จำกัด</t>
  </si>
  <si>
    <t>บริษัท ทรูซัคเซส เมดิคอล ซัพพลาย จำกัด (สำนักงานใหญ่) สาขาใหม่</t>
  </si>
  <si>
    <t>บริษัท ฉัฐภัณฑ์ ฟู๊ด จำกัด</t>
  </si>
  <si>
    <t>บริษัท เจอร์นัล คอร์ป จำกัด (สำนักงานใหญ่)  Interface ERP</t>
  </si>
  <si>
    <t>journal-boutique</t>
  </si>
  <si>
    <t>บริษัท เจอร์นัล คอร์ป จำกัด (สำนักงานใหญ่)  Customize POS</t>
  </si>
  <si>
    <t>บริษัท เจอร์นัล คอร์ป จำกัด (สำนักงานใหญ่)   Interface CRM PIMO</t>
  </si>
  <si>
    <t xml:space="preserve">บริษัท นับดีมีเงิน จำกัด </t>
  </si>
  <si>
    <t>บริษัท พีเอส เบสท์ ไธรฟ์ จำกัด-Pool Mark</t>
  </si>
  <si>
    <t>Pool Mark</t>
  </si>
  <si>
    <t>บริษัท พีเอส เบสท์ ไธรฟ์ จำกัด-Pool Mark Interface Accuont</t>
  </si>
  <si>
    <t>บริษัท พีเอส เบสท์ ไธรฟ์ จำกัด-Pool Mark Interface  Line</t>
  </si>
  <si>
    <t>บริษัท ฟู้ดแลนด์ ซุปเปอร์มาร์เก็ต จำกัด - Project Grocerant</t>
  </si>
  <si>
    <t>Project Grocerant</t>
  </si>
  <si>
    <t>บริษัท ไบร์ทมายด์ รีเทล จำกัด (  ใบเมี่ยง  )  -ต่ออายุ</t>
  </si>
  <si>
    <t xml:space="preserve"> ใบเมี่ยง </t>
  </si>
  <si>
    <t>บริษัท แฟชั่น อี-คอมเมิร์ซ เอเชีย จำกัด (Project New Company)</t>
  </si>
  <si>
    <t>บริษัท  อุตรดิตถ์  เอส.ที.เทรดดิ้ง  จำกัด(สำนักงานใหญ่) -ห้างฟรายเดย์ (โกดังขายส่ง)</t>
  </si>
  <si>
    <t>ห้างฟรายเดย์</t>
  </si>
  <si>
    <t>DIB</t>
  </si>
  <si>
    <t xml:space="preserve">Pipeline </t>
  </si>
  <si>
    <t>diff</t>
  </si>
  <si>
    <t>-</t>
  </si>
  <si>
    <t xml:space="preserve">SaleTarget </t>
  </si>
  <si>
    <t xml:space="preserve">Total Pipeline </t>
  </si>
  <si>
    <t>MA Fit Auto 2024</t>
  </si>
  <si>
    <t>MA Fit Auto 2025</t>
  </si>
  <si>
    <t>Fit Auto New Lic</t>
  </si>
  <si>
    <t>MA</t>
  </si>
  <si>
    <t xml:space="preserve">บริษัท ไดโซ ซังเกียว (ประเทศไทย) จำกัด </t>
  </si>
  <si>
    <t>บริษัท ไดโซ ซังเกียว (ประเทศไทย) จำกัด</t>
  </si>
  <si>
    <t>New CR Boutique/2</t>
  </si>
  <si>
    <t>Renewal SW</t>
  </si>
  <si>
    <t>บริษัท ยิบอินซอย คอนซัลติ้ง จำกัด</t>
  </si>
  <si>
    <t>TMG New Mobile POS1/2</t>
  </si>
  <si>
    <t>TMG New Mobile POS2/2</t>
  </si>
  <si>
    <t>TMG New Mobile POS</t>
  </si>
  <si>
    <t>TMG New POS</t>
  </si>
  <si>
    <t>เช่าใช้อุปกรณ์ระบบ Wireless Router และ ระบบ 3G Router ปี 2567 TOR เลขที่ TR02232102 และหนังสือแจ้งเลขที่ 2210012926</t>
  </si>
  <si>
    <t>NGV3G24026</t>
  </si>
  <si>
    <t>ให้บริการ Service POS NGV ปี 67-68  อ้างอิง TOR เลขที่ TS11232455</t>
  </si>
  <si>
    <t>NGVSer24027</t>
  </si>
  <si>
    <t>ให้บริการ Service POS NGV ปี 67-68  อ้างอิง TOR เลขที่ TS11232456</t>
  </si>
  <si>
    <t>ให้บริการ Service POS NGV ปี 67-68  อ้างอิง TOR เลขที่ TS11232457</t>
  </si>
  <si>
    <t>ให้บริการ Service POS NGV ปี 67-68  อ้างอิง TOR เลขที่ TS11232458</t>
  </si>
  <si>
    <t xml:space="preserve">  - POS Set จำนวน 95 ชุด ในราคา 840 บ./ชุด/เดือน CT4210011385 ref 4210010551 </t>
  </si>
  <si>
    <t>NGVMa24013</t>
  </si>
  <si>
    <t xml:space="preserve">  - อุปกรณ์INBO Set จำนวน 5 ชุด ในราคา 350 บ./ชุด/เดือน สัญญาเลขที่ 4210011385 ชุดอุปกรณ์ POS NGV /BO อ้างอิงอุปกรณ์ ตามสัญญาเลขที่ 4210010551 จัดซื้อเครื่อง POS และอุปกรณ์</t>
  </si>
  <si>
    <t xml:space="preserve">POS SET Oil OR for Ricoh </t>
  </si>
  <si>
    <t>PTTOr24004</t>
  </si>
  <si>
    <t>HW + Service for Partners / SI</t>
  </si>
  <si>
    <t xml:space="preserve">บริษัท เดอะ เคดี เฮ้าส์ จำกัด (สำนักงานใหญ่) </t>
  </si>
  <si>
    <t>ห้างหุ้นส่วนจำกัด เจเจรุ่งเรือง 2018</t>
  </si>
  <si>
    <t>Cool Sport Co., Ltd.</t>
  </si>
  <si>
    <t>บริษัท ใจดีสปิริท จำกัด (สำนักงานใหญ่)</t>
  </si>
  <si>
    <t>บริษัทรัน กัน ซัน จำกัด (สำนักงานใหญ่)</t>
  </si>
  <si>
    <t>บริษัท บูรพาสาส์น</t>
  </si>
  <si>
    <t xml:space="preserve">บริษัทรัน กัน ซัน จำกัด (สำนักงานใหญ่) </t>
  </si>
  <si>
    <t>อภิบาล มาร์ท</t>
  </si>
  <si>
    <t>ร้านชมทะเล</t>
  </si>
  <si>
    <t>SIAM KUBOTA Corporation Company Limited (Head Office)</t>
  </si>
  <si>
    <t>บริษัท โปร เวิร์ค รีเทล จำกัด (สำนักงานใหญ่)</t>
  </si>
  <si>
    <t>หจก.เคซุปเปอร์สโตร์</t>
  </si>
  <si>
    <t xml:space="preserve">ห้างหุ้นส่วนจำกัด ไทยช็อป 2022 </t>
  </si>
  <si>
    <t>บริษัท  เฮงดี2517  จำกัด  (สำนักงานใหญ่)</t>
  </si>
  <si>
    <t xml:space="preserve">หจก. พรเจริญเซ็นเตอร์  /วินด์คอมเพล็กซ์  </t>
  </si>
  <si>
    <t>ร้าน เดอะซัน ช็อป (สำนักงานใหญ่)</t>
  </si>
  <si>
    <t>จันทรโภชนา (มหาราช) สำนักงานใหญ่</t>
  </si>
  <si>
    <t>PP Mode Company Limited</t>
  </si>
  <si>
    <t>PP LUX Company Limited</t>
  </si>
  <si>
    <t>ร้านเอกโฟนช็อบ</t>
  </si>
  <si>
    <t>บ.กินซะโด (ประเทศไทย) จำกัด</t>
  </si>
  <si>
    <t>บริษัท ธัญญรีน เอ็นเตอร์ไพรส์ จำกัด (สำนักงานใหญ่)</t>
  </si>
  <si>
    <t>บริษัท บ.สายน้ำผึ้งพาณิชย์ 2017</t>
  </si>
  <si>
    <t>คุณสังคม  สินอนันต์วณิช (ร้านสินอนันต์)</t>
  </si>
  <si>
    <t xml:space="preserve">จันทรโภชนา (มหาราช) สำนักงานใหญ่ </t>
  </si>
  <si>
    <t xml:space="preserve"> บริษัท  สุพรรณอินเตอร์  พอร์ค  จำกัด(สำนักงานใหญ่)</t>
  </si>
  <si>
    <t>ล้านผึ้งหลวง</t>
  </si>
  <si>
    <t>บริษัท ส.จิตติพงศ์ซีเมนต์แมท จำกัด</t>
  </si>
  <si>
    <t>บริษัท  เบตงซิตี้พลาซ่า  ดิวตี้ฟรี  จำกัด (สำนักงานใหญ่)</t>
  </si>
  <si>
    <t>บริษัท  เบตงซิตี้พลาซ่า  ดิวตี้ฟรี  จำกัด (สาขา00001 ด่านนอก)</t>
  </si>
  <si>
    <t>บริษัท  สินธนรัตน์  2021  จำกัด  (สำนักงานใหญ่)</t>
  </si>
  <si>
    <t xml:space="preserve">บริษัท อัลฟาเมตริคส์ จำกัด (สำนักงานใหญ่)  </t>
  </si>
  <si>
    <t>บริษัท  ภิญโญรุ่งเรืองกิจ  จำกัด (สำนักงานใหญ่)</t>
  </si>
  <si>
    <t>คุณสุรฤทธิ์  (ร้านหมูองอาจ)</t>
  </si>
  <si>
    <t xml:space="preserve">นารี2000 </t>
  </si>
  <si>
    <t>หจก.พรเจริญเซ็นเตอร์</t>
  </si>
  <si>
    <t>ห้างหุ้นส่วนจำกัด  กิจเกื้อกูล  19  (สำนักงานใหญ่)</t>
  </si>
  <si>
    <t>บริษัท กำมะเชียรค้าส่ง จำกัด</t>
  </si>
  <si>
    <t>บริษัท เดลล่า สปิก้า  จำกัด (สำนักงานใหญ่)</t>
  </si>
  <si>
    <t>คุณพงษ์ดนัย เมฆาสวัสดิวงษี  (ร้านน้องประตูน้ำ)</t>
  </si>
  <si>
    <t>บริษัท สิงหาครุภัณฑ์การแพทย์ จำกัด (สนญ.)</t>
  </si>
  <si>
    <t>ร้านสวัสดิการโรงพยาบาลประจวบคีรีขันธ์</t>
  </si>
  <si>
    <t>Customer - POS for rent</t>
  </si>
  <si>
    <t>Total All</t>
  </si>
  <si>
    <t>SKY EYE (กรมสรรพสามิต)</t>
  </si>
  <si>
    <t>ASY (กรมสรรพสามิต)</t>
  </si>
  <si>
    <t>E-Seal</t>
  </si>
  <si>
    <t>MSI (PTT Digital)</t>
  </si>
  <si>
    <t>Amazon 2000</t>
  </si>
  <si>
    <t>sell to MSI31280- / MSI sell to Mitsu for make rental back to ADA</t>
  </si>
  <si>
    <t>YIS (Thai Watsadu)</t>
  </si>
  <si>
    <t>Smart Meter</t>
  </si>
  <si>
    <t>YIS (TDK)</t>
  </si>
  <si>
    <t>RID</t>
  </si>
  <si>
    <t>Smart Office</t>
  </si>
  <si>
    <t>Access Control</t>
  </si>
  <si>
    <t>Remark</t>
  </si>
  <si>
    <t>PM/Presale</t>
  </si>
  <si>
    <t>Joe/Arm</t>
  </si>
  <si>
    <t>Floodway</t>
  </si>
  <si>
    <t>YIS (ทอ.)</t>
  </si>
  <si>
    <t xml:space="preserve">Auto Tank Gate </t>
  </si>
  <si>
    <t>Mo/Ta</t>
  </si>
  <si>
    <t>Best</t>
  </si>
  <si>
    <t>Best/ตั้ม</t>
  </si>
  <si>
    <t>เทศบาลควนลัง</t>
  </si>
  <si>
    <t>Smart City</t>
  </si>
  <si>
    <t>Smart Air Control (iOT)</t>
  </si>
  <si>
    <t>competitor charge 2M/Year</t>
  </si>
  <si>
    <t>กรมอาชีวะ</t>
  </si>
  <si>
    <t>Robot Coding</t>
  </si>
  <si>
    <t>Sale Target Total</t>
  </si>
  <si>
    <t>ยอดเดิมที่จะปรับ</t>
  </si>
  <si>
    <t>ยอดปรับใหม่</t>
  </si>
  <si>
    <t>PTT POS OR (Ricoh)</t>
  </si>
  <si>
    <t>PTT POS OR (MSI)</t>
  </si>
  <si>
    <t>PTT RM (Ricoh)</t>
  </si>
  <si>
    <t>PTAmz24006</t>
  </si>
  <si>
    <t>Taxas24044</t>
  </si>
  <si>
    <t>PTTRm24003</t>
  </si>
  <si>
    <t>เดิม</t>
  </si>
  <si>
    <t>By Salesperson</t>
  </si>
  <si>
    <t>By 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</si>
</sst>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45">
    <font>
      <sz val="14"/>
      <color theme="1"/>
      <name val="Cordia New"/>
      <family val="2"/>
      <charset val="222"/>
    </font>
    <font>
      <sz val="14"/>
      <color theme="1"/>
      <name val="Cordia New"/>
      <family val="2"/>
      <charset val="222"/>
    </font>
    <font>
      <b/>
      <sz val="16"/>
      <color theme="1"/>
      <name val="THSarabunNew"/>
    </font>
    <font>
      <b/>
      <sz val="14"/>
      <color theme="1"/>
      <name val="THSarabunNew"/>
    </font>
    <font>
      <sz val="14"/>
      <color theme="1"/>
      <name val="THSarabunNew"/>
    </font>
    <font>
      <b/>
      <sz val="12"/>
      <color theme="1"/>
      <name val="THSarabunNew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TH Sarabun New"/>
      <family val="2"/>
    </font>
    <font>
      <b/>
      <sz val="9"/>
      <color indexed="81"/>
      <name val="Tahoma"/>
      <family val="2"/>
    </font>
    <font>
      <sz val="12"/>
      <color theme="1" tint="4.9989318521683403E-2"/>
      <name val="TH Sarabun New"/>
      <family val="2"/>
    </font>
    <font>
      <sz val="12"/>
      <color theme="1"/>
      <name val="TH Sarabun New"/>
      <family val="2"/>
    </font>
    <font>
      <sz val="11"/>
      <color theme="1" tint="0.14996795556505021"/>
      <name val="Calibri"/>
      <family val="2"/>
      <scheme val="minor"/>
    </font>
    <font>
      <sz val="8"/>
      <name val="Cordia New"/>
      <family val="2"/>
      <charset val="222"/>
    </font>
    <font>
      <sz val="10"/>
      <name val="Arial"/>
      <family val="2"/>
    </font>
    <font>
      <sz val="9"/>
      <color indexed="81"/>
      <name val="Tahoma"/>
      <family val="2"/>
    </font>
    <font>
      <sz val="14"/>
      <color theme="1"/>
      <name val="TH Sarabun New"/>
      <family val="2"/>
    </font>
    <font>
      <b/>
      <sz val="14"/>
      <color rgb="FFFF0000"/>
      <name val="THSarabunNew"/>
    </font>
    <font>
      <sz val="14"/>
      <name val="THSarabunNew"/>
    </font>
    <font>
      <sz val="14"/>
      <color rgb="FF000000"/>
      <name val="TH Sarabun New"/>
      <family val="2"/>
    </font>
    <font>
      <sz val="14"/>
      <color theme="1" tint="4.9989318521683403E-2"/>
      <name val="TH Sarabun New"/>
      <family val="2"/>
    </font>
    <font>
      <sz val="14"/>
      <color rgb="FF000000"/>
      <name val="THSarabunNew"/>
    </font>
    <font>
      <b/>
      <sz val="11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b/>
      <sz val="16"/>
      <color indexed="81"/>
      <name val="Tahoma"/>
      <family val="2"/>
    </font>
    <font>
      <b/>
      <sz val="18"/>
      <color theme="1"/>
      <name val="THSarabunNew"/>
    </font>
    <font>
      <sz val="12"/>
      <color theme="1"/>
      <name val="THSarabunNew"/>
    </font>
    <font>
      <sz val="12"/>
      <color rgb="FFC00000"/>
      <name val="THSarabunNew"/>
    </font>
    <font>
      <sz val="14"/>
      <color rgb="FFC00000"/>
      <name val="THSarabunNew"/>
    </font>
    <font>
      <sz val="16"/>
      <color theme="1"/>
      <name val="THSarabunNew"/>
    </font>
    <font>
      <sz val="12"/>
      <color rgb="FF000000"/>
      <name val="TH Sarabun New"/>
      <family val="2"/>
    </font>
    <font>
      <sz val="14"/>
      <color theme="1"/>
      <name val="THSarabunNew"/>
      <charset val="222"/>
    </font>
    <font>
      <sz val="14"/>
      <color rgb="FF1F1F1F"/>
      <name val="THSarabunNew"/>
      <charset val="222"/>
    </font>
    <font>
      <sz val="12"/>
      <color theme="1"/>
      <name val="THSarabunNew"/>
      <charset val="222"/>
    </font>
    <font>
      <b/>
      <sz val="16"/>
      <name val="THSarabunNew"/>
    </font>
    <font>
      <b/>
      <sz val="48"/>
      <color theme="0"/>
      <name val="THSarabunNew"/>
    </font>
    <font>
      <sz val="20"/>
      <color theme="1"/>
      <name val="THSarabunNew"/>
    </font>
    <font>
      <b/>
      <sz val="16"/>
      <color theme="0"/>
      <name val="THSarabunNew"/>
    </font>
    <font>
      <b/>
      <sz val="20"/>
      <color theme="0"/>
      <name val="THSarabunNew"/>
    </font>
    <font>
      <sz val="48"/>
      <color theme="1"/>
      <name val="THSarabunNew"/>
    </font>
    <font>
      <b/>
      <sz val="14"/>
      <color theme="0"/>
      <name val="THSarabunNew"/>
    </font>
    <font>
      <b/>
      <sz val="12"/>
      <name val="THSarabunNew"/>
    </font>
    <font>
      <sz val="14"/>
      <color rgb="FFFF0000"/>
      <name val="THSarabunNew"/>
    </font>
    <font>
      <sz val="8"/>
      <color rgb="FF000000"/>
      <name val="Docs-Tahoma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ont="0" applyFill="0" applyBorder="0">
      <alignment horizontal="left" vertical="center" indent="3"/>
    </xf>
    <xf numFmtId="0" fontId="14" fillId="0" borderId="0"/>
  </cellStyleXfs>
  <cellXfs count="214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4" borderId="1" xfId="1" applyFont="1" applyFill="1" applyBorder="1"/>
    <xf numFmtId="164" fontId="5" fillId="0" borderId="1" xfId="1" applyFont="1" applyBorder="1"/>
    <xf numFmtId="0" fontId="4" fillId="0" borderId="0" xfId="0" applyFont="1"/>
    <xf numFmtId="0" fontId="5" fillId="2" borderId="1" xfId="0" applyFont="1" applyFill="1" applyBorder="1"/>
    <xf numFmtId="0" fontId="3" fillId="0" borderId="0" xfId="0" applyFont="1" applyAlignment="1">
      <alignment horizontal="center" vertical="center"/>
    </xf>
    <xf numFmtId="43" fontId="3" fillId="2" borderId="1" xfId="0" applyNumberFormat="1" applyFont="1" applyFill="1" applyBorder="1"/>
    <xf numFmtId="164" fontId="5" fillId="5" borderId="1" xfId="1" applyFont="1" applyFill="1" applyBorder="1"/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9" xfId="0" applyFont="1" applyBorder="1"/>
    <xf numFmtId="0" fontId="8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164" fontId="8" fillId="0" borderId="9" xfId="1" applyFont="1" applyFill="1" applyBorder="1" applyAlignment="1">
      <alignment vertical="center"/>
    </xf>
    <xf numFmtId="0" fontId="10" fillId="8" borderId="9" xfId="0" applyFont="1" applyFill="1" applyBorder="1" applyAlignment="1">
      <alignment horizontal="center" vertical="center" wrapText="1"/>
    </xf>
    <xf numFmtId="0" fontId="10" fillId="8" borderId="9" xfId="0" quotePrefix="1" applyFont="1" applyFill="1" applyBorder="1" applyAlignment="1">
      <alignment horizontal="left" vertical="center" wrapText="1"/>
    </xf>
    <xf numFmtId="164" fontId="10" fillId="8" borderId="9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164" fontId="10" fillId="0" borderId="9" xfId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 wrapText="1"/>
    </xf>
    <xf numFmtId="0" fontId="10" fillId="8" borderId="9" xfId="3" applyFont="1" applyFill="1" applyBorder="1" applyAlignment="1">
      <alignment horizontal="left" vertical="center" wrapText="1"/>
    </xf>
    <xf numFmtId="164" fontId="3" fillId="7" borderId="0" xfId="1" applyFont="1" applyFill="1" applyAlignment="1">
      <alignment horizontal="right"/>
    </xf>
    <xf numFmtId="164" fontId="3" fillId="7" borderId="0" xfId="1" applyFont="1" applyFill="1" applyAlignment="1">
      <alignment horizontal="left"/>
    </xf>
    <xf numFmtId="0" fontId="11" fillId="0" borderId="9" xfId="0" applyFont="1" applyBorder="1" applyAlignment="1">
      <alignment horizontal="left" vertical="center"/>
    </xf>
    <xf numFmtId="164" fontId="8" fillId="8" borderId="9" xfId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wrapText="1"/>
    </xf>
    <xf numFmtId="0" fontId="3" fillId="11" borderId="0" xfId="0" applyFont="1" applyFill="1" applyAlignment="1">
      <alignment horizontal="right"/>
    </xf>
    <xf numFmtId="164" fontId="3" fillId="11" borderId="0" xfId="1" applyFont="1" applyFill="1"/>
    <xf numFmtId="43" fontId="17" fillId="9" borderId="0" xfId="0" applyNumberFormat="1" applyFont="1" applyFill="1" applyAlignment="1">
      <alignment horizontal="left"/>
    </xf>
    <xf numFmtId="43" fontId="17" fillId="5" borderId="0" xfId="0" applyNumberFormat="1" applyFont="1" applyFill="1"/>
    <xf numFmtId="164" fontId="3" fillId="7" borderId="0" xfId="1" applyFont="1" applyFill="1" applyBorder="1" applyAlignment="1">
      <alignment horizontal="right"/>
    </xf>
    <xf numFmtId="164" fontId="2" fillId="7" borderId="0" xfId="1" applyFont="1" applyFill="1" applyBorder="1"/>
    <xf numFmtId="164" fontId="2" fillId="11" borderId="0" xfId="0" applyNumberFormat="1" applyFont="1" applyFill="1" applyAlignment="1">
      <alignment horizontal="center"/>
    </xf>
    <xf numFmtId="0" fontId="18" fillId="0" borderId="9" xfId="0" applyFont="1" applyBorder="1" applyAlignment="1">
      <alignment horizontal="center"/>
    </xf>
    <xf numFmtId="43" fontId="4" fillId="0" borderId="0" xfId="0" applyNumberFormat="1" applyFont="1"/>
    <xf numFmtId="0" fontId="19" fillId="0" borderId="0" xfId="0" applyFont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4" fillId="0" borderId="10" xfId="0" applyFont="1" applyBorder="1"/>
    <xf numFmtId="0" fontId="18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4" fillId="0" borderId="10" xfId="1" applyFont="1" applyBorder="1"/>
    <xf numFmtId="0" fontId="16" fillId="10" borderId="10" xfId="0" applyFont="1" applyFill="1" applyBorder="1"/>
    <xf numFmtId="164" fontId="16" fillId="10" borderId="10" xfId="1" applyFont="1" applyFill="1" applyBorder="1" applyAlignment="1">
      <alignment horizontal="right"/>
    </xf>
    <xf numFmtId="0" fontId="16" fillId="0" borderId="10" xfId="0" applyFont="1" applyBorder="1"/>
    <xf numFmtId="0" fontId="16" fillId="8" borderId="10" xfId="0" applyFont="1" applyFill="1" applyBorder="1"/>
    <xf numFmtId="164" fontId="16" fillId="10" borderId="10" xfId="1" applyFont="1" applyFill="1" applyBorder="1"/>
    <xf numFmtId="0" fontId="16" fillId="10" borderId="10" xfId="0" applyFont="1" applyFill="1" applyBorder="1" applyAlignment="1">
      <alignment horizontal="left"/>
    </xf>
    <xf numFmtId="0" fontId="16" fillId="10" borderId="10" xfId="0" applyFont="1" applyFill="1" applyBorder="1" applyAlignment="1">
      <alignment vertical="center"/>
    </xf>
    <xf numFmtId="164" fontId="16" fillId="10" borderId="10" xfId="1" applyFont="1" applyFill="1" applyBorder="1" applyAlignment="1">
      <alignment vertical="center"/>
    </xf>
    <xf numFmtId="164" fontId="16" fillId="8" borderId="10" xfId="1" applyFont="1" applyFill="1" applyBorder="1" applyAlignment="1">
      <alignment vertical="center"/>
    </xf>
    <xf numFmtId="0" fontId="16" fillId="8" borderId="10" xfId="0" applyFont="1" applyFill="1" applyBorder="1" applyAlignment="1">
      <alignment vertical="center"/>
    </xf>
    <xf numFmtId="164" fontId="16" fillId="0" borderId="10" xfId="1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0" xfId="0" applyFont="1" applyBorder="1" applyAlignment="1">
      <alignment horizontal="center"/>
    </xf>
    <xf numFmtId="164" fontId="16" fillId="0" borderId="10" xfId="0" applyNumberFormat="1" applyFont="1" applyBorder="1"/>
    <xf numFmtId="164" fontId="16" fillId="0" borderId="10" xfId="1" applyFont="1" applyBorder="1"/>
    <xf numFmtId="164" fontId="27" fillId="0" borderId="0" xfId="1" applyFont="1"/>
    <xf numFmtId="164" fontId="4" fillId="0" borderId="1" xfId="1" applyFont="1" applyBorder="1"/>
    <xf numFmtId="43" fontId="4" fillId="0" borderId="1" xfId="0" applyNumberFormat="1" applyFont="1" applyBorder="1"/>
    <xf numFmtId="164" fontId="30" fillId="0" borderId="1" xfId="1" applyFont="1" applyBorder="1"/>
    <xf numFmtId="43" fontId="30" fillId="0" borderId="1" xfId="0" applyNumberFormat="1" applyFont="1" applyBorder="1"/>
    <xf numFmtId="0" fontId="30" fillId="0" borderId="1" xfId="0" applyFont="1" applyBorder="1" applyAlignment="1">
      <alignment horizontal="center"/>
    </xf>
    <xf numFmtId="164" fontId="20" fillId="8" borderId="9" xfId="1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2" fillId="0" borderId="9" xfId="0" applyFont="1" applyBorder="1"/>
    <xf numFmtId="0" fontId="33" fillId="0" borderId="9" xfId="0" applyFont="1" applyBorder="1" applyAlignment="1">
      <alignment horizontal="center" vertical="center"/>
    </xf>
    <xf numFmtId="164" fontId="34" fillId="0" borderId="9" xfId="1" applyFont="1" applyBorder="1"/>
    <xf numFmtId="164" fontId="4" fillId="0" borderId="9" xfId="1" applyFont="1" applyBorder="1"/>
    <xf numFmtId="164" fontId="2" fillId="12" borderId="1" xfId="0" applyNumberFormat="1" applyFont="1" applyFill="1" applyBorder="1"/>
    <xf numFmtId="43" fontId="2" fillId="12" borderId="8" xfId="0" applyNumberFormat="1" applyFont="1" applyFill="1" applyBorder="1"/>
    <xf numFmtId="164" fontId="2" fillId="12" borderId="6" xfId="0" applyNumberFormat="1" applyFont="1" applyFill="1" applyBorder="1"/>
    <xf numFmtId="43" fontId="2" fillId="0" borderId="1" xfId="0" applyNumberFormat="1" applyFont="1" applyBorder="1" applyAlignment="1">
      <alignment horizontal="center" vertical="center"/>
    </xf>
    <xf numFmtId="164" fontId="35" fillId="12" borderId="1" xfId="0" applyNumberFormat="1" applyFont="1" applyFill="1" applyBorder="1"/>
    <xf numFmtId="43" fontId="2" fillId="0" borderId="1" xfId="0" applyNumberFormat="1" applyFont="1" applyBorder="1"/>
    <xf numFmtId="43" fontId="2" fillId="12" borderId="1" xfId="0" applyNumberFormat="1" applyFont="1" applyFill="1" applyBorder="1"/>
    <xf numFmtId="43" fontId="2" fillId="0" borderId="8" xfId="0" applyNumberFormat="1" applyFont="1" applyBorder="1"/>
    <xf numFmtId="164" fontId="20" fillId="0" borderId="9" xfId="1" applyFont="1" applyFill="1" applyBorder="1" applyAlignment="1">
      <alignment horizontal="center" vertical="center"/>
    </xf>
    <xf numFmtId="164" fontId="2" fillId="14" borderId="1" xfId="0" applyNumberFormat="1" applyFont="1" applyFill="1" applyBorder="1"/>
    <xf numFmtId="165" fontId="4" fillId="0" borderId="0" xfId="1" applyNumberFormat="1" applyFont="1"/>
    <xf numFmtId="164" fontId="4" fillId="0" borderId="0" xfId="1" applyFont="1"/>
    <xf numFmtId="0" fontId="37" fillId="0" borderId="0" xfId="0" applyFont="1"/>
    <xf numFmtId="0" fontId="4" fillId="12" borderId="10" xfId="0" applyFont="1" applyFill="1" applyBorder="1"/>
    <xf numFmtId="0" fontId="4" fillId="12" borderId="10" xfId="0" applyFont="1" applyFill="1" applyBorder="1" applyAlignment="1">
      <alignment horizontal="center"/>
    </xf>
    <xf numFmtId="164" fontId="4" fillId="12" borderId="10" xfId="1" applyFont="1" applyFill="1" applyBorder="1"/>
    <xf numFmtId="0" fontId="4" fillId="12" borderId="0" xfId="0" applyFont="1" applyFill="1"/>
    <xf numFmtId="165" fontId="4" fillId="12" borderId="0" xfId="1" applyNumberFormat="1" applyFont="1" applyFill="1"/>
    <xf numFmtId="0" fontId="4" fillId="12" borderId="0" xfId="0" applyFont="1" applyFill="1" applyAlignment="1">
      <alignment horizontal="center"/>
    </xf>
    <xf numFmtId="164" fontId="2" fillId="0" borderId="1" xfId="0" applyNumberFormat="1" applyFont="1" applyBorder="1"/>
    <xf numFmtId="164" fontId="2" fillId="0" borderId="8" xfId="0" applyNumberFormat="1" applyFont="1" applyBorder="1"/>
    <xf numFmtId="0" fontId="30" fillId="0" borderId="0" xfId="0" applyFont="1"/>
    <xf numFmtId="164" fontId="30" fillId="0" borderId="1" xfId="0" applyNumberFormat="1" applyFont="1" applyBorder="1" applyAlignment="1">
      <alignment horizontal="center" vertical="center"/>
    </xf>
    <xf numFmtId="0" fontId="2" fillId="12" borderId="12" xfId="0" applyFont="1" applyFill="1" applyBorder="1" applyAlignment="1">
      <alignment horizontal="right"/>
    </xf>
    <xf numFmtId="0" fontId="38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right"/>
    </xf>
    <xf numFmtId="0" fontId="2" fillId="12" borderId="15" xfId="0" applyFont="1" applyFill="1" applyBorder="1" applyAlignment="1">
      <alignment horizontal="right"/>
    </xf>
    <xf numFmtId="0" fontId="2" fillId="0" borderId="12" xfId="0" applyFont="1" applyBorder="1"/>
    <xf numFmtId="164" fontId="30" fillId="0" borderId="1" xfId="1" applyFont="1" applyBorder="1" applyAlignment="1">
      <alignment horizontal="center"/>
    </xf>
    <xf numFmtId="0" fontId="38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right"/>
    </xf>
    <xf numFmtId="164" fontId="30" fillId="0" borderId="8" xfId="1" applyFont="1" applyBorder="1"/>
    <xf numFmtId="164" fontId="30" fillId="0" borderId="8" xfId="1" applyFont="1" applyFill="1" applyBorder="1"/>
    <xf numFmtId="43" fontId="30" fillId="0" borderId="8" xfId="0" applyNumberFormat="1" applyFont="1" applyBorder="1"/>
    <xf numFmtId="164" fontId="30" fillId="0" borderId="1" xfId="1" applyFont="1" applyFill="1" applyBorder="1"/>
    <xf numFmtId="164" fontId="30" fillId="0" borderId="1" xfId="1" applyFont="1" applyFill="1" applyBorder="1" applyAlignment="1">
      <alignment horizontal="center"/>
    </xf>
    <xf numFmtId="164" fontId="2" fillId="15" borderId="1" xfId="0" applyNumberFormat="1" applyFont="1" applyFill="1" applyBorder="1"/>
    <xf numFmtId="43" fontId="30" fillId="0" borderId="0" xfId="0" applyNumberFormat="1" applyFont="1"/>
    <xf numFmtId="164" fontId="30" fillId="0" borderId="0" xfId="1" applyFont="1"/>
    <xf numFmtId="0" fontId="40" fillId="0" borderId="0" xfId="0" applyFont="1"/>
    <xf numFmtId="0" fontId="38" fillId="13" borderId="12" xfId="0" applyFont="1" applyFill="1" applyBorder="1"/>
    <xf numFmtId="164" fontId="18" fillId="4" borderId="1" xfId="1" applyFont="1" applyFill="1" applyBorder="1"/>
    <xf numFmtId="0" fontId="41" fillId="13" borderId="1" xfId="0" applyFont="1" applyFill="1" applyBorder="1" applyAlignment="1">
      <alignment horizontal="center"/>
    </xf>
    <xf numFmtId="43" fontId="4" fillId="12" borderId="1" xfId="0" applyNumberFormat="1" applyFont="1" applyFill="1" applyBorder="1"/>
    <xf numFmtId="164" fontId="4" fillId="12" borderId="1" xfId="0" applyNumberFormat="1" applyFont="1" applyFill="1" applyBorder="1"/>
    <xf numFmtId="164" fontId="4" fillId="12" borderId="1" xfId="1" applyFont="1" applyFill="1" applyBorder="1"/>
    <xf numFmtId="0" fontId="38" fillId="13" borderId="3" xfId="0" applyFont="1" applyFill="1" applyBorder="1"/>
    <xf numFmtId="0" fontId="41" fillId="13" borderId="22" xfId="0" applyFont="1" applyFill="1" applyBorder="1" applyAlignment="1">
      <alignment horizontal="center"/>
    </xf>
    <xf numFmtId="0" fontId="41" fillId="13" borderId="23" xfId="0" applyFont="1" applyFill="1" applyBorder="1" applyAlignment="1">
      <alignment horizontal="center"/>
    </xf>
    <xf numFmtId="164" fontId="4" fillId="0" borderId="22" xfId="1" applyFont="1" applyBorder="1"/>
    <xf numFmtId="43" fontId="4" fillId="0" borderId="23" xfId="0" applyNumberFormat="1" applyFont="1" applyBorder="1"/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12" borderId="22" xfId="0" applyNumberFormat="1" applyFont="1" applyFill="1" applyBorder="1"/>
    <xf numFmtId="43" fontId="4" fillId="12" borderId="23" xfId="0" applyNumberFormat="1" applyFont="1" applyFill="1" applyBorder="1"/>
    <xf numFmtId="0" fontId="4" fillId="12" borderId="24" xfId="0" applyFont="1" applyFill="1" applyBorder="1"/>
    <xf numFmtId="0" fontId="4" fillId="12" borderId="25" xfId="0" applyFont="1" applyFill="1" applyBorder="1"/>
    <xf numFmtId="164" fontId="4" fillId="12" borderId="22" xfId="1" applyFont="1" applyFill="1" applyBorder="1"/>
    <xf numFmtId="0" fontId="4" fillId="0" borderId="22" xfId="0" applyFont="1" applyBorder="1"/>
    <xf numFmtId="43" fontId="4" fillId="0" borderId="23" xfId="0" applyNumberFormat="1" applyFont="1" applyBorder="1" applyAlignment="1">
      <alignment horizontal="center"/>
    </xf>
    <xf numFmtId="0" fontId="4" fillId="6" borderId="1" xfId="0" applyFont="1" applyFill="1" applyBorder="1"/>
    <xf numFmtId="164" fontId="28" fillId="12" borderId="26" xfId="1" applyFont="1" applyFill="1" applyBorder="1" applyAlignment="1">
      <alignment horizontal="center"/>
    </xf>
    <xf numFmtId="43" fontId="4" fillId="12" borderId="1" xfId="0" applyNumberFormat="1" applyFont="1" applyFill="1" applyBorder="1" applyAlignment="1">
      <alignment horizontal="center"/>
    </xf>
    <xf numFmtId="164" fontId="28" fillId="12" borderId="1" xfId="1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43" fontId="4" fillId="12" borderId="23" xfId="0" applyNumberFormat="1" applyFont="1" applyFill="1" applyBorder="1" applyAlignment="1">
      <alignment horizontal="center"/>
    </xf>
    <xf numFmtId="0" fontId="4" fillId="12" borderId="24" xfId="0" applyFont="1" applyFill="1" applyBorder="1" applyAlignment="1">
      <alignment horizontal="center"/>
    </xf>
    <xf numFmtId="0" fontId="4" fillId="12" borderId="25" xfId="0" applyFont="1" applyFill="1" applyBorder="1" applyAlignment="1">
      <alignment horizontal="center"/>
    </xf>
    <xf numFmtId="43" fontId="29" fillId="0" borderId="23" xfId="0" applyNumberFormat="1" applyFont="1" applyBorder="1"/>
    <xf numFmtId="0" fontId="3" fillId="12" borderId="1" xfId="0" applyFont="1" applyFill="1" applyBorder="1" applyAlignment="1">
      <alignment horizontal="right"/>
    </xf>
    <xf numFmtId="165" fontId="4" fillId="0" borderId="0" xfId="1" applyNumberFormat="1" applyFont="1" applyFill="1"/>
    <xf numFmtId="164" fontId="4" fillId="0" borderId="0" xfId="0" applyNumberFormat="1" applyFont="1"/>
    <xf numFmtId="43" fontId="17" fillId="0" borderId="0" xfId="0" applyNumberFormat="1" applyFont="1"/>
    <xf numFmtId="164" fontId="4" fillId="12" borderId="0" xfId="1" applyFont="1" applyFill="1"/>
    <xf numFmtId="164" fontId="4" fillId="5" borderId="0" xfId="0" applyNumberFormat="1" applyFont="1" applyFill="1"/>
    <xf numFmtId="0" fontId="4" fillId="5" borderId="0" xfId="0" applyFont="1" applyFill="1"/>
    <xf numFmtId="43" fontId="4" fillId="5" borderId="1" xfId="0" applyNumberFormat="1" applyFont="1" applyFill="1" applyBorder="1"/>
    <xf numFmtId="0" fontId="4" fillId="5" borderId="1" xfId="0" applyFont="1" applyFill="1" applyBorder="1" applyAlignment="1">
      <alignment horizontal="center"/>
    </xf>
    <xf numFmtId="164" fontId="4" fillId="5" borderId="1" xfId="1" applyFont="1" applyFill="1" applyBorder="1"/>
    <xf numFmtId="165" fontId="4" fillId="0" borderId="0" xfId="0" applyNumberFormat="1" applyFont="1"/>
    <xf numFmtId="43" fontId="3" fillId="0" borderId="0" xfId="0" applyNumberFormat="1" applyFont="1" applyAlignment="1">
      <alignment horizontal="center"/>
    </xf>
    <xf numFmtId="165" fontId="4" fillId="2" borderId="0" xfId="1" applyNumberFormat="1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4" fontId="4" fillId="2" borderId="0" xfId="1" applyFont="1" applyFill="1"/>
    <xf numFmtId="0" fontId="4" fillId="18" borderId="0" xfId="0" applyFont="1" applyFill="1"/>
    <xf numFmtId="164" fontId="4" fillId="18" borderId="0" xfId="1" applyFont="1" applyFill="1"/>
    <xf numFmtId="164" fontId="42" fillId="0" borderId="1" xfId="1" applyFont="1" applyBorder="1"/>
    <xf numFmtId="0" fontId="11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164" fontId="4" fillId="0" borderId="0" xfId="1" applyFont="1" applyBorder="1"/>
    <xf numFmtId="0" fontId="44" fillId="0" borderId="0" xfId="0" applyFont="1" applyAlignment="1">
      <alignment horizontal="center"/>
    </xf>
    <xf numFmtId="0" fontId="4" fillId="19" borderId="0" xfId="0" applyFont="1" applyFill="1"/>
    <xf numFmtId="164" fontId="4" fillId="19" borderId="0" xfId="1" applyFont="1" applyFill="1"/>
    <xf numFmtId="0" fontId="41" fillId="20" borderId="0" xfId="0" applyFont="1" applyFill="1"/>
    <xf numFmtId="165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3" fillId="2" borderId="0" xfId="1" applyNumberFormat="1" applyFont="1" applyFill="1"/>
    <xf numFmtId="0" fontId="4" fillId="21" borderId="1" xfId="0" applyFont="1" applyFill="1" applyBorder="1"/>
    <xf numFmtId="43" fontId="4" fillId="21" borderId="1" xfId="0" applyNumberFormat="1" applyFont="1" applyFill="1" applyBorder="1"/>
    <xf numFmtId="0" fontId="3" fillId="21" borderId="1" xfId="0" applyFont="1" applyFill="1" applyBorder="1"/>
    <xf numFmtId="43" fontId="3" fillId="21" borderId="1" xfId="0" applyNumberFormat="1" applyFont="1" applyFill="1" applyBorder="1"/>
    <xf numFmtId="43" fontId="3" fillId="9" borderId="1" xfId="0" applyNumberFormat="1" applyFont="1" applyFill="1" applyBorder="1"/>
    <xf numFmtId="43" fontId="3" fillId="3" borderId="1" xfId="0" applyNumberFormat="1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6" fillId="13" borderId="13" xfId="0" applyFont="1" applyFill="1" applyBorder="1" applyAlignment="1">
      <alignment horizontal="center"/>
    </xf>
    <xf numFmtId="0" fontId="36" fillId="13" borderId="14" xfId="0" applyFont="1" applyFill="1" applyBorder="1" applyAlignment="1">
      <alignment horizontal="center"/>
    </xf>
    <xf numFmtId="0" fontId="36" fillId="13" borderId="12" xfId="0" applyFont="1" applyFill="1" applyBorder="1" applyAlignment="1">
      <alignment horizontal="left"/>
    </xf>
    <xf numFmtId="0" fontId="38" fillId="13" borderId="12" xfId="0" applyFont="1" applyFill="1" applyBorder="1" applyAlignment="1">
      <alignment horizontal="center" vertical="center"/>
    </xf>
    <xf numFmtId="0" fontId="38" fillId="13" borderId="15" xfId="0" applyFont="1" applyFill="1" applyBorder="1" applyAlignment="1">
      <alignment horizontal="center" vertical="center"/>
    </xf>
    <xf numFmtId="0" fontId="35" fillId="14" borderId="3" xfId="0" applyFont="1" applyFill="1" applyBorder="1" applyAlignment="1">
      <alignment horizontal="center" vertical="center"/>
    </xf>
    <xf numFmtId="0" fontId="35" fillId="14" borderId="2" xfId="0" applyFont="1" applyFill="1" applyBorder="1" applyAlignment="1">
      <alignment horizontal="center" vertical="center"/>
    </xf>
    <xf numFmtId="0" fontId="39" fillId="13" borderId="15" xfId="0" applyFont="1" applyFill="1" applyBorder="1" applyAlignment="1">
      <alignment horizontal="center" vertical="center"/>
    </xf>
    <xf numFmtId="0" fontId="39" fillId="13" borderId="16" xfId="0" applyFont="1" applyFill="1" applyBorder="1" applyAlignment="1">
      <alignment horizontal="center" vertical="center"/>
    </xf>
    <xf numFmtId="0" fontId="39" fillId="13" borderId="17" xfId="0" applyFont="1" applyFill="1" applyBorder="1" applyAlignment="1">
      <alignment horizontal="center" vertical="center"/>
    </xf>
    <xf numFmtId="0" fontId="38" fillId="16" borderId="19" xfId="0" applyFont="1" applyFill="1" applyBorder="1" applyAlignment="1">
      <alignment horizontal="center"/>
    </xf>
    <xf numFmtId="0" fontId="38" fillId="16" borderId="20" xfId="0" applyFont="1" applyFill="1" applyBorder="1" applyAlignment="1">
      <alignment horizontal="center"/>
    </xf>
    <xf numFmtId="0" fontId="38" fillId="16" borderId="21" xfId="0" applyFont="1" applyFill="1" applyBorder="1" applyAlignment="1">
      <alignment horizontal="center"/>
    </xf>
    <xf numFmtId="0" fontId="26" fillId="12" borderId="18" xfId="0" applyFont="1" applyFill="1" applyBorder="1" applyAlignment="1">
      <alignment horizontal="center" vertical="center"/>
    </xf>
    <xf numFmtId="0" fontId="26" fillId="12" borderId="6" xfId="0" applyFont="1" applyFill="1" applyBorder="1" applyAlignment="1">
      <alignment horizontal="center" vertical="center"/>
    </xf>
    <xf numFmtId="0" fontId="41" fillId="16" borderId="18" xfId="0" applyFont="1" applyFill="1" applyBorder="1" applyAlignment="1">
      <alignment horizontal="center" vertical="center"/>
    </xf>
    <xf numFmtId="0" fontId="41" fillId="16" borderId="6" xfId="0" applyFont="1" applyFill="1" applyBorder="1" applyAlignment="1">
      <alignment horizontal="center" vertical="center"/>
    </xf>
  </cellXfs>
  <cellStyles count="4">
    <cellStyle name="Comma" xfId="1" builtinId="3"/>
    <cellStyle name="Forecast Close" xfId="2" xr:uid="{D67B67E4-1985-4AEB-8481-6BD23D76FCDE}"/>
    <cellStyle name="Normal" xfId="0" builtinId="0"/>
    <cellStyle name="Normal_Book2 12" xfId="3" xr:uid="{79D7AA5C-5CBB-440A-A0BF-23EE6BE7B304}"/>
  </cellStyles>
  <dxfs count="0"/>
  <tableStyles count="0" defaultTableStyle="TableStyleMedium2" defaultPivotStyle="PivotStyleLight16"/>
  <colors>
    <mruColors>
      <color rgb="FFCCECFF"/>
      <color rgb="FF7CC9F0"/>
      <color rgb="FFD6A6B6"/>
      <color rgb="FFB4E0F6"/>
      <color rgb="FFEFF2F7"/>
      <color rgb="FFF6F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CAAF-9089-E14F-8A5D-EEA0DCCFE591}">
  <sheetPr codeName="Sheet2">
    <tabColor theme="6" tint="0.59999389629810485"/>
  </sheetPr>
  <dimension ref="A1:N39"/>
  <sheetViews>
    <sheetView tabSelected="1" zoomScale="75" zoomScaleNormal="90" workbookViewId="0">
      <pane xSplit="2" ySplit="3" topLeftCell="H4" activePane="bottomRight" state="frozen"/>
      <selection pane="topRight" activeCell="C1" sqref="C1"/>
      <selection pane="bottomLeft" activeCell="A3" sqref="A3"/>
      <selection pane="bottomRight" activeCell="O17" sqref="O17"/>
    </sheetView>
  </sheetViews>
  <sheetFormatPr defaultColWidth="11" defaultRowHeight="18"/>
  <cols>
    <col min="1" max="1" width="22.140625" style="9" customWidth="1"/>
    <col min="2" max="2" width="32.140625" style="7" customWidth="1"/>
    <col min="3" max="6" width="20.5703125" style="7" hidden="1" customWidth="1"/>
    <col min="7" max="7" width="25.42578125" style="7" hidden="1" customWidth="1"/>
    <col min="8" max="8" width="26.140625" style="7" customWidth="1"/>
    <col min="9" max="9" width="25.140625" style="7" customWidth="1"/>
    <col min="10" max="10" width="27.5703125" style="7" customWidth="1"/>
    <col min="11" max="11" width="24.5703125" style="7" customWidth="1"/>
    <col min="12" max="12" width="25.5703125" style="7" customWidth="1"/>
    <col min="13" max="13" width="22" style="7" customWidth="1"/>
    <col min="14" max="14" width="19.85546875" style="7" bestFit="1" customWidth="1"/>
    <col min="15" max="16384" width="11" style="7"/>
  </cols>
  <sheetData>
    <row r="1" spans="1:14">
      <c r="A1" s="9" t="s">
        <v>318</v>
      </c>
    </row>
    <row r="2" spans="1:14" s="1" customFormat="1" ht="20.25">
      <c r="A2" s="192" t="s">
        <v>18</v>
      </c>
      <c r="B2" s="184" t="s">
        <v>5</v>
      </c>
      <c r="C2" s="186">
        <v>2024</v>
      </c>
      <c r="D2" s="187"/>
      <c r="E2" s="187"/>
      <c r="F2" s="187"/>
      <c r="G2" s="188"/>
      <c r="H2" s="189">
        <v>2025</v>
      </c>
      <c r="I2" s="190"/>
      <c r="J2" s="190"/>
      <c r="K2" s="190"/>
      <c r="L2" s="191"/>
    </row>
    <row r="3" spans="1:14" s="1" customFormat="1" ht="20.25">
      <c r="A3" s="192"/>
      <c r="B3" s="185"/>
      <c r="C3" s="2" t="s">
        <v>2</v>
      </c>
      <c r="D3" s="2" t="s">
        <v>3</v>
      </c>
      <c r="E3" s="2" t="s">
        <v>4</v>
      </c>
      <c r="F3" s="2" t="s">
        <v>1</v>
      </c>
      <c r="G3" s="2" t="s">
        <v>0</v>
      </c>
      <c r="H3" s="3" t="s">
        <v>2</v>
      </c>
      <c r="I3" s="3" t="s">
        <v>3</v>
      </c>
      <c r="J3" s="3" t="s">
        <v>4</v>
      </c>
      <c r="K3" s="3" t="s">
        <v>1</v>
      </c>
      <c r="L3" s="3" t="s">
        <v>0</v>
      </c>
    </row>
    <row r="4" spans="1:14">
      <c r="A4" s="193" t="s">
        <v>17</v>
      </c>
      <c r="B4" s="4" t="s">
        <v>6</v>
      </c>
      <c r="C4" s="5">
        <v>30000</v>
      </c>
      <c r="D4" s="5">
        <v>30000</v>
      </c>
      <c r="E4" s="5">
        <v>30000</v>
      </c>
      <c r="F4" s="5">
        <v>30000</v>
      </c>
      <c r="G4" s="6">
        <f>SUM(C4:F4)</f>
        <v>120000</v>
      </c>
      <c r="H4" s="5">
        <v>230000</v>
      </c>
      <c r="I4" s="5">
        <f>H4</f>
        <v>230000</v>
      </c>
      <c r="J4" s="5">
        <v>220000</v>
      </c>
      <c r="K4" s="5">
        <f>J4</f>
        <v>220000</v>
      </c>
      <c r="L4" s="166">
        <f>SUM(H4:K4)</f>
        <v>900000</v>
      </c>
      <c r="M4" s="90"/>
    </row>
    <row r="5" spans="1:14">
      <c r="A5" s="194"/>
      <c r="B5" s="4" t="s">
        <v>7</v>
      </c>
      <c r="C5" s="5">
        <v>2850000</v>
      </c>
      <c r="D5" s="5">
        <v>2850000</v>
      </c>
      <c r="E5" s="5">
        <v>2850000</v>
      </c>
      <c r="F5" s="5">
        <v>2850000</v>
      </c>
      <c r="G5" s="6">
        <f t="shared" ref="G5:G8" si="0">SUM(C5:F5)</f>
        <v>11400000</v>
      </c>
      <c r="H5" s="5">
        <v>3700000</v>
      </c>
      <c r="I5" s="5">
        <f>H5</f>
        <v>3700000</v>
      </c>
      <c r="J5" s="5">
        <v>3800000</v>
      </c>
      <c r="K5" s="5">
        <f>J5</f>
        <v>3800000</v>
      </c>
      <c r="L5" s="6">
        <f>SUM(H5:K5)</f>
        <v>15000000</v>
      </c>
      <c r="M5" s="90"/>
    </row>
    <row r="6" spans="1:14">
      <c r="A6" s="194"/>
      <c r="B6" s="4" t="s">
        <v>8</v>
      </c>
      <c r="C6" s="5">
        <v>2550000</v>
      </c>
      <c r="D6" s="5">
        <v>2550000</v>
      </c>
      <c r="E6" s="5">
        <v>2550000</v>
      </c>
      <c r="F6" s="5">
        <v>2550000</v>
      </c>
      <c r="G6" s="6">
        <f t="shared" si="0"/>
        <v>10200000</v>
      </c>
      <c r="H6" s="5">
        <v>1800000</v>
      </c>
      <c r="I6" s="5">
        <f>H6</f>
        <v>1800000</v>
      </c>
      <c r="J6" s="5">
        <v>1700000</v>
      </c>
      <c r="K6" s="5">
        <f>J6</f>
        <v>1700000</v>
      </c>
      <c r="L6" s="6">
        <f>SUM(H6:K6)</f>
        <v>7000000</v>
      </c>
      <c r="M6" s="41"/>
    </row>
    <row r="7" spans="1:14">
      <c r="A7" s="194"/>
      <c r="B7" s="4" t="s">
        <v>9</v>
      </c>
      <c r="C7" s="5">
        <v>0</v>
      </c>
      <c r="D7" s="5">
        <v>0</v>
      </c>
      <c r="E7" s="5">
        <v>0</v>
      </c>
      <c r="F7" s="5">
        <v>0</v>
      </c>
      <c r="G7" s="6">
        <f t="shared" si="0"/>
        <v>0</v>
      </c>
      <c r="H7" s="5">
        <v>0</v>
      </c>
      <c r="I7" s="5">
        <v>0</v>
      </c>
      <c r="J7" s="5">
        <v>0</v>
      </c>
      <c r="K7" s="5">
        <v>0</v>
      </c>
      <c r="L7" s="6">
        <f t="shared" ref="L7" si="1">SUM(H7:K7)</f>
        <v>0</v>
      </c>
    </row>
    <row r="8" spans="1:14">
      <c r="A8" s="195"/>
      <c r="B8" s="8" t="s">
        <v>0</v>
      </c>
      <c r="C8" s="6">
        <f>SUM(C4:C7)</f>
        <v>5430000</v>
      </c>
      <c r="D8" s="6">
        <f t="shared" ref="D8:F8" si="2">SUM(D4:D7)</f>
        <v>5430000</v>
      </c>
      <c r="E8" s="6">
        <f t="shared" si="2"/>
        <v>5430000</v>
      </c>
      <c r="F8" s="6">
        <f t="shared" si="2"/>
        <v>5430000</v>
      </c>
      <c r="G8" s="6">
        <f t="shared" si="0"/>
        <v>21720000</v>
      </c>
      <c r="H8" s="6">
        <f>SUM(H4:H7)</f>
        <v>5730000</v>
      </c>
      <c r="I8" s="6">
        <f t="shared" ref="I8:K8" si="3">SUM(I4:I7)</f>
        <v>5730000</v>
      </c>
      <c r="J8" s="6">
        <f t="shared" si="3"/>
        <v>5720000</v>
      </c>
      <c r="K8" s="6">
        <f t="shared" si="3"/>
        <v>5720000</v>
      </c>
      <c r="L8" s="11">
        <f>SUM(H8:K8)</f>
        <v>22900000</v>
      </c>
    </row>
    <row r="9" spans="1:14">
      <c r="A9" s="196" t="s">
        <v>11</v>
      </c>
      <c r="B9" s="4" t="s">
        <v>6</v>
      </c>
      <c r="C9" s="5">
        <v>1200000</v>
      </c>
      <c r="D9" s="5">
        <v>1200000</v>
      </c>
      <c r="E9" s="5">
        <v>1200000</v>
      </c>
      <c r="F9" s="5">
        <v>1200000</v>
      </c>
      <c r="G9" s="6">
        <f>SUM(C9:F9)</f>
        <v>4800000</v>
      </c>
      <c r="H9" s="5">
        <v>1200000</v>
      </c>
      <c r="I9" s="5">
        <f>H9</f>
        <v>1200000</v>
      </c>
      <c r="J9" s="5">
        <v>1350000</v>
      </c>
      <c r="K9" s="5">
        <f>J9</f>
        <v>1350000</v>
      </c>
      <c r="L9" s="6">
        <f>SUM(H9:K9)</f>
        <v>5100000</v>
      </c>
      <c r="N9" s="41"/>
    </row>
    <row r="10" spans="1:14">
      <c r="A10" s="196"/>
      <c r="B10" s="4" t="s">
        <v>7</v>
      </c>
      <c r="C10" s="5">
        <v>60000</v>
      </c>
      <c r="D10" s="5">
        <v>60000</v>
      </c>
      <c r="E10" s="5">
        <v>60000</v>
      </c>
      <c r="F10" s="5">
        <v>60000</v>
      </c>
      <c r="G10" s="6">
        <f t="shared" ref="G10:G13" si="4">SUM(C10:F10)</f>
        <v>240000</v>
      </c>
      <c r="H10" s="5">
        <v>200000</v>
      </c>
      <c r="I10" s="5">
        <f>H10</f>
        <v>200000</v>
      </c>
      <c r="J10" s="5">
        <v>300000</v>
      </c>
      <c r="K10" s="5">
        <f t="shared" ref="J10:K11" si="5">J10</f>
        <v>300000</v>
      </c>
      <c r="L10" s="6">
        <f>SUM(H10:K10)</f>
        <v>1000000</v>
      </c>
      <c r="M10" s="41"/>
    </row>
    <row r="11" spans="1:14">
      <c r="A11" s="196"/>
      <c r="B11" s="4" t="s">
        <v>8</v>
      </c>
      <c r="C11" s="5">
        <v>120000</v>
      </c>
      <c r="D11" s="5">
        <v>120000</v>
      </c>
      <c r="E11" s="5">
        <v>120000</v>
      </c>
      <c r="F11" s="5">
        <v>120000</v>
      </c>
      <c r="G11" s="6">
        <f t="shared" si="4"/>
        <v>480000</v>
      </c>
      <c r="H11" s="5">
        <v>125000</v>
      </c>
      <c r="I11" s="5">
        <f>H11</f>
        <v>125000</v>
      </c>
      <c r="J11" s="5">
        <f t="shared" si="5"/>
        <v>125000</v>
      </c>
      <c r="K11" s="5">
        <f>J11</f>
        <v>125000</v>
      </c>
      <c r="L11" s="6">
        <f t="shared" ref="L11:L12" si="6">SUM(H11:K11)</f>
        <v>500000</v>
      </c>
      <c r="M11" s="41"/>
    </row>
    <row r="12" spans="1:14">
      <c r="A12" s="196"/>
      <c r="B12" s="4" t="s">
        <v>9</v>
      </c>
      <c r="C12" s="5">
        <v>0</v>
      </c>
      <c r="D12" s="5">
        <v>0</v>
      </c>
      <c r="E12" s="5">
        <v>0</v>
      </c>
      <c r="F12" s="5">
        <v>0</v>
      </c>
      <c r="G12" s="6">
        <f t="shared" si="4"/>
        <v>0</v>
      </c>
      <c r="H12" s="5"/>
      <c r="I12" s="5"/>
      <c r="J12" s="5"/>
      <c r="K12" s="5"/>
      <c r="L12" s="6">
        <f t="shared" si="6"/>
        <v>0</v>
      </c>
      <c r="M12" s="41"/>
    </row>
    <row r="13" spans="1:14">
      <c r="A13" s="196"/>
      <c r="B13" s="8" t="s">
        <v>0</v>
      </c>
      <c r="C13" s="6">
        <f>SUM(C9:C12)</f>
        <v>1380000</v>
      </c>
      <c r="D13" s="6">
        <f t="shared" ref="D13:F13" si="7">SUM(D9:D12)</f>
        <v>1380000</v>
      </c>
      <c r="E13" s="6">
        <f t="shared" si="7"/>
        <v>1380000</v>
      </c>
      <c r="F13" s="6">
        <f t="shared" si="7"/>
        <v>1380000</v>
      </c>
      <c r="G13" s="6">
        <f t="shared" si="4"/>
        <v>5520000</v>
      </c>
      <c r="H13" s="6">
        <f>SUM(H9:H12)</f>
        <v>1525000</v>
      </c>
      <c r="I13" s="6">
        <f t="shared" ref="I13:K13" si="8">SUM(I9:I12)</f>
        <v>1525000</v>
      </c>
      <c r="J13" s="6">
        <f t="shared" si="8"/>
        <v>1775000</v>
      </c>
      <c r="K13" s="6">
        <f t="shared" si="8"/>
        <v>1775000</v>
      </c>
      <c r="L13" s="11">
        <f>SUM(H13:K13)</f>
        <v>6600000</v>
      </c>
    </row>
    <row r="14" spans="1:14">
      <c r="A14" s="196" t="s">
        <v>12</v>
      </c>
      <c r="B14" s="4" t="s">
        <v>6</v>
      </c>
      <c r="C14" s="5">
        <v>2356500</v>
      </c>
      <c r="D14" s="5">
        <v>2356500</v>
      </c>
      <c r="E14" s="5">
        <v>2356500</v>
      </c>
      <c r="F14" s="5">
        <v>2356500</v>
      </c>
      <c r="G14" s="6">
        <f>SUM(C14:F14)</f>
        <v>9426000</v>
      </c>
      <c r="H14" s="5">
        <v>3000000</v>
      </c>
      <c r="I14" s="5">
        <f>H14</f>
        <v>3000000</v>
      </c>
      <c r="J14" s="5">
        <v>3500000</v>
      </c>
      <c r="K14" s="5">
        <f>J14</f>
        <v>3500000</v>
      </c>
      <c r="L14" s="6">
        <f>SUM(H14:K14)</f>
        <v>13000000</v>
      </c>
    </row>
    <row r="15" spans="1:14">
      <c r="A15" s="196"/>
      <c r="B15" s="4" t="s">
        <v>7</v>
      </c>
      <c r="C15" s="5">
        <v>112500</v>
      </c>
      <c r="D15" s="5">
        <v>112500</v>
      </c>
      <c r="E15" s="5">
        <v>112500</v>
      </c>
      <c r="F15" s="5">
        <v>112500</v>
      </c>
      <c r="G15" s="6">
        <f t="shared" ref="G15:G18" si="9">SUM(C15:F15)</f>
        <v>450000</v>
      </c>
      <c r="H15" s="5">
        <v>750000</v>
      </c>
      <c r="I15" s="5">
        <f>H15</f>
        <v>750000</v>
      </c>
      <c r="J15" s="5">
        <v>750000</v>
      </c>
      <c r="K15" s="5">
        <f t="shared" ref="K15" si="10">J15</f>
        <v>750000</v>
      </c>
      <c r="L15" s="6">
        <f>SUM(H15:K15)</f>
        <v>3000000</v>
      </c>
      <c r="M15" s="90"/>
    </row>
    <row r="16" spans="1:14">
      <c r="A16" s="196"/>
      <c r="B16" s="4" t="s">
        <v>8</v>
      </c>
      <c r="C16" s="5">
        <v>337500</v>
      </c>
      <c r="D16" s="5">
        <v>337500</v>
      </c>
      <c r="E16" s="5">
        <v>337500</v>
      </c>
      <c r="F16" s="5">
        <v>337500</v>
      </c>
      <c r="G16" s="6">
        <f t="shared" si="9"/>
        <v>1350000</v>
      </c>
      <c r="H16" s="5">
        <v>1700000</v>
      </c>
      <c r="I16" s="5">
        <f>H16</f>
        <v>1700000</v>
      </c>
      <c r="J16" s="5">
        <v>1550000</v>
      </c>
      <c r="K16" s="5">
        <f>J16</f>
        <v>1550000</v>
      </c>
      <c r="L16" s="6">
        <f>SUM(H16:K16)</f>
        <v>6500000</v>
      </c>
      <c r="M16" s="41"/>
    </row>
    <row r="17" spans="1:14">
      <c r="A17" s="196"/>
      <c r="B17" s="4" t="s">
        <v>9</v>
      </c>
      <c r="C17" s="5">
        <v>0</v>
      </c>
      <c r="D17" s="5">
        <v>0</v>
      </c>
      <c r="E17" s="5">
        <v>0</v>
      </c>
      <c r="F17" s="5">
        <v>0</v>
      </c>
      <c r="G17" s="6">
        <f t="shared" si="9"/>
        <v>0</v>
      </c>
      <c r="H17" s="5">
        <v>0</v>
      </c>
      <c r="I17" s="5">
        <v>0</v>
      </c>
      <c r="J17" s="5">
        <v>0</v>
      </c>
      <c r="K17" s="5">
        <v>0</v>
      </c>
      <c r="L17" s="6">
        <f t="shared" ref="L17" si="11">SUM(H17:K17)</f>
        <v>0</v>
      </c>
      <c r="M17" s="41"/>
    </row>
    <row r="18" spans="1:14">
      <c r="A18" s="196"/>
      <c r="B18" s="8" t="s">
        <v>0</v>
      </c>
      <c r="C18" s="6">
        <f>SUM(C14:C17)</f>
        <v>2806500</v>
      </c>
      <c r="D18" s="6">
        <f t="shared" ref="D18:F18" si="12">SUM(D14:D17)</f>
        <v>2806500</v>
      </c>
      <c r="E18" s="6">
        <f t="shared" si="12"/>
        <v>2806500</v>
      </c>
      <c r="F18" s="6">
        <f t="shared" si="12"/>
        <v>2806500</v>
      </c>
      <c r="G18" s="6">
        <f t="shared" si="9"/>
        <v>11226000</v>
      </c>
      <c r="H18" s="6">
        <f>SUM(H14:H17)</f>
        <v>5450000</v>
      </c>
      <c r="I18" s="6">
        <f t="shared" ref="I18:K18" si="13">SUM(I14:I17)</f>
        <v>5450000</v>
      </c>
      <c r="J18" s="6">
        <f t="shared" si="13"/>
        <v>5800000</v>
      </c>
      <c r="K18" s="6">
        <f t="shared" si="13"/>
        <v>5800000</v>
      </c>
      <c r="L18" s="11">
        <f>SUM(H18:K18)</f>
        <v>22500000</v>
      </c>
    </row>
    <row r="19" spans="1:14">
      <c r="A19" s="196" t="s">
        <v>13</v>
      </c>
      <c r="B19" s="4" t="s">
        <v>6</v>
      </c>
      <c r="C19" s="5"/>
      <c r="D19" s="5"/>
      <c r="E19" s="5"/>
      <c r="F19" s="5"/>
      <c r="G19" s="6">
        <f>SUM(C19:F19)</f>
        <v>0</v>
      </c>
      <c r="H19" s="120">
        <v>9000000</v>
      </c>
      <c r="I19" s="120">
        <f>H19</f>
        <v>9000000</v>
      </c>
      <c r="J19" s="120">
        <v>9000000</v>
      </c>
      <c r="K19" s="120">
        <f>J19</f>
        <v>9000000</v>
      </c>
      <c r="L19" s="6">
        <f>SUM(H19:K19)</f>
        <v>36000000</v>
      </c>
      <c r="M19" s="41"/>
      <c r="N19" s="41"/>
    </row>
    <row r="20" spans="1:14">
      <c r="A20" s="196"/>
      <c r="B20" s="4" t="s">
        <v>7</v>
      </c>
      <c r="C20" s="5"/>
      <c r="D20" s="5"/>
      <c r="E20" s="5"/>
      <c r="F20" s="5"/>
      <c r="G20" s="6">
        <f t="shared" ref="G20:G23" si="14">SUM(C20:F20)</f>
        <v>0</v>
      </c>
      <c r="H20" s="5">
        <v>8000000</v>
      </c>
      <c r="I20" s="5">
        <f>H20</f>
        <v>8000000</v>
      </c>
      <c r="J20" s="5">
        <v>8000000</v>
      </c>
      <c r="K20" s="5">
        <f>J20</f>
        <v>8000000</v>
      </c>
      <c r="L20" s="6">
        <f>SUM(H20:K20)</f>
        <v>32000000</v>
      </c>
      <c r="M20" s="41"/>
    </row>
    <row r="21" spans="1:14">
      <c r="A21" s="196"/>
      <c r="B21" s="4" t="s">
        <v>8</v>
      </c>
      <c r="C21" s="5"/>
      <c r="D21" s="5"/>
      <c r="E21" s="5"/>
      <c r="F21" s="5"/>
      <c r="G21" s="6">
        <f t="shared" si="14"/>
        <v>0</v>
      </c>
      <c r="H21" s="5">
        <v>250000</v>
      </c>
      <c r="I21" s="5">
        <f>H21</f>
        <v>250000</v>
      </c>
      <c r="J21" s="5">
        <v>250000</v>
      </c>
      <c r="K21" s="5">
        <f>J21</f>
        <v>250000</v>
      </c>
      <c r="L21" s="6">
        <f t="shared" ref="L21:L22" si="15">SUM(H21:K21)</f>
        <v>1000000</v>
      </c>
      <c r="M21" s="41"/>
    </row>
    <row r="22" spans="1:14">
      <c r="A22" s="196"/>
      <c r="B22" s="4" t="s">
        <v>9</v>
      </c>
      <c r="C22" s="5">
        <v>0</v>
      </c>
      <c r="D22" s="5">
        <v>0</v>
      </c>
      <c r="E22" s="5">
        <v>0</v>
      </c>
      <c r="F22" s="5">
        <v>0</v>
      </c>
      <c r="G22" s="6">
        <f t="shared" si="14"/>
        <v>0</v>
      </c>
      <c r="H22" s="5">
        <v>0</v>
      </c>
      <c r="I22" s="5">
        <v>0</v>
      </c>
      <c r="J22" s="5">
        <v>0</v>
      </c>
      <c r="K22" s="5">
        <v>0</v>
      </c>
      <c r="L22" s="6">
        <f t="shared" si="15"/>
        <v>0</v>
      </c>
      <c r="M22" s="90"/>
    </row>
    <row r="23" spans="1:14">
      <c r="A23" s="196"/>
      <c r="B23" s="8" t="s">
        <v>0</v>
      </c>
      <c r="C23" s="6">
        <f>SUM(C19:C22)</f>
        <v>0</v>
      </c>
      <c r="D23" s="6">
        <f>SUM(D19:D22)</f>
        <v>0</v>
      </c>
      <c r="E23" s="6">
        <f>SUM(E19:E22)</f>
        <v>0</v>
      </c>
      <c r="F23" s="6">
        <f>SUM(F19:F22)</f>
        <v>0</v>
      </c>
      <c r="G23" s="6">
        <f t="shared" si="14"/>
        <v>0</v>
      </c>
      <c r="H23" s="6">
        <f>SUM(H19:H22)</f>
        <v>17250000</v>
      </c>
      <c r="I23" s="6">
        <f>SUM(I19:I22)</f>
        <v>17250000</v>
      </c>
      <c r="J23" s="6">
        <f>SUM(J19:J22)</f>
        <v>17250000</v>
      </c>
      <c r="K23" s="6">
        <f>SUM(K19:K22)</f>
        <v>17250000</v>
      </c>
      <c r="L23" s="11">
        <f>SUM(H23:K23)</f>
        <v>69000000</v>
      </c>
    </row>
    <row r="24" spans="1:14">
      <c r="A24" s="196" t="s">
        <v>15</v>
      </c>
      <c r="B24" s="4" t="s">
        <v>6</v>
      </c>
      <c r="C24" s="5"/>
      <c r="D24" s="5"/>
      <c r="E24" s="5"/>
      <c r="F24" s="5"/>
      <c r="G24" s="6">
        <f>SUM(C24:F24)</f>
        <v>0</v>
      </c>
      <c r="H24" s="5"/>
      <c r="I24" s="5"/>
      <c r="J24" s="5"/>
      <c r="K24" s="5"/>
      <c r="L24" s="6">
        <f>SUM(H24:K24)</f>
        <v>0</v>
      </c>
    </row>
    <row r="25" spans="1:14">
      <c r="A25" s="196"/>
      <c r="B25" s="4" t="s">
        <v>7</v>
      </c>
      <c r="C25" s="5"/>
      <c r="D25" s="5"/>
      <c r="E25" s="5"/>
      <c r="F25" s="5"/>
      <c r="G25" s="6">
        <f t="shared" ref="G25:G28" si="16">SUM(C25:F25)</f>
        <v>0</v>
      </c>
      <c r="H25" s="5">
        <v>8500000</v>
      </c>
      <c r="I25" s="5">
        <f>H25</f>
        <v>8500000</v>
      </c>
      <c r="J25" s="5">
        <v>8500000</v>
      </c>
      <c r="K25" s="5">
        <f>J25</f>
        <v>8500000</v>
      </c>
      <c r="L25" s="6">
        <f>SUM(H25:K25)</f>
        <v>34000000</v>
      </c>
    </row>
    <row r="26" spans="1:14">
      <c r="A26" s="196"/>
      <c r="B26" s="4" t="s">
        <v>8</v>
      </c>
      <c r="C26" s="5"/>
      <c r="D26" s="5"/>
      <c r="E26" s="5"/>
      <c r="F26" s="5"/>
      <c r="G26" s="6">
        <f t="shared" si="16"/>
        <v>0</v>
      </c>
      <c r="H26" s="5">
        <v>14000000</v>
      </c>
      <c r="I26" s="5">
        <f>H26</f>
        <v>14000000</v>
      </c>
      <c r="J26" s="5">
        <v>13500000</v>
      </c>
      <c r="K26" s="5">
        <f>J26</f>
        <v>13500000</v>
      </c>
      <c r="L26" s="6">
        <f t="shared" ref="L26:L27" si="17">SUM(H26:K26)</f>
        <v>55000000</v>
      </c>
    </row>
    <row r="27" spans="1:14">
      <c r="A27" s="196"/>
      <c r="B27" s="4" t="s">
        <v>9</v>
      </c>
      <c r="C27" s="5">
        <v>0</v>
      </c>
      <c r="D27" s="5">
        <v>0</v>
      </c>
      <c r="E27" s="5">
        <v>0</v>
      </c>
      <c r="F27" s="5">
        <v>0</v>
      </c>
      <c r="G27" s="6">
        <f t="shared" si="16"/>
        <v>0</v>
      </c>
      <c r="H27" s="5">
        <v>12500000</v>
      </c>
      <c r="I27" s="5">
        <v>12500000</v>
      </c>
      <c r="J27" s="5">
        <v>12500000</v>
      </c>
      <c r="K27" s="5">
        <f>J27</f>
        <v>12500000</v>
      </c>
      <c r="L27" s="6">
        <f t="shared" si="17"/>
        <v>50000000</v>
      </c>
    </row>
    <row r="28" spans="1:14">
      <c r="A28" s="196"/>
      <c r="B28" s="8" t="s">
        <v>0</v>
      </c>
      <c r="C28" s="6">
        <f>SUM(C24:C27)</f>
        <v>0</v>
      </c>
      <c r="D28" s="6">
        <f t="shared" ref="D28:F28" si="18">SUM(D24:D27)</f>
        <v>0</v>
      </c>
      <c r="E28" s="6">
        <f t="shared" si="18"/>
        <v>0</v>
      </c>
      <c r="F28" s="6">
        <f t="shared" si="18"/>
        <v>0</v>
      </c>
      <c r="G28" s="6">
        <f t="shared" si="16"/>
        <v>0</v>
      </c>
      <c r="H28" s="6">
        <f>SUM(H24:H27)</f>
        <v>35000000</v>
      </c>
      <c r="I28" s="6">
        <f t="shared" ref="I28:K28" si="19">SUM(I24:I27)</f>
        <v>35000000</v>
      </c>
      <c r="J28" s="6">
        <f t="shared" si="19"/>
        <v>34500000</v>
      </c>
      <c r="K28" s="6">
        <f t="shared" si="19"/>
        <v>34500000</v>
      </c>
      <c r="L28" s="11">
        <f>SUM(H28:K28)</f>
        <v>139000000</v>
      </c>
    </row>
    <row r="29" spans="1:14" ht="20.25">
      <c r="A29" s="192" t="s">
        <v>14</v>
      </c>
      <c r="B29" s="192"/>
      <c r="C29" s="10">
        <f t="shared" ref="C29:K29" si="20">C8+C13+C18+C23+C28</f>
        <v>9616500</v>
      </c>
      <c r="D29" s="10">
        <f t="shared" si="20"/>
        <v>9616500</v>
      </c>
      <c r="E29" s="10">
        <f t="shared" si="20"/>
        <v>9616500</v>
      </c>
      <c r="F29" s="10">
        <f t="shared" si="20"/>
        <v>9616500</v>
      </c>
      <c r="G29" s="10">
        <f t="shared" si="20"/>
        <v>38466000</v>
      </c>
      <c r="H29" s="10">
        <f t="shared" si="20"/>
        <v>64955000</v>
      </c>
      <c r="I29" s="10">
        <f t="shared" si="20"/>
        <v>64955000</v>
      </c>
      <c r="J29" s="10">
        <f t="shared" si="20"/>
        <v>65045000</v>
      </c>
      <c r="K29" s="10">
        <f t="shared" si="20"/>
        <v>65045000</v>
      </c>
      <c r="L29" s="183">
        <f>L8+L13+L18+L23+L28</f>
        <v>260000000</v>
      </c>
    </row>
    <row r="31" spans="1:14">
      <c r="L31" s="90"/>
    </row>
    <row r="32" spans="1:14">
      <c r="A32" s="9" t="s">
        <v>319</v>
      </c>
    </row>
    <row r="33" spans="2:12" ht="20.25">
      <c r="B33" s="184" t="s">
        <v>5</v>
      </c>
      <c r="C33" s="186">
        <v>2024</v>
      </c>
      <c r="D33" s="187"/>
      <c r="E33" s="187"/>
      <c r="F33" s="187"/>
      <c r="G33" s="188"/>
      <c r="H33" s="189">
        <v>2025</v>
      </c>
      <c r="I33" s="190"/>
      <c r="J33" s="190"/>
      <c r="K33" s="190"/>
      <c r="L33" s="191"/>
    </row>
    <row r="34" spans="2:12" ht="20.25">
      <c r="B34" s="185"/>
      <c r="C34" s="2" t="s">
        <v>2</v>
      </c>
      <c r="D34" s="2" t="s">
        <v>3</v>
      </c>
      <c r="E34" s="2" t="s">
        <v>4</v>
      </c>
      <c r="F34" s="2" t="s">
        <v>1</v>
      </c>
      <c r="G34" s="2" t="s">
        <v>0</v>
      </c>
      <c r="H34" s="3" t="s">
        <v>2</v>
      </c>
      <c r="I34" s="3" t="s">
        <v>3</v>
      </c>
      <c r="J34" s="3" t="s">
        <v>4</v>
      </c>
      <c r="K34" s="3" t="s">
        <v>1</v>
      </c>
      <c r="L34" s="3" t="s">
        <v>0</v>
      </c>
    </row>
    <row r="35" spans="2:12">
      <c r="B35" s="178" t="str">
        <f>B4</f>
        <v>Digital Platform</v>
      </c>
      <c r="C35" s="178"/>
      <c r="D35" s="178"/>
      <c r="E35" s="178"/>
      <c r="F35" s="178"/>
      <c r="G35" s="178"/>
      <c r="H35" s="179">
        <f>H4+H9+H14+H19+H24</f>
        <v>13430000</v>
      </c>
      <c r="I35" s="179">
        <f t="shared" ref="I35:K35" si="21">I4+I9+I14+I19+I24</f>
        <v>13430000</v>
      </c>
      <c r="J35" s="179">
        <f t="shared" si="21"/>
        <v>14070000</v>
      </c>
      <c r="K35" s="179">
        <f t="shared" si="21"/>
        <v>14070000</v>
      </c>
      <c r="L35" s="181">
        <f>SUM(H35:K35)</f>
        <v>55000000</v>
      </c>
    </row>
    <row r="36" spans="2:12">
      <c r="B36" s="178" t="str">
        <f t="shared" ref="B36:B38" si="22">B5</f>
        <v>Digital Services</v>
      </c>
      <c r="C36" s="178"/>
      <c r="D36" s="178"/>
      <c r="E36" s="178"/>
      <c r="F36" s="178"/>
      <c r="G36" s="178"/>
      <c r="H36" s="179">
        <f>H5+H10+H15+H20+H25</f>
        <v>21150000</v>
      </c>
      <c r="I36" s="179">
        <f t="shared" ref="I36:K36" si="23">I5+I10+I15+I20+I25</f>
        <v>21150000</v>
      </c>
      <c r="J36" s="179">
        <f t="shared" si="23"/>
        <v>21350000</v>
      </c>
      <c r="K36" s="179">
        <f t="shared" si="23"/>
        <v>21350000</v>
      </c>
      <c r="L36" s="181">
        <f t="shared" ref="L36:L38" si="24">SUM(H36:K36)</f>
        <v>85000000</v>
      </c>
    </row>
    <row r="37" spans="2:12">
      <c r="B37" s="178" t="str">
        <f t="shared" si="22"/>
        <v>Digital Devices</v>
      </c>
      <c r="C37" s="178"/>
      <c r="D37" s="178"/>
      <c r="E37" s="178"/>
      <c r="F37" s="178"/>
      <c r="G37" s="178"/>
      <c r="H37" s="179">
        <f>H6+H11+H16+H21+H26</f>
        <v>17875000</v>
      </c>
      <c r="I37" s="179">
        <f t="shared" ref="I37:K37" si="25">I6+I11+I16+I21+I26</f>
        <v>17875000</v>
      </c>
      <c r="J37" s="179">
        <f t="shared" si="25"/>
        <v>17125000</v>
      </c>
      <c r="K37" s="179">
        <f t="shared" si="25"/>
        <v>17125000</v>
      </c>
      <c r="L37" s="181">
        <f t="shared" si="24"/>
        <v>70000000</v>
      </c>
    </row>
    <row r="38" spans="2:12">
      <c r="B38" s="178" t="str">
        <f t="shared" si="22"/>
        <v>Digital Development</v>
      </c>
      <c r="C38" s="178"/>
      <c r="D38" s="178"/>
      <c r="E38" s="178"/>
      <c r="F38" s="178"/>
      <c r="G38" s="178"/>
      <c r="H38" s="179">
        <f>H7+H12+H17+H27</f>
        <v>12500000</v>
      </c>
      <c r="I38" s="179">
        <f t="shared" ref="I38:K38" si="26">I7+I12+I17+I27</f>
        <v>12500000</v>
      </c>
      <c r="J38" s="179">
        <f t="shared" si="26"/>
        <v>12500000</v>
      </c>
      <c r="K38" s="179">
        <f t="shared" si="26"/>
        <v>12500000</v>
      </c>
      <c r="L38" s="181">
        <f t="shared" si="24"/>
        <v>50000000</v>
      </c>
    </row>
    <row r="39" spans="2:12">
      <c r="B39" s="180" t="s">
        <v>0</v>
      </c>
      <c r="C39" s="180"/>
      <c r="D39" s="180"/>
      <c r="E39" s="180"/>
      <c r="F39" s="180"/>
      <c r="G39" s="180"/>
      <c r="H39" s="181">
        <f>SUM(H35:H38)</f>
        <v>64955000</v>
      </c>
      <c r="I39" s="181">
        <f t="shared" ref="I39:K39" si="27">SUM(I35:I38)</f>
        <v>64955000</v>
      </c>
      <c r="J39" s="181">
        <f t="shared" si="27"/>
        <v>65045000</v>
      </c>
      <c r="K39" s="181">
        <f t="shared" si="27"/>
        <v>65045000</v>
      </c>
      <c r="L39" s="182">
        <f>SUM(L35:L38)</f>
        <v>260000000</v>
      </c>
    </row>
  </sheetData>
  <mergeCells count="13">
    <mergeCell ref="B33:B34"/>
    <mergeCell ref="C33:G33"/>
    <mergeCell ref="H33:L33"/>
    <mergeCell ref="A29:B29"/>
    <mergeCell ref="B2:B3"/>
    <mergeCell ref="C2:G2"/>
    <mergeCell ref="H2:L2"/>
    <mergeCell ref="A2:A3"/>
    <mergeCell ref="A4:A8"/>
    <mergeCell ref="A9:A13"/>
    <mergeCell ref="A14:A18"/>
    <mergeCell ref="A19:A23"/>
    <mergeCell ref="A24:A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487F-C474-4BE7-9951-AA9A31839B88}">
  <sheetPr>
    <tabColor theme="6" tint="0.39997558519241921"/>
  </sheetPr>
  <dimension ref="A1:I35"/>
  <sheetViews>
    <sheetView zoomScale="86" zoomScaleNormal="135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defaultColWidth="9" defaultRowHeight="20.25"/>
  <cols>
    <col min="1" max="1" width="28.140625" style="1" customWidth="1"/>
    <col min="2" max="2" width="37.42578125" style="100" customWidth="1"/>
    <col min="3" max="3" width="30.42578125" style="100" customWidth="1"/>
    <col min="4" max="4" width="26.5703125" style="100" customWidth="1"/>
    <col min="5" max="5" width="27.5703125" style="100" customWidth="1"/>
    <col min="6" max="6" width="24.85546875" style="100" customWidth="1"/>
    <col min="7" max="7" width="31.5703125" style="100" customWidth="1"/>
    <col min="8" max="8" width="9" style="100"/>
    <col min="9" max="9" width="31.140625" style="100" customWidth="1"/>
    <col min="10" max="16384" width="9" style="100"/>
  </cols>
  <sheetData>
    <row r="1" spans="1:7" s="118" customFormat="1" ht="49.5" customHeight="1">
      <c r="A1" s="197">
        <v>2025</v>
      </c>
      <c r="B1" s="198"/>
      <c r="C1" s="199"/>
      <c r="D1" s="199"/>
      <c r="E1" s="199"/>
      <c r="F1" s="199"/>
      <c r="G1" s="199"/>
    </row>
    <row r="2" spans="1:7" s="91" customFormat="1" ht="35.1" customHeight="1">
      <c r="A2" s="204" t="s">
        <v>10</v>
      </c>
      <c r="B2" s="204" t="s">
        <v>206</v>
      </c>
      <c r="C2" s="204" t="s">
        <v>2</v>
      </c>
      <c r="D2" s="204" t="s">
        <v>3</v>
      </c>
      <c r="E2" s="204" t="s">
        <v>4</v>
      </c>
      <c r="F2" s="204" t="s">
        <v>1</v>
      </c>
      <c r="G2" s="204" t="s">
        <v>210</v>
      </c>
    </row>
    <row r="3" spans="1:7" s="91" customFormat="1" ht="41.25" customHeight="1">
      <c r="A3" s="205"/>
      <c r="B3" s="205"/>
      <c r="C3" s="206"/>
      <c r="D3" s="206"/>
      <c r="E3" s="206"/>
      <c r="F3" s="206"/>
      <c r="G3" s="206"/>
    </row>
    <row r="4" spans="1:7" ht="25.5" customHeight="1">
      <c r="A4" s="200" t="s">
        <v>17</v>
      </c>
      <c r="B4" s="119" t="s">
        <v>6</v>
      </c>
      <c r="C4" s="67">
        <f>Kittinat!D59</f>
        <v>435000</v>
      </c>
      <c r="D4" s="68">
        <f>Kittinat!E59</f>
        <v>510500</v>
      </c>
      <c r="E4" s="68">
        <f>Kittinat!F59</f>
        <v>13500</v>
      </c>
      <c r="F4" s="68">
        <f>Kittinat!G59</f>
        <v>13500</v>
      </c>
      <c r="G4" s="84">
        <f>F4+E4+D4+C4</f>
        <v>972500</v>
      </c>
    </row>
    <row r="5" spans="1:7" ht="25.5" customHeight="1">
      <c r="A5" s="200"/>
      <c r="B5" s="119" t="s">
        <v>7</v>
      </c>
      <c r="C5" s="67">
        <f>Kittinat!D60</f>
        <v>4629593</v>
      </c>
      <c r="D5" s="67">
        <f>Kittinat!E60</f>
        <v>6959186</v>
      </c>
      <c r="E5" s="67">
        <f>Kittinat!F60</f>
        <v>2309000</v>
      </c>
      <c r="F5" s="67">
        <f>Kittinat!G60</f>
        <v>4473593</v>
      </c>
      <c r="G5" s="84">
        <f>F5+E5+D5+C5</f>
        <v>18371372</v>
      </c>
    </row>
    <row r="6" spans="1:7" ht="25.5" customHeight="1">
      <c r="A6" s="200"/>
      <c r="B6" s="119" t="s">
        <v>8</v>
      </c>
      <c r="C6" s="67">
        <f>Kittinat!D61</f>
        <v>2448300</v>
      </c>
      <c r="D6" s="67">
        <f>Kittinat!E61</f>
        <v>3764000</v>
      </c>
      <c r="E6" s="67">
        <f>Kittinat!F61</f>
        <v>21000</v>
      </c>
      <c r="F6" s="67">
        <f>Kittinat!G61</f>
        <v>1021000</v>
      </c>
      <c r="G6" s="84">
        <f>F6+E6+D6+C6</f>
        <v>7254300</v>
      </c>
    </row>
    <row r="7" spans="1:7" ht="25.5" customHeight="1">
      <c r="A7" s="200"/>
      <c r="B7" s="119" t="s">
        <v>9</v>
      </c>
      <c r="C7" s="107" t="s">
        <v>208</v>
      </c>
      <c r="D7" s="107" t="s">
        <v>208</v>
      </c>
      <c r="E7" s="107" t="s">
        <v>208</v>
      </c>
      <c r="F7" s="107" t="s">
        <v>208</v>
      </c>
      <c r="G7" s="101" t="str">
        <f>F7</f>
        <v>-</v>
      </c>
    </row>
    <row r="8" spans="1:7" ht="25.5" customHeight="1">
      <c r="A8" s="200"/>
      <c r="B8" s="102" t="s">
        <v>0</v>
      </c>
      <c r="C8" s="79">
        <f>SUM(C4:C7)</f>
        <v>7512893</v>
      </c>
      <c r="D8" s="79">
        <f>SUM(D4:D7)</f>
        <v>11233686</v>
      </c>
      <c r="E8" s="79">
        <f>SUM(E4:E7)</f>
        <v>2343500</v>
      </c>
      <c r="F8" s="79">
        <f>SUM(F4:F7)</f>
        <v>5508093</v>
      </c>
      <c r="G8" s="80">
        <f>SUM(G4:G7)</f>
        <v>26598172</v>
      </c>
    </row>
    <row r="9" spans="1:7" ht="6.95" customHeight="1">
      <c r="A9" s="103"/>
      <c r="B9" s="104"/>
      <c r="C9" s="98"/>
      <c r="D9" s="98"/>
      <c r="E9" s="98"/>
      <c r="F9" s="98"/>
      <c r="G9" s="86"/>
    </row>
    <row r="10" spans="1:7" ht="25.5" customHeight="1">
      <c r="A10" s="200" t="s">
        <v>11</v>
      </c>
      <c r="B10" s="119" t="s">
        <v>6</v>
      </c>
      <c r="C10" s="67">
        <f>Supatra!D141</f>
        <v>1574610.9</v>
      </c>
      <c r="D10" s="68">
        <f>Supatra!E141</f>
        <v>515257.85320000001</v>
      </c>
      <c r="E10" s="68">
        <f>Supatra!F141</f>
        <v>2549600</v>
      </c>
      <c r="F10" s="68">
        <f>Supatra!G141</f>
        <v>944400</v>
      </c>
      <c r="G10" s="84">
        <f>F10+E10+D10+C10</f>
        <v>5583868.7532000002</v>
      </c>
    </row>
    <row r="11" spans="1:7" ht="25.5" customHeight="1">
      <c r="A11" s="200"/>
      <c r="B11" s="119" t="s">
        <v>7</v>
      </c>
      <c r="C11" s="67">
        <f>Supatra!D142</f>
        <v>1304353</v>
      </c>
      <c r="D11" s="67">
        <f>Supatra!E142</f>
        <v>15000</v>
      </c>
      <c r="E11" s="67">
        <f>Supatra!F142</f>
        <v>53000</v>
      </c>
      <c r="F11" s="67">
        <f>Supatra!G142</f>
        <v>15000</v>
      </c>
      <c r="G11" s="84">
        <f>F11+E11+D11+C11</f>
        <v>1387353</v>
      </c>
    </row>
    <row r="12" spans="1:7" ht="25.5" customHeight="1">
      <c r="A12" s="200"/>
      <c r="B12" s="119" t="s">
        <v>8</v>
      </c>
      <c r="C12" s="67">
        <f>Supatra!D143</f>
        <v>294050</v>
      </c>
      <c r="D12" s="67">
        <f>Supatra!E143</f>
        <v>70000</v>
      </c>
      <c r="E12" s="67">
        <f>Supatra!F143</f>
        <v>268500</v>
      </c>
      <c r="F12" s="67"/>
      <c r="G12" s="84">
        <f>F12+E12+D12+C12</f>
        <v>632550</v>
      </c>
    </row>
    <row r="13" spans="1:7" ht="25.5" customHeight="1">
      <c r="A13" s="200"/>
      <c r="B13" s="119" t="s">
        <v>9</v>
      </c>
      <c r="C13" s="107" t="s">
        <v>208</v>
      </c>
      <c r="D13" s="107" t="s">
        <v>208</v>
      </c>
      <c r="E13" s="107" t="s">
        <v>208</v>
      </c>
      <c r="F13" s="107" t="s">
        <v>208</v>
      </c>
      <c r="G13" s="101" t="str">
        <f>F13</f>
        <v>-</v>
      </c>
    </row>
    <row r="14" spans="1:7" ht="25.5" customHeight="1">
      <c r="A14" s="201"/>
      <c r="B14" s="105" t="s">
        <v>0</v>
      </c>
      <c r="C14" s="79">
        <f>SUM(C10:C13)</f>
        <v>3173013.9</v>
      </c>
      <c r="D14" s="79">
        <f>SUM(D10:D13)</f>
        <v>600257.85320000001</v>
      </c>
      <c r="E14" s="79">
        <f>SUM(E10:E13)</f>
        <v>2871100</v>
      </c>
      <c r="F14" s="79">
        <f>SUM(F10:F13)</f>
        <v>959400</v>
      </c>
      <c r="G14" s="85">
        <f>SUM(G10:G13)</f>
        <v>7603771.7532000002</v>
      </c>
    </row>
    <row r="15" spans="1:7" ht="6.6" customHeight="1">
      <c r="A15" s="106"/>
      <c r="B15" s="106"/>
    </row>
    <row r="16" spans="1:7">
      <c r="A16" s="200" t="s">
        <v>12</v>
      </c>
      <c r="B16" s="119" t="s">
        <v>6</v>
      </c>
      <c r="C16" s="67">
        <v>1187400</v>
      </c>
      <c r="D16" s="68">
        <v>173500</v>
      </c>
      <c r="E16" s="68">
        <v>4703400</v>
      </c>
      <c r="F16" s="68">
        <v>7725899.3650000002</v>
      </c>
      <c r="G16" s="84">
        <f>F16+E16+D16+C16</f>
        <v>13790199.365</v>
      </c>
    </row>
    <row r="17" spans="1:9">
      <c r="A17" s="200"/>
      <c r="B17" s="119" t="s">
        <v>7</v>
      </c>
      <c r="C17" s="67">
        <v>205650</v>
      </c>
      <c r="D17" s="67">
        <v>84000</v>
      </c>
      <c r="E17" s="67">
        <v>558250</v>
      </c>
      <c r="F17" s="67">
        <v>2597650</v>
      </c>
      <c r="G17" s="84">
        <f>F17+E17+D17+C17</f>
        <v>3445550</v>
      </c>
    </row>
    <row r="18" spans="1:9">
      <c r="A18" s="200"/>
      <c r="B18" s="119" t="s">
        <v>8</v>
      </c>
      <c r="C18" s="67">
        <v>123233.5</v>
      </c>
      <c r="D18" s="67">
        <v>288400</v>
      </c>
      <c r="E18" s="67">
        <v>4695750</v>
      </c>
      <c r="F18" s="67">
        <v>2726250</v>
      </c>
      <c r="G18" s="84">
        <f>F18+E18+D18+C18</f>
        <v>7833633.5</v>
      </c>
    </row>
    <row r="19" spans="1:9">
      <c r="A19" s="200"/>
      <c r="B19" s="119" t="s">
        <v>9</v>
      </c>
      <c r="C19" s="107" t="s">
        <v>208</v>
      </c>
      <c r="D19" s="69" t="s">
        <v>208</v>
      </c>
      <c r="E19" s="69" t="s">
        <v>208</v>
      </c>
      <c r="F19" s="67">
        <v>778612</v>
      </c>
      <c r="G19" s="98">
        <f>F19</f>
        <v>778612</v>
      </c>
    </row>
    <row r="20" spans="1:9" ht="25.5" customHeight="1">
      <c r="A20" s="200"/>
      <c r="B20" s="102" t="s">
        <v>0</v>
      </c>
      <c r="C20" s="81">
        <f>SUM(C16:C19)</f>
        <v>1516283.5</v>
      </c>
      <c r="D20" s="81">
        <v>545900</v>
      </c>
      <c r="E20" s="81">
        <f>SUM(E16:E19)</f>
        <v>9957400</v>
      </c>
      <c r="F20" s="79">
        <f>SUM(F16:F19)</f>
        <v>13828411.365</v>
      </c>
      <c r="G20" s="85">
        <f>SUM(G16:G19)</f>
        <v>25847994.865000002</v>
      </c>
    </row>
    <row r="21" spans="1:9" ht="5.45" customHeight="1">
      <c r="A21" s="108"/>
      <c r="B21" s="109"/>
      <c r="C21" s="99"/>
      <c r="D21" s="99"/>
      <c r="E21" s="99"/>
      <c r="F21" s="99"/>
      <c r="G21" s="86"/>
    </row>
    <row r="22" spans="1:9" ht="25.5" customHeight="1">
      <c r="A22" s="200" t="s">
        <v>13</v>
      </c>
      <c r="B22" s="119" t="s">
        <v>6</v>
      </c>
      <c r="C22" s="110">
        <f>Saowanee!D56</f>
        <v>18874319.310000002</v>
      </c>
      <c r="D22" s="111">
        <f>Saowanee!E56</f>
        <v>7455337.5</v>
      </c>
      <c r="E22" s="112">
        <f>Saowanee!F56</f>
        <v>1600206.25</v>
      </c>
      <c r="F22" s="112">
        <f>Saowanee!G56</f>
        <v>10104517.5</v>
      </c>
      <c r="G22" s="86">
        <f>F22+E22+D22+C22</f>
        <v>38034380.560000002</v>
      </c>
    </row>
    <row r="23" spans="1:9" ht="25.5" customHeight="1">
      <c r="A23" s="200"/>
      <c r="B23" s="119" t="s">
        <v>7</v>
      </c>
      <c r="C23" s="67">
        <f>Saowanee!D57</f>
        <v>8111323.6233333331</v>
      </c>
      <c r="D23" s="113">
        <f>Saowanee!E57</f>
        <v>8446323.6233333331</v>
      </c>
      <c r="E23" s="113">
        <f>Saowanee!F57</f>
        <v>8111323.6233333331</v>
      </c>
      <c r="F23" s="113">
        <f>Saowanee!G57</f>
        <v>8111323.6233333331</v>
      </c>
      <c r="G23" s="84">
        <f>F23+E23+D23+C23</f>
        <v>32780294.493333332</v>
      </c>
    </row>
    <row r="24" spans="1:9" ht="25.5" customHeight="1">
      <c r="A24" s="200"/>
      <c r="B24" s="119" t="s">
        <v>8</v>
      </c>
      <c r="C24" s="67">
        <f>Saowanee!D58</f>
        <v>185700</v>
      </c>
      <c r="D24" s="113">
        <f>Saowanee!E58</f>
        <v>730700</v>
      </c>
      <c r="E24" s="113">
        <f>Saowanee!F58</f>
        <v>185700</v>
      </c>
      <c r="F24" s="113">
        <f>Saowanee!G58</f>
        <v>185700</v>
      </c>
      <c r="G24" s="84">
        <f>F24+E24+D24+C24</f>
        <v>1287800</v>
      </c>
    </row>
    <row r="25" spans="1:9" ht="25.5" customHeight="1">
      <c r="A25" s="200"/>
      <c r="B25" s="119" t="s">
        <v>9</v>
      </c>
      <c r="C25" s="67" t="s">
        <v>208</v>
      </c>
      <c r="D25" s="114" t="s">
        <v>208</v>
      </c>
      <c r="E25" s="114" t="s">
        <v>208</v>
      </c>
      <c r="F25" s="114" t="s">
        <v>208</v>
      </c>
      <c r="G25" s="82" t="s">
        <v>208</v>
      </c>
    </row>
    <row r="26" spans="1:9" ht="25.5" customHeight="1">
      <c r="A26" s="200"/>
      <c r="B26" s="102" t="s">
        <v>0</v>
      </c>
      <c r="C26" s="79">
        <f>SUM(C22:C25)</f>
        <v>27171342.933333337</v>
      </c>
      <c r="D26" s="79">
        <f>SUM(D22:D25)</f>
        <v>16632361.123333333</v>
      </c>
      <c r="E26" s="79">
        <f>SUM(E22:E25)</f>
        <v>9897229.8733333331</v>
      </c>
      <c r="F26" s="83">
        <f>SUM(F22:F25)</f>
        <v>18401541.123333335</v>
      </c>
      <c r="G26" s="85">
        <f>SUM(G22:G25)</f>
        <v>72102475.053333342</v>
      </c>
    </row>
    <row r="27" spans="1:9" ht="6.6" customHeight="1">
      <c r="A27" s="106"/>
      <c r="B27" s="106"/>
      <c r="G27" s="1"/>
    </row>
    <row r="28" spans="1:9" ht="25.5" customHeight="1">
      <c r="A28" s="200" t="s">
        <v>15</v>
      </c>
      <c r="B28" s="119" t="s">
        <v>6</v>
      </c>
      <c r="C28" s="107" t="s">
        <v>208</v>
      </c>
      <c r="D28" s="107" t="s">
        <v>208</v>
      </c>
      <c r="E28" s="107" t="s">
        <v>208</v>
      </c>
      <c r="F28" s="107" t="s">
        <v>208</v>
      </c>
      <c r="G28" s="101" t="str">
        <f>F28</f>
        <v>-</v>
      </c>
    </row>
    <row r="29" spans="1:9" ht="25.5" customHeight="1">
      <c r="A29" s="200"/>
      <c r="B29" s="119" t="s">
        <v>7</v>
      </c>
      <c r="C29" s="67">
        <f>'Wissanupong '!D33</f>
        <v>8500000</v>
      </c>
      <c r="D29" s="67">
        <f>'Wissanupong '!E33</f>
        <v>8500000</v>
      </c>
      <c r="E29" s="67">
        <f>'Wissanupong '!F33</f>
        <v>8500000</v>
      </c>
      <c r="F29" s="67">
        <f>'Wissanupong '!G33</f>
        <v>8500000</v>
      </c>
      <c r="G29" s="84">
        <f>F29+E29+D29+C29</f>
        <v>34000000</v>
      </c>
      <c r="I29" s="117"/>
    </row>
    <row r="30" spans="1:9" ht="25.5" customHeight="1">
      <c r="A30" s="200"/>
      <c r="B30" s="119" t="s">
        <v>8</v>
      </c>
      <c r="C30" s="67">
        <f>'Wissanupong '!D34</f>
        <v>12948000</v>
      </c>
      <c r="D30" s="67">
        <f>'Wissanupong '!E34</f>
        <v>14257920</v>
      </c>
      <c r="E30" s="67">
        <f>'Wissanupong '!F34</f>
        <v>14257920</v>
      </c>
      <c r="F30" s="67">
        <f>'Wissanupong '!G34</f>
        <v>14257920</v>
      </c>
      <c r="G30" s="84">
        <f>F30+E30+D30+C30</f>
        <v>55721760</v>
      </c>
      <c r="I30" s="117"/>
    </row>
    <row r="31" spans="1:9" ht="25.5" customHeight="1">
      <c r="A31" s="200"/>
      <c r="B31" s="119" t="s">
        <v>9</v>
      </c>
      <c r="C31" s="67">
        <f>'Wissanupong '!D35</f>
        <v>8500000</v>
      </c>
      <c r="D31" s="67">
        <f>'Wissanupong '!E35</f>
        <v>8000000</v>
      </c>
      <c r="E31" s="67">
        <f>'Wissanupong '!F35</f>
        <v>17000000</v>
      </c>
      <c r="F31" s="67">
        <f>'Wissanupong '!G35</f>
        <v>17000000</v>
      </c>
      <c r="G31" s="98">
        <v>50500000</v>
      </c>
      <c r="I31" s="117"/>
    </row>
    <row r="32" spans="1:9" ht="25.5" customHeight="1">
      <c r="A32" s="201"/>
      <c r="B32" s="105" t="s">
        <v>0</v>
      </c>
      <c r="C32" s="79">
        <f>SUM(C28:C31)</f>
        <v>29948000</v>
      </c>
      <c r="D32" s="79">
        <f>SUM(D28:D31)</f>
        <v>30757920</v>
      </c>
      <c r="E32" s="79">
        <f>SUM(E28:E31)</f>
        <v>39757920</v>
      </c>
      <c r="F32" s="79">
        <f>SUM(F28:F31)</f>
        <v>39757920</v>
      </c>
      <c r="G32" s="85">
        <f>SUM(G28:G31)</f>
        <v>140221760</v>
      </c>
      <c r="I32" s="117"/>
    </row>
    <row r="33" spans="1:7" ht="33.950000000000003" customHeight="1">
      <c r="A33" s="202" t="s">
        <v>280</v>
      </c>
      <c r="B33" s="203"/>
      <c r="C33" s="88">
        <f>C8+C14+C20+C26+C32</f>
        <v>69321533.333333343</v>
      </c>
      <c r="D33" s="88">
        <f>D8+D14+D20+D26+D32</f>
        <v>59770124.976533331</v>
      </c>
      <c r="E33" s="88">
        <f>E8+E14+E20+E26+E32</f>
        <v>64827149.873333335</v>
      </c>
      <c r="F33" s="88">
        <f>F8+F14+F20+F26+F32</f>
        <v>78455365.488333344</v>
      </c>
      <c r="G33" s="115">
        <f>SUM(C33:F33)</f>
        <v>272374173.67153335</v>
      </c>
    </row>
    <row r="34" spans="1:7">
      <c r="G34" s="116"/>
    </row>
    <row r="35" spans="1:7">
      <c r="G35" s="117"/>
    </row>
  </sheetData>
  <mergeCells count="15">
    <mergeCell ref="A1:B1"/>
    <mergeCell ref="C1:G1"/>
    <mergeCell ref="A28:A32"/>
    <mergeCell ref="A33:B33"/>
    <mergeCell ref="A22:A26"/>
    <mergeCell ref="A10:A14"/>
    <mergeCell ref="B2:B3"/>
    <mergeCell ref="A2:A3"/>
    <mergeCell ref="A4:A8"/>
    <mergeCell ref="A16:A20"/>
    <mergeCell ref="G2:G3"/>
    <mergeCell ref="C2:C3"/>
    <mergeCell ref="D2:D3"/>
    <mergeCell ref="E2:E3"/>
    <mergeCell ref="F2:F3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CAC8-2602-437A-8E3B-8605955CB149}">
  <sheetPr>
    <tabColor rgb="FFC00000"/>
  </sheetPr>
  <dimension ref="B1:Q32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defaultColWidth="8.85546875" defaultRowHeight="18"/>
  <cols>
    <col min="1" max="1" width="3.85546875" style="7" customWidth="1"/>
    <col min="2" max="2" width="32.140625" style="7" customWidth="1"/>
    <col min="3" max="3" width="25.42578125" style="7" customWidth="1"/>
    <col min="4" max="4" width="24.85546875" style="7" customWidth="1"/>
    <col min="5" max="5" width="24" style="7" customWidth="1"/>
    <col min="6" max="6" width="24.5703125" style="7" customWidth="1"/>
    <col min="7" max="7" width="20.42578125" style="7" customWidth="1"/>
    <col min="8" max="8" width="25" style="7" customWidth="1"/>
    <col min="9" max="11" width="23" style="7" customWidth="1"/>
    <col min="12" max="14" width="23.85546875" style="7" customWidth="1"/>
    <col min="15" max="17" width="23" style="7" customWidth="1"/>
    <col min="18" max="16384" width="8.85546875" style="7"/>
  </cols>
  <sheetData>
    <row r="1" spans="2:17" s="15" customFormat="1" ht="20.25">
      <c r="B1" s="212" t="s">
        <v>20</v>
      </c>
      <c r="C1" s="207" t="s">
        <v>17</v>
      </c>
      <c r="D1" s="208"/>
      <c r="E1" s="209"/>
      <c r="F1" s="207" t="s">
        <v>11</v>
      </c>
      <c r="G1" s="208"/>
      <c r="H1" s="209"/>
      <c r="I1" s="207" t="s">
        <v>12</v>
      </c>
      <c r="J1" s="208"/>
      <c r="K1" s="209"/>
      <c r="L1" s="207" t="s">
        <v>13</v>
      </c>
      <c r="M1" s="208"/>
      <c r="N1" s="209"/>
      <c r="O1" s="207" t="s">
        <v>15</v>
      </c>
      <c r="P1" s="208"/>
      <c r="Q1" s="209"/>
    </row>
    <row r="2" spans="2:17">
      <c r="B2" s="213"/>
      <c r="C2" s="126" t="s">
        <v>209</v>
      </c>
      <c r="D2" s="121" t="s">
        <v>206</v>
      </c>
      <c r="E2" s="127" t="s">
        <v>207</v>
      </c>
      <c r="F2" s="126" t="s">
        <v>209</v>
      </c>
      <c r="G2" s="121" t="s">
        <v>206</v>
      </c>
      <c r="H2" s="127" t="s">
        <v>207</v>
      </c>
      <c r="I2" s="126" t="s">
        <v>209</v>
      </c>
      <c r="J2" s="121" t="s">
        <v>206</v>
      </c>
      <c r="K2" s="127" t="s">
        <v>207</v>
      </c>
      <c r="L2" s="126" t="s">
        <v>209</v>
      </c>
      <c r="M2" s="121" t="s">
        <v>206</v>
      </c>
      <c r="N2" s="127" t="s">
        <v>207</v>
      </c>
      <c r="O2" s="126" t="s">
        <v>209</v>
      </c>
      <c r="P2" s="121" t="s">
        <v>206</v>
      </c>
      <c r="Q2" s="127" t="s">
        <v>207</v>
      </c>
    </row>
    <row r="3" spans="2:17" ht="29.1" customHeight="1">
      <c r="B3" s="125" t="s">
        <v>6</v>
      </c>
      <c r="C3" s="128">
        <f>'Target Total  '!L4</f>
        <v>900000</v>
      </c>
      <c r="D3" s="157">
        <f>Kittinat!H59</f>
        <v>972500</v>
      </c>
      <c r="E3" s="129">
        <f>C3-D3</f>
        <v>-72500</v>
      </c>
      <c r="F3" s="128">
        <f>'Target Total  '!L9</f>
        <v>5100000</v>
      </c>
      <c r="G3" s="155">
        <f>Supatra!H141</f>
        <v>5583868.7532000002</v>
      </c>
      <c r="H3" s="129">
        <f>F3-G3</f>
        <v>-483868.75320000015</v>
      </c>
      <c r="I3" s="128">
        <f>'Target Total  '!L14</f>
        <v>13000000</v>
      </c>
      <c r="J3" s="155">
        <f>Wuttichai!H106</f>
        <v>13790199.365</v>
      </c>
      <c r="K3" s="129">
        <f>I3-J3</f>
        <v>-790199.36500000022</v>
      </c>
      <c r="L3" s="128">
        <f>'Target Total  '!L19</f>
        <v>36000000</v>
      </c>
      <c r="M3" s="155">
        <f>Saowanee!H56</f>
        <v>38034380.560000002</v>
      </c>
      <c r="N3" s="129">
        <f>L3-M3</f>
        <v>-2034380.5600000024</v>
      </c>
      <c r="O3" s="130"/>
      <c r="P3" s="156"/>
      <c r="Q3" s="131"/>
    </row>
    <row r="4" spans="2:17" ht="29.1" customHeight="1">
      <c r="B4" s="125" t="s">
        <v>7</v>
      </c>
      <c r="C4" s="128">
        <f>'Target Total  '!L5</f>
        <v>15000000</v>
      </c>
      <c r="D4" s="157">
        <f>Kittinat!H60</f>
        <v>18371372</v>
      </c>
      <c r="E4" s="129">
        <f t="shared" ref="E4:E5" si="0">C4-D4</f>
        <v>-3371372</v>
      </c>
      <c r="F4" s="128">
        <f>'Target Total  '!L10</f>
        <v>1000000</v>
      </c>
      <c r="G4" s="155">
        <f>Supatra!H142</f>
        <v>1387353</v>
      </c>
      <c r="H4" s="129">
        <f t="shared" ref="H4:H5" si="1">F4-G4</f>
        <v>-387353</v>
      </c>
      <c r="I4" s="128">
        <f>'Target Total  '!L15</f>
        <v>3000000</v>
      </c>
      <c r="J4" s="155">
        <f>Wuttichai!H107</f>
        <v>3445550</v>
      </c>
      <c r="K4" s="129">
        <f t="shared" ref="K4:K5" si="2">I4-J4</f>
        <v>-445550</v>
      </c>
      <c r="L4" s="128">
        <f>'Target Total  '!L20</f>
        <v>32000000</v>
      </c>
      <c r="M4" s="155">
        <f>Saowanee!H57</f>
        <v>32780294.493333332</v>
      </c>
      <c r="N4" s="147">
        <f t="shared" ref="N4:N5" si="3">L4-M4</f>
        <v>-780294.49333333224</v>
      </c>
      <c r="O4" s="128">
        <f>'Target Total  '!L25</f>
        <v>34000000</v>
      </c>
      <c r="P4" s="157">
        <f>'Wissanupong '!H33</f>
        <v>34000000</v>
      </c>
      <c r="Q4" s="138">
        <f>O4-P4</f>
        <v>0</v>
      </c>
    </row>
    <row r="5" spans="2:17" ht="29.1" customHeight="1">
      <c r="B5" s="125" t="s">
        <v>8</v>
      </c>
      <c r="C5" s="128">
        <f>'Target Total  '!L6</f>
        <v>7000000</v>
      </c>
      <c r="D5" s="157">
        <f>Kittinat!H61</f>
        <v>7254300</v>
      </c>
      <c r="E5" s="129">
        <f t="shared" si="0"/>
        <v>-254300</v>
      </c>
      <c r="F5" s="128">
        <f>'Target Total  '!L11</f>
        <v>500000</v>
      </c>
      <c r="G5" s="155">
        <f>Supatra!H143</f>
        <v>632550</v>
      </c>
      <c r="H5" s="147">
        <f t="shared" si="1"/>
        <v>-132550</v>
      </c>
      <c r="I5" s="128">
        <f>'Target Total  '!L16</f>
        <v>6500000</v>
      </c>
      <c r="J5" s="155">
        <f>Wuttichai!H108</f>
        <v>7833633.5</v>
      </c>
      <c r="K5" s="129">
        <f t="shared" si="2"/>
        <v>-1333633.5</v>
      </c>
      <c r="L5" s="128">
        <f>'Target Total  '!L21</f>
        <v>1000000</v>
      </c>
      <c r="M5" s="155">
        <f>Saowanee!H58</f>
        <v>1287800</v>
      </c>
      <c r="N5" s="147">
        <f t="shared" si="3"/>
        <v>-287800</v>
      </c>
      <c r="O5" s="128">
        <f>'Target Total  '!L26</f>
        <v>55000000</v>
      </c>
      <c r="P5" s="157">
        <f>'Wissanupong '!H34</f>
        <v>55721760</v>
      </c>
      <c r="Q5" s="147">
        <f t="shared" ref="Q5:Q6" si="4">O5-P5</f>
        <v>-721760</v>
      </c>
    </row>
    <row r="6" spans="2:17" ht="29.1" customHeight="1">
      <c r="B6" s="125" t="s">
        <v>9</v>
      </c>
      <c r="C6" s="130"/>
      <c r="D6" s="156"/>
      <c r="E6" s="131"/>
      <c r="F6" s="130"/>
      <c r="G6" s="156"/>
      <c r="H6" s="131"/>
      <c r="I6" s="137"/>
      <c r="J6" s="157">
        <f>Wuttichai!H109</f>
        <v>778612</v>
      </c>
      <c r="K6" s="131"/>
      <c r="L6" s="130"/>
      <c r="M6" s="156"/>
      <c r="N6" s="131"/>
      <c r="O6" s="128">
        <f>'Target Total  '!L27</f>
        <v>50000000</v>
      </c>
      <c r="P6" s="157">
        <f>'Wissanupong '!H35</f>
        <v>50500000</v>
      </c>
      <c r="Q6" s="129">
        <f t="shared" si="4"/>
        <v>-500000</v>
      </c>
    </row>
    <row r="7" spans="2:17">
      <c r="B7" s="210" t="s">
        <v>0</v>
      </c>
      <c r="C7" s="132">
        <f>SUM(C3:C6)</f>
        <v>22900000</v>
      </c>
      <c r="D7" s="123">
        <f>SUM(D3:D6)</f>
        <v>26598172</v>
      </c>
      <c r="E7" s="144">
        <f>C7-D7</f>
        <v>-3698172</v>
      </c>
      <c r="F7" s="136">
        <f>SUM(F3:F6)</f>
        <v>6600000</v>
      </c>
      <c r="G7" s="122">
        <f>SUM(G3:G6)</f>
        <v>7603771.7532000002</v>
      </c>
      <c r="H7" s="144">
        <f>F7-G7</f>
        <v>-1003771.7532000002</v>
      </c>
      <c r="I7" s="132">
        <f>SUM(I3:I6)</f>
        <v>22500000</v>
      </c>
      <c r="J7" s="122">
        <f>SUM(J3:J6)</f>
        <v>25847994.865000002</v>
      </c>
      <c r="K7" s="133">
        <f>I7-J7</f>
        <v>-3347994.8650000021</v>
      </c>
      <c r="L7" s="136">
        <f>SUM(L3:L6)</f>
        <v>69000000</v>
      </c>
      <c r="M7" s="122">
        <f>SUM(M3:M6)</f>
        <v>72102475.053333342</v>
      </c>
      <c r="N7" s="133">
        <f>L7-M7</f>
        <v>-3102475.0533333421</v>
      </c>
      <c r="O7" s="136">
        <f>SUM(O4:O6)</f>
        <v>139000000</v>
      </c>
      <c r="P7" s="124">
        <f>SUM(P4:P6)</f>
        <v>140221760</v>
      </c>
      <c r="Q7" s="133">
        <f>O7-P7</f>
        <v>-1221760</v>
      </c>
    </row>
    <row r="8" spans="2:17" ht="18.75" thickBot="1">
      <c r="B8" s="211"/>
      <c r="C8" s="134"/>
      <c r="D8" s="135"/>
      <c r="E8" s="140" t="str">
        <f>IF(D7&gt;C7,"Over Target","Within Target")</f>
        <v>Over Target</v>
      </c>
      <c r="F8" s="134"/>
      <c r="G8" s="135"/>
      <c r="H8" s="140" t="str">
        <f>IF(G7&gt;F7,"Over Target","Within Target")</f>
        <v>Over Target</v>
      </c>
      <c r="I8" s="134"/>
      <c r="J8" s="135"/>
      <c r="K8" s="140" t="str">
        <f>IF(J7&gt;I7,"Over Target","Within Target")</f>
        <v>Over Target</v>
      </c>
      <c r="L8" s="145"/>
      <c r="M8" s="146"/>
      <c r="N8" s="140" t="str">
        <f>IF(M7&gt;L7,"Over Target","Within Target")</f>
        <v>Over Target</v>
      </c>
      <c r="O8" s="145"/>
      <c r="P8" s="146"/>
      <c r="Q8" s="140" t="str">
        <f>IF(P7&gt;O7,"Over Target","Within Target")</f>
        <v>Over Target</v>
      </c>
    </row>
    <row r="9" spans="2:17" ht="8.4499999999999993" customHeight="1"/>
    <row r="10" spans="2:17" ht="28.5" customHeight="1">
      <c r="B10" s="143" t="s">
        <v>20</v>
      </c>
      <c r="C10" s="143" t="s">
        <v>308</v>
      </c>
      <c r="D10" s="143" t="s">
        <v>96</v>
      </c>
      <c r="E10" s="143" t="s">
        <v>207</v>
      </c>
    </row>
    <row r="11" spans="2:17" ht="24.95" customHeight="1">
      <c r="B11" s="139" t="s">
        <v>6</v>
      </c>
      <c r="C11" s="66">
        <f>C3+F3+I3+L3+O3</f>
        <v>55000000</v>
      </c>
      <c r="D11" s="65">
        <f>D3+G3+J3+M3+P3</f>
        <v>58380948.678200006</v>
      </c>
      <c r="E11" s="66">
        <f>C11-D11</f>
        <v>-3380948.6782000065</v>
      </c>
    </row>
    <row r="12" spans="2:17" ht="24.95" customHeight="1">
      <c r="B12" s="139" t="s">
        <v>7</v>
      </c>
      <c r="C12" s="66">
        <f>C4+F4+I4+L4+O4</f>
        <v>85000000</v>
      </c>
      <c r="D12" s="66">
        <f t="shared" ref="D12:D13" si="5">D4+G4+J4+M4+P4</f>
        <v>89984569.49333334</v>
      </c>
      <c r="E12" s="66">
        <f t="shared" ref="E12:E14" si="6">C12-D12</f>
        <v>-4984569.4933333397</v>
      </c>
    </row>
    <row r="13" spans="2:17" ht="24.95" customHeight="1">
      <c r="B13" s="139" t="s">
        <v>8</v>
      </c>
      <c r="C13" s="66">
        <f t="shared" ref="C13" si="7">C5+F5+I5+L5+O5</f>
        <v>70000000</v>
      </c>
      <c r="D13" s="66">
        <f t="shared" si="5"/>
        <v>72730043.5</v>
      </c>
      <c r="E13" s="66">
        <f t="shared" si="6"/>
        <v>-2730043.5</v>
      </c>
    </row>
    <row r="14" spans="2:17" ht="24.95" customHeight="1">
      <c r="B14" s="139" t="s">
        <v>9</v>
      </c>
      <c r="C14" s="66">
        <f>C6+F6+I6+L6+O6</f>
        <v>50000000</v>
      </c>
      <c r="D14" s="66">
        <f>D6+G6+J6+M6+P6</f>
        <v>51278612</v>
      </c>
      <c r="E14" s="66">
        <f t="shared" si="6"/>
        <v>-1278612</v>
      </c>
    </row>
    <row r="15" spans="2:17" ht="28.5" customHeight="1">
      <c r="B15" s="148" t="s">
        <v>0</v>
      </c>
      <c r="C15" s="122">
        <f>SUM(C11:C14)</f>
        <v>260000000</v>
      </c>
      <c r="D15" s="124">
        <f>SUM(D11:D14)</f>
        <v>272374173.67153335</v>
      </c>
      <c r="E15" s="141">
        <f>C15-D15</f>
        <v>-12374173.671533346</v>
      </c>
    </row>
    <row r="16" spans="2:17">
      <c r="E16" s="142" t="str">
        <f>IF(D15&gt;C15,"Over Target","Within Target")</f>
        <v>Over Target</v>
      </c>
    </row>
    <row r="17" spans="2:5">
      <c r="C17" s="90"/>
      <c r="D17" s="90"/>
    </row>
    <row r="18" spans="2:5">
      <c r="C18" s="41"/>
      <c r="D18" s="41"/>
    </row>
    <row r="19" spans="2:5">
      <c r="B19" s="7" t="s">
        <v>309</v>
      </c>
    </row>
    <row r="20" spans="2:5">
      <c r="B20" s="161" t="s">
        <v>20</v>
      </c>
      <c r="C20" s="161" t="s">
        <v>308</v>
      </c>
      <c r="D20" s="161" t="s">
        <v>96</v>
      </c>
      <c r="E20" s="161" t="s">
        <v>207</v>
      </c>
    </row>
    <row r="21" spans="2:5">
      <c r="B21" s="161" t="s">
        <v>6</v>
      </c>
      <c r="C21" s="163">
        <v>55000000</v>
      </c>
      <c r="D21" s="163">
        <v>58380948.678200006</v>
      </c>
      <c r="E21" s="163">
        <f>D21-C21</f>
        <v>3380948.6782000065</v>
      </c>
    </row>
    <row r="22" spans="2:5">
      <c r="B22" s="161" t="s">
        <v>7</v>
      </c>
      <c r="C22" s="163">
        <v>75000000</v>
      </c>
      <c r="D22" s="163">
        <v>89984569.49333334</v>
      </c>
      <c r="E22" s="163">
        <f>D22-C22</f>
        <v>14984569.49333334</v>
      </c>
    </row>
    <row r="23" spans="2:5">
      <c r="B23" s="161" t="s">
        <v>8</v>
      </c>
      <c r="C23" s="163">
        <v>80000000</v>
      </c>
      <c r="D23" s="163">
        <v>72730043.5</v>
      </c>
      <c r="E23" s="163">
        <f>D23-C23</f>
        <v>-7269956.5</v>
      </c>
    </row>
    <row r="24" spans="2:5">
      <c r="B24" s="161" t="s">
        <v>9</v>
      </c>
      <c r="C24" s="163">
        <v>50000000</v>
      </c>
      <c r="D24" s="163">
        <v>51278612</v>
      </c>
      <c r="E24" s="163">
        <f>D24-C24</f>
        <v>1278612</v>
      </c>
    </row>
    <row r="25" spans="2:5">
      <c r="B25" s="161" t="s">
        <v>0</v>
      </c>
      <c r="C25" s="163">
        <f>SUM(C21:C24)</f>
        <v>260000000</v>
      </c>
      <c r="D25" s="163">
        <f>SUM(D21:D24)</f>
        <v>272374173.67153335</v>
      </c>
      <c r="E25" s="163">
        <f>SUM(E21:E24)</f>
        <v>12374173.671533346</v>
      </c>
    </row>
    <row r="26" spans="2:5">
      <c r="B26" s="7" t="s">
        <v>310</v>
      </c>
      <c r="C26" s="150"/>
      <c r="D26" s="150"/>
      <c r="E26" s="150"/>
    </row>
    <row r="27" spans="2:5">
      <c r="B27" s="174" t="s">
        <v>20</v>
      </c>
      <c r="C27" s="174" t="s">
        <v>308</v>
      </c>
      <c r="D27" s="174" t="s">
        <v>96</v>
      </c>
      <c r="E27" s="174" t="s">
        <v>207</v>
      </c>
    </row>
    <row r="28" spans="2:5">
      <c r="B28" s="164" t="s">
        <v>6</v>
      </c>
      <c r="C28" s="165">
        <v>55000000</v>
      </c>
      <c r="D28" s="165">
        <v>58380948.678199999</v>
      </c>
      <c r="E28" s="165">
        <f>D28-C28</f>
        <v>3380948.678199999</v>
      </c>
    </row>
    <row r="29" spans="2:5">
      <c r="B29" s="164" t="s">
        <v>7</v>
      </c>
      <c r="C29" s="165">
        <v>85000000</v>
      </c>
      <c r="D29" s="165">
        <v>89984569.49333334</v>
      </c>
      <c r="E29" s="165">
        <f>D29-C29</f>
        <v>4984569.4933333397</v>
      </c>
    </row>
    <row r="30" spans="2:5">
      <c r="B30" s="164" t="s">
        <v>8</v>
      </c>
      <c r="C30" s="165">
        <v>70000000</v>
      </c>
      <c r="D30" s="165">
        <v>72730043.5</v>
      </c>
      <c r="E30" s="165">
        <f>D30-C30</f>
        <v>2730043.5</v>
      </c>
    </row>
    <row r="31" spans="2:5">
      <c r="B31" s="164" t="s">
        <v>9</v>
      </c>
      <c r="C31" s="165">
        <v>50000000</v>
      </c>
      <c r="D31" s="165">
        <v>51278612</v>
      </c>
      <c r="E31" s="165">
        <f>D31-C31</f>
        <v>1278612</v>
      </c>
    </row>
    <row r="32" spans="2:5">
      <c r="B32" s="172" t="s">
        <v>0</v>
      </c>
      <c r="C32" s="173">
        <f>SUM(C28:C31)</f>
        <v>260000000</v>
      </c>
      <c r="D32" s="173">
        <f>SUM(D28:D31)</f>
        <v>272374173.67153335</v>
      </c>
      <c r="E32" s="173">
        <f>SUM(E28:E31)</f>
        <v>12374173.671533339</v>
      </c>
    </row>
  </sheetData>
  <mergeCells count="7">
    <mergeCell ref="O1:Q1"/>
    <mergeCell ref="B7:B8"/>
    <mergeCell ref="F1:H1"/>
    <mergeCell ref="I1:K1"/>
    <mergeCell ref="L1:N1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05C7-BF3F-1E4C-90B4-5D1DE98A7565}">
  <sheetPr codeName="Sheet8">
    <tabColor theme="9"/>
  </sheetPr>
  <dimension ref="A1:M63"/>
  <sheetViews>
    <sheetView topLeftCell="A43" zoomScale="80" zoomScaleNormal="80" workbookViewId="0">
      <selection activeCell="B51" sqref="B51"/>
    </sheetView>
  </sheetViews>
  <sheetFormatPr defaultColWidth="28.85546875" defaultRowHeight="18"/>
  <cols>
    <col min="1" max="1" width="13.85546875" style="7" customWidth="1"/>
    <col min="2" max="2" width="86.42578125" style="7" customWidth="1"/>
    <col min="3" max="3" width="26" style="7" customWidth="1"/>
    <col min="4" max="4" width="26.42578125" style="14" customWidth="1"/>
    <col min="5" max="5" width="21.5703125" style="7" customWidth="1"/>
    <col min="6" max="6" width="23.140625" style="14" customWidth="1"/>
    <col min="7" max="7" width="24" style="7" customWidth="1"/>
    <col min="8" max="8" width="21.140625" style="7" bestFit="1" customWidth="1"/>
    <col min="9" max="9" width="15.5703125" style="7" bestFit="1" customWidth="1"/>
    <col min="10" max="10" width="13.5703125" style="7" bestFit="1" customWidth="1"/>
    <col min="11" max="12" width="12.5703125" style="7" bestFit="1" customWidth="1"/>
    <col min="13" max="13" width="13.5703125" style="7" bestFit="1" customWidth="1"/>
    <col min="14" max="16384" width="28.85546875" style="7"/>
  </cols>
  <sheetData>
    <row r="1" spans="1:13" s="15" customFormat="1">
      <c r="A1" s="15" t="s">
        <v>26</v>
      </c>
      <c r="C1" s="28" t="s">
        <v>43</v>
      </c>
      <c r="D1" s="29">
        <f>'Target Total  '!L8</f>
        <v>22900000</v>
      </c>
      <c r="E1" s="33" t="s">
        <v>96</v>
      </c>
      <c r="F1" s="34">
        <f>SUM(E3:E56)</f>
        <v>26598172</v>
      </c>
      <c r="G1" s="35">
        <f>F1-D1</f>
        <v>3698172</v>
      </c>
    </row>
    <row r="2" spans="1:13" s="13" customFormat="1" ht="21.75">
      <c r="A2" s="12" t="s">
        <v>18</v>
      </c>
      <c r="B2" s="12" t="s">
        <v>19</v>
      </c>
      <c r="C2" s="12" t="s">
        <v>21</v>
      </c>
      <c r="D2" s="12" t="s">
        <v>20</v>
      </c>
      <c r="E2" s="12" t="s">
        <v>22</v>
      </c>
      <c r="F2" s="12" t="s">
        <v>23</v>
      </c>
      <c r="G2" s="12" t="s">
        <v>25</v>
      </c>
      <c r="H2"/>
      <c r="I2"/>
      <c r="J2"/>
      <c r="K2"/>
      <c r="L2"/>
      <c r="M2"/>
    </row>
    <row r="3" spans="1:13" ht="21.75">
      <c r="A3" s="16" t="s">
        <v>17</v>
      </c>
      <c r="B3" s="17" t="s">
        <v>28</v>
      </c>
      <c r="C3" s="42" t="s">
        <v>178</v>
      </c>
      <c r="D3" s="18" t="s">
        <v>7</v>
      </c>
      <c r="E3" s="19">
        <f>555000*3</f>
        <v>1665000</v>
      </c>
      <c r="F3" s="14" t="s">
        <v>2</v>
      </c>
      <c r="G3" s="16"/>
      <c r="H3"/>
      <c r="I3"/>
      <c r="J3"/>
      <c r="K3"/>
      <c r="L3"/>
      <c r="M3"/>
    </row>
    <row r="4" spans="1:13" ht="21.75">
      <c r="A4" s="16" t="s">
        <v>17</v>
      </c>
      <c r="B4" s="17" t="s">
        <v>28</v>
      </c>
      <c r="C4" s="42" t="s">
        <v>179</v>
      </c>
      <c r="D4" s="18" t="s">
        <v>7</v>
      </c>
      <c r="E4" s="19">
        <f>555000*3</f>
        <v>1665000</v>
      </c>
      <c r="F4" s="40" t="s">
        <v>3</v>
      </c>
      <c r="G4" s="16"/>
      <c r="H4"/>
      <c r="I4"/>
      <c r="J4"/>
      <c r="K4"/>
      <c r="L4"/>
      <c r="M4"/>
    </row>
    <row r="5" spans="1:13" ht="21.75">
      <c r="A5" s="16" t="s">
        <v>17</v>
      </c>
      <c r="B5" s="17" t="s">
        <v>28</v>
      </c>
      <c r="C5" s="42" t="s">
        <v>180</v>
      </c>
      <c r="D5" s="18" t="s">
        <v>7</v>
      </c>
      <c r="E5" s="31">
        <f>550000*3</f>
        <v>1650000</v>
      </c>
      <c r="F5" s="40" t="s">
        <v>4</v>
      </c>
      <c r="G5" s="16"/>
      <c r="H5"/>
      <c r="I5"/>
      <c r="J5"/>
      <c r="K5"/>
      <c r="L5"/>
      <c r="M5"/>
    </row>
    <row r="6" spans="1:13" ht="21.75">
      <c r="A6" s="16" t="s">
        <v>17</v>
      </c>
      <c r="B6" s="21" t="s">
        <v>42</v>
      </c>
      <c r="C6" s="42" t="s">
        <v>181</v>
      </c>
      <c r="D6" s="18" t="s">
        <v>7</v>
      </c>
      <c r="E6" s="22">
        <f>555000*3</f>
        <v>1665000</v>
      </c>
      <c r="F6" s="40" t="s">
        <v>1</v>
      </c>
      <c r="G6" s="16"/>
      <c r="H6"/>
      <c r="I6"/>
      <c r="J6"/>
      <c r="K6"/>
      <c r="L6"/>
      <c r="M6"/>
    </row>
    <row r="7" spans="1:13" ht="21.75">
      <c r="A7" s="16" t="s">
        <v>17</v>
      </c>
      <c r="B7" s="23" t="s">
        <v>34</v>
      </c>
      <c r="C7" s="42" t="s">
        <v>182</v>
      </c>
      <c r="D7" s="18" t="s">
        <v>7</v>
      </c>
      <c r="E7" s="24">
        <v>100000</v>
      </c>
      <c r="F7" s="40" t="s">
        <v>2</v>
      </c>
      <c r="G7" s="16"/>
      <c r="H7"/>
      <c r="I7"/>
      <c r="J7"/>
      <c r="K7"/>
      <c r="L7"/>
      <c r="M7"/>
    </row>
    <row r="8" spans="1:13" ht="21.75">
      <c r="A8" s="16" t="s">
        <v>17</v>
      </c>
      <c r="B8" s="17" t="s">
        <v>45</v>
      </c>
      <c r="C8" s="43" t="s">
        <v>177</v>
      </c>
      <c r="D8" s="18" t="s">
        <v>7</v>
      </c>
      <c r="E8" s="19">
        <f>19000*5</f>
        <v>95000</v>
      </c>
      <c r="F8" s="40" t="s">
        <v>2</v>
      </c>
      <c r="G8" s="16"/>
      <c r="H8"/>
      <c r="I8"/>
      <c r="J8"/>
      <c r="K8"/>
      <c r="L8"/>
      <c r="M8"/>
    </row>
    <row r="9" spans="1:13" ht="21.75">
      <c r="A9" s="16" t="s">
        <v>17</v>
      </c>
      <c r="B9" s="25" t="s">
        <v>48</v>
      </c>
      <c r="C9" s="43" t="s">
        <v>177</v>
      </c>
      <c r="D9" s="18" t="s">
        <v>7</v>
      </c>
      <c r="E9" s="22">
        <v>19000</v>
      </c>
      <c r="F9" s="40" t="s">
        <v>4</v>
      </c>
      <c r="G9" s="16"/>
      <c r="H9"/>
      <c r="I9"/>
      <c r="J9"/>
      <c r="K9"/>
      <c r="L9"/>
      <c r="M9"/>
    </row>
    <row r="10" spans="1:13" ht="21.75">
      <c r="A10" s="16" t="s">
        <v>17</v>
      </c>
      <c r="B10" s="27" t="s">
        <v>45</v>
      </c>
      <c r="C10" s="43" t="s">
        <v>177</v>
      </c>
      <c r="D10" s="18" t="s">
        <v>7</v>
      </c>
      <c r="E10" s="22">
        <v>19000</v>
      </c>
      <c r="F10" s="40" t="s">
        <v>1</v>
      </c>
      <c r="G10" s="16"/>
      <c r="H10"/>
      <c r="I10"/>
      <c r="J10"/>
      <c r="K10"/>
      <c r="L10"/>
      <c r="M10"/>
    </row>
    <row r="11" spans="1:13" ht="21.75">
      <c r="A11" s="16" t="s">
        <v>17</v>
      </c>
      <c r="B11" s="30" t="s">
        <v>46</v>
      </c>
      <c r="C11" s="43" t="s">
        <v>177</v>
      </c>
      <c r="D11" s="18" t="s">
        <v>7</v>
      </c>
      <c r="E11" s="64">
        <f>20000*5</f>
        <v>100000</v>
      </c>
      <c r="F11" s="40" t="s">
        <v>2</v>
      </c>
      <c r="G11" s="16"/>
      <c r="H11"/>
      <c r="I11"/>
      <c r="J11"/>
      <c r="K11"/>
      <c r="L11"/>
      <c r="M11"/>
    </row>
    <row r="12" spans="1:13" ht="21.75">
      <c r="A12" s="16" t="s">
        <v>17</v>
      </c>
      <c r="B12" s="30" t="s">
        <v>46</v>
      </c>
      <c r="C12" s="43" t="s">
        <v>177</v>
      </c>
      <c r="D12" s="18" t="s">
        <v>7</v>
      </c>
      <c r="E12" s="24">
        <f>20000*4</f>
        <v>80000</v>
      </c>
      <c r="F12" s="40" t="s">
        <v>3</v>
      </c>
      <c r="G12" s="16"/>
      <c r="H12"/>
      <c r="I12"/>
      <c r="J12"/>
      <c r="K12"/>
      <c r="L12"/>
      <c r="M12"/>
    </row>
    <row r="13" spans="1:13" ht="21.75">
      <c r="A13" s="16" t="s">
        <v>17</v>
      </c>
      <c r="B13" s="30" t="s">
        <v>47</v>
      </c>
      <c r="C13" s="43" t="s">
        <v>177</v>
      </c>
      <c r="D13" s="18" t="s">
        <v>7</v>
      </c>
      <c r="E13" s="24">
        <f>20000*7</f>
        <v>140000</v>
      </c>
      <c r="F13" s="40" t="s">
        <v>4</v>
      </c>
      <c r="G13" s="16"/>
      <c r="H13"/>
      <c r="I13"/>
      <c r="J13"/>
      <c r="K13"/>
      <c r="L13"/>
      <c r="M13"/>
    </row>
    <row r="14" spans="1:13" ht="21.75">
      <c r="A14" s="16" t="s">
        <v>17</v>
      </c>
      <c r="B14" s="25" t="s">
        <v>47</v>
      </c>
      <c r="C14" s="43" t="s">
        <v>177</v>
      </c>
      <c r="D14" s="18" t="s">
        <v>7</v>
      </c>
      <c r="E14" s="22">
        <f>20000*3</f>
        <v>60000</v>
      </c>
      <c r="F14" s="40" t="s">
        <v>1</v>
      </c>
      <c r="G14" s="16"/>
      <c r="H14"/>
      <c r="I14"/>
      <c r="J14"/>
      <c r="K14"/>
      <c r="L14"/>
      <c r="M14"/>
    </row>
    <row r="15" spans="1:13">
      <c r="A15" s="16" t="s">
        <v>17</v>
      </c>
      <c r="B15" s="17" t="s">
        <v>29</v>
      </c>
      <c r="C15" s="42" t="s">
        <v>183</v>
      </c>
      <c r="D15" s="18" t="s">
        <v>6</v>
      </c>
      <c r="E15" s="19">
        <f>1500*2</f>
        <v>3000</v>
      </c>
      <c r="F15" s="40" t="s">
        <v>2</v>
      </c>
      <c r="G15" s="16"/>
    </row>
    <row r="16" spans="1:13">
      <c r="A16" s="16" t="s">
        <v>17</v>
      </c>
      <c r="B16" s="17" t="s">
        <v>35</v>
      </c>
      <c r="C16" s="42" t="s">
        <v>183</v>
      </c>
      <c r="D16" s="18" t="s">
        <v>6</v>
      </c>
      <c r="E16" s="19">
        <f>1500*2</f>
        <v>3000</v>
      </c>
      <c r="F16" s="40" t="s">
        <v>2</v>
      </c>
      <c r="G16" s="16"/>
    </row>
    <row r="17" spans="1:7">
      <c r="A17" s="16" t="s">
        <v>17</v>
      </c>
      <c r="B17" s="17" t="s">
        <v>35</v>
      </c>
      <c r="C17" s="42" t="s">
        <v>183</v>
      </c>
      <c r="D17" s="18" t="s">
        <v>6</v>
      </c>
      <c r="E17" s="19">
        <f>1500*4</f>
        <v>6000</v>
      </c>
      <c r="F17" s="40" t="s">
        <v>3</v>
      </c>
      <c r="G17" s="16"/>
    </row>
    <row r="18" spans="1:7">
      <c r="A18" s="16" t="s">
        <v>17</v>
      </c>
      <c r="B18" s="17" t="s">
        <v>37</v>
      </c>
      <c r="C18" s="42" t="s">
        <v>183</v>
      </c>
      <c r="D18" s="18" t="s">
        <v>6</v>
      </c>
      <c r="E18" s="19">
        <f>1500*3</f>
        <v>4500</v>
      </c>
      <c r="F18" s="40" t="s">
        <v>3</v>
      </c>
      <c r="G18" s="16"/>
    </row>
    <row r="19" spans="1:7">
      <c r="A19" s="16" t="s">
        <v>17</v>
      </c>
      <c r="B19" s="17" t="s">
        <v>37</v>
      </c>
      <c r="C19" s="42" t="s">
        <v>183</v>
      </c>
      <c r="D19" s="18" t="s">
        <v>6</v>
      </c>
      <c r="E19" s="19">
        <f>1500*9</f>
        <v>13500</v>
      </c>
      <c r="F19" s="40" t="s">
        <v>4</v>
      </c>
      <c r="G19" s="16"/>
    </row>
    <row r="20" spans="1:7">
      <c r="A20" s="16" t="s">
        <v>17</v>
      </c>
      <c r="B20" s="17" t="s">
        <v>37</v>
      </c>
      <c r="C20" s="42" t="s">
        <v>183</v>
      </c>
      <c r="D20" s="18" t="s">
        <v>6</v>
      </c>
      <c r="E20" s="19">
        <f>1500*9</f>
        <v>13500</v>
      </c>
      <c r="F20" s="40" t="s">
        <v>1</v>
      </c>
      <c r="G20" s="16"/>
    </row>
    <row r="21" spans="1:7">
      <c r="A21" s="16" t="s">
        <v>17</v>
      </c>
      <c r="B21" s="17" t="s">
        <v>30</v>
      </c>
      <c r="C21" s="42" t="s">
        <v>183</v>
      </c>
      <c r="D21" s="18" t="s">
        <v>8</v>
      </c>
      <c r="E21" s="19">
        <f>3500*3</f>
        <v>10500</v>
      </c>
      <c r="F21" s="40" t="s">
        <v>2</v>
      </c>
      <c r="G21" s="16"/>
    </row>
    <row r="22" spans="1:7">
      <c r="A22" s="16" t="s">
        <v>17</v>
      </c>
      <c r="B22" s="17" t="s">
        <v>30</v>
      </c>
      <c r="C22" s="42" t="s">
        <v>183</v>
      </c>
      <c r="D22" s="18" t="s">
        <v>8</v>
      </c>
      <c r="E22" s="19">
        <f>3500*2</f>
        <v>7000</v>
      </c>
      <c r="F22" s="40" t="s">
        <v>3</v>
      </c>
      <c r="G22" s="16"/>
    </row>
    <row r="23" spans="1:7">
      <c r="A23" s="16" t="s">
        <v>17</v>
      </c>
      <c r="B23" s="17" t="s">
        <v>38</v>
      </c>
      <c r="C23" s="42" t="s">
        <v>183</v>
      </c>
      <c r="D23" s="18" t="s">
        <v>8</v>
      </c>
      <c r="E23" s="19">
        <v>7000</v>
      </c>
      <c r="F23" s="40" t="s">
        <v>3</v>
      </c>
      <c r="G23" s="16"/>
    </row>
    <row r="24" spans="1:7">
      <c r="A24" s="16" t="s">
        <v>17</v>
      </c>
      <c r="B24" s="17" t="s">
        <v>38</v>
      </c>
      <c r="C24" s="42" t="s">
        <v>183</v>
      </c>
      <c r="D24" s="18" t="s">
        <v>8</v>
      </c>
      <c r="E24" s="19">
        <f>7000*3</f>
        <v>21000</v>
      </c>
      <c r="F24" s="40" t="s">
        <v>4</v>
      </c>
      <c r="G24" s="16"/>
    </row>
    <row r="25" spans="1:7">
      <c r="A25" s="16" t="s">
        <v>17</v>
      </c>
      <c r="B25" s="17" t="s">
        <v>38</v>
      </c>
      <c r="C25" s="42" t="s">
        <v>183</v>
      </c>
      <c r="D25" s="18" t="s">
        <v>8</v>
      </c>
      <c r="E25" s="19">
        <f>7000*3</f>
        <v>21000</v>
      </c>
      <c r="F25" s="40" t="s">
        <v>1</v>
      </c>
      <c r="G25" s="16"/>
    </row>
    <row r="26" spans="1:7">
      <c r="A26" s="16" t="s">
        <v>17</v>
      </c>
      <c r="B26" s="30" t="s">
        <v>33</v>
      </c>
      <c r="C26" s="42" t="s">
        <v>183</v>
      </c>
      <c r="D26" s="18" t="s">
        <v>6</v>
      </c>
      <c r="E26" s="19">
        <v>429000</v>
      </c>
      <c r="F26" s="40" t="s">
        <v>2</v>
      </c>
      <c r="G26" s="16"/>
    </row>
    <row r="27" spans="1:7">
      <c r="A27" s="16" t="s">
        <v>17</v>
      </c>
      <c r="B27" s="30" t="s">
        <v>40</v>
      </c>
      <c r="C27" s="42" t="s">
        <v>183</v>
      </c>
      <c r="D27" s="18" t="s">
        <v>6</v>
      </c>
      <c r="E27" s="19">
        <v>500000</v>
      </c>
      <c r="F27" s="40" t="s">
        <v>3</v>
      </c>
      <c r="G27" s="16"/>
    </row>
    <row r="28" spans="1:7">
      <c r="A28" s="16" t="s">
        <v>17</v>
      </c>
      <c r="B28" s="17" t="s">
        <v>31</v>
      </c>
      <c r="C28" s="20" t="s">
        <v>50</v>
      </c>
      <c r="D28" s="18" t="s">
        <v>8</v>
      </c>
      <c r="E28" s="19">
        <v>397800</v>
      </c>
      <c r="F28" s="40" t="s">
        <v>2</v>
      </c>
      <c r="G28" s="16"/>
    </row>
    <row r="29" spans="1:7">
      <c r="A29" s="16" t="s">
        <v>17</v>
      </c>
      <c r="B29" s="17" t="s">
        <v>41</v>
      </c>
      <c r="C29" s="20" t="s">
        <v>50</v>
      </c>
      <c r="D29" s="18" t="s">
        <v>8</v>
      </c>
      <c r="E29" s="19">
        <v>1000000</v>
      </c>
      <c r="F29" s="40" t="s">
        <v>1</v>
      </c>
      <c r="G29" s="16"/>
    </row>
    <row r="30" spans="1:7">
      <c r="A30" s="16" t="s">
        <v>17</v>
      </c>
      <c r="B30" s="17" t="s">
        <v>32</v>
      </c>
      <c r="C30" s="20" t="s">
        <v>50</v>
      </c>
      <c r="D30" s="18" t="s">
        <v>8</v>
      </c>
      <c r="E30" s="19">
        <v>40000</v>
      </c>
      <c r="F30" s="40" t="s">
        <v>2</v>
      </c>
      <c r="G30" s="16"/>
    </row>
    <row r="31" spans="1:7">
      <c r="A31" s="16" t="s">
        <v>17</v>
      </c>
      <c r="B31" s="26" t="s">
        <v>36</v>
      </c>
      <c r="C31" s="20" t="s">
        <v>50</v>
      </c>
      <c r="D31" s="18" t="s">
        <v>7</v>
      </c>
      <c r="E31" s="22">
        <v>375000</v>
      </c>
      <c r="F31" s="40" t="s">
        <v>3</v>
      </c>
      <c r="G31" s="16"/>
    </row>
    <row r="32" spans="1:7">
      <c r="A32" s="16" t="s">
        <v>17</v>
      </c>
      <c r="B32" s="21" t="s">
        <v>39</v>
      </c>
      <c r="C32" s="20" t="s">
        <v>50</v>
      </c>
      <c r="D32" s="18" t="s">
        <v>8</v>
      </c>
      <c r="E32" s="22">
        <v>1750000</v>
      </c>
      <c r="F32" s="40" t="s">
        <v>3</v>
      </c>
      <c r="G32" s="16"/>
    </row>
    <row r="33" spans="1:7">
      <c r="A33" s="16" t="s">
        <v>17</v>
      </c>
      <c r="B33" s="25" t="s">
        <v>44</v>
      </c>
      <c r="C33" s="20" t="s">
        <v>50</v>
      </c>
      <c r="D33" s="18" t="s">
        <v>7</v>
      </c>
      <c r="E33" s="70">
        <f>20000*3</f>
        <v>60000</v>
      </c>
      <c r="F33" s="40" t="s">
        <v>1</v>
      </c>
      <c r="G33" s="16"/>
    </row>
    <row r="34" spans="1:7" ht="30">
      <c r="A34" s="16" t="s">
        <v>17</v>
      </c>
      <c r="B34" s="167" t="s">
        <v>224</v>
      </c>
      <c r="C34" s="71" t="s">
        <v>225</v>
      </c>
      <c r="D34" s="72" t="s">
        <v>7</v>
      </c>
      <c r="E34" s="70">
        <v>785600</v>
      </c>
      <c r="F34" s="40" t="s">
        <v>2</v>
      </c>
      <c r="G34" s="72"/>
    </row>
    <row r="35" spans="1:7" ht="30">
      <c r="A35" s="16" t="s">
        <v>17</v>
      </c>
      <c r="B35" s="167" t="s">
        <v>224</v>
      </c>
      <c r="C35" s="71" t="s">
        <v>225</v>
      </c>
      <c r="D35" s="72" t="s">
        <v>7</v>
      </c>
      <c r="E35" s="87">
        <v>785600</v>
      </c>
      <c r="F35" s="40" t="s">
        <v>3</v>
      </c>
      <c r="G35" s="16"/>
    </row>
    <row r="36" spans="1:7" ht="30">
      <c r="A36" s="16" t="s">
        <v>17</v>
      </c>
      <c r="B36" s="167" t="s">
        <v>224</v>
      </c>
      <c r="C36" s="71" t="s">
        <v>225</v>
      </c>
      <c r="D36" s="72" t="s">
        <v>7</v>
      </c>
      <c r="E36" s="87">
        <v>785600</v>
      </c>
      <c r="F36" s="40" t="s">
        <v>3</v>
      </c>
      <c r="G36" s="16"/>
    </row>
    <row r="37" spans="1:7" ht="30">
      <c r="A37" s="16" t="s">
        <v>17</v>
      </c>
      <c r="B37" s="167" t="s">
        <v>224</v>
      </c>
      <c r="C37" s="71" t="s">
        <v>225</v>
      </c>
      <c r="D37" s="72" t="s">
        <v>7</v>
      </c>
      <c r="E37" s="87">
        <v>785600</v>
      </c>
      <c r="F37" s="40" t="s">
        <v>1</v>
      </c>
      <c r="G37" s="16"/>
    </row>
    <row r="38" spans="1:7">
      <c r="A38" s="16" t="s">
        <v>17</v>
      </c>
      <c r="B38" s="168" t="s">
        <v>226</v>
      </c>
      <c r="C38" s="71" t="s">
        <v>227</v>
      </c>
      <c r="D38" s="18" t="s">
        <v>7</v>
      </c>
      <c r="E38" s="70">
        <v>1139343</v>
      </c>
      <c r="F38" s="40" t="s">
        <v>2</v>
      </c>
      <c r="G38" s="16"/>
    </row>
    <row r="39" spans="1:7">
      <c r="A39" s="16" t="s">
        <v>17</v>
      </c>
      <c r="B39" s="168" t="s">
        <v>228</v>
      </c>
      <c r="C39" s="71" t="s">
        <v>227</v>
      </c>
      <c r="D39" s="18" t="s">
        <v>7</v>
      </c>
      <c r="E39" s="70">
        <v>1139343</v>
      </c>
      <c r="F39" s="40" t="s">
        <v>3</v>
      </c>
      <c r="G39" s="16"/>
    </row>
    <row r="40" spans="1:7">
      <c r="A40" s="16" t="s">
        <v>17</v>
      </c>
      <c r="B40" s="168" t="s">
        <v>229</v>
      </c>
      <c r="C40" s="71" t="s">
        <v>227</v>
      </c>
      <c r="D40" s="18" t="s">
        <v>7</v>
      </c>
      <c r="E40" s="70">
        <v>1139343</v>
      </c>
      <c r="F40" s="40" t="s">
        <v>3</v>
      </c>
      <c r="G40" s="16"/>
    </row>
    <row r="41" spans="1:7">
      <c r="A41" s="16" t="s">
        <v>17</v>
      </c>
      <c r="B41" s="169" t="s">
        <v>230</v>
      </c>
      <c r="C41" s="71" t="s">
        <v>227</v>
      </c>
      <c r="D41" s="18" t="s">
        <v>7</v>
      </c>
      <c r="E41" s="70">
        <v>1139343</v>
      </c>
      <c r="F41" s="40" t="s">
        <v>1</v>
      </c>
      <c r="G41" s="16"/>
    </row>
    <row r="42" spans="1:7">
      <c r="A42" s="16" t="s">
        <v>17</v>
      </c>
      <c r="B42" s="73" t="s">
        <v>231</v>
      </c>
      <c r="C42" s="74" t="s">
        <v>232</v>
      </c>
      <c r="D42" s="18" t="s">
        <v>7</v>
      </c>
      <c r="E42" s="70">
        <v>239400</v>
      </c>
      <c r="F42" s="40" t="s">
        <v>2</v>
      </c>
      <c r="G42" s="16"/>
    </row>
    <row r="43" spans="1:7">
      <c r="A43" s="16" t="s">
        <v>17</v>
      </c>
      <c r="B43" s="73" t="s">
        <v>231</v>
      </c>
      <c r="C43" s="74" t="s">
        <v>232</v>
      </c>
      <c r="D43" s="18" t="s">
        <v>7</v>
      </c>
      <c r="E43" s="70">
        <v>239400</v>
      </c>
      <c r="F43" s="40" t="s">
        <v>3</v>
      </c>
      <c r="G43" s="16"/>
    </row>
    <row r="44" spans="1:7">
      <c r="A44" s="16" t="s">
        <v>17</v>
      </c>
      <c r="B44" s="73" t="s">
        <v>231</v>
      </c>
      <c r="C44" s="74" t="s">
        <v>232</v>
      </c>
      <c r="D44" s="18" t="s">
        <v>7</v>
      </c>
      <c r="E44" s="70">
        <v>239400</v>
      </c>
      <c r="F44" s="40" t="s">
        <v>3</v>
      </c>
      <c r="G44" s="16"/>
    </row>
    <row r="45" spans="1:7">
      <c r="A45" s="16" t="s">
        <v>17</v>
      </c>
      <c r="B45" s="73" t="s">
        <v>231</v>
      </c>
      <c r="C45" s="74" t="s">
        <v>232</v>
      </c>
      <c r="D45" s="18" t="s">
        <v>7</v>
      </c>
      <c r="E45" s="70">
        <v>239400</v>
      </c>
      <c r="F45" s="40" t="s">
        <v>1</v>
      </c>
      <c r="G45" s="16"/>
    </row>
    <row r="46" spans="1:7" ht="45">
      <c r="A46" s="16" t="s">
        <v>17</v>
      </c>
      <c r="B46" s="167" t="s">
        <v>233</v>
      </c>
      <c r="C46" s="74" t="s">
        <v>232</v>
      </c>
      <c r="D46" s="18" t="s">
        <v>7</v>
      </c>
      <c r="E46" s="70">
        <v>5250</v>
      </c>
      <c r="F46" s="40" t="s">
        <v>2</v>
      </c>
      <c r="G46" s="16"/>
    </row>
    <row r="47" spans="1:7" ht="45">
      <c r="A47" s="16" t="s">
        <v>17</v>
      </c>
      <c r="B47" s="167" t="s">
        <v>233</v>
      </c>
      <c r="C47" s="74" t="s">
        <v>232</v>
      </c>
      <c r="D47" s="18" t="s">
        <v>7</v>
      </c>
      <c r="E47" s="70">
        <v>5250</v>
      </c>
      <c r="F47" s="40" t="s">
        <v>3</v>
      </c>
      <c r="G47" s="16"/>
    </row>
    <row r="48" spans="1:7" ht="45">
      <c r="A48" s="16" t="s">
        <v>17</v>
      </c>
      <c r="B48" s="167" t="s">
        <v>233</v>
      </c>
      <c r="C48" s="74" t="s">
        <v>232</v>
      </c>
      <c r="D48" s="18" t="s">
        <v>7</v>
      </c>
      <c r="E48" s="70">
        <v>5250</v>
      </c>
      <c r="F48" s="40" t="s">
        <v>3</v>
      </c>
      <c r="G48" s="16"/>
    </row>
    <row r="49" spans="1:8" ht="45">
      <c r="A49" s="16" t="s">
        <v>17</v>
      </c>
      <c r="B49" s="167" t="s">
        <v>233</v>
      </c>
      <c r="C49" s="74" t="s">
        <v>232</v>
      </c>
      <c r="D49" s="18" t="s">
        <v>7</v>
      </c>
      <c r="E49" s="70">
        <v>5250</v>
      </c>
      <c r="F49" s="40" t="s">
        <v>1</v>
      </c>
      <c r="G49" s="16"/>
    </row>
    <row r="50" spans="1:8" ht="20.25">
      <c r="A50" s="16" t="s">
        <v>17</v>
      </c>
      <c r="B50" s="75" t="s">
        <v>234</v>
      </c>
      <c r="C50" s="76" t="s">
        <v>235</v>
      </c>
      <c r="D50" s="18" t="s">
        <v>8</v>
      </c>
      <c r="E50" s="77">
        <v>2000000</v>
      </c>
      <c r="F50" s="40" t="s">
        <v>2</v>
      </c>
      <c r="G50" s="75"/>
    </row>
    <row r="51" spans="1:8" ht="20.25">
      <c r="A51" s="16" t="s">
        <v>17</v>
      </c>
      <c r="B51" s="75" t="s">
        <v>234</v>
      </c>
      <c r="C51" s="76" t="s">
        <v>235</v>
      </c>
      <c r="D51" s="18" t="s">
        <v>8</v>
      </c>
      <c r="E51" s="77">
        <v>2000000</v>
      </c>
      <c r="F51" s="40" t="s">
        <v>3</v>
      </c>
      <c r="G51" s="16"/>
    </row>
    <row r="52" spans="1:8">
      <c r="A52" s="16" t="s">
        <v>17</v>
      </c>
      <c r="B52" s="16" t="s">
        <v>236</v>
      </c>
      <c r="C52" s="20" t="s">
        <v>50</v>
      </c>
      <c r="D52" s="18" t="s">
        <v>7</v>
      </c>
      <c r="E52" s="78">
        <v>500000</v>
      </c>
      <c r="F52" s="18" t="s">
        <v>2</v>
      </c>
      <c r="G52" s="16"/>
    </row>
    <row r="53" spans="1:8">
      <c r="A53" s="16" t="s">
        <v>17</v>
      </c>
      <c r="B53" s="16" t="s">
        <v>236</v>
      </c>
      <c r="C53" s="20" t="s">
        <v>50</v>
      </c>
      <c r="D53" s="18" t="s">
        <v>7</v>
      </c>
      <c r="E53" s="78">
        <v>500000</v>
      </c>
      <c r="F53" s="18" t="s">
        <v>3</v>
      </c>
      <c r="G53" s="16"/>
    </row>
    <row r="54" spans="1:8">
      <c r="A54" s="16" t="s">
        <v>17</v>
      </c>
      <c r="B54" s="16" t="s">
        <v>236</v>
      </c>
      <c r="C54" s="20" t="s">
        <v>50</v>
      </c>
      <c r="D54" s="18" t="s">
        <v>7</v>
      </c>
      <c r="E54" s="78">
        <v>500000</v>
      </c>
      <c r="F54" s="18" t="s">
        <v>4</v>
      </c>
      <c r="G54" s="16"/>
    </row>
    <row r="55" spans="1:8">
      <c r="A55" s="16" t="s">
        <v>17</v>
      </c>
      <c r="B55" s="16" t="s">
        <v>236</v>
      </c>
      <c r="C55" s="20" t="s">
        <v>50</v>
      </c>
      <c r="D55" s="18" t="s">
        <v>7</v>
      </c>
      <c r="E55" s="78">
        <v>500000</v>
      </c>
      <c r="F55" s="18" t="s">
        <v>1</v>
      </c>
    </row>
    <row r="58" spans="1:8">
      <c r="C58" s="13" t="s">
        <v>20</v>
      </c>
      <c r="D58" s="13" t="s">
        <v>2</v>
      </c>
      <c r="E58" s="13" t="s">
        <v>3</v>
      </c>
      <c r="F58" s="13" t="s">
        <v>4</v>
      </c>
      <c r="G58" s="13" t="s">
        <v>1</v>
      </c>
      <c r="H58" s="97" t="s">
        <v>0</v>
      </c>
    </row>
    <row r="59" spans="1:8">
      <c r="C59" s="7" t="s">
        <v>6</v>
      </c>
      <c r="D59" s="90">
        <f>E15+E16+E26</f>
        <v>435000</v>
      </c>
      <c r="E59" s="41">
        <f>E17+E18+E27</f>
        <v>510500</v>
      </c>
      <c r="F59" s="41">
        <f>E19</f>
        <v>13500</v>
      </c>
      <c r="G59" s="41">
        <f>E20</f>
        <v>13500</v>
      </c>
      <c r="H59" s="153">
        <f>SUM(D59:G59)</f>
        <v>972500</v>
      </c>
    </row>
    <row r="60" spans="1:8">
      <c r="C60" s="7" t="s">
        <v>7</v>
      </c>
      <c r="D60" s="90">
        <f>E3+E7+E8+E11+E34+E38+E42+E46+E52</f>
        <v>4629593</v>
      </c>
      <c r="E60" s="41">
        <f>E53+E48+E47+E44+E43+E40+E39+E36+E35+E31+E12+E4</f>
        <v>6959186</v>
      </c>
      <c r="F60" s="150">
        <f>E5+E9+E13+E54</f>
        <v>2309000</v>
      </c>
      <c r="G60" s="41">
        <f>E6+E10+E14+E33+E37+E41+E45+E49+E55</f>
        <v>4473593</v>
      </c>
      <c r="H60" s="153">
        <f t="shared" ref="H60:H61" si="0">SUM(D60:G60)</f>
        <v>18371372</v>
      </c>
    </row>
    <row r="61" spans="1:8">
      <c r="C61" s="7" t="s">
        <v>8</v>
      </c>
      <c r="D61" s="90">
        <f>E21+E28+E30+E50</f>
        <v>2448300</v>
      </c>
      <c r="E61" s="41">
        <f>E22+E23+E32+E51</f>
        <v>3764000</v>
      </c>
      <c r="F61" s="150">
        <f>E24</f>
        <v>21000</v>
      </c>
      <c r="G61" s="150">
        <f>E25+E29</f>
        <v>1021000</v>
      </c>
      <c r="H61" s="153">
        <f t="shared" si="0"/>
        <v>7254300</v>
      </c>
    </row>
    <row r="62" spans="1:8">
      <c r="C62" s="7" t="s">
        <v>9</v>
      </c>
      <c r="D62" s="90"/>
      <c r="E62" s="41"/>
      <c r="F62" s="7"/>
      <c r="H62" s="154"/>
    </row>
    <row r="63" spans="1:8">
      <c r="C63" s="95" t="s">
        <v>0</v>
      </c>
      <c r="D63" s="152">
        <f>SUM(D59:D62)</f>
        <v>7512893</v>
      </c>
      <c r="E63" s="152">
        <f>SUM(E59:E62)</f>
        <v>11233686</v>
      </c>
      <c r="F63" s="152">
        <f t="shared" ref="F63:G63" si="1">SUM(F59:F62)</f>
        <v>2343500</v>
      </c>
      <c r="G63" s="152">
        <f t="shared" si="1"/>
        <v>5508093</v>
      </c>
      <c r="H63" s="152">
        <f>SUM(H59:H62)</f>
        <v>26598172</v>
      </c>
    </row>
  </sheetData>
  <autoFilter ref="A2:G55" xr:uid="{F04505C7-BF3F-1E4C-90B4-5D1DE98A7565}"/>
  <dataConsolidate/>
  <phoneticPr fontId="1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D009A1-3BD6-1E4C-80C6-4E0784CD2A70}">
          <x14:formula1>
            <xm:f>'Period- Product Cat'!$A$1:$A$4</xm:f>
          </x14:formula1>
          <xm:sqref>F56:F57 F64:F157 E58</xm:sqref>
        </x14:dataValidation>
        <x14:dataValidation type="list" allowBlank="1" showInputMessage="1" showErrorMessage="1" xr:uid="{E239F442-6514-D942-B1AB-4FDEAEC286B9}">
          <x14:formula1>
            <xm:f>'Period- Product Cat'!$C$1:$C$6</xm:f>
          </x14:formula1>
          <xm:sqref>A56:A153</xm:sqref>
        </x14:dataValidation>
        <x14:dataValidation type="list" allowBlank="1" showInputMessage="1" showErrorMessage="1" xr:uid="{770D167E-83EA-4334-9227-7CC15A0E99E3}">
          <x14:formula1>
            <xm:f>'Period- Product Cat'!$B$1:$B$4</xm:f>
          </x14:formula1>
          <xm:sqref>C58:C63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5964-46E0-F244-9EEC-AF996FE7025B}">
  <sheetPr codeName="Sheet10" filterMode="1">
    <tabColor theme="9"/>
  </sheetPr>
  <dimension ref="A1:DM145"/>
  <sheetViews>
    <sheetView zoomScale="70" zoomScaleNormal="70" workbookViewId="0">
      <selection activeCell="E151" sqref="E151"/>
    </sheetView>
  </sheetViews>
  <sheetFormatPr defaultColWidth="28.85546875" defaultRowHeight="18"/>
  <cols>
    <col min="1" max="1" width="20.5703125" style="7" customWidth="1"/>
    <col min="2" max="2" width="91" style="7" customWidth="1"/>
    <col min="3" max="3" width="25.5703125" style="7" customWidth="1"/>
    <col min="4" max="4" width="26.85546875" style="14" customWidth="1"/>
    <col min="5" max="5" width="24.140625" style="7" customWidth="1"/>
    <col min="6" max="6" width="23.85546875" style="14" customWidth="1"/>
    <col min="7" max="7" width="20.85546875" style="7" customWidth="1"/>
    <col min="8" max="8" width="25.140625" style="7" customWidth="1"/>
    <col min="9" max="116" width="63" style="7" bestFit="1" customWidth="1"/>
    <col min="117" max="117" width="10.5703125" style="7" bestFit="1" customWidth="1"/>
    <col min="118" max="16384" width="28.85546875" style="7"/>
  </cols>
  <sheetData>
    <row r="1" spans="1:117" s="15" customFormat="1" ht="20.25">
      <c r="A1" s="15" t="s">
        <v>26</v>
      </c>
      <c r="C1" s="37" t="s">
        <v>43</v>
      </c>
      <c r="D1" s="38">
        <f>'Target Total  '!L13</f>
        <v>6600000</v>
      </c>
      <c r="E1" s="33" t="s">
        <v>96</v>
      </c>
      <c r="F1" s="39">
        <f>SUM(E3:E137)</f>
        <v>7603771.7531999992</v>
      </c>
      <c r="G1" s="36">
        <f>F1-D1</f>
        <v>1003771.7531999992</v>
      </c>
    </row>
    <row r="2" spans="1:117" s="13" customFormat="1" ht="36">
      <c r="A2" s="12" t="s">
        <v>18</v>
      </c>
      <c r="B2" s="12" t="s">
        <v>19</v>
      </c>
      <c r="C2" s="32" t="s">
        <v>51</v>
      </c>
      <c r="D2" s="12" t="s">
        <v>20</v>
      </c>
      <c r="E2" s="12" t="s">
        <v>22</v>
      </c>
      <c r="F2" s="12" t="s">
        <v>23</v>
      </c>
      <c r="G2" s="12" t="s">
        <v>25</v>
      </c>
      <c r="H2" s="7"/>
    </row>
    <row r="3" spans="1:117" ht="20.45" hidden="1" customHeight="1">
      <c r="A3" s="44" t="s">
        <v>11</v>
      </c>
      <c r="B3" s="44" t="s">
        <v>132</v>
      </c>
      <c r="C3" s="47" t="s">
        <v>50</v>
      </c>
      <c r="D3" s="47" t="s">
        <v>6</v>
      </c>
      <c r="E3" s="48">
        <f>9800*3</f>
        <v>29400</v>
      </c>
      <c r="F3" s="47" t="s">
        <v>2</v>
      </c>
      <c r="G3" s="44"/>
    </row>
    <row r="4" spans="1:117" ht="20.45" hidden="1" customHeight="1">
      <c r="A4" s="44" t="s">
        <v>11</v>
      </c>
      <c r="B4" s="44" t="s">
        <v>132</v>
      </c>
      <c r="C4" s="47" t="s">
        <v>50</v>
      </c>
      <c r="D4" s="47" t="s">
        <v>6</v>
      </c>
      <c r="E4" s="48">
        <f>9800*3</f>
        <v>29400</v>
      </c>
      <c r="F4" s="47" t="s">
        <v>3</v>
      </c>
      <c r="G4" s="44"/>
      <c r="H4"/>
    </row>
    <row r="5" spans="1:117" ht="20.45" hidden="1" customHeight="1">
      <c r="A5" s="44" t="s">
        <v>11</v>
      </c>
      <c r="B5" s="44" t="s">
        <v>132</v>
      </c>
      <c r="C5" s="47" t="s">
        <v>50</v>
      </c>
      <c r="D5" s="47" t="s">
        <v>6</v>
      </c>
      <c r="E5" s="48">
        <f>9800*2</f>
        <v>19600</v>
      </c>
      <c r="F5" s="47" t="s">
        <v>4</v>
      </c>
      <c r="G5" s="44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</row>
    <row r="6" spans="1:117" ht="20.45" hidden="1" customHeight="1">
      <c r="A6" s="44" t="s">
        <v>11</v>
      </c>
      <c r="B6" s="44" t="s">
        <v>132</v>
      </c>
      <c r="C6" s="47" t="s">
        <v>50</v>
      </c>
      <c r="D6" s="47" t="s">
        <v>6</v>
      </c>
      <c r="E6" s="48">
        <f>9800*3</f>
        <v>29400</v>
      </c>
      <c r="F6" s="47" t="s">
        <v>1</v>
      </c>
      <c r="G6" s="44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</row>
    <row r="7" spans="1:117" ht="20.45" hidden="1" customHeight="1">
      <c r="A7" s="44" t="s">
        <v>11</v>
      </c>
      <c r="B7" s="44" t="s">
        <v>133</v>
      </c>
      <c r="C7" s="47" t="s">
        <v>50</v>
      </c>
      <c r="D7" s="47" t="s">
        <v>6</v>
      </c>
      <c r="E7" s="48">
        <f>300000*3</f>
        <v>900000</v>
      </c>
      <c r="F7" s="47" t="s">
        <v>4</v>
      </c>
      <c r="G7" s="44"/>
    </row>
    <row r="8" spans="1:117" ht="20.45" hidden="1" customHeight="1">
      <c r="A8" s="44" t="s">
        <v>11</v>
      </c>
      <c r="B8" s="44" t="s">
        <v>133</v>
      </c>
      <c r="C8" s="47" t="s">
        <v>50</v>
      </c>
      <c r="D8" s="47" t="s">
        <v>6</v>
      </c>
      <c r="E8" s="48">
        <f>300000*3</f>
        <v>900000</v>
      </c>
      <c r="F8" s="47" t="s">
        <v>4</v>
      </c>
      <c r="G8" s="44"/>
    </row>
    <row r="9" spans="1:117" ht="20.45" hidden="1" customHeight="1">
      <c r="A9" s="44" t="s">
        <v>11</v>
      </c>
      <c r="B9" s="44" t="s">
        <v>133</v>
      </c>
      <c r="C9" s="47" t="s">
        <v>50</v>
      </c>
      <c r="D9" s="47" t="s">
        <v>6</v>
      </c>
      <c r="E9" s="48">
        <f>300000*2</f>
        <v>600000</v>
      </c>
      <c r="F9" s="47" t="s">
        <v>4</v>
      </c>
      <c r="G9" s="44"/>
    </row>
    <row r="10" spans="1:117" ht="20.45" hidden="1" customHeight="1">
      <c r="A10" s="44" t="s">
        <v>11</v>
      </c>
      <c r="B10" s="44" t="s">
        <v>133</v>
      </c>
      <c r="C10" s="47" t="s">
        <v>50</v>
      </c>
      <c r="D10" s="47" t="s">
        <v>6</v>
      </c>
      <c r="E10" s="48">
        <f>300000*3</f>
        <v>900000</v>
      </c>
      <c r="F10" s="47" t="s">
        <v>1</v>
      </c>
      <c r="G10" s="44"/>
    </row>
    <row r="11" spans="1:117" ht="20.45" hidden="1" customHeight="1">
      <c r="A11" s="44" t="s">
        <v>11</v>
      </c>
      <c r="B11" s="44" t="s">
        <v>104</v>
      </c>
      <c r="C11" s="47" t="s">
        <v>50</v>
      </c>
      <c r="D11" s="47" t="s">
        <v>7</v>
      </c>
      <c r="E11" s="48">
        <v>40500</v>
      </c>
      <c r="F11" s="47" t="s">
        <v>2</v>
      </c>
      <c r="G11" s="44"/>
    </row>
    <row r="12" spans="1:117" ht="20.45" hidden="1" customHeight="1">
      <c r="A12" s="44" t="s">
        <v>11</v>
      </c>
      <c r="B12" s="44" t="s">
        <v>105</v>
      </c>
      <c r="C12" s="47" t="s">
        <v>50</v>
      </c>
      <c r="D12" s="47" t="s">
        <v>7</v>
      </c>
      <c r="E12" s="48">
        <v>68000</v>
      </c>
      <c r="F12" s="47" t="s">
        <v>2</v>
      </c>
      <c r="G12" s="44"/>
    </row>
    <row r="13" spans="1:117" ht="20.45" hidden="1" customHeight="1">
      <c r="A13" s="44" t="s">
        <v>11</v>
      </c>
      <c r="B13" s="44" t="s">
        <v>106</v>
      </c>
      <c r="C13" s="47" t="s">
        <v>50</v>
      </c>
      <c r="D13" s="47" t="s">
        <v>7</v>
      </c>
      <c r="E13" s="48">
        <v>15000</v>
      </c>
      <c r="F13" s="47" t="s">
        <v>2</v>
      </c>
      <c r="G13" s="44"/>
    </row>
    <row r="14" spans="1:117" ht="20.45" hidden="1" customHeight="1">
      <c r="A14" s="44" t="s">
        <v>11</v>
      </c>
      <c r="B14" s="44" t="s">
        <v>107</v>
      </c>
      <c r="C14" s="47" t="s">
        <v>50</v>
      </c>
      <c r="D14" s="47" t="s">
        <v>7</v>
      </c>
      <c r="E14" s="48">
        <v>15000</v>
      </c>
      <c r="F14" s="47" t="s">
        <v>2</v>
      </c>
      <c r="G14" s="44"/>
    </row>
    <row r="15" spans="1:117" ht="20.45" hidden="1" customHeight="1">
      <c r="A15" s="44" t="s">
        <v>11</v>
      </c>
      <c r="B15" s="44" t="s">
        <v>108</v>
      </c>
      <c r="C15" s="47" t="s">
        <v>50</v>
      </c>
      <c r="D15" s="47" t="s">
        <v>7</v>
      </c>
      <c r="E15" s="48">
        <v>15000</v>
      </c>
      <c r="F15" s="47" t="s">
        <v>2</v>
      </c>
      <c r="G15" s="44"/>
    </row>
    <row r="16" spans="1:117" ht="20.45" hidden="1" customHeight="1">
      <c r="A16" s="44" t="s">
        <v>11</v>
      </c>
      <c r="B16" s="44" t="s">
        <v>109</v>
      </c>
      <c r="C16" s="47" t="s">
        <v>50</v>
      </c>
      <c r="D16" s="47" t="s">
        <v>7</v>
      </c>
      <c r="E16" s="48">
        <v>15000</v>
      </c>
      <c r="F16" s="47" t="s">
        <v>2</v>
      </c>
      <c r="G16" s="44"/>
    </row>
    <row r="17" spans="1:7" ht="20.45" hidden="1" customHeight="1">
      <c r="A17" s="44" t="s">
        <v>11</v>
      </c>
      <c r="B17" s="44" t="s">
        <v>110</v>
      </c>
      <c r="C17" s="47" t="s">
        <v>50</v>
      </c>
      <c r="D17" s="47" t="s">
        <v>7</v>
      </c>
      <c r="E17" s="48">
        <v>15000</v>
      </c>
      <c r="F17" s="47" t="s">
        <v>2</v>
      </c>
      <c r="G17" s="44"/>
    </row>
    <row r="18" spans="1:7" ht="20.45" hidden="1" customHeight="1">
      <c r="A18" s="44" t="s">
        <v>11</v>
      </c>
      <c r="B18" s="44" t="s">
        <v>111</v>
      </c>
      <c r="C18" s="47" t="s">
        <v>50</v>
      </c>
      <c r="D18" s="47" t="s">
        <v>7</v>
      </c>
      <c r="E18" s="48">
        <v>20000</v>
      </c>
      <c r="F18" s="47" t="s">
        <v>2</v>
      </c>
      <c r="G18" s="44"/>
    </row>
    <row r="19" spans="1:7" ht="20.45" hidden="1" customHeight="1">
      <c r="A19" s="44" t="s">
        <v>11</v>
      </c>
      <c r="B19" s="44" t="s">
        <v>112</v>
      </c>
      <c r="C19" s="47" t="s">
        <v>50</v>
      </c>
      <c r="D19" s="47" t="s">
        <v>7</v>
      </c>
      <c r="E19" s="48">
        <v>170000</v>
      </c>
      <c r="F19" s="47" t="s">
        <v>2</v>
      </c>
      <c r="G19" s="44"/>
    </row>
    <row r="20" spans="1:7" ht="20.45" hidden="1" customHeight="1">
      <c r="A20" s="44" t="s">
        <v>11</v>
      </c>
      <c r="B20" s="44" t="s">
        <v>113</v>
      </c>
      <c r="C20" s="47" t="s">
        <v>50</v>
      </c>
      <c r="D20" s="47" t="s">
        <v>7</v>
      </c>
      <c r="E20" s="48">
        <v>48000</v>
      </c>
      <c r="F20" s="47" t="s">
        <v>2</v>
      </c>
      <c r="G20" s="44"/>
    </row>
    <row r="21" spans="1:7" ht="20.45" hidden="1" customHeight="1">
      <c r="A21" s="44" t="s">
        <v>11</v>
      </c>
      <c r="B21" s="44" t="s">
        <v>114</v>
      </c>
      <c r="C21" s="47" t="s">
        <v>50</v>
      </c>
      <c r="D21" s="47" t="s">
        <v>8</v>
      </c>
      <c r="E21" s="48">
        <v>30000</v>
      </c>
      <c r="F21" s="47" t="s">
        <v>2</v>
      </c>
      <c r="G21" s="44"/>
    </row>
    <row r="22" spans="1:7" ht="20.45" hidden="1" customHeight="1">
      <c r="A22" s="44" t="s">
        <v>11</v>
      </c>
      <c r="B22" s="44" t="s">
        <v>115</v>
      </c>
      <c r="C22" s="47" t="s">
        <v>50</v>
      </c>
      <c r="D22" s="47" t="s">
        <v>7</v>
      </c>
      <c r="E22" s="48">
        <v>15000</v>
      </c>
      <c r="F22" s="47" t="s">
        <v>2</v>
      </c>
      <c r="G22" s="44"/>
    </row>
    <row r="23" spans="1:7" ht="20.45" hidden="1" customHeight="1">
      <c r="A23" s="44" t="s">
        <v>11</v>
      </c>
      <c r="B23" s="44" t="s">
        <v>116</v>
      </c>
      <c r="C23" s="47" t="s">
        <v>50</v>
      </c>
      <c r="D23" s="47" t="s">
        <v>8</v>
      </c>
      <c r="E23" s="48">
        <v>80000</v>
      </c>
      <c r="F23" s="47" t="s">
        <v>2</v>
      </c>
      <c r="G23" s="44"/>
    </row>
    <row r="24" spans="1:7" ht="20.45" hidden="1" customHeight="1">
      <c r="A24" s="44" t="s">
        <v>11</v>
      </c>
      <c r="B24" s="44" t="s">
        <v>117</v>
      </c>
      <c r="C24" s="47" t="s">
        <v>50</v>
      </c>
      <c r="D24" s="47" t="s">
        <v>7</v>
      </c>
      <c r="E24" s="48">
        <v>7500</v>
      </c>
      <c r="F24" s="47" t="s">
        <v>2</v>
      </c>
      <c r="G24" s="44"/>
    </row>
    <row r="25" spans="1:7" ht="20.45" hidden="1" customHeight="1">
      <c r="A25" s="44" t="s">
        <v>11</v>
      </c>
      <c r="B25" s="44" t="s">
        <v>118</v>
      </c>
      <c r="C25" s="47" t="s">
        <v>50</v>
      </c>
      <c r="D25" s="47" t="s">
        <v>7</v>
      </c>
      <c r="E25" s="48">
        <v>15000</v>
      </c>
      <c r="F25" s="47" t="s">
        <v>2</v>
      </c>
      <c r="G25" s="44"/>
    </row>
    <row r="26" spans="1:7" ht="20.45" hidden="1" customHeight="1">
      <c r="A26" s="44" t="s">
        <v>11</v>
      </c>
      <c r="B26" s="44" t="s">
        <v>119</v>
      </c>
      <c r="C26" s="47" t="s">
        <v>50</v>
      </c>
      <c r="D26" s="47" t="s">
        <v>7</v>
      </c>
      <c r="E26" s="48">
        <v>15000</v>
      </c>
      <c r="F26" s="47" t="s">
        <v>2</v>
      </c>
      <c r="G26" s="44"/>
    </row>
    <row r="27" spans="1:7" ht="20.45" hidden="1" customHeight="1">
      <c r="A27" s="44" t="s">
        <v>11</v>
      </c>
      <c r="B27" s="44" t="s">
        <v>120</v>
      </c>
      <c r="C27" s="47" t="s">
        <v>50</v>
      </c>
      <c r="D27" s="47" t="s">
        <v>7</v>
      </c>
      <c r="E27" s="48">
        <v>4400</v>
      </c>
      <c r="F27" s="47" t="s">
        <v>2</v>
      </c>
      <c r="G27" s="44"/>
    </row>
    <row r="28" spans="1:7" ht="20.45" hidden="1" customHeight="1">
      <c r="A28" s="44" t="s">
        <v>11</v>
      </c>
      <c r="B28" s="44" t="s">
        <v>121</v>
      </c>
      <c r="C28" s="47" t="s">
        <v>50</v>
      </c>
      <c r="D28" s="47" t="s">
        <v>7</v>
      </c>
      <c r="E28" s="48">
        <v>7500</v>
      </c>
      <c r="F28" s="47" t="s">
        <v>2</v>
      </c>
      <c r="G28" s="44"/>
    </row>
    <row r="29" spans="1:7" ht="20.45" hidden="1" customHeight="1">
      <c r="A29" s="44" t="s">
        <v>11</v>
      </c>
      <c r="B29" s="44" t="s">
        <v>122</v>
      </c>
      <c r="C29" s="47" t="s">
        <v>50</v>
      </c>
      <c r="D29" s="47" t="s">
        <v>7</v>
      </c>
      <c r="E29" s="48">
        <v>8000</v>
      </c>
      <c r="F29" s="47" t="s">
        <v>2</v>
      </c>
      <c r="G29" s="44"/>
    </row>
    <row r="30" spans="1:7" ht="20.45" hidden="1" customHeight="1">
      <c r="A30" s="44" t="s">
        <v>11</v>
      </c>
      <c r="B30" s="44" t="s">
        <v>123</v>
      </c>
      <c r="C30" s="47" t="s">
        <v>50</v>
      </c>
      <c r="D30" s="47" t="s">
        <v>7</v>
      </c>
      <c r="E30" s="48">
        <v>15000</v>
      </c>
      <c r="F30" s="47" t="s">
        <v>2</v>
      </c>
      <c r="G30" s="44"/>
    </row>
    <row r="31" spans="1:7" ht="20.45" hidden="1" customHeight="1">
      <c r="A31" s="44" t="s">
        <v>11</v>
      </c>
      <c r="B31" s="44" t="s">
        <v>124</v>
      </c>
      <c r="C31" s="47" t="s">
        <v>50</v>
      </c>
      <c r="D31" s="47" t="s">
        <v>7</v>
      </c>
      <c r="E31" s="48">
        <v>100000</v>
      </c>
      <c r="F31" s="47" t="s">
        <v>2</v>
      </c>
      <c r="G31" s="44"/>
    </row>
    <row r="32" spans="1:7" ht="20.45" hidden="1" customHeight="1">
      <c r="A32" s="44" t="s">
        <v>11</v>
      </c>
      <c r="B32" s="44" t="s">
        <v>125</v>
      </c>
      <c r="C32" s="47" t="s">
        <v>50</v>
      </c>
      <c r="D32" s="47" t="s">
        <v>7</v>
      </c>
      <c r="E32" s="48">
        <v>15000</v>
      </c>
      <c r="F32" s="47" t="s">
        <v>2</v>
      </c>
      <c r="G32" s="44"/>
    </row>
    <row r="33" spans="1:7" ht="20.45" hidden="1" customHeight="1">
      <c r="A33" s="44" t="s">
        <v>11</v>
      </c>
      <c r="B33" s="44" t="s">
        <v>126</v>
      </c>
      <c r="C33" s="47" t="s">
        <v>50</v>
      </c>
      <c r="D33" s="47" t="s">
        <v>7</v>
      </c>
      <c r="E33" s="48">
        <v>15000</v>
      </c>
      <c r="F33" s="47" t="s">
        <v>2</v>
      </c>
      <c r="G33" s="44"/>
    </row>
    <row r="34" spans="1:7" ht="20.45" hidden="1" customHeight="1">
      <c r="A34" s="44" t="s">
        <v>11</v>
      </c>
      <c r="B34" s="44" t="s">
        <v>66</v>
      </c>
      <c r="C34" s="47" t="s">
        <v>50</v>
      </c>
      <c r="D34" s="47" t="s">
        <v>7</v>
      </c>
      <c r="E34" s="48">
        <v>15000</v>
      </c>
      <c r="F34" s="47" t="s">
        <v>2</v>
      </c>
      <c r="G34" s="44"/>
    </row>
    <row r="35" spans="1:7" ht="20.45" hidden="1" customHeight="1">
      <c r="A35" s="44" t="s">
        <v>11</v>
      </c>
      <c r="B35" s="44" t="s">
        <v>127</v>
      </c>
      <c r="C35" s="47" t="s">
        <v>50</v>
      </c>
      <c r="D35" s="47" t="s">
        <v>7</v>
      </c>
      <c r="E35" s="48">
        <v>7500</v>
      </c>
      <c r="F35" s="47" t="s">
        <v>2</v>
      </c>
      <c r="G35" s="44"/>
    </row>
    <row r="36" spans="1:7" ht="20.45" hidden="1" customHeight="1">
      <c r="A36" s="44" t="s">
        <v>11</v>
      </c>
      <c r="B36" s="44" t="s">
        <v>128</v>
      </c>
      <c r="C36" s="47" t="s">
        <v>50</v>
      </c>
      <c r="D36" s="47" t="s">
        <v>7</v>
      </c>
      <c r="E36" s="48">
        <v>100000</v>
      </c>
      <c r="F36" s="47" t="s">
        <v>2</v>
      </c>
      <c r="G36" s="44"/>
    </row>
    <row r="37" spans="1:7" ht="20.45" hidden="1" customHeight="1">
      <c r="A37" s="44" t="s">
        <v>11</v>
      </c>
      <c r="B37" s="44" t="s">
        <v>129</v>
      </c>
      <c r="C37" s="47" t="s">
        <v>50</v>
      </c>
      <c r="D37" s="47" t="s">
        <v>8</v>
      </c>
      <c r="E37" s="48">
        <v>50000</v>
      </c>
      <c r="F37" s="47" t="s">
        <v>2</v>
      </c>
      <c r="G37" s="44"/>
    </row>
    <row r="38" spans="1:7" ht="20.45" hidden="1" customHeight="1">
      <c r="A38" s="44" t="s">
        <v>11</v>
      </c>
      <c r="B38" s="44" t="s">
        <v>130</v>
      </c>
      <c r="C38" s="47" t="s">
        <v>50</v>
      </c>
      <c r="D38" s="47" t="s">
        <v>7</v>
      </c>
      <c r="E38" s="48">
        <v>5250</v>
      </c>
      <c r="F38" s="47" t="s">
        <v>2</v>
      </c>
      <c r="G38" s="44"/>
    </row>
    <row r="39" spans="1:7" ht="20.45" hidden="1" customHeight="1">
      <c r="A39" s="44" t="s">
        <v>11</v>
      </c>
      <c r="B39" s="44" t="s">
        <v>131</v>
      </c>
      <c r="C39" s="47" t="s">
        <v>50</v>
      </c>
      <c r="D39" s="47" t="s">
        <v>7</v>
      </c>
      <c r="E39" s="48">
        <v>15553</v>
      </c>
      <c r="F39" s="47" t="s">
        <v>2</v>
      </c>
      <c r="G39" s="44"/>
    </row>
    <row r="40" spans="1:7" ht="20.45" hidden="1" customHeight="1">
      <c r="A40" s="44" t="s">
        <v>11</v>
      </c>
      <c r="B40" s="44" t="s">
        <v>134</v>
      </c>
      <c r="C40" s="47" t="s">
        <v>50</v>
      </c>
      <c r="D40" s="47" t="s">
        <v>7</v>
      </c>
      <c r="E40" s="48">
        <v>21000</v>
      </c>
      <c r="F40" s="47" t="s">
        <v>2</v>
      </c>
      <c r="G40" s="44"/>
    </row>
    <row r="41" spans="1:7" ht="20.45" hidden="1" customHeight="1">
      <c r="A41" s="44" t="s">
        <v>11</v>
      </c>
      <c r="B41" s="44" t="s">
        <v>135</v>
      </c>
      <c r="C41" s="47" t="s">
        <v>50</v>
      </c>
      <c r="D41" s="47" t="s">
        <v>7</v>
      </c>
      <c r="E41" s="48">
        <v>15000</v>
      </c>
      <c r="F41" s="47" t="s">
        <v>2</v>
      </c>
      <c r="G41" s="44"/>
    </row>
    <row r="42" spans="1:7" ht="20.45" hidden="1" customHeight="1">
      <c r="A42" s="44" t="s">
        <v>11</v>
      </c>
      <c r="B42" s="44" t="s">
        <v>136</v>
      </c>
      <c r="C42" s="47" t="s">
        <v>50</v>
      </c>
      <c r="D42" s="47" t="s">
        <v>7</v>
      </c>
      <c r="E42" s="48">
        <v>10000</v>
      </c>
      <c r="F42" s="47" t="s">
        <v>2</v>
      </c>
      <c r="G42" s="44"/>
    </row>
    <row r="43" spans="1:7" ht="20.45" hidden="1" customHeight="1">
      <c r="A43" s="44" t="s">
        <v>11</v>
      </c>
      <c r="B43" s="44" t="s">
        <v>137</v>
      </c>
      <c r="C43" s="47" t="s">
        <v>50</v>
      </c>
      <c r="D43" s="47" t="s">
        <v>7</v>
      </c>
      <c r="E43" s="48">
        <v>15000</v>
      </c>
      <c r="F43" s="47" t="s">
        <v>2</v>
      </c>
      <c r="G43" s="44"/>
    </row>
    <row r="44" spans="1:7" ht="20.45" hidden="1" customHeight="1">
      <c r="A44" s="44" t="s">
        <v>11</v>
      </c>
      <c r="B44" s="44" t="s">
        <v>138</v>
      </c>
      <c r="C44" s="47" t="s">
        <v>50</v>
      </c>
      <c r="D44" s="47" t="s">
        <v>7</v>
      </c>
      <c r="E44" s="48">
        <v>10000</v>
      </c>
      <c r="F44" s="47" t="s">
        <v>2</v>
      </c>
      <c r="G44" s="44"/>
    </row>
    <row r="45" spans="1:7" ht="20.45" hidden="1" customHeight="1">
      <c r="A45" s="44" t="s">
        <v>11</v>
      </c>
      <c r="B45" s="44" t="s">
        <v>139</v>
      </c>
      <c r="C45" s="47" t="s">
        <v>50</v>
      </c>
      <c r="D45" s="47" t="s">
        <v>7</v>
      </c>
      <c r="E45" s="48">
        <v>15000</v>
      </c>
      <c r="F45" s="47" t="s">
        <v>2</v>
      </c>
      <c r="G45" s="44"/>
    </row>
    <row r="46" spans="1:7" ht="20.45" hidden="1" customHeight="1">
      <c r="A46" s="44" t="s">
        <v>11</v>
      </c>
      <c r="B46" s="44" t="s">
        <v>140</v>
      </c>
      <c r="C46" s="47" t="s">
        <v>50</v>
      </c>
      <c r="D46" s="47" t="s">
        <v>7</v>
      </c>
      <c r="E46" s="48">
        <v>15000</v>
      </c>
      <c r="F46" s="47" t="s">
        <v>2</v>
      </c>
      <c r="G46" s="44"/>
    </row>
    <row r="47" spans="1:7" ht="20.45" hidden="1" customHeight="1">
      <c r="A47" s="44" t="s">
        <v>11</v>
      </c>
      <c r="B47" s="44" t="s">
        <v>141</v>
      </c>
      <c r="C47" s="47" t="s">
        <v>50</v>
      </c>
      <c r="D47" s="47" t="s">
        <v>8</v>
      </c>
      <c r="E47" s="48">
        <v>30250</v>
      </c>
      <c r="F47" s="47" t="s">
        <v>2</v>
      </c>
      <c r="G47" s="44"/>
    </row>
    <row r="48" spans="1:7" ht="20.45" hidden="1" customHeight="1">
      <c r="A48" s="44" t="s">
        <v>11</v>
      </c>
      <c r="B48" s="44" t="s">
        <v>142</v>
      </c>
      <c r="C48" s="47" t="s">
        <v>50</v>
      </c>
      <c r="D48" s="47" t="s">
        <v>7</v>
      </c>
      <c r="E48" s="48">
        <v>15000</v>
      </c>
      <c r="F48" s="47" t="s">
        <v>2</v>
      </c>
      <c r="G48" s="44"/>
    </row>
    <row r="49" spans="1:7" ht="20.45" hidden="1" customHeight="1">
      <c r="A49" s="44" t="s">
        <v>11</v>
      </c>
      <c r="B49" s="44" t="s">
        <v>143</v>
      </c>
      <c r="C49" s="47" t="s">
        <v>50</v>
      </c>
      <c r="D49" s="47" t="s">
        <v>7</v>
      </c>
      <c r="E49" s="48">
        <v>20000</v>
      </c>
      <c r="F49" s="47" t="s">
        <v>2</v>
      </c>
      <c r="G49" s="44"/>
    </row>
    <row r="50" spans="1:7" ht="20.45" hidden="1" customHeight="1">
      <c r="A50" s="44" t="s">
        <v>11</v>
      </c>
      <c r="B50" s="44" t="s">
        <v>144</v>
      </c>
      <c r="C50" s="47" t="s">
        <v>50</v>
      </c>
      <c r="D50" s="47" t="s">
        <v>7</v>
      </c>
      <c r="E50" s="48">
        <v>15000</v>
      </c>
      <c r="F50" s="47" t="s">
        <v>2</v>
      </c>
      <c r="G50" s="44"/>
    </row>
    <row r="51" spans="1:7" ht="20.45" hidden="1" customHeight="1">
      <c r="A51" s="44" t="s">
        <v>11</v>
      </c>
      <c r="B51" s="44" t="s">
        <v>145</v>
      </c>
      <c r="C51" s="47" t="s">
        <v>50</v>
      </c>
      <c r="D51" s="47" t="s">
        <v>7</v>
      </c>
      <c r="E51" s="48">
        <v>8000</v>
      </c>
      <c r="F51" s="47" t="s">
        <v>2</v>
      </c>
      <c r="G51" s="44"/>
    </row>
    <row r="52" spans="1:7" ht="20.45" hidden="1" customHeight="1">
      <c r="A52" s="44" t="s">
        <v>11</v>
      </c>
      <c r="B52" s="44" t="s">
        <v>146</v>
      </c>
      <c r="C52" s="47" t="s">
        <v>50</v>
      </c>
      <c r="D52" s="47" t="s">
        <v>8</v>
      </c>
      <c r="E52" s="48">
        <v>13500</v>
      </c>
      <c r="F52" s="47" t="s">
        <v>2</v>
      </c>
      <c r="G52" s="44"/>
    </row>
    <row r="53" spans="1:7" ht="20.45" hidden="1" customHeight="1">
      <c r="A53" s="44" t="s">
        <v>11</v>
      </c>
      <c r="B53" s="44" t="s">
        <v>147</v>
      </c>
      <c r="C53" s="47" t="s">
        <v>50</v>
      </c>
      <c r="D53" s="47" t="s">
        <v>7</v>
      </c>
      <c r="E53" s="48">
        <v>25000</v>
      </c>
      <c r="F53" s="47" t="s">
        <v>2</v>
      </c>
      <c r="G53" s="44"/>
    </row>
    <row r="54" spans="1:7" ht="20.45" hidden="1" customHeight="1">
      <c r="A54" s="44" t="s">
        <v>11</v>
      </c>
      <c r="B54" s="44" t="s">
        <v>148</v>
      </c>
      <c r="C54" s="47" t="s">
        <v>50</v>
      </c>
      <c r="D54" s="47" t="s">
        <v>7</v>
      </c>
      <c r="E54" s="48">
        <v>15000</v>
      </c>
      <c r="F54" s="47" t="s">
        <v>2</v>
      </c>
      <c r="G54" s="44"/>
    </row>
    <row r="55" spans="1:7" ht="20.45" hidden="1" customHeight="1">
      <c r="A55" s="44" t="s">
        <v>11</v>
      </c>
      <c r="B55" s="44" t="s">
        <v>149</v>
      </c>
      <c r="C55" s="47" t="s">
        <v>50</v>
      </c>
      <c r="D55" s="47" t="s">
        <v>7</v>
      </c>
      <c r="E55" s="48">
        <v>12000</v>
      </c>
      <c r="F55" s="47" t="s">
        <v>2</v>
      </c>
      <c r="G55" s="44"/>
    </row>
    <row r="56" spans="1:7" ht="20.45" hidden="1" customHeight="1">
      <c r="A56" s="44" t="s">
        <v>11</v>
      </c>
      <c r="B56" s="44" t="s">
        <v>150</v>
      </c>
      <c r="C56" s="47" t="s">
        <v>50</v>
      </c>
      <c r="D56" s="47" t="s">
        <v>7</v>
      </c>
      <c r="E56" s="48">
        <v>7500</v>
      </c>
      <c r="F56" s="47" t="s">
        <v>2</v>
      </c>
      <c r="G56" s="44"/>
    </row>
    <row r="57" spans="1:7" ht="20.45" hidden="1" customHeight="1">
      <c r="A57" s="44" t="s">
        <v>11</v>
      </c>
      <c r="B57" s="44" t="s">
        <v>151</v>
      </c>
      <c r="C57" s="47" t="s">
        <v>50</v>
      </c>
      <c r="D57" s="47" t="s">
        <v>8</v>
      </c>
      <c r="E57" s="48">
        <v>48300</v>
      </c>
      <c r="F57" s="47" t="s">
        <v>2</v>
      </c>
      <c r="G57" s="44"/>
    </row>
    <row r="58" spans="1:7" ht="20.45" hidden="1" customHeight="1">
      <c r="A58" s="44" t="s">
        <v>11</v>
      </c>
      <c r="B58" s="44" t="s">
        <v>152</v>
      </c>
      <c r="C58" s="47" t="s">
        <v>50</v>
      </c>
      <c r="D58" s="47" t="s">
        <v>7</v>
      </c>
      <c r="E58" s="48">
        <v>3500</v>
      </c>
      <c r="F58" s="47" t="s">
        <v>2</v>
      </c>
      <c r="G58" s="44"/>
    </row>
    <row r="59" spans="1:7" ht="20.45" hidden="1" customHeight="1">
      <c r="A59" s="44" t="s">
        <v>11</v>
      </c>
      <c r="B59" s="44" t="s">
        <v>153</v>
      </c>
      <c r="C59" s="47" t="s">
        <v>50</v>
      </c>
      <c r="D59" s="47" t="s">
        <v>7</v>
      </c>
      <c r="E59" s="48">
        <v>15000</v>
      </c>
      <c r="F59" s="47" t="s">
        <v>2</v>
      </c>
      <c r="G59" s="44"/>
    </row>
    <row r="60" spans="1:7" ht="20.45" hidden="1" customHeight="1">
      <c r="A60" s="44" t="s">
        <v>11</v>
      </c>
      <c r="B60" s="44" t="s">
        <v>154</v>
      </c>
      <c r="C60" s="47" t="s">
        <v>50</v>
      </c>
      <c r="D60" s="47" t="s">
        <v>7</v>
      </c>
      <c r="E60" s="48">
        <v>94350</v>
      </c>
      <c r="F60" s="47" t="s">
        <v>2</v>
      </c>
      <c r="G60" s="44"/>
    </row>
    <row r="61" spans="1:7" ht="20.45" hidden="1" customHeight="1">
      <c r="A61" s="44" t="s">
        <v>11</v>
      </c>
      <c r="B61" s="44" t="s">
        <v>155</v>
      </c>
      <c r="C61" s="47" t="s">
        <v>50</v>
      </c>
      <c r="D61" s="47" t="s">
        <v>7</v>
      </c>
      <c r="E61" s="48">
        <v>1500</v>
      </c>
      <c r="F61" s="47" t="s">
        <v>2</v>
      </c>
      <c r="G61" s="44"/>
    </row>
    <row r="62" spans="1:7" ht="20.45" hidden="1" customHeight="1">
      <c r="A62" s="44" t="s">
        <v>11</v>
      </c>
      <c r="B62" s="44" t="s">
        <v>104</v>
      </c>
      <c r="C62" s="47" t="s">
        <v>50</v>
      </c>
      <c r="D62" s="47" t="s">
        <v>7</v>
      </c>
      <c r="E62" s="48">
        <v>18000</v>
      </c>
      <c r="F62" s="47" t="s">
        <v>2</v>
      </c>
      <c r="G62" s="44"/>
    </row>
    <row r="63" spans="1:7" ht="20.45" hidden="1" customHeight="1">
      <c r="A63" s="44" t="s">
        <v>11</v>
      </c>
      <c r="B63" s="44" t="s">
        <v>156</v>
      </c>
      <c r="C63" s="47" t="s">
        <v>50</v>
      </c>
      <c r="D63" s="47" t="s">
        <v>7</v>
      </c>
      <c r="E63" s="48">
        <v>9450</v>
      </c>
      <c r="F63" s="47" t="s">
        <v>2</v>
      </c>
      <c r="G63" s="44"/>
    </row>
    <row r="64" spans="1:7" ht="20.45" hidden="1" customHeight="1">
      <c r="A64" s="44" t="s">
        <v>11</v>
      </c>
      <c r="B64" s="44" t="s">
        <v>67</v>
      </c>
      <c r="C64" s="47" t="s">
        <v>50</v>
      </c>
      <c r="D64" s="47" t="s">
        <v>7</v>
      </c>
      <c r="E64" s="48">
        <v>20000</v>
      </c>
      <c r="F64" s="47" t="s">
        <v>2</v>
      </c>
      <c r="G64" s="44"/>
    </row>
    <row r="65" spans="1:7" ht="20.45" hidden="1" customHeight="1">
      <c r="A65" s="44" t="s">
        <v>11</v>
      </c>
      <c r="B65" s="44" t="s">
        <v>157</v>
      </c>
      <c r="C65" s="47" t="s">
        <v>50</v>
      </c>
      <c r="D65" s="47" t="s">
        <v>7</v>
      </c>
      <c r="E65" s="48">
        <v>15000</v>
      </c>
      <c r="F65" s="47" t="s">
        <v>2</v>
      </c>
      <c r="G65" s="44"/>
    </row>
    <row r="66" spans="1:7" ht="20.45" hidden="1" customHeight="1">
      <c r="A66" s="44" t="s">
        <v>11</v>
      </c>
      <c r="B66" s="44" t="s">
        <v>158</v>
      </c>
      <c r="C66" s="47" t="s">
        <v>50</v>
      </c>
      <c r="D66" s="47" t="s">
        <v>7</v>
      </c>
      <c r="E66" s="48">
        <v>7500</v>
      </c>
      <c r="F66" s="47" t="s">
        <v>2</v>
      </c>
      <c r="G66" s="44"/>
    </row>
    <row r="67" spans="1:7" ht="20.45" hidden="1" customHeight="1">
      <c r="A67" s="44" t="s">
        <v>11</v>
      </c>
      <c r="B67" s="44" t="s">
        <v>159</v>
      </c>
      <c r="C67" s="47" t="s">
        <v>50</v>
      </c>
      <c r="D67" s="47" t="s">
        <v>6</v>
      </c>
      <c r="E67" s="48">
        <v>15000</v>
      </c>
      <c r="F67" s="47" t="s">
        <v>2</v>
      </c>
      <c r="G67" s="44"/>
    </row>
    <row r="68" spans="1:7" ht="20.45" hidden="1" customHeight="1">
      <c r="A68" s="44" t="s">
        <v>11</v>
      </c>
      <c r="B68" s="44" t="s">
        <v>160</v>
      </c>
      <c r="C68" s="47" t="s">
        <v>50</v>
      </c>
      <c r="D68" s="47" t="s">
        <v>7</v>
      </c>
      <c r="E68" s="48">
        <v>5000</v>
      </c>
      <c r="F68" s="47" t="s">
        <v>2</v>
      </c>
      <c r="G68" s="44"/>
    </row>
    <row r="69" spans="1:7" ht="20.45" hidden="1" customHeight="1">
      <c r="A69" s="44" t="s">
        <v>11</v>
      </c>
      <c r="B69" s="44" t="s">
        <v>154</v>
      </c>
      <c r="C69" s="47" t="s">
        <v>50</v>
      </c>
      <c r="D69" s="47" t="s">
        <v>7</v>
      </c>
      <c r="E69" s="48">
        <v>94350</v>
      </c>
      <c r="F69" s="47" t="s">
        <v>2</v>
      </c>
      <c r="G69" s="44"/>
    </row>
    <row r="70" spans="1:7" ht="20.45" hidden="1" customHeight="1">
      <c r="A70" s="44" t="s">
        <v>11</v>
      </c>
      <c r="B70" s="44" t="s">
        <v>112</v>
      </c>
      <c r="C70" s="47" t="s">
        <v>50</v>
      </c>
      <c r="D70" s="47" t="s">
        <v>7</v>
      </c>
      <c r="E70" s="48">
        <v>20000</v>
      </c>
      <c r="F70" s="47" t="s">
        <v>2</v>
      </c>
      <c r="G70" s="44"/>
    </row>
    <row r="71" spans="1:7" ht="20.45" hidden="1" customHeight="1">
      <c r="A71" s="44" t="s">
        <v>11</v>
      </c>
      <c r="B71" s="44" t="s">
        <v>161</v>
      </c>
      <c r="C71" s="47" t="s">
        <v>50</v>
      </c>
      <c r="D71" s="47" t="s">
        <v>8</v>
      </c>
      <c r="E71" s="48">
        <v>42000</v>
      </c>
      <c r="F71" s="47" t="s">
        <v>2</v>
      </c>
      <c r="G71" s="44"/>
    </row>
    <row r="72" spans="1:7" ht="20.45" hidden="1" customHeight="1">
      <c r="A72" s="44" t="s">
        <v>11</v>
      </c>
      <c r="B72" s="44" t="s">
        <v>162</v>
      </c>
      <c r="C72" s="47" t="s">
        <v>50</v>
      </c>
      <c r="D72" s="47" t="s">
        <v>8</v>
      </c>
      <c r="E72" s="48">
        <v>30000</v>
      </c>
      <c r="F72" s="47" t="s">
        <v>3</v>
      </c>
      <c r="G72" s="44"/>
    </row>
    <row r="73" spans="1:7" ht="20.45" hidden="1" customHeight="1">
      <c r="A73" s="44" t="s">
        <v>11</v>
      </c>
      <c r="B73" s="44" t="s">
        <v>163</v>
      </c>
      <c r="C73" s="47" t="s">
        <v>50</v>
      </c>
      <c r="D73" s="47" t="s">
        <v>6</v>
      </c>
      <c r="E73" s="48">
        <v>15000</v>
      </c>
      <c r="F73" s="47" t="s">
        <v>3</v>
      </c>
      <c r="G73" s="44"/>
    </row>
    <row r="74" spans="1:7" ht="20.45" hidden="1" customHeight="1">
      <c r="A74" s="44" t="s">
        <v>11</v>
      </c>
      <c r="B74" s="44" t="s">
        <v>164</v>
      </c>
      <c r="C74" s="47" t="s">
        <v>50</v>
      </c>
      <c r="D74" s="47" t="s">
        <v>6</v>
      </c>
      <c r="E74" s="48">
        <v>35000</v>
      </c>
      <c r="F74" s="47" t="s">
        <v>3</v>
      </c>
      <c r="G74" s="44"/>
    </row>
    <row r="75" spans="1:7" ht="20.45" hidden="1" customHeight="1">
      <c r="A75" s="44" t="s">
        <v>11</v>
      </c>
      <c r="B75" s="44" t="s">
        <v>163</v>
      </c>
      <c r="C75" s="47" t="s">
        <v>50</v>
      </c>
      <c r="D75" s="47" t="s">
        <v>6</v>
      </c>
      <c r="E75" s="48">
        <v>15000</v>
      </c>
      <c r="F75" s="47" t="s">
        <v>3</v>
      </c>
      <c r="G75" s="44"/>
    </row>
    <row r="76" spans="1:7" ht="20.45" hidden="1" customHeight="1">
      <c r="A76" s="44" t="s">
        <v>11</v>
      </c>
      <c r="B76" s="44" t="s">
        <v>165</v>
      </c>
      <c r="C76" s="47" t="s">
        <v>50</v>
      </c>
      <c r="D76" s="47" t="s">
        <v>8</v>
      </c>
      <c r="E76" s="48">
        <v>10000</v>
      </c>
      <c r="F76" s="47" t="s">
        <v>3</v>
      </c>
      <c r="G76" s="44"/>
    </row>
    <row r="77" spans="1:7" ht="20.45" hidden="1" customHeight="1">
      <c r="A77" s="44" t="s">
        <v>11</v>
      </c>
      <c r="B77" s="44" t="s">
        <v>166</v>
      </c>
      <c r="C77" s="47" t="s">
        <v>50</v>
      </c>
      <c r="D77" s="47" t="s">
        <v>7</v>
      </c>
      <c r="E77" s="48">
        <v>15000</v>
      </c>
      <c r="F77" s="47" t="s">
        <v>3</v>
      </c>
      <c r="G77" s="44"/>
    </row>
    <row r="78" spans="1:7" ht="20.45" hidden="1" customHeight="1">
      <c r="A78" s="44" t="s">
        <v>11</v>
      </c>
      <c r="B78" s="44" t="s">
        <v>167</v>
      </c>
      <c r="C78" s="47" t="s">
        <v>50</v>
      </c>
      <c r="D78" s="47" t="s">
        <v>6</v>
      </c>
      <c r="E78" s="48">
        <f>30000</f>
        <v>30000</v>
      </c>
      <c r="F78" s="47" t="s">
        <v>4</v>
      </c>
      <c r="G78" s="44"/>
    </row>
    <row r="79" spans="1:7" ht="20.45" hidden="1" customHeight="1">
      <c r="A79" s="44" t="s">
        <v>11</v>
      </c>
      <c r="B79" s="44" t="s">
        <v>168</v>
      </c>
      <c r="C79" s="47" t="s">
        <v>50</v>
      </c>
      <c r="D79" s="47" t="s">
        <v>7</v>
      </c>
      <c r="E79" s="48">
        <v>10000</v>
      </c>
      <c r="F79" s="47" t="s">
        <v>4</v>
      </c>
      <c r="G79" s="44"/>
    </row>
    <row r="80" spans="1:7" ht="20.45" hidden="1" customHeight="1">
      <c r="A80" s="44" t="s">
        <v>11</v>
      </c>
      <c r="B80" s="44" t="s">
        <v>169</v>
      </c>
      <c r="C80" s="47" t="s">
        <v>50</v>
      </c>
      <c r="D80" s="47" t="s">
        <v>7</v>
      </c>
      <c r="E80" s="48">
        <v>15000</v>
      </c>
      <c r="F80" s="47" t="s">
        <v>4</v>
      </c>
      <c r="G80" s="44"/>
    </row>
    <row r="81" spans="1:7" ht="20.45" hidden="1" customHeight="1">
      <c r="A81" s="44" t="s">
        <v>11</v>
      </c>
      <c r="B81" s="44" t="s">
        <v>170</v>
      </c>
      <c r="C81" s="47" t="s">
        <v>50</v>
      </c>
      <c r="D81" s="47" t="s">
        <v>7</v>
      </c>
      <c r="E81" s="48">
        <v>10000</v>
      </c>
      <c r="F81" s="47" t="s">
        <v>4</v>
      </c>
      <c r="G81" s="44"/>
    </row>
    <row r="82" spans="1:7" ht="20.45" customHeight="1">
      <c r="A82" s="44" t="s">
        <v>11</v>
      </c>
      <c r="B82" s="44" t="s">
        <v>171</v>
      </c>
      <c r="C82" s="47" t="s">
        <v>50</v>
      </c>
      <c r="D82" s="47" t="s">
        <v>8</v>
      </c>
      <c r="E82" s="48">
        <v>118500</v>
      </c>
      <c r="F82" s="47" t="s">
        <v>4</v>
      </c>
      <c r="G82" s="44"/>
    </row>
    <row r="83" spans="1:7" ht="20.45" customHeight="1">
      <c r="A83" s="44" t="s">
        <v>11</v>
      </c>
      <c r="B83" s="44" t="s">
        <v>172</v>
      </c>
      <c r="C83" s="47" t="s">
        <v>50</v>
      </c>
      <c r="D83" s="47" t="s">
        <v>8</v>
      </c>
      <c r="E83" s="48">
        <v>150000</v>
      </c>
      <c r="F83" s="47" t="s">
        <v>4</v>
      </c>
      <c r="G83" s="44"/>
    </row>
    <row r="84" spans="1:7" ht="20.45" hidden="1" customHeight="1">
      <c r="A84" s="44" t="s">
        <v>11</v>
      </c>
      <c r="B84" s="44" t="s">
        <v>173</v>
      </c>
      <c r="C84" s="47" t="s">
        <v>50</v>
      </c>
      <c r="D84" s="47" t="s">
        <v>7</v>
      </c>
      <c r="E84" s="48">
        <f>8000+10000</f>
        <v>18000</v>
      </c>
      <c r="F84" s="47" t="s">
        <v>4</v>
      </c>
      <c r="G84" s="44"/>
    </row>
    <row r="85" spans="1:7" ht="20.45" hidden="1" customHeight="1">
      <c r="A85" s="44" t="s">
        <v>11</v>
      </c>
      <c r="B85" s="44" t="s">
        <v>174</v>
      </c>
      <c r="C85" s="47" t="s">
        <v>50</v>
      </c>
      <c r="D85" s="47" t="s">
        <v>7</v>
      </c>
      <c r="E85" s="48">
        <v>15000</v>
      </c>
      <c r="F85" s="47" t="s">
        <v>1</v>
      </c>
      <c r="G85" s="44"/>
    </row>
    <row r="86" spans="1:7" ht="20.45" hidden="1" customHeight="1">
      <c r="A86" s="44" t="s">
        <v>11</v>
      </c>
      <c r="B86" s="44" t="s">
        <v>175</v>
      </c>
      <c r="C86" s="47" t="s">
        <v>50</v>
      </c>
      <c r="D86" s="47" t="s">
        <v>6</v>
      </c>
      <c r="E86" s="48">
        <v>15000</v>
      </c>
      <c r="F86" s="47" t="s">
        <v>1</v>
      </c>
      <c r="G86" s="44"/>
    </row>
    <row r="87" spans="1:7" hidden="1">
      <c r="A87" s="44" t="s">
        <v>11</v>
      </c>
      <c r="B87" s="44" t="s">
        <v>151</v>
      </c>
      <c r="C87" s="47" t="s">
        <v>50</v>
      </c>
      <c r="D87" s="47" t="s">
        <v>8</v>
      </c>
      <c r="E87" s="48">
        <v>30000</v>
      </c>
      <c r="F87" s="47" t="s">
        <v>3</v>
      </c>
    </row>
    <row r="88" spans="1:7" hidden="1">
      <c r="A88" s="44" t="s">
        <v>11</v>
      </c>
      <c r="B88" s="44" t="s">
        <v>116</v>
      </c>
      <c r="C88" s="47" t="s">
        <v>50</v>
      </c>
      <c r="D88" s="47" t="s">
        <v>6</v>
      </c>
      <c r="E88" s="48">
        <v>22500</v>
      </c>
      <c r="F88" s="47" t="s">
        <v>3</v>
      </c>
    </row>
    <row r="89" spans="1:7" hidden="1">
      <c r="A89" s="44" t="s">
        <v>11</v>
      </c>
      <c r="B89" s="44" t="s">
        <v>237</v>
      </c>
      <c r="C89" s="47" t="s">
        <v>50</v>
      </c>
      <c r="D89" s="47" t="s">
        <v>6</v>
      </c>
      <c r="E89" s="48">
        <v>21750</v>
      </c>
      <c r="F89" s="47" t="s">
        <v>3</v>
      </c>
    </row>
    <row r="90" spans="1:7" hidden="1">
      <c r="A90" s="44" t="s">
        <v>11</v>
      </c>
      <c r="B90" s="44" t="s">
        <v>238</v>
      </c>
      <c r="C90" s="47" t="s">
        <v>50</v>
      </c>
      <c r="D90" s="47" t="s">
        <v>6</v>
      </c>
      <c r="E90" s="48">
        <v>5000</v>
      </c>
      <c r="F90" s="47" t="s">
        <v>3</v>
      </c>
    </row>
    <row r="91" spans="1:7" hidden="1">
      <c r="A91" s="44" t="s">
        <v>11</v>
      </c>
      <c r="B91" s="44" t="s">
        <v>239</v>
      </c>
      <c r="C91" s="47" t="s">
        <v>50</v>
      </c>
      <c r="D91" s="47" t="s">
        <v>6</v>
      </c>
      <c r="E91" s="48">
        <v>71241.02</v>
      </c>
      <c r="F91" s="47" t="s">
        <v>2</v>
      </c>
    </row>
    <row r="92" spans="1:7" hidden="1">
      <c r="A92" s="44" t="s">
        <v>11</v>
      </c>
      <c r="B92" s="44" t="s">
        <v>240</v>
      </c>
      <c r="C92" s="47" t="s">
        <v>50</v>
      </c>
      <c r="D92" s="47" t="s">
        <v>6</v>
      </c>
      <c r="E92" s="48">
        <v>28890</v>
      </c>
      <c r="F92" s="47" t="s">
        <v>2</v>
      </c>
    </row>
    <row r="93" spans="1:7" hidden="1">
      <c r="A93" s="44" t="s">
        <v>11</v>
      </c>
      <c r="B93" s="44" t="s">
        <v>241</v>
      </c>
      <c r="C93" s="47" t="s">
        <v>50</v>
      </c>
      <c r="D93" s="47" t="s">
        <v>6</v>
      </c>
      <c r="E93" s="48">
        <v>2336.5</v>
      </c>
      <c r="F93" s="47" t="s">
        <v>2</v>
      </c>
    </row>
    <row r="94" spans="1:7" hidden="1">
      <c r="A94" s="44" t="s">
        <v>11</v>
      </c>
      <c r="B94" s="44" t="s">
        <v>242</v>
      </c>
      <c r="C94" s="47" t="s">
        <v>50</v>
      </c>
      <c r="D94" s="47" t="s">
        <v>6</v>
      </c>
      <c r="E94" s="48">
        <v>9750</v>
      </c>
      <c r="F94" s="47" t="s">
        <v>2</v>
      </c>
    </row>
    <row r="95" spans="1:7" hidden="1">
      <c r="A95" s="44" t="s">
        <v>11</v>
      </c>
      <c r="B95" s="44" t="s">
        <v>243</v>
      </c>
      <c r="C95" s="47" t="s">
        <v>50</v>
      </c>
      <c r="D95" s="47" t="s">
        <v>6</v>
      </c>
      <c r="E95" s="48">
        <v>2336.5</v>
      </c>
      <c r="F95" s="47" t="s">
        <v>2</v>
      </c>
    </row>
    <row r="96" spans="1:7" hidden="1">
      <c r="A96" s="44" t="s">
        <v>11</v>
      </c>
      <c r="B96" s="44" t="s">
        <v>244</v>
      </c>
      <c r="C96" s="47" t="s">
        <v>50</v>
      </c>
      <c r="D96" s="47" t="s">
        <v>6</v>
      </c>
      <c r="E96" s="48">
        <v>2850</v>
      </c>
      <c r="F96" s="47" t="s">
        <v>2</v>
      </c>
    </row>
    <row r="97" spans="1:6" hidden="1">
      <c r="A97" s="44" t="s">
        <v>11</v>
      </c>
      <c r="B97" s="44" t="s">
        <v>122</v>
      </c>
      <c r="C97" s="47" t="s">
        <v>50</v>
      </c>
      <c r="D97" s="47" t="s">
        <v>6</v>
      </c>
      <c r="E97" s="48">
        <v>8850</v>
      </c>
      <c r="F97" s="47" t="s">
        <v>2</v>
      </c>
    </row>
    <row r="98" spans="1:6" hidden="1">
      <c r="A98" s="44" t="s">
        <v>11</v>
      </c>
      <c r="B98" s="44" t="s">
        <v>245</v>
      </c>
      <c r="C98" s="47" t="s">
        <v>50</v>
      </c>
      <c r="D98" s="47" t="s">
        <v>6</v>
      </c>
      <c r="E98" s="48">
        <v>7020</v>
      </c>
      <c r="F98" s="47" t="s">
        <v>2</v>
      </c>
    </row>
    <row r="99" spans="1:6" hidden="1">
      <c r="A99" s="44" t="s">
        <v>11</v>
      </c>
      <c r="B99" s="44" t="s">
        <v>246</v>
      </c>
      <c r="C99" s="47" t="s">
        <v>50</v>
      </c>
      <c r="D99" s="47" t="s">
        <v>6</v>
      </c>
      <c r="E99" s="48">
        <v>648750</v>
      </c>
      <c r="F99" s="47" t="s">
        <v>2</v>
      </c>
    </row>
    <row r="100" spans="1:6" hidden="1">
      <c r="A100" s="44" t="s">
        <v>11</v>
      </c>
      <c r="B100" s="44" t="s">
        <v>146</v>
      </c>
      <c r="C100" s="47" t="s">
        <v>50</v>
      </c>
      <c r="D100" s="47" t="s">
        <v>6</v>
      </c>
      <c r="E100" s="48">
        <v>13500</v>
      </c>
      <c r="F100" s="47" t="s">
        <v>2</v>
      </c>
    </row>
    <row r="101" spans="1:6" hidden="1">
      <c r="A101" s="44" t="s">
        <v>11</v>
      </c>
      <c r="B101" s="44" t="s">
        <v>247</v>
      </c>
      <c r="C101" s="47" t="s">
        <v>50</v>
      </c>
      <c r="D101" s="47" t="s">
        <v>6</v>
      </c>
      <c r="E101" s="48">
        <v>250500</v>
      </c>
      <c r="F101" s="47" t="s">
        <v>2</v>
      </c>
    </row>
    <row r="102" spans="1:6" hidden="1">
      <c r="A102" s="44" t="s">
        <v>11</v>
      </c>
      <c r="B102" s="44" t="s">
        <v>248</v>
      </c>
      <c r="C102" s="47" t="s">
        <v>50</v>
      </c>
      <c r="D102" s="47" t="s">
        <v>6</v>
      </c>
      <c r="E102" s="48">
        <v>33450</v>
      </c>
      <c r="F102" s="47" t="s">
        <v>2</v>
      </c>
    </row>
    <row r="103" spans="1:6" hidden="1">
      <c r="A103" s="44" t="s">
        <v>11</v>
      </c>
      <c r="B103" s="44" t="s">
        <v>249</v>
      </c>
      <c r="C103" s="47" t="s">
        <v>50</v>
      </c>
      <c r="D103" s="47" t="s">
        <v>6</v>
      </c>
      <c r="E103" s="48">
        <v>9450</v>
      </c>
      <c r="F103" s="47" t="s">
        <v>2</v>
      </c>
    </row>
    <row r="104" spans="1:6" hidden="1">
      <c r="A104" s="44" t="s">
        <v>11</v>
      </c>
      <c r="B104" s="44" t="s">
        <v>250</v>
      </c>
      <c r="C104" s="47" t="s">
        <v>50</v>
      </c>
      <c r="D104" s="47" t="s">
        <v>6</v>
      </c>
      <c r="E104" s="48">
        <v>10140</v>
      </c>
      <c r="F104" s="47" t="s">
        <v>2</v>
      </c>
    </row>
    <row r="105" spans="1:6" hidden="1">
      <c r="A105" s="44" t="s">
        <v>11</v>
      </c>
      <c r="B105" s="44" t="s">
        <v>161</v>
      </c>
      <c r="C105" s="47" t="s">
        <v>50</v>
      </c>
      <c r="D105" s="47" t="s">
        <v>6</v>
      </c>
      <c r="E105" s="48">
        <v>66000</v>
      </c>
      <c r="F105" s="47" t="s">
        <v>2</v>
      </c>
    </row>
    <row r="106" spans="1:6" hidden="1">
      <c r="A106" s="44" t="s">
        <v>11</v>
      </c>
      <c r="B106" s="44" t="s">
        <v>251</v>
      </c>
      <c r="C106" s="47" t="s">
        <v>50</v>
      </c>
      <c r="D106" s="47" t="s">
        <v>6</v>
      </c>
      <c r="E106" s="48">
        <v>37709.379999999997</v>
      </c>
      <c r="F106" s="47" t="s">
        <v>2</v>
      </c>
    </row>
    <row r="107" spans="1:6" hidden="1">
      <c r="A107" s="44" t="s">
        <v>11</v>
      </c>
      <c r="B107" s="44" t="s">
        <v>252</v>
      </c>
      <c r="C107" s="47" t="s">
        <v>50</v>
      </c>
      <c r="D107" s="47" t="s">
        <v>6</v>
      </c>
      <c r="E107" s="48">
        <v>13500</v>
      </c>
      <c r="F107" s="47" t="s">
        <v>2</v>
      </c>
    </row>
    <row r="108" spans="1:6" hidden="1">
      <c r="A108" s="44" t="s">
        <v>11</v>
      </c>
      <c r="B108" s="44" t="s">
        <v>141</v>
      </c>
      <c r="C108" s="47" t="s">
        <v>50</v>
      </c>
      <c r="D108" s="47" t="s">
        <v>6</v>
      </c>
      <c r="E108" s="48">
        <v>19350</v>
      </c>
      <c r="F108" s="47" t="s">
        <v>2</v>
      </c>
    </row>
    <row r="109" spans="1:6" hidden="1">
      <c r="A109" s="44" t="s">
        <v>11</v>
      </c>
      <c r="B109" s="44" t="s">
        <v>253</v>
      </c>
      <c r="C109" s="47" t="s">
        <v>50</v>
      </c>
      <c r="D109" s="47" t="s">
        <v>6</v>
      </c>
      <c r="E109" s="48">
        <v>12037.5</v>
      </c>
      <c r="F109" s="47" t="s">
        <v>2</v>
      </c>
    </row>
    <row r="110" spans="1:6" hidden="1">
      <c r="A110" s="44" t="s">
        <v>11</v>
      </c>
      <c r="B110" s="44" t="s">
        <v>254</v>
      </c>
      <c r="C110" s="47" t="s">
        <v>50</v>
      </c>
      <c r="D110" s="47" t="s">
        <v>6</v>
      </c>
      <c r="E110" s="48">
        <v>9937.5</v>
      </c>
      <c r="F110" s="47" t="s">
        <v>2</v>
      </c>
    </row>
    <row r="111" spans="1:6" hidden="1">
      <c r="A111" s="44" t="s">
        <v>11</v>
      </c>
      <c r="B111" s="44" t="s">
        <v>255</v>
      </c>
      <c r="C111" s="47" t="s">
        <v>50</v>
      </c>
      <c r="D111" s="47" t="s">
        <v>6</v>
      </c>
      <c r="E111" s="48">
        <v>262637.5</v>
      </c>
      <c r="F111" s="47" t="s">
        <v>2</v>
      </c>
    </row>
    <row r="112" spans="1:6" hidden="1">
      <c r="A112" s="44" t="s">
        <v>11</v>
      </c>
      <c r="B112" s="44" t="s">
        <v>256</v>
      </c>
      <c r="C112" s="47" t="s">
        <v>50</v>
      </c>
      <c r="D112" s="47" t="s">
        <v>6</v>
      </c>
      <c r="E112" s="48">
        <v>9975</v>
      </c>
      <c r="F112" s="47" t="s">
        <v>2</v>
      </c>
    </row>
    <row r="113" spans="1:6" hidden="1">
      <c r="A113" s="44" t="s">
        <v>11</v>
      </c>
      <c r="B113" s="44" t="s">
        <v>151</v>
      </c>
      <c r="C113" s="47" t="s">
        <v>50</v>
      </c>
      <c r="D113" s="47" t="s">
        <v>6</v>
      </c>
      <c r="E113" s="48">
        <v>34800</v>
      </c>
      <c r="F113" s="47" t="s">
        <v>3</v>
      </c>
    </row>
    <row r="114" spans="1:6" hidden="1">
      <c r="A114" s="44" t="s">
        <v>11</v>
      </c>
      <c r="B114" s="44" t="s">
        <v>257</v>
      </c>
      <c r="C114" s="47" t="s">
        <v>50</v>
      </c>
      <c r="D114" s="47" t="s">
        <v>6</v>
      </c>
      <c r="E114" s="48">
        <v>20250</v>
      </c>
      <c r="F114" s="47" t="s">
        <v>3</v>
      </c>
    </row>
    <row r="115" spans="1:6" hidden="1">
      <c r="A115" s="44" t="s">
        <v>11</v>
      </c>
      <c r="B115" s="44" t="s">
        <v>258</v>
      </c>
      <c r="C115" s="47" t="s">
        <v>50</v>
      </c>
      <c r="D115" s="47" t="s">
        <v>6</v>
      </c>
      <c r="E115" s="48">
        <v>6750</v>
      </c>
      <c r="F115" s="47" t="s">
        <v>3</v>
      </c>
    </row>
    <row r="116" spans="1:6" hidden="1">
      <c r="A116" s="44" t="s">
        <v>11</v>
      </c>
      <c r="B116" s="44" t="s">
        <v>259</v>
      </c>
      <c r="C116" s="47" t="s">
        <v>50</v>
      </c>
      <c r="D116" s="47" t="s">
        <v>6</v>
      </c>
      <c r="E116" s="48">
        <v>4500</v>
      </c>
      <c r="F116" s="47" t="s">
        <v>3</v>
      </c>
    </row>
    <row r="117" spans="1:6" hidden="1">
      <c r="A117" s="44" t="s">
        <v>11</v>
      </c>
      <c r="B117" s="44" t="s">
        <v>260</v>
      </c>
      <c r="C117" s="47" t="s">
        <v>50</v>
      </c>
      <c r="D117" s="47" t="s">
        <v>6</v>
      </c>
      <c r="E117" s="48">
        <v>4725</v>
      </c>
      <c r="F117" s="47" t="s">
        <v>3</v>
      </c>
    </row>
    <row r="118" spans="1:6" hidden="1">
      <c r="A118" s="44" t="s">
        <v>11</v>
      </c>
      <c r="B118" s="44" t="s">
        <v>261</v>
      </c>
      <c r="C118" s="47" t="s">
        <v>50</v>
      </c>
      <c r="D118" s="47" t="s">
        <v>6</v>
      </c>
      <c r="E118" s="48">
        <v>11250</v>
      </c>
      <c r="F118" s="47" t="s">
        <v>3</v>
      </c>
    </row>
    <row r="119" spans="1:6" hidden="1">
      <c r="A119" s="44" t="s">
        <v>11</v>
      </c>
      <c r="B119" s="44" t="s">
        <v>262</v>
      </c>
      <c r="C119" s="47" t="s">
        <v>50</v>
      </c>
      <c r="D119" s="47" t="s">
        <v>6</v>
      </c>
      <c r="E119" s="48">
        <v>17735.25</v>
      </c>
      <c r="F119" s="47" t="s">
        <v>3</v>
      </c>
    </row>
    <row r="120" spans="1:6" hidden="1">
      <c r="A120" s="44" t="s">
        <v>11</v>
      </c>
      <c r="B120" s="44" t="s">
        <v>263</v>
      </c>
      <c r="C120" s="47" t="s">
        <v>50</v>
      </c>
      <c r="D120" s="47" t="s">
        <v>6</v>
      </c>
      <c r="E120" s="48">
        <v>1900</v>
      </c>
      <c r="F120" s="47" t="s">
        <v>3</v>
      </c>
    </row>
    <row r="121" spans="1:6" hidden="1">
      <c r="A121" s="44" t="s">
        <v>11</v>
      </c>
      <c r="B121" s="44" t="s">
        <v>134</v>
      </c>
      <c r="C121" s="47" t="s">
        <v>50</v>
      </c>
      <c r="D121" s="47" t="s">
        <v>6</v>
      </c>
      <c r="E121" s="48">
        <v>21827.743199999997</v>
      </c>
      <c r="F121" s="47" t="s">
        <v>3</v>
      </c>
    </row>
    <row r="122" spans="1:6" hidden="1">
      <c r="A122" s="44" t="s">
        <v>11</v>
      </c>
      <c r="B122" s="44" t="s">
        <v>264</v>
      </c>
      <c r="C122" s="47" t="s">
        <v>50</v>
      </c>
      <c r="D122" s="47" t="s">
        <v>6</v>
      </c>
      <c r="E122" s="48">
        <v>14850</v>
      </c>
      <c r="F122" s="47" t="s">
        <v>3</v>
      </c>
    </row>
    <row r="123" spans="1:6" hidden="1">
      <c r="A123" s="44" t="s">
        <v>11</v>
      </c>
      <c r="B123" s="44" t="s">
        <v>265</v>
      </c>
      <c r="C123" s="47" t="s">
        <v>50</v>
      </c>
      <c r="D123" s="47" t="s">
        <v>6</v>
      </c>
      <c r="E123" s="48">
        <v>34200</v>
      </c>
      <c r="F123" s="47" t="s">
        <v>3</v>
      </c>
    </row>
    <row r="124" spans="1:6" hidden="1">
      <c r="A124" s="44" t="s">
        <v>11</v>
      </c>
      <c r="B124" s="44" t="s">
        <v>266</v>
      </c>
      <c r="C124" s="47" t="s">
        <v>50</v>
      </c>
      <c r="D124" s="47" t="s">
        <v>6</v>
      </c>
      <c r="E124" s="48">
        <v>36450</v>
      </c>
      <c r="F124" s="47" t="s">
        <v>3</v>
      </c>
    </row>
    <row r="125" spans="1:6" hidden="1">
      <c r="A125" s="44" t="s">
        <v>11</v>
      </c>
      <c r="B125" s="44" t="s">
        <v>267</v>
      </c>
      <c r="C125" s="47" t="s">
        <v>50</v>
      </c>
      <c r="D125" s="47" t="s">
        <v>6</v>
      </c>
      <c r="E125" s="48">
        <v>4725</v>
      </c>
      <c r="F125" s="47" t="s">
        <v>3</v>
      </c>
    </row>
    <row r="126" spans="1:6" hidden="1">
      <c r="A126" s="44" t="s">
        <v>11</v>
      </c>
      <c r="B126" s="44" t="s">
        <v>268</v>
      </c>
      <c r="C126" s="47" t="s">
        <v>50</v>
      </c>
      <c r="D126" s="47" t="s">
        <v>6</v>
      </c>
      <c r="E126" s="48">
        <v>20399.760000000002</v>
      </c>
      <c r="F126" s="47" t="s">
        <v>3</v>
      </c>
    </row>
    <row r="127" spans="1:6" hidden="1">
      <c r="A127" s="44" t="s">
        <v>11</v>
      </c>
      <c r="B127" s="44" t="s">
        <v>269</v>
      </c>
      <c r="C127" s="47" t="s">
        <v>50</v>
      </c>
      <c r="D127" s="47" t="s">
        <v>6</v>
      </c>
      <c r="E127" s="48">
        <v>9000</v>
      </c>
      <c r="F127" s="47" t="s">
        <v>3</v>
      </c>
    </row>
    <row r="128" spans="1:6" hidden="1">
      <c r="A128" s="44" t="s">
        <v>11</v>
      </c>
      <c r="B128" s="44" t="s">
        <v>270</v>
      </c>
      <c r="C128" s="47" t="s">
        <v>50</v>
      </c>
      <c r="D128" s="47" t="s">
        <v>6</v>
      </c>
      <c r="E128" s="48">
        <v>2320.7249999999999</v>
      </c>
      <c r="F128" s="47" t="s">
        <v>3</v>
      </c>
    </row>
    <row r="129" spans="1:8" hidden="1">
      <c r="A129" s="44" t="s">
        <v>11</v>
      </c>
      <c r="B129" s="44" t="s">
        <v>271</v>
      </c>
      <c r="C129" s="47" t="s">
        <v>50</v>
      </c>
      <c r="D129" s="47" t="s">
        <v>6</v>
      </c>
      <c r="E129" s="48">
        <v>2500</v>
      </c>
      <c r="F129" s="47" t="s">
        <v>3</v>
      </c>
    </row>
    <row r="130" spans="1:8" hidden="1">
      <c r="A130" s="44" t="s">
        <v>11</v>
      </c>
      <c r="B130" s="44" t="s">
        <v>272</v>
      </c>
      <c r="C130" s="47" t="s">
        <v>50</v>
      </c>
      <c r="D130" s="47" t="s">
        <v>6</v>
      </c>
      <c r="E130" s="48">
        <v>15553.125</v>
      </c>
      <c r="F130" s="47" t="s">
        <v>3</v>
      </c>
    </row>
    <row r="131" spans="1:8" hidden="1">
      <c r="A131" s="44" t="s">
        <v>11</v>
      </c>
      <c r="B131" s="44" t="s">
        <v>273</v>
      </c>
      <c r="C131" s="47" t="s">
        <v>50</v>
      </c>
      <c r="D131" s="47" t="s">
        <v>6</v>
      </c>
      <c r="E131" s="48">
        <v>9506.25</v>
      </c>
      <c r="F131" s="47" t="s">
        <v>3</v>
      </c>
    </row>
    <row r="132" spans="1:8" hidden="1">
      <c r="A132" s="44" t="s">
        <v>11</v>
      </c>
      <c r="B132" s="44" t="s">
        <v>274</v>
      </c>
      <c r="C132" s="47" t="s">
        <v>50</v>
      </c>
      <c r="D132" s="47" t="s">
        <v>6</v>
      </c>
      <c r="E132" s="48">
        <v>41250</v>
      </c>
      <c r="F132" s="47" t="s">
        <v>3</v>
      </c>
    </row>
    <row r="133" spans="1:8" hidden="1">
      <c r="A133" s="44" t="s">
        <v>11</v>
      </c>
      <c r="B133" s="44" t="s">
        <v>275</v>
      </c>
      <c r="C133" s="47" t="s">
        <v>50</v>
      </c>
      <c r="D133" s="47" t="s">
        <v>6</v>
      </c>
      <c r="E133" s="48">
        <v>5250</v>
      </c>
      <c r="F133" s="47" t="s">
        <v>3</v>
      </c>
    </row>
    <row r="134" spans="1:8" hidden="1">
      <c r="A134" s="44" t="s">
        <v>11</v>
      </c>
      <c r="B134" s="44" t="s">
        <v>276</v>
      </c>
      <c r="C134" s="47" t="s">
        <v>50</v>
      </c>
      <c r="D134" s="47" t="s">
        <v>6</v>
      </c>
      <c r="E134" s="48">
        <v>17825</v>
      </c>
      <c r="F134" s="47" t="s">
        <v>3</v>
      </c>
    </row>
    <row r="135" spans="1:8" hidden="1">
      <c r="A135" s="44" t="s">
        <v>11</v>
      </c>
      <c r="B135" s="44" t="s">
        <v>277</v>
      </c>
      <c r="C135" s="47" t="s">
        <v>50</v>
      </c>
      <c r="D135" s="47" t="s">
        <v>6</v>
      </c>
      <c r="E135" s="48">
        <v>10500</v>
      </c>
      <c r="F135" s="47" t="s">
        <v>3</v>
      </c>
    </row>
    <row r="136" spans="1:8" hidden="1">
      <c r="A136" s="44" t="s">
        <v>11</v>
      </c>
      <c r="B136" s="44" t="s">
        <v>278</v>
      </c>
      <c r="C136" s="47" t="s">
        <v>50</v>
      </c>
      <c r="D136" s="47" t="s">
        <v>6</v>
      </c>
      <c r="E136" s="48">
        <v>23540</v>
      </c>
      <c r="F136" s="47" t="s">
        <v>3</v>
      </c>
    </row>
    <row r="137" spans="1:8" hidden="1">
      <c r="A137" s="44" t="s">
        <v>11</v>
      </c>
      <c r="B137" s="44" t="s">
        <v>279</v>
      </c>
      <c r="C137" s="47" t="s">
        <v>50</v>
      </c>
      <c r="D137" s="47" t="s">
        <v>6</v>
      </c>
      <c r="E137" s="48">
        <v>100000</v>
      </c>
      <c r="F137" s="47" t="s">
        <v>4</v>
      </c>
    </row>
    <row r="138" spans="1:8">
      <c r="F138" s="47"/>
    </row>
    <row r="139" spans="1:8">
      <c r="F139" s="47"/>
    </row>
    <row r="140" spans="1:8">
      <c r="C140" s="13" t="s">
        <v>20</v>
      </c>
      <c r="D140" s="13" t="s">
        <v>2</v>
      </c>
      <c r="E140" s="13" t="s">
        <v>3</v>
      </c>
      <c r="F140" s="13" t="s">
        <v>4</v>
      </c>
      <c r="G140" s="13" t="s">
        <v>1</v>
      </c>
      <c r="H140" s="97" t="s">
        <v>0</v>
      </c>
    </row>
    <row r="141" spans="1:8">
      <c r="C141" s="7" t="s">
        <v>6</v>
      </c>
      <c r="D141" s="90">
        <f>E112+E111+E110+E109+E108+E107+E106+E105+E104+E103+E102+E101+E100+E99+E98+E97+E96+E95+E94+E93+E92+E91+E67+E3</f>
        <v>1574610.9</v>
      </c>
      <c r="E141" s="41">
        <f>E136+E135+E134+E133+E131+E132+E130+E129+E128+E127+E126+E125+E124+E123+E122+E121+E120+E119+E118+E117+E116+E115+E114+E113+E90+E89+E88+E75+E74+E73+E4</f>
        <v>515257.85320000001</v>
      </c>
      <c r="F141" s="41">
        <f>E5+E7+E8+E9+E78+E137</f>
        <v>2549600</v>
      </c>
      <c r="G141" s="41">
        <f>E6+E10+E86</f>
        <v>944400</v>
      </c>
      <c r="H141" s="153">
        <f>SUM(D141:G141)</f>
        <v>5583868.7532000002</v>
      </c>
    </row>
    <row r="142" spans="1:8">
      <c r="C142" s="7" t="s">
        <v>7</v>
      </c>
      <c r="D142" s="90">
        <f>E70+E69+E68+E66+E65+E64+E63+E62+E61+E60+E59+E58+E56+E55+E54+E53+E51+E50+E49+E48+E46+E45+E44+E43+E42+E41+E40+E39+E38+E36+E35+E34+E33+E32+E31+E30+E29+E28+E27+E26+E25+E24+E22+E20+E19+E18+E17+E16+E15+E14+E13+E12+E11</f>
        <v>1304353</v>
      </c>
      <c r="E142" s="41">
        <f>E77</f>
        <v>15000</v>
      </c>
      <c r="F142" s="150">
        <f>E84+E81+E80+E79</f>
        <v>53000</v>
      </c>
      <c r="G142" s="41">
        <f>E85</f>
        <v>15000</v>
      </c>
      <c r="H142" s="153">
        <f t="shared" ref="H142:H143" si="0">SUM(D142:G142)</f>
        <v>1387353</v>
      </c>
    </row>
    <row r="143" spans="1:8">
      <c r="C143" s="7" t="s">
        <v>8</v>
      </c>
      <c r="D143" s="90">
        <f>E21+E23+E37+E47+E52+E57+E71</f>
        <v>294050</v>
      </c>
      <c r="E143" s="41">
        <f>E72+E76+E87</f>
        <v>70000</v>
      </c>
      <c r="F143" s="150">
        <f>E82+E83</f>
        <v>268500</v>
      </c>
      <c r="G143" s="150"/>
      <c r="H143" s="153">
        <f t="shared" si="0"/>
        <v>632550</v>
      </c>
    </row>
    <row r="144" spans="1:8">
      <c r="C144" s="7" t="s">
        <v>9</v>
      </c>
      <c r="D144" s="90"/>
      <c r="E144" s="41"/>
      <c r="F144" s="7"/>
      <c r="H144" s="154"/>
    </row>
    <row r="145" spans="3:8">
      <c r="C145" s="95" t="s">
        <v>0</v>
      </c>
      <c r="D145" s="152">
        <f>SUM(D141:D144)</f>
        <v>3173013.9</v>
      </c>
      <c r="E145" s="152">
        <f>SUM(E141:E144)</f>
        <v>600257.85320000001</v>
      </c>
      <c r="F145" s="152">
        <f t="shared" ref="F145:G145" si="1">SUM(F141:F144)</f>
        <v>2871100</v>
      </c>
      <c r="G145" s="152">
        <f t="shared" si="1"/>
        <v>959400</v>
      </c>
      <c r="H145" s="152">
        <f>SUM(H141:H144)</f>
        <v>7603771.7532000002</v>
      </c>
    </row>
  </sheetData>
  <autoFilter ref="A2:G137" xr:uid="{2AF75964-46E0-F244-9EEC-AF996FE7025B}">
    <filterColumn colId="3">
      <filters>
        <filter val="Digital Devices"/>
      </filters>
    </filterColumn>
    <filterColumn colId="5">
      <filters>
        <filter val="Q3"/>
      </filters>
    </filterColumn>
  </autoFilter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55034C-2F96-0D43-BABE-9866E22CB9AD}">
          <x14:formula1>
            <xm:f>'Period- Product Cat'!$C$1:$C$6</xm:f>
          </x14:formula1>
          <xm:sqref>A142:A226</xm:sqref>
        </x14:dataValidation>
        <x14:dataValidation type="list" allowBlank="1" showInputMessage="1" showErrorMessage="1" xr:uid="{2C2BC582-6FEB-7F47-8798-0EBC713E490D}">
          <x14:formula1>
            <xm:f>'Period- Product Cat'!$A$1:$A$4</xm:f>
          </x14:formula1>
          <xm:sqref>F146:F230 E140</xm:sqref>
        </x14:dataValidation>
        <x14:dataValidation type="list" allowBlank="1" showInputMessage="1" showErrorMessage="1" xr:uid="{EEB3033C-99A2-4D55-9B0A-8A289F9EAD21}">
          <x14:formula1>
            <xm:f>'Period- Product Cat'!$B$1:$B$4</xm:f>
          </x14:formula1>
          <xm:sqref>C140:C145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D15-837B-7F4B-8E4F-F189A8DE8434}">
  <sheetPr codeName="Sheet9" filterMode="1">
    <tabColor theme="9"/>
  </sheetPr>
  <dimension ref="A1:H110"/>
  <sheetViews>
    <sheetView topLeftCell="C1" zoomScale="80" zoomScaleNormal="80" workbookViewId="0">
      <pane ySplit="2" topLeftCell="A3" activePane="bottomLeft" state="frozen"/>
      <selection pane="bottomLeft" activeCell="H19" sqref="H19"/>
    </sheetView>
  </sheetViews>
  <sheetFormatPr defaultColWidth="28.85546875" defaultRowHeight="18"/>
  <cols>
    <col min="1" max="1" width="16.5703125" style="7" customWidth="1"/>
    <col min="2" max="2" width="77.85546875" style="7" customWidth="1"/>
    <col min="3" max="3" width="34.140625" style="7" customWidth="1"/>
    <col min="4" max="4" width="28.85546875" style="14"/>
    <col min="5" max="5" width="28.85546875" style="7"/>
    <col min="6" max="6" width="24.42578125" style="14" customWidth="1"/>
    <col min="7" max="7" width="23.140625" style="7" customWidth="1"/>
    <col min="8" max="16384" width="28.85546875" style="7"/>
  </cols>
  <sheetData>
    <row r="1" spans="1:7" s="15" customFormat="1" ht="26.45" customHeight="1">
      <c r="A1" s="15" t="s">
        <v>26</v>
      </c>
      <c r="C1" s="37" t="s">
        <v>43</v>
      </c>
      <c r="D1" s="38">
        <f>'Target Total  '!L18</f>
        <v>22500000</v>
      </c>
      <c r="E1" s="33" t="s">
        <v>96</v>
      </c>
      <c r="F1" s="39">
        <f>SUM(E3:E102)</f>
        <v>25847994.865000002</v>
      </c>
      <c r="G1" s="36">
        <f>F1-D1</f>
        <v>3347994.8650000021</v>
      </c>
    </row>
    <row r="2" spans="1:7" s="13" customFormat="1" ht="20.100000000000001" customHeight="1">
      <c r="A2" s="12" t="s">
        <v>18</v>
      </c>
      <c r="B2" s="12" t="s">
        <v>19</v>
      </c>
      <c r="C2" s="32" t="s">
        <v>51</v>
      </c>
      <c r="D2" s="12" t="s">
        <v>20</v>
      </c>
      <c r="E2" s="12" t="s">
        <v>22</v>
      </c>
      <c r="F2" s="32" t="s">
        <v>23</v>
      </c>
      <c r="G2" s="12" t="s">
        <v>25</v>
      </c>
    </row>
    <row r="3" spans="1:7" ht="26.45" customHeight="1">
      <c r="A3" s="51" t="s">
        <v>12</v>
      </c>
      <c r="B3" s="49" t="s">
        <v>49</v>
      </c>
      <c r="C3" s="61" t="s">
        <v>50</v>
      </c>
      <c r="D3" s="61" t="s">
        <v>6</v>
      </c>
      <c r="E3" s="50">
        <v>54000</v>
      </c>
      <c r="F3" s="47" t="s">
        <v>2</v>
      </c>
      <c r="G3" s="51"/>
    </row>
    <row r="4" spans="1:7" ht="26.45" hidden="1" customHeight="1">
      <c r="A4" s="51" t="s">
        <v>12</v>
      </c>
      <c r="B4" s="49" t="s">
        <v>49</v>
      </c>
      <c r="C4" s="61" t="s">
        <v>50</v>
      </c>
      <c r="D4" s="61" t="s">
        <v>8</v>
      </c>
      <c r="E4" s="50">
        <v>113483.5</v>
      </c>
      <c r="F4" s="47" t="s">
        <v>2</v>
      </c>
      <c r="G4" s="51"/>
    </row>
    <row r="5" spans="1:7" ht="26.45" hidden="1" customHeight="1">
      <c r="A5" s="51" t="s">
        <v>12</v>
      </c>
      <c r="B5" s="49" t="s">
        <v>49</v>
      </c>
      <c r="C5" s="61" t="s">
        <v>50</v>
      </c>
      <c r="D5" s="61" t="s">
        <v>7</v>
      </c>
      <c r="E5" s="50">
        <v>30000</v>
      </c>
      <c r="F5" s="47" t="s">
        <v>2</v>
      </c>
      <c r="G5" s="51"/>
    </row>
    <row r="6" spans="1:7" ht="26.45" customHeight="1">
      <c r="A6" s="51" t="s">
        <v>12</v>
      </c>
      <c r="B6" s="49" t="s">
        <v>52</v>
      </c>
      <c r="C6" s="61" t="s">
        <v>50</v>
      </c>
      <c r="D6" s="61" t="s">
        <v>6</v>
      </c>
      <c r="E6" s="63">
        <v>18000</v>
      </c>
      <c r="F6" s="47" t="s">
        <v>2</v>
      </c>
      <c r="G6" s="51"/>
    </row>
    <row r="7" spans="1:7" ht="26.45" hidden="1" customHeight="1">
      <c r="A7" s="51" t="s">
        <v>12</v>
      </c>
      <c r="B7" s="49" t="s">
        <v>53</v>
      </c>
      <c r="C7" s="61" t="s">
        <v>50</v>
      </c>
      <c r="D7" s="61" t="s">
        <v>6</v>
      </c>
      <c r="E7" s="63">
        <v>137400</v>
      </c>
      <c r="F7" s="47" t="s">
        <v>4</v>
      </c>
      <c r="G7" s="51"/>
    </row>
    <row r="8" spans="1:7" ht="26.45" hidden="1" customHeight="1">
      <c r="A8" s="51" t="s">
        <v>12</v>
      </c>
      <c r="B8" s="49" t="s">
        <v>53</v>
      </c>
      <c r="C8" s="61" t="s">
        <v>50</v>
      </c>
      <c r="D8" s="61" t="s">
        <v>7</v>
      </c>
      <c r="E8" s="63">
        <v>72250</v>
      </c>
      <c r="F8" s="47" t="s">
        <v>4</v>
      </c>
      <c r="G8" s="51"/>
    </row>
    <row r="9" spans="1:7" ht="26.45" hidden="1" customHeight="1">
      <c r="A9" s="51" t="s">
        <v>12</v>
      </c>
      <c r="B9" s="49" t="s">
        <v>53</v>
      </c>
      <c r="C9" s="61" t="s">
        <v>50</v>
      </c>
      <c r="D9" s="61" t="s">
        <v>8</v>
      </c>
      <c r="E9" s="63">
        <v>139250</v>
      </c>
      <c r="F9" s="47" t="s">
        <v>4</v>
      </c>
      <c r="G9" s="51"/>
    </row>
    <row r="10" spans="1:7" ht="26.45" hidden="1" customHeight="1">
      <c r="A10" s="51" t="s">
        <v>12</v>
      </c>
      <c r="B10" s="49" t="s">
        <v>54</v>
      </c>
      <c r="C10" s="61" t="s">
        <v>50</v>
      </c>
      <c r="D10" s="61" t="s">
        <v>6</v>
      </c>
      <c r="E10" s="63">
        <v>72000</v>
      </c>
      <c r="F10" s="47" t="s">
        <v>1</v>
      </c>
      <c r="G10" s="51"/>
    </row>
    <row r="11" spans="1:7" ht="26.45" hidden="1" customHeight="1">
      <c r="A11" s="51" t="s">
        <v>12</v>
      </c>
      <c r="B11" s="49" t="s">
        <v>54</v>
      </c>
      <c r="C11" s="61" t="s">
        <v>50</v>
      </c>
      <c r="D11" s="61" t="s">
        <v>8</v>
      </c>
      <c r="E11" s="63">
        <v>125000</v>
      </c>
      <c r="F11" s="47" t="s">
        <v>1</v>
      </c>
      <c r="G11" s="51"/>
    </row>
    <row r="12" spans="1:7" ht="26.45" hidden="1" customHeight="1">
      <c r="A12" s="51" t="s">
        <v>12</v>
      </c>
      <c r="B12" s="49" t="s">
        <v>54</v>
      </c>
      <c r="C12" s="61" t="s">
        <v>50</v>
      </c>
      <c r="D12" s="61" t="s">
        <v>7</v>
      </c>
      <c r="E12" s="63">
        <v>37500</v>
      </c>
      <c r="F12" s="47" t="s">
        <v>1</v>
      </c>
      <c r="G12" s="51"/>
    </row>
    <row r="13" spans="1:7" ht="26.45" hidden="1" customHeight="1">
      <c r="A13" s="51" t="s">
        <v>12</v>
      </c>
      <c r="B13" s="51" t="s">
        <v>55</v>
      </c>
      <c r="C13" s="61" t="s">
        <v>50</v>
      </c>
      <c r="D13" s="61" t="s">
        <v>6</v>
      </c>
      <c r="E13" s="63">
        <f>345000+195000+108000+108000+108000+45000</f>
        <v>909000</v>
      </c>
      <c r="F13" s="47" t="s">
        <v>1</v>
      </c>
      <c r="G13" s="51"/>
    </row>
    <row r="14" spans="1:7" ht="26.45" hidden="1" customHeight="1">
      <c r="A14" s="51" t="s">
        <v>12</v>
      </c>
      <c r="B14" s="51" t="s">
        <v>184</v>
      </c>
      <c r="C14" s="61" t="s">
        <v>50</v>
      </c>
      <c r="D14" s="61" t="s">
        <v>7</v>
      </c>
      <c r="E14" s="63">
        <f>50000*4</f>
        <v>200000</v>
      </c>
      <c r="F14" s="47" t="s">
        <v>1</v>
      </c>
      <c r="G14" s="51"/>
    </row>
    <row r="15" spans="1:7" ht="26.45" hidden="1" customHeight="1">
      <c r="A15" s="51" t="s">
        <v>12</v>
      </c>
      <c r="B15" s="51" t="s">
        <v>55</v>
      </c>
      <c r="C15" s="61" t="s">
        <v>50</v>
      </c>
      <c r="D15" s="61" t="s">
        <v>8</v>
      </c>
      <c r="E15" s="63">
        <f>(322200*3)+134250</f>
        <v>1100850</v>
      </c>
      <c r="F15" s="47" t="s">
        <v>1</v>
      </c>
      <c r="G15" s="51"/>
    </row>
    <row r="16" spans="1:7" ht="26.45" hidden="1" customHeight="1">
      <c r="A16" s="51" t="s">
        <v>12</v>
      </c>
      <c r="B16" s="51" t="s">
        <v>56</v>
      </c>
      <c r="C16" s="61" t="s">
        <v>50</v>
      </c>
      <c r="D16" s="61" t="s">
        <v>8</v>
      </c>
      <c r="E16" s="63">
        <v>9750</v>
      </c>
      <c r="F16" s="47" t="s">
        <v>2</v>
      </c>
      <c r="G16" s="51"/>
    </row>
    <row r="17" spans="1:7" ht="26.45" customHeight="1">
      <c r="A17" s="51" t="s">
        <v>12</v>
      </c>
      <c r="B17" s="51" t="s">
        <v>57</v>
      </c>
      <c r="C17" s="61" t="s">
        <v>50</v>
      </c>
      <c r="D17" s="61" t="s">
        <v>6</v>
      </c>
      <c r="E17" s="63">
        <v>345000</v>
      </c>
      <c r="F17" s="47" t="s">
        <v>2</v>
      </c>
      <c r="G17" s="51"/>
    </row>
    <row r="18" spans="1:7" ht="26.45" hidden="1" customHeight="1">
      <c r="A18" s="51" t="s">
        <v>12</v>
      </c>
      <c r="B18" s="51" t="s">
        <v>57</v>
      </c>
      <c r="C18" s="61" t="s">
        <v>50</v>
      </c>
      <c r="D18" s="61" t="s">
        <v>7</v>
      </c>
      <c r="E18" s="63">
        <v>68750</v>
      </c>
      <c r="F18" s="47" t="s">
        <v>2</v>
      </c>
      <c r="G18" s="51"/>
    </row>
    <row r="19" spans="1:7" ht="26.45" customHeight="1">
      <c r="A19" s="51" t="s">
        <v>12</v>
      </c>
      <c r="B19" s="51" t="s">
        <v>58</v>
      </c>
      <c r="C19" s="61" t="s">
        <v>50</v>
      </c>
      <c r="D19" s="61" t="s">
        <v>6</v>
      </c>
      <c r="E19" s="63">
        <f>150000+2400</f>
        <v>152400</v>
      </c>
      <c r="F19" s="47" t="s">
        <v>2</v>
      </c>
      <c r="G19" s="51"/>
    </row>
    <row r="20" spans="1:7" ht="26.45" hidden="1" customHeight="1">
      <c r="A20" s="51" t="s">
        <v>12</v>
      </c>
      <c r="B20" s="51" t="s">
        <v>58</v>
      </c>
      <c r="C20" s="61" t="s">
        <v>50</v>
      </c>
      <c r="D20" s="61" t="s">
        <v>7</v>
      </c>
      <c r="E20" s="63">
        <v>36000</v>
      </c>
      <c r="F20" s="47" t="s">
        <v>2</v>
      </c>
      <c r="G20" s="51"/>
    </row>
    <row r="21" spans="1:7" ht="26.45" customHeight="1">
      <c r="A21" s="51" t="s">
        <v>12</v>
      </c>
      <c r="B21" s="51" t="s">
        <v>59</v>
      </c>
      <c r="C21" s="61" t="s">
        <v>50</v>
      </c>
      <c r="D21" s="61" t="s">
        <v>6</v>
      </c>
      <c r="E21" s="63">
        <v>618000</v>
      </c>
      <c r="F21" s="47" t="s">
        <v>2</v>
      </c>
      <c r="G21" s="51"/>
    </row>
    <row r="22" spans="1:7" ht="26.45" hidden="1" customHeight="1">
      <c r="A22" s="51" t="s">
        <v>12</v>
      </c>
      <c r="B22" s="51" t="s">
        <v>59</v>
      </c>
      <c r="C22" s="61" t="s">
        <v>50</v>
      </c>
      <c r="D22" s="61" t="s">
        <v>7</v>
      </c>
      <c r="E22" s="63">
        <v>70900</v>
      </c>
      <c r="F22" s="47" t="s">
        <v>2</v>
      </c>
      <c r="G22" s="51"/>
    </row>
    <row r="23" spans="1:7" ht="26.45" hidden="1" customHeight="1">
      <c r="A23" s="51" t="s">
        <v>12</v>
      </c>
      <c r="B23" s="52" t="s">
        <v>86</v>
      </c>
      <c r="C23" s="61" t="s">
        <v>50</v>
      </c>
      <c r="D23" s="61" t="s">
        <v>6</v>
      </c>
      <c r="E23" s="53">
        <v>83500</v>
      </c>
      <c r="F23" s="47" t="s">
        <v>3</v>
      </c>
      <c r="G23" s="51"/>
    </row>
    <row r="24" spans="1:7" ht="26.45" hidden="1" customHeight="1">
      <c r="A24" s="51" t="s">
        <v>12</v>
      </c>
      <c r="B24" s="54" t="s">
        <v>60</v>
      </c>
      <c r="C24" s="61" t="s">
        <v>50</v>
      </c>
      <c r="D24" s="61" t="s">
        <v>6</v>
      </c>
      <c r="E24" s="50">
        <f>34650+6311.25</f>
        <v>40961.25</v>
      </c>
      <c r="F24" s="47" t="s">
        <v>1</v>
      </c>
      <c r="G24" s="51"/>
    </row>
    <row r="25" spans="1:7" ht="26.45" hidden="1" customHeight="1">
      <c r="A25" s="51" t="s">
        <v>12</v>
      </c>
      <c r="B25" s="54" t="s">
        <v>91</v>
      </c>
      <c r="C25" s="61" t="s">
        <v>90</v>
      </c>
      <c r="D25" s="61" t="s">
        <v>6</v>
      </c>
      <c r="E25" s="50">
        <v>90000</v>
      </c>
      <c r="F25" s="47" t="s">
        <v>4</v>
      </c>
      <c r="G25" s="51"/>
    </row>
    <row r="26" spans="1:7" ht="26.45" hidden="1" customHeight="1">
      <c r="A26" s="51" t="s">
        <v>12</v>
      </c>
      <c r="B26" s="55" t="s">
        <v>91</v>
      </c>
      <c r="C26" s="61" t="s">
        <v>90</v>
      </c>
      <c r="D26" s="61" t="s">
        <v>7</v>
      </c>
      <c r="E26" s="56">
        <v>50000</v>
      </c>
      <c r="F26" s="47" t="s">
        <v>4</v>
      </c>
      <c r="G26" s="51"/>
    </row>
    <row r="27" spans="1:7" ht="26.45" hidden="1" customHeight="1">
      <c r="A27" s="51" t="s">
        <v>12</v>
      </c>
      <c r="B27" s="51" t="s">
        <v>91</v>
      </c>
      <c r="C27" s="61" t="s">
        <v>90</v>
      </c>
      <c r="D27" s="61" t="s">
        <v>8</v>
      </c>
      <c r="E27" s="50">
        <v>286500</v>
      </c>
      <c r="F27" s="47" t="s">
        <v>4</v>
      </c>
      <c r="G27" s="51"/>
    </row>
    <row r="28" spans="1:7" ht="26.45" hidden="1" customHeight="1">
      <c r="A28" s="51" t="s">
        <v>12</v>
      </c>
      <c r="B28" s="54" t="s">
        <v>61</v>
      </c>
      <c r="C28" s="61" t="s">
        <v>50</v>
      </c>
      <c r="D28" s="61" t="s">
        <v>9</v>
      </c>
      <c r="E28" s="50">
        <f>356412+184800</f>
        <v>541212</v>
      </c>
      <c r="F28" s="47" t="s">
        <v>1</v>
      </c>
      <c r="G28" s="51"/>
    </row>
    <row r="29" spans="1:7" ht="26.45" hidden="1" customHeight="1">
      <c r="A29" s="51" t="s">
        <v>12</v>
      </c>
      <c r="B29" s="55" t="s">
        <v>62</v>
      </c>
      <c r="C29" s="61" t="s">
        <v>190</v>
      </c>
      <c r="D29" s="61" t="s">
        <v>6</v>
      </c>
      <c r="E29" s="50">
        <f>287600+160300</f>
        <v>447900</v>
      </c>
      <c r="F29" s="47" t="s">
        <v>1</v>
      </c>
      <c r="G29" s="51"/>
    </row>
    <row r="30" spans="1:7" ht="26.45" hidden="1" customHeight="1">
      <c r="A30" s="51" t="s">
        <v>12</v>
      </c>
      <c r="B30" s="51" t="s">
        <v>63</v>
      </c>
      <c r="C30" s="61" t="s">
        <v>50</v>
      </c>
      <c r="D30" s="61" t="s">
        <v>6</v>
      </c>
      <c r="E30" s="56">
        <v>52000</v>
      </c>
      <c r="F30" s="47" t="s">
        <v>1</v>
      </c>
      <c r="G30" s="51"/>
    </row>
    <row r="31" spans="1:7" ht="26.45" hidden="1" customHeight="1">
      <c r="A31" s="51" t="s">
        <v>12</v>
      </c>
      <c r="B31" s="51" t="s">
        <v>63</v>
      </c>
      <c r="C31" s="61" t="s">
        <v>50</v>
      </c>
      <c r="D31" s="61" t="s">
        <v>7</v>
      </c>
      <c r="E31" s="56">
        <v>38400</v>
      </c>
      <c r="F31" s="47" t="s">
        <v>1</v>
      </c>
      <c r="G31" s="51"/>
    </row>
    <row r="32" spans="1:7" ht="26.45" hidden="1" customHeight="1">
      <c r="A32" s="51" t="s">
        <v>12</v>
      </c>
      <c r="B32" s="51" t="s">
        <v>63</v>
      </c>
      <c r="C32" s="61" t="s">
        <v>50</v>
      </c>
      <c r="D32" s="61" t="s">
        <v>8</v>
      </c>
      <c r="E32" s="50">
        <v>110760</v>
      </c>
      <c r="F32" s="47" t="s">
        <v>1</v>
      </c>
      <c r="G32" s="51"/>
    </row>
    <row r="33" spans="1:7" ht="26.45" hidden="1" customHeight="1">
      <c r="A33" s="51" t="s">
        <v>12</v>
      </c>
      <c r="B33" s="55" t="s">
        <v>93</v>
      </c>
      <c r="C33" s="61" t="s">
        <v>92</v>
      </c>
      <c r="D33" s="61" t="s">
        <v>9</v>
      </c>
      <c r="E33" s="50">
        <v>237400</v>
      </c>
      <c r="F33" s="47" t="s">
        <v>1</v>
      </c>
      <c r="G33" s="51"/>
    </row>
    <row r="34" spans="1:7" ht="26.45" hidden="1" customHeight="1">
      <c r="A34" s="51" t="s">
        <v>12</v>
      </c>
      <c r="B34" s="55" t="s">
        <v>93</v>
      </c>
      <c r="C34" s="61" t="s">
        <v>92</v>
      </c>
      <c r="D34" s="61" t="s">
        <v>7</v>
      </c>
      <c r="E34" s="50">
        <v>10000</v>
      </c>
      <c r="F34" s="47" t="s">
        <v>1</v>
      </c>
      <c r="G34" s="51"/>
    </row>
    <row r="35" spans="1:7" ht="26.45" hidden="1" customHeight="1">
      <c r="A35" s="51" t="s">
        <v>12</v>
      </c>
      <c r="B35" s="55" t="s">
        <v>93</v>
      </c>
      <c r="C35" s="61" t="s">
        <v>92</v>
      </c>
      <c r="D35" s="61" t="s">
        <v>6</v>
      </c>
      <c r="E35" s="50">
        <v>28800</v>
      </c>
      <c r="F35" s="47" t="s">
        <v>1</v>
      </c>
      <c r="G35" s="51"/>
    </row>
    <row r="36" spans="1:7" ht="26.45" hidden="1" customHeight="1">
      <c r="A36" s="51" t="s">
        <v>12</v>
      </c>
      <c r="B36" s="51" t="s">
        <v>64</v>
      </c>
      <c r="C36" s="61" t="s">
        <v>190</v>
      </c>
      <c r="D36" s="61" t="s">
        <v>6</v>
      </c>
      <c r="E36" s="50">
        <f>37440+72000</f>
        <v>109440</v>
      </c>
      <c r="F36" s="47" t="s">
        <v>1</v>
      </c>
      <c r="G36" s="51"/>
    </row>
    <row r="37" spans="1:7" ht="26.45" hidden="1" customHeight="1">
      <c r="A37" s="51" t="s">
        <v>12</v>
      </c>
      <c r="B37" s="51" t="s">
        <v>64</v>
      </c>
      <c r="C37" s="61" t="s">
        <v>190</v>
      </c>
      <c r="D37" s="61" t="s">
        <v>8</v>
      </c>
      <c r="E37" s="50">
        <v>214800</v>
      </c>
      <c r="F37" s="47" t="s">
        <v>1</v>
      </c>
      <c r="G37" s="51"/>
    </row>
    <row r="38" spans="1:7" ht="26.45" hidden="1" customHeight="1">
      <c r="A38" s="51" t="s">
        <v>12</v>
      </c>
      <c r="B38" s="51" t="s">
        <v>64</v>
      </c>
      <c r="C38" s="61" t="s">
        <v>190</v>
      </c>
      <c r="D38" s="61" t="s">
        <v>7</v>
      </c>
      <c r="E38" s="50">
        <v>15400</v>
      </c>
      <c r="F38" s="47" t="s">
        <v>1</v>
      </c>
      <c r="G38" s="51"/>
    </row>
    <row r="39" spans="1:7" ht="26.45" hidden="1" customHeight="1">
      <c r="A39" s="51" t="s">
        <v>12</v>
      </c>
      <c r="B39" s="51" t="s">
        <v>65</v>
      </c>
      <c r="C39" s="61" t="s">
        <v>50</v>
      </c>
      <c r="D39" s="61" t="s">
        <v>6</v>
      </c>
      <c r="E39" s="50">
        <v>1800</v>
      </c>
      <c r="F39" s="47" t="s">
        <v>1</v>
      </c>
      <c r="G39" s="51"/>
    </row>
    <row r="40" spans="1:7" ht="26.45" hidden="1" customHeight="1">
      <c r="A40" s="51" t="s">
        <v>12</v>
      </c>
      <c r="B40" s="51" t="s">
        <v>67</v>
      </c>
      <c r="C40" s="61" t="s">
        <v>50</v>
      </c>
      <c r="D40" s="61" t="s">
        <v>8</v>
      </c>
      <c r="E40" s="53">
        <v>310840</v>
      </c>
      <c r="F40" s="47" t="s">
        <v>1</v>
      </c>
      <c r="G40" s="51"/>
    </row>
    <row r="41" spans="1:7" ht="26.45" hidden="1" customHeight="1">
      <c r="A41" s="51" t="s">
        <v>12</v>
      </c>
      <c r="B41" s="51" t="s">
        <v>68</v>
      </c>
      <c r="C41" s="61" t="s">
        <v>50</v>
      </c>
      <c r="D41" s="61" t="s">
        <v>6</v>
      </c>
      <c r="E41" s="53">
        <v>104800</v>
      </c>
      <c r="F41" s="47" t="s">
        <v>1</v>
      </c>
      <c r="G41" s="51"/>
    </row>
    <row r="42" spans="1:7" ht="26.45" hidden="1" customHeight="1">
      <c r="A42" s="51" t="s">
        <v>12</v>
      </c>
      <c r="B42" s="51" t="s">
        <v>67</v>
      </c>
      <c r="C42" s="61" t="s">
        <v>50</v>
      </c>
      <c r="D42" s="61" t="s">
        <v>7</v>
      </c>
      <c r="E42" s="53">
        <v>29100</v>
      </c>
      <c r="F42" s="47" t="s">
        <v>1</v>
      </c>
      <c r="G42" s="51"/>
    </row>
    <row r="43" spans="1:7" ht="26.45" hidden="1" customHeight="1">
      <c r="A43" s="51" t="s">
        <v>12</v>
      </c>
      <c r="B43" s="51" t="s">
        <v>88</v>
      </c>
      <c r="C43" s="61" t="s">
        <v>205</v>
      </c>
      <c r="D43" s="61" t="s">
        <v>6</v>
      </c>
      <c r="E43" s="53">
        <f>18000+9000+225000</f>
        <v>252000</v>
      </c>
      <c r="F43" s="47" t="s">
        <v>1</v>
      </c>
      <c r="G43" s="51"/>
    </row>
    <row r="44" spans="1:7" ht="26.45" hidden="1" customHeight="1">
      <c r="A44" s="51" t="s">
        <v>12</v>
      </c>
      <c r="B44" s="51" t="s">
        <v>87</v>
      </c>
      <c r="C44" s="61" t="s">
        <v>205</v>
      </c>
      <c r="D44" s="61" t="s">
        <v>8</v>
      </c>
      <c r="E44" s="57">
        <v>159500</v>
      </c>
      <c r="F44" s="47" t="s">
        <v>1</v>
      </c>
      <c r="G44" s="51"/>
    </row>
    <row r="45" spans="1:7" ht="26.45" hidden="1" customHeight="1">
      <c r="A45" s="51" t="s">
        <v>12</v>
      </c>
      <c r="B45" s="51" t="s">
        <v>88</v>
      </c>
      <c r="C45" s="61" t="s">
        <v>205</v>
      </c>
      <c r="D45" s="61" t="s">
        <v>7</v>
      </c>
      <c r="E45" s="57">
        <v>75000</v>
      </c>
      <c r="F45" s="47" t="s">
        <v>1</v>
      </c>
      <c r="G45" s="51"/>
    </row>
    <row r="46" spans="1:7" ht="26.45" hidden="1" customHeight="1">
      <c r="A46" s="51" t="s">
        <v>12</v>
      </c>
      <c r="B46" s="51" t="s">
        <v>89</v>
      </c>
      <c r="C46" s="61" t="s">
        <v>50</v>
      </c>
      <c r="D46" s="61" t="s">
        <v>6</v>
      </c>
      <c r="E46" s="57">
        <f>630000+600000</f>
        <v>1230000</v>
      </c>
      <c r="F46" s="47" t="s">
        <v>1</v>
      </c>
      <c r="G46" s="51"/>
    </row>
    <row r="47" spans="1:7" ht="26.45" hidden="1" customHeight="1">
      <c r="A47" s="51" t="s">
        <v>12</v>
      </c>
      <c r="B47" s="51" t="s">
        <v>89</v>
      </c>
      <c r="C47" s="61" t="s">
        <v>50</v>
      </c>
      <c r="D47" s="61" t="s">
        <v>7</v>
      </c>
      <c r="E47" s="57">
        <v>2042250</v>
      </c>
      <c r="F47" s="47" t="s">
        <v>1</v>
      </c>
      <c r="G47" s="51"/>
    </row>
    <row r="48" spans="1:7" ht="26.45" hidden="1" customHeight="1">
      <c r="A48" s="51" t="s">
        <v>12</v>
      </c>
      <c r="B48" s="51" t="s">
        <v>89</v>
      </c>
      <c r="C48" s="61" t="s">
        <v>50</v>
      </c>
      <c r="D48" s="61" t="s">
        <v>8</v>
      </c>
      <c r="E48" s="57">
        <v>60000</v>
      </c>
      <c r="F48" s="47" t="s">
        <v>1</v>
      </c>
      <c r="G48" s="51"/>
    </row>
    <row r="49" spans="1:7" ht="26.45" hidden="1" customHeight="1">
      <c r="A49" s="51" t="s">
        <v>12</v>
      </c>
      <c r="B49" s="51" t="s">
        <v>66</v>
      </c>
      <c r="C49" s="61" t="s">
        <v>50</v>
      </c>
      <c r="D49" s="61" t="s">
        <v>6</v>
      </c>
      <c r="E49" s="57">
        <v>22970.400000000001</v>
      </c>
      <c r="F49" s="47" t="s">
        <v>1</v>
      </c>
      <c r="G49" s="51"/>
    </row>
    <row r="50" spans="1:7" ht="26.45" hidden="1" customHeight="1">
      <c r="A50" s="51" t="s">
        <v>12</v>
      </c>
      <c r="B50" s="49" t="s">
        <v>95</v>
      </c>
      <c r="C50" s="61" t="s">
        <v>94</v>
      </c>
      <c r="D50" s="61" t="s">
        <v>6</v>
      </c>
      <c r="E50" s="57">
        <f>144000+472000</f>
        <v>616000</v>
      </c>
      <c r="F50" s="47" t="s">
        <v>1</v>
      </c>
      <c r="G50" s="51"/>
    </row>
    <row r="51" spans="1:7" ht="26.45" hidden="1" customHeight="1">
      <c r="A51" s="51" t="s">
        <v>12</v>
      </c>
      <c r="B51" s="49" t="s">
        <v>95</v>
      </c>
      <c r="C51" s="61" t="s">
        <v>94</v>
      </c>
      <c r="D51" s="61" t="s">
        <v>8</v>
      </c>
      <c r="E51" s="57">
        <v>472000</v>
      </c>
      <c r="F51" s="47" t="s">
        <v>1</v>
      </c>
      <c r="G51" s="51"/>
    </row>
    <row r="52" spans="1:7" ht="26.45" hidden="1" customHeight="1">
      <c r="A52" s="51" t="s">
        <v>12</v>
      </c>
      <c r="B52" s="49" t="s">
        <v>95</v>
      </c>
      <c r="C52" s="61" t="s">
        <v>94</v>
      </c>
      <c r="D52" s="61" t="s">
        <v>7</v>
      </c>
      <c r="E52" s="57">
        <v>80000</v>
      </c>
      <c r="F52" s="47" t="s">
        <v>1</v>
      </c>
      <c r="G52" s="51"/>
    </row>
    <row r="53" spans="1:7" ht="26.45" hidden="1" customHeight="1">
      <c r="A53" s="51" t="s">
        <v>12</v>
      </c>
      <c r="B53" s="52" t="s">
        <v>69</v>
      </c>
      <c r="C53" s="61" t="s">
        <v>50</v>
      </c>
      <c r="D53" s="61" t="s">
        <v>6</v>
      </c>
      <c r="E53" s="57">
        <v>125000</v>
      </c>
      <c r="F53" s="47" t="s">
        <v>1</v>
      </c>
      <c r="G53" s="51"/>
    </row>
    <row r="54" spans="1:7" ht="26.45" hidden="1" customHeight="1">
      <c r="A54" s="51" t="s">
        <v>12</v>
      </c>
      <c r="B54" s="52" t="s">
        <v>70</v>
      </c>
      <c r="C54" s="61" t="s">
        <v>50</v>
      </c>
      <c r="D54" s="61" t="s">
        <v>6</v>
      </c>
      <c r="E54" s="57">
        <v>88000</v>
      </c>
      <c r="F54" s="47" t="s">
        <v>1</v>
      </c>
      <c r="G54" s="51"/>
    </row>
    <row r="55" spans="1:7" ht="26.45" hidden="1" customHeight="1">
      <c r="A55" s="51" t="s">
        <v>12</v>
      </c>
      <c r="B55" s="58" t="s">
        <v>71</v>
      </c>
      <c r="C55" s="61" t="s">
        <v>50</v>
      </c>
      <c r="D55" s="61" t="s">
        <v>6</v>
      </c>
      <c r="E55" s="57">
        <v>219375</v>
      </c>
      <c r="F55" s="47" t="s">
        <v>1</v>
      </c>
      <c r="G55" s="51"/>
    </row>
    <row r="56" spans="1:7" ht="26.45" hidden="1" customHeight="1">
      <c r="A56" s="51" t="s">
        <v>12</v>
      </c>
      <c r="B56" s="58" t="s">
        <v>72</v>
      </c>
      <c r="C56" s="61" t="s">
        <v>50</v>
      </c>
      <c r="D56" s="61" t="s">
        <v>6</v>
      </c>
      <c r="E56" s="57">
        <v>39375</v>
      </c>
      <c r="F56" s="47" t="s">
        <v>1</v>
      </c>
      <c r="G56" s="51"/>
    </row>
    <row r="57" spans="1:7" ht="26.45" hidden="1" customHeight="1">
      <c r="A57" s="51" t="s">
        <v>12</v>
      </c>
      <c r="B57" s="58" t="s">
        <v>73</v>
      </c>
      <c r="C57" s="61" t="s">
        <v>50</v>
      </c>
      <c r="D57" s="61" t="s">
        <v>6</v>
      </c>
      <c r="E57" s="57">
        <v>72349.875</v>
      </c>
      <c r="F57" s="47" t="s">
        <v>1</v>
      </c>
      <c r="G57" s="51"/>
    </row>
    <row r="58" spans="1:7" ht="26.45" hidden="1" customHeight="1">
      <c r="A58" s="51" t="s">
        <v>12</v>
      </c>
      <c r="B58" s="58" t="s">
        <v>74</v>
      </c>
      <c r="C58" s="61" t="s">
        <v>50</v>
      </c>
      <c r="D58" s="61" t="s">
        <v>6</v>
      </c>
      <c r="E58" s="59">
        <v>49125</v>
      </c>
      <c r="F58" s="47" t="s">
        <v>1</v>
      </c>
      <c r="G58" s="51"/>
    </row>
    <row r="59" spans="1:7" ht="26.45" hidden="1" customHeight="1">
      <c r="A59" s="51" t="s">
        <v>12</v>
      </c>
      <c r="B59" s="58" t="s">
        <v>75</v>
      </c>
      <c r="C59" s="61" t="s">
        <v>50</v>
      </c>
      <c r="D59" s="61" t="s">
        <v>6</v>
      </c>
      <c r="E59" s="50">
        <v>29250</v>
      </c>
      <c r="F59" s="47" t="s">
        <v>1</v>
      </c>
      <c r="G59" s="51"/>
    </row>
    <row r="60" spans="1:7" ht="26.45" hidden="1" customHeight="1">
      <c r="A60" s="51" t="s">
        <v>12</v>
      </c>
      <c r="B60" s="58" t="s">
        <v>76</v>
      </c>
      <c r="C60" s="61" t="s">
        <v>50</v>
      </c>
      <c r="D60" s="61" t="s">
        <v>6</v>
      </c>
      <c r="E60" s="50">
        <v>19312.5</v>
      </c>
      <c r="F60" s="47" t="s">
        <v>1</v>
      </c>
      <c r="G60" s="51"/>
    </row>
    <row r="61" spans="1:7" ht="26.45" hidden="1" customHeight="1">
      <c r="A61" s="51" t="s">
        <v>12</v>
      </c>
      <c r="B61" s="58" t="s">
        <v>77</v>
      </c>
      <c r="C61" s="61" t="s">
        <v>50</v>
      </c>
      <c r="D61" s="61" t="s">
        <v>6</v>
      </c>
      <c r="E61" s="50">
        <v>12750</v>
      </c>
      <c r="F61" s="47" t="s">
        <v>1</v>
      </c>
      <c r="G61" s="51"/>
    </row>
    <row r="62" spans="1:7" ht="26.45" hidden="1" customHeight="1">
      <c r="A62" s="51" t="s">
        <v>12</v>
      </c>
      <c r="B62" s="58" t="s">
        <v>78</v>
      </c>
      <c r="C62" s="61" t="s">
        <v>50</v>
      </c>
      <c r="D62" s="61" t="s">
        <v>6</v>
      </c>
      <c r="E62" s="50">
        <v>25500</v>
      </c>
      <c r="F62" s="47" t="s">
        <v>1</v>
      </c>
      <c r="G62" s="51"/>
    </row>
    <row r="63" spans="1:7" ht="26.45" hidden="1" customHeight="1">
      <c r="A63" s="51" t="s">
        <v>12</v>
      </c>
      <c r="B63" s="58" t="s">
        <v>79</v>
      </c>
      <c r="C63" s="61" t="s">
        <v>50</v>
      </c>
      <c r="D63" s="61" t="s">
        <v>6</v>
      </c>
      <c r="E63" s="50">
        <v>8100</v>
      </c>
      <c r="F63" s="47" t="s">
        <v>1</v>
      </c>
      <c r="G63" s="51"/>
    </row>
    <row r="64" spans="1:7" ht="26.45" hidden="1" customHeight="1">
      <c r="A64" s="51" t="s">
        <v>12</v>
      </c>
      <c r="B64" s="58" t="s">
        <v>80</v>
      </c>
      <c r="C64" s="61" t="s">
        <v>50</v>
      </c>
      <c r="D64" s="61" t="s">
        <v>6</v>
      </c>
      <c r="E64" s="50">
        <v>18000</v>
      </c>
      <c r="F64" s="47" t="s">
        <v>1</v>
      </c>
      <c r="G64" s="51"/>
    </row>
    <row r="65" spans="1:7" ht="26.45" hidden="1" customHeight="1">
      <c r="A65" s="51" t="s">
        <v>12</v>
      </c>
      <c r="B65" s="58" t="s">
        <v>57</v>
      </c>
      <c r="C65" s="61" t="s">
        <v>50</v>
      </c>
      <c r="D65" s="61" t="s">
        <v>6</v>
      </c>
      <c r="E65" s="50">
        <v>102902.67</v>
      </c>
      <c r="F65" s="47" t="s">
        <v>1</v>
      </c>
      <c r="G65" s="51"/>
    </row>
    <row r="66" spans="1:7" ht="26.45" hidden="1" customHeight="1">
      <c r="A66" s="51" t="s">
        <v>12</v>
      </c>
      <c r="B66" s="52" t="s">
        <v>81</v>
      </c>
      <c r="C66" s="61" t="s">
        <v>50</v>
      </c>
      <c r="D66" s="61" t="s">
        <v>6</v>
      </c>
      <c r="E66" s="50">
        <v>15750</v>
      </c>
      <c r="F66" s="47" t="s">
        <v>1</v>
      </c>
      <c r="G66" s="51"/>
    </row>
    <row r="67" spans="1:7" ht="26.45" hidden="1" customHeight="1">
      <c r="A67" s="51" t="s">
        <v>12</v>
      </c>
      <c r="B67" s="58" t="s">
        <v>82</v>
      </c>
      <c r="C67" s="61" t="s">
        <v>50</v>
      </c>
      <c r="D67" s="61" t="s">
        <v>6</v>
      </c>
      <c r="E67" s="50">
        <v>17940</v>
      </c>
      <c r="F67" s="47" t="s">
        <v>1</v>
      </c>
      <c r="G67" s="51"/>
    </row>
    <row r="68" spans="1:7" ht="26.45" hidden="1" customHeight="1">
      <c r="A68" s="51" t="s">
        <v>12</v>
      </c>
      <c r="B68" s="58" t="s">
        <v>83</v>
      </c>
      <c r="C68" s="61" t="s">
        <v>50</v>
      </c>
      <c r="D68" s="61" t="s">
        <v>6</v>
      </c>
      <c r="E68" s="50">
        <v>23250</v>
      </c>
      <c r="F68" s="47" t="s">
        <v>1</v>
      </c>
      <c r="G68" s="51"/>
    </row>
    <row r="69" spans="1:7" ht="26.45" hidden="1" customHeight="1">
      <c r="A69" s="51" t="s">
        <v>12</v>
      </c>
      <c r="B69" s="58" t="s">
        <v>84</v>
      </c>
      <c r="C69" s="61" t="s">
        <v>50</v>
      </c>
      <c r="D69" s="61" t="s">
        <v>6</v>
      </c>
      <c r="E69" s="50">
        <v>31750</v>
      </c>
      <c r="F69" s="47" t="s">
        <v>1</v>
      </c>
      <c r="G69" s="51"/>
    </row>
    <row r="70" spans="1:7" ht="26.45" hidden="1" customHeight="1">
      <c r="A70" s="51" t="s">
        <v>12</v>
      </c>
      <c r="B70" s="58" t="s">
        <v>85</v>
      </c>
      <c r="C70" s="61" t="s">
        <v>50</v>
      </c>
      <c r="D70" s="61" t="s">
        <v>6</v>
      </c>
      <c r="E70" s="50">
        <v>10395</v>
      </c>
      <c r="F70" s="47" t="s">
        <v>1</v>
      </c>
      <c r="G70" s="51"/>
    </row>
    <row r="71" spans="1:7" ht="26.45" hidden="1" customHeight="1">
      <c r="A71" s="51" t="s">
        <v>12</v>
      </c>
      <c r="B71" s="60" t="s">
        <v>57</v>
      </c>
      <c r="C71" s="61" t="s">
        <v>50</v>
      </c>
      <c r="D71" s="61" t="s">
        <v>6</v>
      </c>
      <c r="E71" s="50">
        <v>102902.67</v>
      </c>
      <c r="F71" s="47" t="s">
        <v>1</v>
      </c>
      <c r="G71" s="51"/>
    </row>
    <row r="72" spans="1:7" ht="26.25" hidden="1" customHeight="1">
      <c r="A72" s="51" t="s">
        <v>12</v>
      </c>
      <c r="B72" s="51" t="s">
        <v>185</v>
      </c>
      <c r="C72" s="61" t="s">
        <v>185</v>
      </c>
      <c r="D72" s="61" t="s">
        <v>6</v>
      </c>
      <c r="E72" s="62">
        <v>2850000</v>
      </c>
      <c r="F72" s="47" t="s">
        <v>4</v>
      </c>
      <c r="G72" s="51"/>
    </row>
    <row r="73" spans="1:7" ht="26.25" hidden="1" customHeight="1">
      <c r="A73" s="51" t="s">
        <v>12</v>
      </c>
      <c r="B73" s="51" t="s">
        <v>185</v>
      </c>
      <c r="C73" s="61" t="s">
        <v>185</v>
      </c>
      <c r="D73" s="61" t="s">
        <v>8</v>
      </c>
      <c r="E73" s="63">
        <v>3235000</v>
      </c>
      <c r="F73" s="47" t="s">
        <v>4</v>
      </c>
      <c r="G73" s="51"/>
    </row>
    <row r="74" spans="1:7" ht="26.25" hidden="1" customHeight="1">
      <c r="A74" s="51" t="s">
        <v>12</v>
      </c>
      <c r="B74" s="51" t="s">
        <v>185</v>
      </c>
      <c r="C74" s="61" t="s">
        <v>185</v>
      </c>
      <c r="D74" s="61" t="s">
        <v>7</v>
      </c>
      <c r="E74" s="63">
        <v>300000</v>
      </c>
      <c r="F74" s="47" t="s">
        <v>4</v>
      </c>
      <c r="G74" s="51"/>
    </row>
    <row r="75" spans="1:7" ht="26.25" hidden="1" customHeight="1">
      <c r="A75" s="51" t="s">
        <v>12</v>
      </c>
      <c r="B75" s="51" t="s">
        <v>186</v>
      </c>
      <c r="C75" s="61" t="s">
        <v>50</v>
      </c>
      <c r="D75" s="61" t="s">
        <v>6</v>
      </c>
      <c r="E75" s="63">
        <v>54000</v>
      </c>
      <c r="F75" s="47" t="s">
        <v>3</v>
      </c>
      <c r="G75" s="51"/>
    </row>
    <row r="76" spans="1:7" ht="26.25" hidden="1" customHeight="1">
      <c r="A76" s="51" t="s">
        <v>12</v>
      </c>
      <c r="B76" s="51" t="s">
        <v>186</v>
      </c>
      <c r="C76" s="61" t="s">
        <v>50</v>
      </c>
      <c r="D76" s="61" t="s">
        <v>8</v>
      </c>
      <c r="E76" s="63">
        <v>172000</v>
      </c>
      <c r="F76" s="47" t="s">
        <v>3</v>
      </c>
      <c r="G76" s="51"/>
    </row>
    <row r="77" spans="1:7" ht="26.25" hidden="1" customHeight="1">
      <c r="A77" s="51" t="s">
        <v>12</v>
      </c>
      <c r="B77" s="51" t="s">
        <v>186</v>
      </c>
      <c r="C77" s="61" t="s">
        <v>50</v>
      </c>
      <c r="D77" s="61" t="s">
        <v>7</v>
      </c>
      <c r="E77" s="63">
        <v>48000</v>
      </c>
      <c r="F77" s="47" t="s">
        <v>3</v>
      </c>
      <c r="G77" s="51"/>
    </row>
    <row r="78" spans="1:7" ht="26.25" hidden="1" customHeight="1">
      <c r="A78" s="51" t="s">
        <v>12</v>
      </c>
      <c r="B78" s="55" t="s">
        <v>187</v>
      </c>
      <c r="C78" s="61" t="s">
        <v>92</v>
      </c>
      <c r="D78" s="61" t="s">
        <v>6</v>
      </c>
      <c r="E78" s="50">
        <f>18000*3</f>
        <v>54000</v>
      </c>
      <c r="F78" s="47" t="s">
        <v>1</v>
      </c>
      <c r="G78" s="51"/>
    </row>
    <row r="79" spans="1:7" ht="26.25" hidden="1" customHeight="1">
      <c r="A79" s="51" t="s">
        <v>12</v>
      </c>
      <c r="B79" s="55" t="s">
        <v>187</v>
      </c>
      <c r="C79" s="61" t="s">
        <v>92</v>
      </c>
      <c r="D79" s="61" t="s">
        <v>8</v>
      </c>
      <c r="E79" s="50">
        <v>172500</v>
      </c>
      <c r="F79" s="47" t="s">
        <v>1</v>
      </c>
      <c r="G79" s="51"/>
    </row>
    <row r="80" spans="1:7" ht="26.25" hidden="1" customHeight="1">
      <c r="A80" s="51" t="s">
        <v>12</v>
      </c>
      <c r="B80" s="55" t="s">
        <v>187</v>
      </c>
      <c r="C80" s="61" t="s">
        <v>92</v>
      </c>
      <c r="D80" s="61" t="s">
        <v>7</v>
      </c>
      <c r="E80" s="50">
        <v>15000</v>
      </c>
      <c r="F80" s="47" t="s">
        <v>1</v>
      </c>
      <c r="G80" s="51"/>
    </row>
    <row r="81" spans="1:7" ht="26.25" hidden="1" customHeight="1">
      <c r="A81" s="51" t="s">
        <v>12</v>
      </c>
      <c r="B81" s="51" t="s">
        <v>188</v>
      </c>
      <c r="C81" s="61" t="s">
        <v>50</v>
      </c>
      <c r="D81" s="61" t="s">
        <v>6</v>
      </c>
      <c r="E81" s="63">
        <f>18000*2</f>
        <v>36000</v>
      </c>
      <c r="F81" s="47" t="s">
        <v>3</v>
      </c>
      <c r="G81" s="51"/>
    </row>
    <row r="82" spans="1:7" ht="26.25" hidden="1" customHeight="1">
      <c r="A82" s="51" t="s">
        <v>12</v>
      </c>
      <c r="B82" s="51" t="s">
        <v>188</v>
      </c>
      <c r="C82" s="61" t="s">
        <v>50</v>
      </c>
      <c r="D82" s="61" t="s">
        <v>8</v>
      </c>
      <c r="E82" s="63">
        <v>116400</v>
      </c>
      <c r="F82" s="47" t="s">
        <v>3</v>
      </c>
      <c r="G82" s="51"/>
    </row>
    <row r="83" spans="1:7" ht="26.25" hidden="1" customHeight="1">
      <c r="A83" s="51" t="s">
        <v>12</v>
      </c>
      <c r="B83" s="51" t="s">
        <v>188</v>
      </c>
      <c r="C83" s="61" t="s">
        <v>50</v>
      </c>
      <c r="D83" s="61" t="s">
        <v>7</v>
      </c>
      <c r="E83" s="63">
        <f>18000*2</f>
        <v>36000</v>
      </c>
      <c r="F83" s="47" t="s">
        <v>3</v>
      </c>
      <c r="G83" s="51"/>
    </row>
    <row r="84" spans="1:7" ht="26.25" hidden="1" customHeight="1">
      <c r="A84" s="51" t="s">
        <v>12</v>
      </c>
      <c r="B84" s="51" t="s">
        <v>189</v>
      </c>
      <c r="C84" s="61" t="s">
        <v>190</v>
      </c>
      <c r="D84" s="61" t="s">
        <v>6</v>
      </c>
      <c r="E84" s="50">
        <v>690000</v>
      </c>
      <c r="F84" s="47" t="s">
        <v>1</v>
      </c>
      <c r="G84" s="51"/>
    </row>
    <row r="85" spans="1:7" ht="26.25" hidden="1" customHeight="1">
      <c r="A85" s="51" t="s">
        <v>12</v>
      </c>
      <c r="B85" s="51" t="s">
        <v>191</v>
      </c>
      <c r="C85" s="61" t="s">
        <v>190</v>
      </c>
      <c r="D85" s="61" t="s">
        <v>6</v>
      </c>
      <c r="E85" s="50">
        <v>390000</v>
      </c>
      <c r="F85" s="47" t="s">
        <v>1</v>
      </c>
      <c r="G85" s="51"/>
    </row>
    <row r="86" spans="1:7" ht="26.25" hidden="1" customHeight="1">
      <c r="A86" s="51" t="s">
        <v>12</v>
      </c>
      <c r="B86" s="51" t="s">
        <v>192</v>
      </c>
      <c r="C86" s="61" t="s">
        <v>190</v>
      </c>
      <c r="D86" s="61" t="s">
        <v>6</v>
      </c>
      <c r="E86" s="50">
        <v>332000</v>
      </c>
      <c r="F86" s="47" t="s">
        <v>1</v>
      </c>
      <c r="G86" s="51"/>
    </row>
    <row r="87" spans="1:7" ht="26.25" hidden="1" customHeight="1">
      <c r="A87" s="51" t="s">
        <v>12</v>
      </c>
      <c r="B87" s="51" t="s">
        <v>192</v>
      </c>
      <c r="C87" s="61" t="s">
        <v>190</v>
      </c>
      <c r="D87" s="61" t="s">
        <v>7</v>
      </c>
      <c r="E87" s="50">
        <v>55000</v>
      </c>
      <c r="F87" s="47" t="s">
        <v>1</v>
      </c>
      <c r="G87" s="51"/>
    </row>
    <row r="88" spans="1:7" ht="26.25" hidden="1" customHeight="1">
      <c r="A88" s="51" t="s">
        <v>12</v>
      </c>
      <c r="B88" s="51" t="s">
        <v>193</v>
      </c>
      <c r="C88" s="61" t="s">
        <v>50</v>
      </c>
      <c r="D88" s="61" t="s">
        <v>6</v>
      </c>
      <c r="E88" s="63">
        <f>16400*8</f>
        <v>131200</v>
      </c>
      <c r="F88" s="47" t="s">
        <v>1</v>
      </c>
      <c r="G88" s="51"/>
    </row>
    <row r="89" spans="1:7" ht="26.25" hidden="1" customHeight="1">
      <c r="A89" s="51" t="s">
        <v>12</v>
      </c>
      <c r="B89" s="51" t="s">
        <v>194</v>
      </c>
      <c r="C89" s="61" t="s">
        <v>195</v>
      </c>
      <c r="D89" s="61" t="s">
        <v>6</v>
      </c>
      <c r="E89" s="63">
        <f>18000*4</f>
        <v>72000</v>
      </c>
      <c r="F89" s="47" t="s">
        <v>4</v>
      </c>
      <c r="G89" s="51"/>
    </row>
    <row r="90" spans="1:7" ht="26.25" hidden="1" customHeight="1">
      <c r="A90" s="51" t="s">
        <v>12</v>
      </c>
      <c r="B90" s="51" t="s">
        <v>194</v>
      </c>
      <c r="C90" s="61" t="s">
        <v>195</v>
      </c>
      <c r="D90" s="61" t="s">
        <v>8</v>
      </c>
      <c r="E90" s="63">
        <f>57500*4</f>
        <v>230000</v>
      </c>
      <c r="F90" s="47" t="s">
        <v>4</v>
      </c>
      <c r="G90" s="51"/>
    </row>
    <row r="91" spans="1:7" ht="26.25" hidden="1" customHeight="1">
      <c r="A91" s="51" t="s">
        <v>12</v>
      </c>
      <c r="B91" s="51" t="s">
        <v>194</v>
      </c>
      <c r="C91" s="61" t="s">
        <v>195</v>
      </c>
      <c r="D91" s="61" t="s">
        <v>7</v>
      </c>
      <c r="E91" s="63">
        <v>36000</v>
      </c>
      <c r="F91" s="47" t="s">
        <v>4</v>
      </c>
      <c r="G91" s="51"/>
    </row>
    <row r="92" spans="1:7" ht="26.25" hidden="1" customHeight="1">
      <c r="A92" s="51" t="s">
        <v>12</v>
      </c>
      <c r="B92" s="51" t="s">
        <v>196</v>
      </c>
      <c r="C92" s="61" t="s">
        <v>195</v>
      </c>
      <c r="D92" s="61" t="s">
        <v>6</v>
      </c>
      <c r="E92" s="63">
        <v>390000</v>
      </c>
      <c r="F92" s="47" t="s">
        <v>4</v>
      </c>
      <c r="G92" s="51"/>
    </row>
    <row r="93" spans="1:7" ht="26.25" hidden="1" customHeight="1">
      <c r="A93" s="51" t="s">
        <v>12</v>
      </c>
      <c r="B93" s="51" t="s">
        <v>197</v>
      </c>
      <c r="C93" s="61" t="s">
        <v>195</v>
      </c>
      <c r="D93" s="61" t="s">
        <v>6</v>
      </c>
      <c r="E93" s="63">
        <v>150000</v>
      </c>
      <c r="F93" s="47" t="s">
        <v>4</v>
      </c>
      <c r="G93" s="51"/>
    </row>
    <row r="94" spans="1:7" ht="26.25" hidden="1" customHeight="1">
      <c r="A94" s="51" t="s">
        <v>12</v>
      </c>
      <c r="B94" s="51" t="s">
        <v>198</v>
      </c>
      <c r="C94" s="61" t="s">
        <v>199</v>
      </c>
      <c r="D94" s="61" t="s">
        <v>6</v>
      </c>
      <c r="E94" s="63">
        <f>18000*8</f>
        <v>144000</v>
      </c>
      <c r="F94" s="47" t="s">
        <v>4</v>
      </c>
      <c r="G94" s="51"/>
    </row>
    <row r="95" spans="1:7" ht="26.25" hidden="1" customHeight="1">
      <c r="A95" s="51" t="s">
        <v>12</v>
      </c>
      <c r="B95" s="51" t="s">
        <v>198</v>
      </c>
      <c r="C95" s="61" t="s">
        <v>199</v>
      </c>
      <c r="D95" s="61" t="s">
        <v>6</v>
      </c>
      <c r="E95" s="63">
        <f>57500*8</f>
        <v>460000</v>
      </c>
      <c r="F95" s="47" t="s">
        <v>4</v>
      </c>
      <c r="G95" s="51"/>
    </row>
    <row r="96" spans="1:7" ht="26.25" hidden="1" customHeight="1">
      <c r="A96" s="51" t="s">
        <v>12</v>
      </c>
      <c r="B96" s="51" t="s">
        <v>198</v>
      </c>
      <c r="C96" s="61" t="s">
        <v>199</v>
      </c>
      <c r="D96" s="61" t="s">
        <v>6</v>
      </c>
      <c r="E96" s="63">
        <v>100000</v>
      </c>
      <c r="F96" s="47" t="s">
        <v>4</v>
      </c>
      <c r="G96" s="51"/>
    </row>
    <row r="97" spans="1:8" ht="26.25" hidden="1" customHeight="1">
      <c r="A97" s="51" t="s">
        <v>12</v>
      </c>
      <c r="B97" s="54" t="s">
        <v>200</v>
      </c>
      <c r="C97" s="61" t="s">
        <v>201</v>
      </c>
      <c r="D97" s="61" t="s">
        <v>6</v>
      </c>
      <c r="E97" s="50">
        <f>16400*75</f>
        <v>1230000</v>
      </c>
      <c r="F97" s="47" t="s">
        <v>1</v>
      </c>
      <c r="G97" s="51"/>
    </row>
    <row r="98" spans="1:8" ht="26.25" hidden="1" customHeight="1">
      <c r="A98" s="51" t="s">
        <v>12</v>
      </c>
      <c r="B98" s="51" t="s">
        <v>202</v>
      </c>
      <c r="C98" s="61" t="s">
        <v>50</v>
      </c>
      <c r="D98" s="61" t="s">
        <v>6</v>
      </c>
      <c r="E98" s="63">
        <f>18000*10</f>
        <v>180000</v>
      </c>
      <c r="F98" s="47" t="s">
        <v>4</v>
      </c>
      <c r="G98" s="51"/>
    </row>
    <row r="99" spans="1:8" ht="26.25" hidden="1" customHeight="1">
      <c r="A99" s="51" t="s">
        <v>12</v>
      </c>
      <c r="B99" s="51" t="s">
        <v>202</v>
      </c>
      <c r="C99" s="61" t="s">
        <v>50</v>
      </c>
      <c r="D99" s="61" t="s">
        <v>8</v>
      </c>
      <c r="E99" s="62">
        <f>57500*10</f>
        <v>575000</v>
      </c>
      <c r="F99" s="47" t="s">
        <v>4</v>
      </c>
      <c r="G99" s="51"/>
    </row>
    <row r="100" spans="1:8" ht="26.25" hidden="1" customHeight="1">
      <c r="A100" s="51" t="s">
        <v>12</v>
      </c>
      <c r="B100" s="51" t="s">
        <v>202</v>
      </c>
      <c r="C100" s="61" t="s">
        <v>50</v>
      </c>
      <c r="D100" s="61" t="s">
        <v>7</v>
      </c>
      <c r="E100" s="63">
        <v>100000</v>
      </c>
      <c r="F100" s="47" t="s">
        <v>4</v>
      </c>
      <c r="G100" s="51"/>
    </row>
    <row r="101" spans="1:8" ht="26.25" hidden="1" customHeight="1">
      <c r="A101" s="51" t="s">
        <v>12</v>
      </c>
      <c r="B101" s="51" t="s">
        <v>203</v>
      </c>
      <c r="C101" s="61" t="s">
        <v>204</v>
      </c>
      <c r="D101" s="61" t="s">
        <v>6</v>
      </c>
      <c r="E101" s="63">
        <f>100000+10000+10000+10000</f>
        <v>130000</v>
      </c>
      <c r="F101" s="47" t="s">
        <v>4</v>
      </c>
      <c r="G101" s="51"/>
    </row>
    <row r="102" spans="1:8" ht="26.25" hidden="1" customHeight="1">
      <c r="A102" s="51" t="s">
        <v>12</v>
      </c>
      <c r="B102" s="51" t="s">
        <v>203</v>
      </c>
      <c r="C102" s="61" t="s">
        <v>204</v>
      </c>
      <c r="D102" s="61" t="s">
        <v>8</v>
      </c>
      <c r="E102" s="62">
        <f>57500*4</f>
        <v>230000</v>
      </c>
      <c r="F102" s="47" t="s">
        <v>4</v>
      </c>
      <c r="G102" s="51"/>
    </row>
    <row r="105" spans="1:8">
      <c r="C105" s="13" t="s">
        <v>20</v>
      </c>
      <c r="D105" s="13" t="s">
        <v>2</v>
      </c>
      <c r="E105" s="13" t="s">
        <v>3</v>
      </c>
      <c r="F105" s="13" t="s">
        <v>4</v>
      </c>
      <c r="G105" s="13" t="s">
        <v>1</v>
      </c>
      <c r="H105" s="97" t="s">
        <v>0</v>
      </c>
    </row>
    <row r="106" spans="1:8">
      <c r="C106" s="7" t="s">
        <v>6</v>
      </c>
      <c r="D106" s="90">
        <f>E3+E6+E17+E19+E21</f>
        <v>1187400</v>
      </c>
      <c r="E106" s="41">
        <f>E81+E75+E23</f>
        <v>173500</v>
      </c>
      <c r="F106" s="41">
        <f>E101+E98+E96+E95+E94+E93+E92+E89+E72+E25+E7</f>
        <v>4703400</v>
      </c>
      <c r="G106" s="41">
        <f>E97+E88+E86+E85+E84+E78+E71+E70+E69+E68+E67+E66+E65+E64+E63+E62+E61+E60+E59+E58+E57+E56+E55+E54+E53+E50+E49+E46+E43+E41+E39+E36+E35+E30+E29+E24+E13+E10</f>
        <v>7725899.3650000002</v>
      </c>
      <c r="H106" s="153">
        <f>SUM(D106:G106)</f>
        <v>13790199.365</v>
      </c>
    </row>
    <row r="107" spans="1:8">
      <c r="C107" s="7" t="s">
        <v>7</v>
      </c>
      <c r="D107" s="90">
        <f>E5+E18+E20+E22</f>
        <v>205650</v>
      </c>
      <c r="E107" s="41">
        <f>+E77+E83</f>
        <v>84000</v>
      </c>
      <c r="F107" s="150">
        <f>E8+E26+E74+E91+E100</f>
        <v>558250</v>
      </c>
      <c r="G107" s="41">
        <f>E87+E80+E52+E47+E45+E42+E38+E34+E31+E14+E12</f>
        <v>2597650</v>
      </c>
      <c r="H107" s="153">
        <f t="shared" ref="H107:H109" si="0">SUM(D107:G107)</f>
        <v>3445550</v>
      </c>
    </row>
    <row r="108" spans="1:8">
      <c r="C108" s="7" t="s">
        <v>8</v>
      </c>
      <c r="D108" s="90">
        <f>E16+E4</f>
        <v>123233.5</v>
      </c>
      <c r="E108" s="41">
        <f>E82+E76</f>
        <v>288400</v>
      </c>
      <c r="F108" s="150">
        <f>E102+E99+E90+E73+E27+E9</f>
        <v>4695750</v>
      </c>
      <c r="G108" s="150">
        <f>E79+E51+E48+E44+E40+E37+E32+E15+E11</f>
        <v>2726250</v>
      </c>
      <c r="H108" s="153">
        <f t="shared" si="0"/>
        <v>7833633.5</v>
      </c>
    </row>
    <row r="109" spans="1:8">
      <c r="C109" s="7" t="s">
        <v>9</v>
      </c>
      <c r="D109" s="90"/>
      <c r="E109" s="41"/>
      <c r="F109" s="7"/>
      <c r="G109" s="41">
        <f>E28+E33</f>
        <v>778612</v>
      </c>
      <c r="H109" s="153">
        <f t="shared" si="0"/>
        <v>778612</v>
      </c>
    </row>
    <row r="110" spans="1:8">
      <c r="C110" s="95" t="s">
        <v>0</v>
      </c>
      <c r="D110" s="152">
        <f>SUM(D106:D109)</f>
        <v>1516283.5</v>
      </c>
      <c r="E110" s="152">
        <f>SUM(E106:E109)</f>
        <v>545900</v>
      </c>
      <c r="F110" s="152">
        <f t="shared" ref="F110:G110" si="1">SUM(F106:F109)</f>
        <v>9957400</v>
      </c>
      <c r="G110" s="152">
        <f t="shared" si="1"/>
        <v>13828411.365</v>
      </c>
      <c r="H110" s="152">
        <f>SUM(H106:H109)</f>
        <v>25847994.865000002</v>
      </c>
    </row>
  </sheetData>
  <autoFilter ref="A2:G102" xr:uid="{0F92FD15-837B-7F4B-8E4F-F189A8DE8434}">
    <filterColumn colId="3">
      <filters>
        <filter val="Digital Platform"/>
      </filters>
    </filterColumn>
    <filterColumn colId="5">
      <filters>
        <filter val="Q1"/>
      </filters>
    </filterColumn>
  </autoFilter>
  <dataConsolidate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3BD0E2-B111-164D-932B-25CD8209C9BE}">
          <x14:formula1>
            <xm:f>'Period- Product Cat'!$A$1:$A$4</xm:f>
          </x14:formula1>
          <xm:sqref>F3:F104 F111:F225 E105</xm:sqref>
        </x14:dataValidation>
        <x14:dataValidation type="list" allowBlank="1" showInputMessage="1" showErrorMessage="1" xr:uid="{7E9BADB7-8DFA-6646-BCF3-B84501C552B9}">
          <x14:formula1>
            <xm:f>'Period- Product Cat'!$C$1:$C$6</xm:f>
          </x14:formula1>
          <xm:sqref>A103:A221</xm:sqref>
        </x14:dataValidation>
        <x14:dataValidation type="list" allowBlank="1" showInputMessage="1" showErrorMessage="1" xr:uid="{28C88275-4D7D-4E89-9E8F-140BC0C49D2A}">
          <x14:formula1>
            <xm:f>'Period- Product Cat'!$B$1:$B$4</xm:f>
          </x14:formula1>
          <xm:sqref>C105:C110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200D-17A3-B148-9080-EFECFAFDB01E}">
  <sheetPr codeName="Sheet7">
    <tabColor theme="9"/>
  </sheetPr>
  <dimension ref="A1:H64"/>
  <sheetViews>
    <sheetView topLeftCell="A31" zoomScaleNormal="80" workbookViewId="0">
      <selection activeCell="D32" sqref="D32"/>
    </sheetView>
  </sheetViews>
  <sheetFormatPr defaultColWidth="28.85546875" defaultRowHeight="18"/>
  <cols>
    <col min="1" max="1" width="17.85546875" style="7" customWidth="1"/>
    <col min="2" max="2" width="70.5703125" style="7" customWidth="1"/>
    <col min="3" max="3" width="31.140625" style="7" customWidth="1"/>
    <col min="4" max="4" width="25.85546875" style="14" customWidth="1"/>
    <col min="5" max="5" width="25.85546875" style="7" customWidth="1"/>
    <col min="6" max="6" width="26.42578125" style="14" customWidth="1"/>
    <col min="7" max="7" width="24" style="7" customWidth="1"/>
    <col min="8" max="8" width="23" style="7" customWidth="1"/>
    <col min="9" max="9" width="21.140625" style="7" customWidth="1"/>
    <col min="10" max="10" width="11.140625" style="7" customWidth="1"/>
    <col min="11" max="11" width="10.140625" style="7" customWidth="1"/>
    <col min="12" max="12" width="17.42578125" style="7" customWidth="1"/>
    <col min="13" max="16384" width="28.85546875" style="7"/>
  </cols>
  <sheetData>
    <row r="1" spans="1:8" s="15" customFormat="1" ht="20.25">
      <c r="A1" s="15" t="s">
        <v>26</v>
      </c>
      <c r="C1" s="37" t="s">
        <v>43</v>
      </c>
      <c r="D1" s="38">
        <f>'Target Total  '!L23</f>
        <v>69000000</v>
      </c>
      <c r="E1" s="33" t="s">
        <v>96</v>
      </c>
      <c r="F1" s="39">
        <f>SUM(E3:E53)</f>
        <v>72102475.053333372</v>
      </c>
      <c r="G1" s="36">
        <f>F1-D1</f>
        <v>3102475.0533333719</v>
      </c>
      <c r="H1" s="151"/>
    </row>
    <row r="2" spans="1:8" s="13" customFormat="1" ht="17.100000000000001" customHeight="1">
      <c r="A2" s="12" t="s">
        <v>18</v>
      </c>
      <c r="B2" s="12" t="s">
        <v>19</v>
      </c>
      <c r="C2" s="32" t="s">
        <v>51</v>
      </c>
      <c r="D2" s="12" t="s">
        <v>20</v>
      </c>
      <c r="E2" s="12" t="s">
        <v>22</v>
      </c>
      <c r="F2" s="12" t="s">
        <v>23</v>
      </c>
      <c r="G2" s="12" t="s">
        <v>25</v>
      </c>
    </row>
    <row r="3" spans="1:8" ht="20.45" customHeight="1">
      <c r="A3" s="44" t="s">
        <v>13</v>
      </c>
      <c r="B3" s="45" t="s">
        <v>27</v>
      </c>
      <c r="C3" s="46" t="s">
        <v>176</v>
      </c>
      <c r="D3" s="47" t="s">
        <v>7</v>
      </c>
      <c r="E3" s="94">
        <v>4180250</v>
      </c>
      <c r="F3" s="93" t="s">
        <v>2</v>
      </c>
      <c r="G3" s="44"/>
    </row>
    <row r="4" spans="1:8">
      <c r="A4" s="44" t="s">
        <v>13</v>
      </c>
      <c r="B4" s="45" t="s">
        <v>27</v>
      </c>
      <c r="C4" s="46" t="s">
        <v>176</v>
      </c>
      <c r="D4" s="47" t="s">
        <v>7</v>
      </c>
      <c r="E4" s="94">
        <v>4180250</v>
      </c>
      <c r="F4" s="93" t="s">
        <v>3</v>
      </c>
      <c r="G4" s="44"/>
    </row>
    <row r="5" spans="1:8">
      <c r="A5" s="44" t="s">
        <v>13</v>
      </c>
      <c r="B5" s="45" t="s">
        <v>27</v>
      </c>
      <c r="C5" s="46" t="s">
        <v>176</v>
      </c>
      <c r="D5" s="47" t="s">
        <v>7</v>
      </c>
      <c r="E5" s="94">
        <v>4180250</v>
      </c>
      <c r="F5" s="93" t="s">
        <v>4</v>
      </c>
      <c r="G5" s="44"/>
    </row>
    <row r="6" spans="1:8" ht="18.95" customHeight="1">
      <c r="A6" s="44" t="s">
        <v>13</v>
      </c>
      <c r="B6" s="45" t="s">
        <v>27</v>
      </c>
      <c r="C6" s="46" t="s">
        <v>176</v>
      </c>
      <c r="D6" s="47" t="s">
        <v>7</v>
      </c>
      <c r="E6" s="94">
        <v>4180250</v>
      </c>
      <c r="F6" s="93" t="s">
        <v>1</v>
      </c>
      <c r="G6" s="44"/>
    </row>
    <row r="7" spans="1:8" ht="18.95" customHeight="1">
      <c r="A7" s="44" t="s">
        <v>13</v>
      </c>
      <c r="B7" s="45" t="s">
        <v>27</v>
      </c>
      <c r="C7" s="46" t="s">
        <v>211</v>
      </c>
      <c r="D7" s="47" t="s">
        <v>6</v>
      </c>
      <c r="E7" s="48">
        <f>972000+120780</f>
        <v>1092780</v>
      </c>
      <c r="F7" s="47" t="s">
        <v>2</v>
      </c>
      <c r="G7" s="44"/>
    </row>
    <row r="8" spans="1:8">
      <c r="A8" s="44" t="s">
        <v>13</v>
      </c>
      <c r="B8" s="45" t="s">
        <v>27</v>
      </c>
      <c r="C8" s="46" t="s">
        <v>212</v>
      </c>
      <c r="D8" s="47" t="s">
        <v>6</v>
      </c>
      <c r="E8" s="48">
        <f>E7</f>
        <v>1092780</v>
      </c>
      <c r="F8" s="47" t="s">
        <v>1</v>
      </c>
      <c r="G8" s="44"/>
    </row>
    <row r="9" spans="1:8">
      <c r="A9" s="44" t="s">
        <v>13</v>
      </c>
      <c r="B9" s="45" t="s">
        <v>27</v>
      </c>
      <c r="C9" s="46" t="s">
        <v>213</v>
      </c>
      <c r="D9" s="47" t="s">
        <v>6</v>
      </c>
      <c r="E9" s="48">
        <f>59000*20</f>
        <v>1180000</v>
      </c>
      <c r="F9" s="47" t="s">
        <v>2</v>
      </c>
      <c r="G9" s="44"/>
    </row>
    <row r="10" spans="1:8">
      <c r="A10" s="44" t="s">
        <v>13</v>
      </c>
      <c r="B10" s="44" t="s">
        <v>97</v>
      </c>
      <c r="C10" s="47" t="s">
        <v>214</v>
      </c>
      <c r="D10" s="47" t="s">
        <v>6</v>
      </c>
      <c r="E10" s="48">
        <v>796648</v>
      </c>
      <c r="F10" s="47" t="s">
        <v>2</v>
      </c>
      <c r="G10" s="44"/>
    </row>
    <row r="11" spans="1:8">
      <c r="A11" s="44" t="s">
        <v>13</v>
      </c>
      <c r="B11" s="44" t="s">
        <v>98</v>
      </c>
      <c r="C11" s="47" t="s">
        <v>50</v>
      </c>
      <c r="D11" s="47" t="s">
        <v>7</v>
      </c>
      <c r="E11" s="48">
        <v>332408</v>
      </c>
      <c r="F11" s="47" t="s">
        <v>2</v>
      </c>
      <c r="G11" s="44"/>
    </row>
    <row r="12" spans="1:8">
      <c r="A12" s="44" t="s">
        <v>13</v>
      </c>
      <c r="B12" s="44" t="s">
        <v>98</v>
      </c>
      <c r="C12" s="47" t="s">
        <v>50</v>
      </c>
      <c r="D12" s="47" t="s">
        <v>7</v>
      </c>
      <c r="E12" s="48">
        <v>332408</v>
      </c>
      <c r="F12" s="47" t="s">
        <v>3</v>
      </c>
      <c r="G12" s="44"/>
    </row>
    <row r="13" spans="1:8">
      <c r="A13" s="44" t="s">
        <v>13</v>
      </c>
      <c r="B13" s="44" t="s">
        <v>98</v>
      </c>
      <c r="C13" s="47" t="s">
        <v>50</v>
      </c>
      <c r="D13" s="47" t="s">
        <v>7</v>
      </c>
      <c r="E13" s="48">
        <v>332408</v>
      </c>
      <c r="F13" s="47" t="s">
        <v>4</v>
      </c>
      <c r="G13" s="44"/>
    </row>
    <row r="14" spans="1:8">
      <c r="A14" s="44" t="s">
        <v>13</v>
      </c>
      <c r="B14" s="44" t="s">
        <v>98</v>
      </c>
      <c r="C14" s="47" t="s">
        <v>50</v>
      </c>
      <c r="D14" s="47" t="s">
        <v>7</v>
      </c>
      <c r="E14" s="48">
        <v>332408</v>
      </c>
      <c r="F14" s="47" t="s">
        <v>1</v>
      </c>
      <c r="G14" s="44"/>
    </row>
    <row r="15" spans="1:8">
      <c r="A15" s="44" t="s">
        <v>13</v>
      </c>
      <c r="B15" s="44" t="s">
        <v>215</v>
      </c>
      <c r="C15" s="47" t="s">
        <v>50</v>
      </c>
      <c r="D15" s="47" t="s">
        <v>6</v>
      </c>
      <c r="E15" s="48">
        <v>1294468.81</v>
      </c>
      <c r="F15" s="47" t="s">
        <v>2</v>
      </c>
      <c r="G15" s="44"/>
    </row>
    <row r="16" spans="1:8">
      <c r="A16" s="44" t="s">
        <v>13</v>
      </c>
      <c r="B16" s="44" t="s">
        <v>216</v>
      </c>
      <c r="C16" s="47" t="s">
        <v>50</v>
      </c>
      <c r="D16" s="47" t="s">
        <v>6</v>
      </c>
      <c r="E16" s="48">
        <v>755725</v>
      </c>
      <c r="F16" s="47" t="s">
        <v>2</v>
      </c>
      <c r="G16" s="44"/>
    </row>
    <row r="17" spans="1:7">
      <c r="A17" s="44" t="s">
        <v>13</v>
      </c>
      <c r="B17" s="44" t="s">
        <v>216</v>
      </c>
      <c r="C17" s="47" t="s">
        <v>50</v>
      </c>
      <c r="D17" s="47" t="s">
        <v>6</v>
      </c>
      <c r="E17" s="48">
        <f>39000*3</f>
        <v>117000</v>
      </c>
      <c r="F17" s="47" t="s">
        <v>2</v>
      </c>
      <c r="G17" s="44"/>
    </row>
    <row r="18" spans="1:7">
      <c r="A18" s="44" t="s">
        <v>13</v>
      </c>
      <c r="B18" s="44" t="s">
        <v>216</v>
      </c>
      <c r="C18" s="47" t="s">
        <v>50</v>
      </c>
      <c r="D18" s="47" t="s">
        <v>8</v>
      </c>
      <c r="E18" s="48">
        <f>85000*3</f>
        <v>255000</v>
      </c>
      <c r="F18" s="47" t="s">
        <v>3</v>
      </c>
      <c r="G18" s="44"/>
    </row>
    <row r="19" spans="1:7">
      <c r="A19" s="44" t="s">
        <v>13</v>
      </c>
      <c r="B19" s="44" t="s">
        <v>216</v>
      </c>
      <c r="C19" s="47" t="s">
        <v>50</v>
      </c>
      <c r="D19" s="47" t="s">
        <v>7</v>
      </c>
      <c r="E19" s="48">
        <f>3500*10</f>
        <v>35000</v>
      </c>
      <c r="F19" s="47" t="s">
        <v>3</v>
      </c>
      <c r="G19" s="44"/>
    </row>
    <row r="20" spans="1:7" ht="18" customHeight="1">
      <c r="A20" s="44" t="s">
        <v>13</v>
      </c>
      <c r="B20" s="44" t="s">
        <v>99</v>
      </c>
      <c r="C20" s="47" t="s">
        <v>50</v>
      </c>
      <c r="D20" s="47" t="s">
        <v>6</v>
      </c>
      <c r="E20" s="48">
        <v>311737.5</v>
      </c>
      <c r="F20" s="47" t="s">
        <v>2</v>
      </c>
      <c r="G20" s="44"/>
    </row>
    <row r="21" spans="1:7">
      <c r="A21" s="44" t="s">
        <v>13</v>
      </c>
      <c r="B21" s="44" t="s">
        <v>99</v>
      </c>
      <c r="C21" s="47" t="s">
        <v>50</v>
      </c>
      <c r="D21" s="47" t="s">
        <v>6</v>
      </c>
      <c r="E21" s="48">
        <v>311737.5</v>
      </c>
      <c r="F21" s="47" t="s">
        <v>3</v>
      </c>
      <c r="G21" s="44"/>
    </row>
    <row r="22" spans="1:7">
      <c r="A22" s="44" t="s">
        <v>13</v>
      </c>
      <c r="B22" s="44" t="s">
        <v>99</v>
      </c>
      <c r="C22" s="47" t="s">
        <v>50</v>
      </c>
      <c r="D22" s="47" t="s">
        <v>6</v>
      </c>
      <c r="E22" s="48">
        <v>311737.5</v>
      </c>
      <c r="F22" s="47" t="s">
        <v>4</v>
      </c>
      <c r="G22" s="44"/>
    </row>
    <row r="23" spans="1:7">
      <c r="A23" s="44" t="s">
        <v>13</v>
      </c>
      <c r="B23" s="44" t="s">
        <v>99</v>
      </c>
      <c r="C23" s="47" t="s">
        <v>50</v>
      </c>
      <c r="D23" s="47" t="s">
        <v>6</v>
      </c>
      <c r="E23" s="48">
        <v>311737.5</v>
      </c>
      <c r="F23" s="47" t="s">
        <v>1</v>
      </c>
      <c r="G23" s="44"/>
    </row>
    <row r="24" spans="1:7">
      <c r="A24" s="44" t="s">
        <v>13</v>
      </c>
      <c r="B24" s="44" t="s">
        <v>100</v>
      </c>
      <c r="C24" s="47" t="s">
        <v>50</v>
      </c>
      <c r="D24" s="47" t="s">
        <v>6</v>
      </c>
      <c r="E24" s="48">
        <v>767750</v>
      </c>
      <c r="F24" s="47" t="s">
        <v>4</v>
      </c>
      <c r="G24" s="44"/>
    </row>
    <row r="25" spans="1:7">
      <c r="A25" s="44" t="s">
        <v>13</v>
      </c>
      <c r="B25" s="44" t="s">
        <v>100</v>
      </c>
      <c r="C25" s="47" t="s">
        <v>217</v>
      </c>
      <c r="D25" s="47" t="s">
        <v>6</v>
      </c>
      <c r="E25" s="48">
        <f>(583775*50%)+(171475*50%)+(286187.5*50%)</f>
        <v>520718.75</v>
      </c>
      <c r="F25" s="47" t="s">
        <v>4</v>
      </c>
      <c r="G25" s="44"/>
    </row>
    <row r="26" spans="1:7">
      <c r="A26" s="44" t="s">
        <v>13</v>
      </c>
      <c r="B26" s="44" t="s">
        <v>100</v>
      </c>
      <c r="C26" s="47" t="s">
        <v>218</v>
      </c>
      <c r="D26" s="47" t="s">
        <v>6</v>
      </c>
      <c r="E26" s="48">
        <v>54000</v>
      </c>
      <c r="F26" s="47" t="s">
        <v>3</v>
      </c>
      <c r="G26" s="44"/>
    </row>
    <row r="27" spans="1:7">
      <c r="A27" s="44" t="s">
        <v>13</v>
      </c>
      <c r="B27" s="44" t="s">
        <v>101</v>
      </c>
      <c r="C27" s="47" t="s">
        <v>50</v>
      </c>
      <c r="D27" s="47" t="s">
        <v>6</v>
      </c>
      <c r="E27" s="48">
        <v>525960</v>
      </c>
      <c r="F27" s="47" t="s">
        <v>2</v>
      </c>
      <c r="G27" s="44"/>
    </row>
    <row r="28" spans="1:7">
      <c r="A28" s="44" t="s">
        <v>13</v>
      </c>
      <c r="B28" s="44" t="s">
        <v>101</v>
      </c>
      <c r="C28" s="47" t="s">
        <v>50</v>
      </c>
      <c r="D28" s="47" t="s">
        <v>6</v>
      </c>
      <c r="E28" s="48">
        <v>329600</v>
      </c>
      <c r="F28" s="47" t="s">
        <v>3</v>
      </c>
      <c r="G28" s="44"/>
    </row>
    <row r="29" spans="1:7">
      <c r="A29" s="44" t="s">
        <v>13</v>
      </c>
      <c r="B29" s="44" t="s">
        <v>102</v>
      </c>
      <c r="C29" s="47" t="s">
        <v>50</v>
      </c>
      <c r="D29" s="47" t="s">
        <v>8</v>
      </c>
      <c r="E29" s="48">
        <v>185700</v>
      </c>
      <c r="F29" s="47" t="s">
        <v>2</v>
      </c>
      <c r="G29" s="44"/>
    </row>
    <row r="30" spans="1:7">
      <c r="A30" s="44" t="s">
        <v>13</v>
      </c>
      <c r="B30" s="44" t="s">
        <v>102</v>
      </c>
      <c r="C30" s="47" t="s">
        <v>50</v>
      </c>
      <c r="D30" s="47" t="s">
        <v>8</v>
      </c>
      <c r="E30" s="48">
        <v>185700</v>
      </c>
      <c r="F30" s="47" t="s">
        <v>3</v>
      </c>
      <c r="G30" s="44"/>
    </row>
    <row r="31" spans="1:7">
      <c r="A31" s="44" t="s">
        <v>13</v>
      </c>
      <c r="B31" s="44" t="s">
        <v>102</v>
      </c>
      <c r="C31" s="47" t="s">
        <v>50</v>
      </c>
      <c r="D31" s="47" t="s">
        <v>8</v>
      </c>
      <c r="E31" s="48">
        <v>185700</v>
      </c>
      <c r="F31" s="47" t="s">
        <v>4</v>
      </c>
      <c r="G31" s="44"/>
    </row>
    <row r="32" spans="1:7">
      <c r="A32" s="44" t="s">
        <v>13</v>
      </c>
      <c r="B32" s="44" t="s">
        <v>102</v>
      </c>
      <c r="C32" s="47" t="s">
        <v>50</v>
      </c>
      <c r="D32" s="47" t="s">
        <v>8</v>
      </c>
      <c r="E32" s="48">
        <v>185700</v>
      </c>
      <c r="F32" s="47" t="s">
        <v>1</v>
      </c>
      <c r="G32" s="44"/>
    </row>
    <row r="33" spans="1:8" s="95" customFormat="1">
      <c r="A33" s="92" t="s">
        <v>13</v>
      </c>
      <c r="B33" s="92" t="s">
        <v>103</v>
      </c>
      <c r="C33" s="93" t="s">
        <v>50</v>
      </c>
      <c r="D33" s="93"/>
      <c r="E33" s="94"/>
      <c r="F33" s="93" t="s">
        <v>3</v>
      </c>
      <c r="G33" s="92"/>
      <c r="H33" s="7"/>
    </row>
    <row r="34" spans="1:8" s="95" customFormat="1">
      <c r="A34" s="92" t="s">
        <v>13</v>
      </c>
      <c r="B34" s="92" t="s">
        <v>103</v>
      </c>
      <c r="C34" s="93" t="s">
        <v>50</v>
      </c>
      <c r="D34" s="93"/>
      <c r="E34" s="94"/>
      <c r="F34" s="93" t="s">
        <v>4</v>
      </c>
      <c r="G34" s="92"/>
      <c r="H34" s="7"/>
    </row>
    <row r="35" spans="1:8" s="95" customFormat="1">
      <c r="A35" s="92" t="s">
        <v>13</v>
      </c>
      <c r="B35" s="92" t="s">
        <v>103</v>
      </c>
      <c r="C35" s="93" t="s">
        <v>50</v>
      </c>
      <c r="D35" s="93"/>
      <c r="E35" s="94"/>
      <c r="F35" s="93" t="s">
        <v>1</v>
      </c>
      <c r="G35" s="92"/>
      <c r="H35" s="7"/>
    </row>
    <row r="36" spans="1:8">
      <c r="A36" s="44" t="s">
        <v>13</v>
      </c>
      <c r="B36" s="7" t="s">
        <v>219</v>
      </c>
      <c r="C36" s="47" t="s">
        <v>220</v>
      </c>
      <c r="D36" s="47" t="s">
        <v>6</v>
      </c>
      <c r="E36" s="48">
        <v>12800000</v>
      </c>
      <c r="F36" s="47" t="s">
        <v>2</v>
      </c>
      <c r="G36" s="44"/>
    </row>
    <row r="37" spans="1:8">
      <c r="A37" s="44" t="s">
        <v>13</v>
      </c>
      <c r="B37" s="44" t="s">
        <v>219</v>
      </c>
      <c r="C37" s="47" t="s">
        <v>221</v>
      </c>
      <c r="D37" s="47" t="s">
        <v>6</v>
      </c>
      <c r="E37" s="48">
        <v>960000</v>
      </c>
      <c r="F37" s="47" t="s">
        <v>3</v>
      </c>
      <c r="G37" s="44"/>
    </row>
    <row r="38" spans="1:8">
      <c r="A38" s="44" t="s">
        <v>13</v>
      </c>
      <c r="B38" s="44" t="s">
        <v>219</v>
      </c>
      <c r="C38" s="47" t="s">
        <v>222</v>
      </c>
      <c r="D38" s="47" t="s">
        <v>8</v>
      </c>
      <c r="E38" s="48">
        <v>290000</v>
      </c>
      <c r="F38" s="47" t="s">
        <v>3</v>
      </c>
      <c r="G38" s="44"/>
    </row>
    <row r="39" spans="1:8">
      <c r="A39" s="44" t="s">
        <v>13</v>
      </c>
      <c r="B39" s="7" t="s">
        <v>219</v>
      </c>
      <c r="C39" s="47" t="s">
        <v>222</v>
      </c>
      <c r="D39" s="47" t="s">
        <v>7</v>
      </c>
      <c r="E39" s="48">
        <v>300000</v>
      </c>
      <c r="F39" s="47" t="s">
        <v>3</v>
      </c>
      <c r="G39" s="44"/>
    </row>
    <row r="40" spans="1:8">
      <c r="A40" s="44" t="s">
        <v>13</v>
      </c>
      <c r="B40" s="44" t="s">
        <v>219</v>
      </c>
      <c r="C40" s="47" t="s">
        <v>223</v>
      </c>
      <c r="D40" s="47" t="s">
        <v>6</v>
      </c>
      <c r="E40" s="48">
        <f>29000000*20%</f>
        <v>5800000</v>
      </c>
      <c r="F40" s="47" t="s">
        <v>3</v>
      </c>
      <c r="G40" s="44"/>
    </row>
    <row r="41" spans="1:8">
      <c r="A41" s="44" t="s">
        <v>13</v>
      </c>
      <c r="B41" s="44" t="s">
        <v>219</v>
      </c>
      <c r="C41" s="47" t="s">
        <v>223</v>
      </c>
      <c r="D41" s="47" t="s">
        <v>6</v>
      </c>
      <c r="E41" s="48">
        <f>29000000*30%</f>
        <v>8700000</v>
      </c>
      <c r="F41" s="47" t="s">
        <v>1</v>
      </c>
      <c r="G41" s="44"/>
    </row>
    <row r="42" spans="1:8">
      <c r="A42" s="44" t="s">
        <v>13</v>
      </c>
      <c r="B42" s="45" t="s">
        <v>311</v>
      </c>
      <c r="C42" s="171" t="s">
        <v>314</v>
      </c>
      <c r="D42" s="47" t="s">
        <v>7</v>
      </c>
      <c r="E42" s="170">
        <v>2881971.458333333</v>
      </c>
      <c r="F42" s="14" t="s">
        <v>2</v>
      </c>
      <c r="H42" s="41"/>
    </row>
    <row r="43" spans="1:8">
      <c r="A43" s="44" t="s">
        <v>13</v>
      </c>
      <c r="B43" s="45" t="s">
        <v>311</v>
      </c>
      <c r="C43" s="171" t="s">
        <v>314</v>
      </c>
      <c r="D43" s="47" t="s">
        <v>7</v>
      </c>
      <c r="E43" s="170">
        <v>2881971.458333333</v>
      </c>
      <c r="F43" s="47" t="s">
        <v>3</v>
      </c>
    </row>
    <row r="44" spans="1:8">
      <c r="A44" s="44" t="s">
        <v>13</v>
      </c>
      <c r="B44" s="45" t="s">
        <v>311</v>
      </c>
      <c r="C44" s="171" t="s">
        <v>314</v>
      </c>
      <c r="D44" s="47" t="s">
        <v>7</v>
      </c>
      <c r="E44" s="170">
        <v>2881971.458333333</v>
      </c>
      <c r="F44" s="47" t="s">
        <v>4</v>
      </c>
    </row>
    <row r="45" spans="1:8">
      <c r="A45" s="44" t="s">
        <v>13</v>
      </c>
      <c r="B45" s="45" t="s">
        <v>311</v>
      </c>
      <c r="C45" s="171" t="s">
        <v>314</v>
      </c>
      <c r="D45" s="47" t="s">
        <v>7</v>
      </c>
      <c r="E45" s="170">
        <v>2881971.458333333</v>
      </c>
      <c r="F45" s="47" t="s">
        <v>1</v>
      </c>
    </row>
    <row r="46" spans="1:8">
      <c r="A46" s="44" t="s">
        <v>13</v>
      </c>
      <c r="B46" s="7" t="s">
        <v>312</v>
      </c>
      <c r="C46" s="171" t="s">
        <v>315</v>
      </c>
      <c r="D46" s="47" t="s">
        <v>7</v>
      </c>
      <c r="E46" s="90">
        <v>318090</v>
      </c>
      <c r="F46" s="14" t="s">
        <v>2</v>
      </c>
      <c r="H46" s="41"/>
    </row>
    <row r="47" spans="1:8">
      <c r="A47" s="44" t="s">
        <v>13</v>
      </c>
      <c r="B47" s="7" t="s">
        <v>312</v>
      </c>
      <c r="C47" s="171" t="s">
        <v>315</v>
      </c>
      <c r="D47" s="47" t="s">
        <v>7</v>
      </c>
      <c r="E47" s="90">
        <v>318090</v>
      </c>
      <c r="F47" s="47" t="s">
        <v>3</v>
      </c>
    </row>
    <row r="48" spans="1:8">
      <c r="A48" s="44" t="s">
        <v>13</v>
      </c>
      <c r="B48" s="7" t="s">
        <v>312</v>
      </c>
      <c r="C48" s="171" t="s">
        <v>315</v>
      </c>
      <c r="D48" s="47" t="s">
        <v>7</v>
      </c>
      <c r="E48" s="90">
        <v>318090</v>
      </c>
      <c r="F48" s="47" t="s">
        <v>4</v>
      </c>
    </row>
    <row r="49" spans="1:8">
      <c r="A49" s="44" t="s">
        <v>13</v>
      </c>
      <c r="B49" s="7" t="s">
        <v>312</v>
      </c>
      <c r="C49" s="171" t="s">
        <v>315</v>
      </c>
      <c r="D49" s="47" t="s">
        <v>7</v>
      </c>
      <c r="E49" s="90">
        <v>318090</v>
      </c>
      <c r="F49" s="47" t="s">
        <v>1</v>
      </c>
    </row>
    <row r="50" spans="1:8">
      <c r="A50" s="44" t="s">
        <v>13</v>
      </c>
      <c r="B50" s="7" t="s">
        <v>313</v>
      </c>
      <c r="C50" s="171" t="s">
        <v>316</v>
      </c>
      <c r="D50" s="47" t="s">
        <v>7</v>
      </c>
      <c r="E50" s="41">
        <v>398604.16499999998</v>
      </c>
      <c r="F50" s="14" t="s">
        <v>2</v>
      </c>
      <c r="G50" s="41"/>
    </row>
    <row r="51" spans="1:8">
      <c r="A51" s="44" t="s">
        <v>13</v>
      </c>
      <c r="B51" s="7" t="s">
        <v>313</v>
      </c>
      <c r="C51" s="171" t="s">
        <v>316</v>
      </c>
      <c r="D51" s="47" t="s">
        <v>7</v>
      </c>
      <c r="E51" s="41">
        <v>398604.16499999998</v>
      </c>
      <c r="F51" s="47" t="s">
        <v>3</v>
      </c>
    </row>
    <row r="52" spans="1:8">
      <c r="A52" s="44" t="s">
        <v>13</v>
      </c>
      <c r="B52" s="7" t="s">
        <v>313</v>
      </c>
      <c r="C52" s="171" t="s">
        <v>316</v>
      </c>
      <c r="D52" s="47" t="s">
        <v>7</v>
      </c>
      <c r="E52" s="41">
        <v>398604.16499999998</v>
      </c>
      <c r="F52" s="47" t="s">
        <v>4</v>
      </c>
    </row>
    <row r="53" spans="1:8">
      <c r="A53" s="44" t="s">
        <v>13</v>
      </c>
      <c r="B53" s="7" t="s">
        <v>313</v>
      </c>
      <c r="C53" s="171" t="s">
        <v>316</v>
      </c>
      <c r="D53" s="47" t="s">
        <v>7</v>
      </c>
      <c r="E53" s="41">
        <v>398604.16499999998</v>
      </c>
      <c r="F53" s="47" t="s">
        <v>1</v>
      </c>
    </row>
    <row r="54" spans="1:8">
      <c r="E54" s="41"/>
    </row>
    <row r="55" spans="1:8">
      <c r="C55" s="13" t="s">
        <v>20</v>
      </c>
      <c r="D55" s="13" t="s">
        <v>2</v>
      </c>
      <c r="E55" s="13" t="s">
        <v>3</v>
      </c>
      <c r="F55" s="13" t="s">
        <v>4</v>
      </c>
      <c r="G55" s="13" t="s">
        <v>1</v>
      </c>
      <c r="H55" s="97" t="s">
        <v>0</v>
      </c>
    </row>
    <row r="56" spans="1:8">
      <c r="C56" s="7" t="s">
        <v>6</v>
      </c>
      <c r="D56" s="90">
        <f>E7+E9+E10+E15+E16+E17+E20+E27+E36</f>
        <v>18874319.310000002</v>
      </c>
      <c r="E56" s="41">
        <f>E21+E26+E28+E37+E40</f>
        <v>7455337.5</v>
      </c>
      <c r="F56" s="41">
        <f>E22+E24+E25</f>
        <v>1600206.25</v>
      </c>
      <c r="G56" s="41">
        <f>E8+E23+E41</f>
        <v>10104517.5</v>
      </c>
      <c r="H56" s="153">
        <f>SUM(D56:G56)</f>
        <v>38034380.560000002</v>
      </c>
    </row>
    <row r="57" spans="1:8">
      <c r="C57" s="7" t="s">
        <v>7</v>
      </c>
      <c r="D57" s="90">
        <f>E3+E11+E42+E46+E50</f>
        <v>8111323.6233333331</v>
      </c>
      <c r="E57" s="41">
        <f>E4+E12+E19+E39+E43+E47+E51</f>
        <v>8446323.6233333331</v>
      </c>
      <c r="F57" s="150">
        <f>E5+E13+E44+E48+E52</f>
        <v>8111323.6233333331</v>
      </c>
      <c r="G57" s="41">
        <f>E6+E14+E45+E49+E53</f>
        <v>8111323.6233333331</v>
      </c>
      <c r="H57" s="153">
        <f t="shared" ref="H57:H58" si="0">SUM(D57:G57)</f>
        <v>32780294.493333332</v>
      </c>
    </row>
    <row r="58" spans="1:8">
      <c r="C58" s="7" t="s">
        <v>8</v>
      </c>
      <c r="D58" s="90">
        <f>E29</f>
        <v>185700</v>
      </c>
      <c r="E58" s="41">
        <f>E18+E30+E38</f>
        <v>730700</v>
      </c>
      <c r="F58" s="150">
        <f>E31</f>
        <v>185700</v>
      </c>
      <c r="G58" s="150">
        <f>E32</f>
        <v>185700</v>
      </c>
      <c r="H58" s="153">
        <f t="shared" si="0"/>
        <v>1287800</v>
      </c>
    </row>
    <row r="59" spans="1:8">
      <c r="C59" s="7" t="s">
        <v>9</v>
      </c>
      <c r="D59" s="90"/>
      <c r="E59" s="41"/>
      <c r="F59" s="7"/>
      <c r="H59" s="154"/>
    </row>
    <row r="60" spans="1:8">
      <c r="C60" s="95" t="s">
        <v>0</v>
      </c>
      <c r="D60" s="152">
        <f>SUM(D56:D59)</f>
        <v>27171342.933333337</v>
      </c>
      <c r="E60" s="152">
        <f>SUM(E56:E59)</f>
        <v>16632361.123333333</v>
      </c>
      <c r="F60" s="152">
        <f t="shared" ref="F60:G60" si="1">SUM(F56:F59)</f>
        <v>9897229.8733333331</v>
      </c>
      <c r="G60" s="152">
        <f t="shared" si="1"/>
        <v>18401541.123333335</v>
      </c>
      <c r="H60" s="152">
        <f>SUM(H56:H59)</f>
        <v>72102475.053333342</v>
      </c>
    </row>
    <row r="62" spans="1:8">
      <c r="D62" s="90">
        <v>11527885.833333332</v>
      </c>
    </row>
    <row r="63" spans="1:8">
      <c r="D63" s="90">
        <v>1272360</v>
      </c>
    </row>
    <row r="64" spans="1:8">
      <c r="D64" s="90">
        <v>1594416.66</v>
      </c>
    </row>
  </sheetData>
  <autoFilter ref="A2:G41" xr:uid="{1435200D-17A3-B148-9080-EFECFAFDB01E}"/>
  <dataConsolidate/>
  <phoneticPr fontId="1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D62C972-5BA9-F847-8E32-1B9FA724A2EA}">
          <x14:formula1>
            <xm:f>'Period- Product Cat'!$C$1:$C$6</xm:f>
          </x14:formula1>
          <xm:sqref>A55:A254</xm:sqref>
        </x14:dataValidation>
        <x14:dataValidation type="list" allowBlank="1" showInputMessage="1" showErrorMessage="1" xr:uid="{24D4E29B-A818-4147-8594-D9236D4B33D0}">
          <x14:formula1>
            <xm:f>'Period- Product Cat'!$B$1:$B$4</xm:f>
          </x14:formula1>
          <xm:sqref>C55:C60 D61:D86 D54</xm:sqref>
        </x14:dataValidation>
        <x14:dataValidation type="list" allowBlank="1" showInputMessage="1" showErrorMessage="1" xr:uid="{225E73F5-ED19-6740-B2B3-C1537DB52166}">
          <x14:formula1>
            <xm:f>'Period- Product Cat'!$A$1:$A$4</xm:f>
          </x14:formula1>
          <xm:sqref>E55 F61:F258 F54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0489-8FD8-A44C-849F-12C063CB9B36}">
  <sheetPr codeName="Sheet6">
    <tabColor theme="9"/>
  </sheetPr>
  <dimension ref="A1:K40"/>
  <sheetViews>
    <sheetView topLeftCell="G7" zoomScale="92" zoomScaleNormal="90" workbookViewId="0">
      <selection activeCell="K18" sqref="K18"/>
    </sheetView>
  </sheetViews>
  <sheetFormatPr defaultColWidth="28.85546875" defaultRowHeight="18"/>
  <cols>
    <col min="1" max="1" width="28.85546875" style="7"/>
    <col min="2" max="2" width="33.140625" style="7" customWidth="1"/>
    <col min="3" max="3" width="32" style="7" customWidth="1"/>
    <col min="4" max="4" width="28.5703125" style="14" customWidth="1"/>
    <col min="5" max="5" width="25" style="7" customWidth="1"/>
    <col min="6" max="6" width="28.85546875" style="14"/>
    <col min="7" max="7" width="23.140625" style="7" customWidth="1"/>
    <col min="8" max="8" width="22.5703125" style="14" customWidth="1"/>
    <col min="9" max="9" width="11" style="7" customWidth="1"/>
    <col min="10" max="10" width="22" style="7" customWidth="1"/>
    <col min="11" max="11" width="19.140625" style="7" customWidth="1"/>
    <col min="12" max="16384" width="28.85546875" style="7"/>
  </cols>
  <sheetData>
    <row r="1" spans="1:11" s="15" customFormat="1" ht="20.25">
      <c r="A1" s="15" t="s">
        <v>26</v>
      </c>
      <c r="C1" s="37" t="s">
        <v>43</v>
      </c>
      <c r="D1" s="38">
        <f>'Target Total  '!L28</f>
        <v>139000000</v>
      </c>
      <c r="E1" s="33" t="s">
        <v>96</v>
      </c>
      <c r="F1" s="39">
        <f>SUM(E3:E25)</f>
        <v>190221760</v>
      </c>
      <c r="G1" s="36">
        <f>F1-D1</f>
        <v>51221760</v>
      </c>
      <c r="H1" s="159"/>
    </row>
    <row r="2" spans="1:11" s="13" customFormat="1">
      <c r="A2" s="12" t="s">
        <v>18</v>
      </c>
      <c r="B2" s="12" t="s">
        <v>19</v>
      </c>
      <c r="C2" s="12" t="s">
        <v>21</v>
      </c>
      <c r="D2" s="12" t="s">
        <v>20</v>
      </c>
      <c r="E2" s="12" t="s">
        <v>22</v>
      </c>
      <c r="F2" s="12" t="s">
        <v>23</v>
      </c>
      <c r="G2" s="12" t="s">
        <v>25</v>
      </c>
      <c r="H2" s="12" t="s">
        <v>294</v>
      </c>
      <c r="I2" s="12" t="s">
        <v>293</v>
      </c>
    </row>
    <row r="3" spans="1:11">
      <c r="A3" s="7" t="s">
        <v>15</v>
      </c>
      <c r="B3" s="7" t="s">
        <v>282</v>
      </c>
      <c r="C3" s="7" t="s">
        <v>24</v>
      </c>
      <c r="D3" s="14" t="s">
        <v>9</v>
      </c>
      <c r="E3" s="89">
        <v>2000000</v>
      </c>
      <c r="F3" s="14" t="s">
        <v>2</v>
      </c>
      <c r="G3" s="89">
        <f>E3*50%</f>
        <v>1000000</v>
      </c>
      <c r="H3" s="14" t="s">
        <v>299</v>
      </c>
      <c r="J3" s="90"/>
    </row>
    <row r="4" spans="1:11">
      <c r="A4" s="7" t="s">
        <v>15</v>
      </c>
      <c r="B4" s="7" t="s">
        <v>282</v>
      </c>
      <c r="C4" s="7" t="s">
        <v>24</v>
      </c>
      <c r="D4" s="14" t="s">
        <v>9</v>
      </c>
      <c r="E4" s="89">
        <v>6000000</v>
      </c>
      <c r="F4" s="14" t="s">
        <v>3</v>
      </c>
      <c r="G4" s="89">
        <f t="shared" ref="G4:G6" si="0">E4*50%</f>
        <v>3000000</v>
      </c>
      <c r="H4" s="14" t="s">
        <v>299</v>
      </c>
      <c r="J4" s="90"/>
    </row>
    <row r="5" spans="1:11">
      <c r="A5" s="7" t="s">
        <v>15</v>
      </c>
      <c r="B5" s="7" t="s">
        <v>282</v>
      </c>
      <c r="C5" s="7" t="s">
        <v>24</v>
      </c>
      <c r="D5" s="14" t="s">
        <v>9</v>
      </c>
      <c r="E5" s="89">
        <v>17000000</v>
      </c>
      <c r="F5" s="14" t="s">
        <v>4</v>
      </c>
      <c r="G5" s="89">
        <f t="shared" si="0"/>
        <v>8500000</v>
      </c>
      <c r="H5" s="14" t="s">
        <v>299</v>
      </c>
      <c r="J5" s="90"/>
    </row>
    <row r="6" spans="1:11">
      <c r="A6" s="7" t="s">
        <v>15</v>
      </c>
      <c r="B6" s="7" t="s">
        <v>282</v>
      </c>
      <c r="C6" s="7" t="s">
        <v>24</v>
      </c>
      <c r="D6" s="14" t="s">
        <v>9</v>
      </c>
      <c r="E6" s="89">
        <v>17000000</v>
      </c>
      <c r="F6" s="14" t="s">
        <v>1</v>
      </c>
      <c r="G6" s="89">
        <f t="shared" si="0"/>
        <v>8500000</v>
      </c>
      <c r="H6" s="14" t="s">
        <v>299</v>
      </c>
      <c r="J6" s="90"/>
    </row>
    <row r="7" spans="1:11">
      <c r="A7" s="7" t="s">
        <v>15</v>
      </c>
      <c r="B7" s="7" t="s">
        <v>281</v>
      </c>
      <c r="C7" s="7" t="s">
        <v>283</v>
      </c>
      <c r="D7" s="14" t="s">
        <v>7</v>
      </c>
      <c r="E7" s="89">
        <v>8500000</v>
      </c>
      <c r="F7" s="14" t="s">
        <v>2</v>
      </c>
      <c r="G7" s="89"/>
      <c r="H7" s="14" t="s">
        <v>301</v>
      </c>
      <c r="J7" s="90"/>
    </row>
    <row r="8" spans="1:11">
      <c r="A8" s="7" t="s">
        <v>15</v>
      </c>
      <c r="B8" s="7" t="s">
        <v>281</v>
      </c>
      <c r="C8" s="7" t="s">
        <v>283</v>
      </c>
      <c r="D8" s="14" t="s">
        <v>7</v>
      </c>
      <c r="E8" s="89">
        <v>8500000</v>
      </c>
      <c r="F8" s="14" t="s">
        <v>3</v>
      </c>
      <c r="G8" s="89"/>
      <c r="H8" s="14" t="s">
        <v>301</v>
      </c>
      <c r="J8" s="90"/>
    </row>
    <row r="9" spans="1:11">
      <c r="A9" s="7" t="s">
        <v>15</v>
      </c>
      <c r="B9" s="7" t="s">
        <v>281</v>
      </c>
      <c r="C9" s="7" t="s">
        <v>283</v>
      </c>
      <c r="D9" s="14" t="s">
        <v>7</v>
      </c>
      <c r="E9" s="89">
        <v>8500000</v>
      </c>
      <c r="F9" s="14" t="s">
        <v>4</v>
      </c>
      <c r="G9" s="89"/>
      <c r="H9" s="14" t="s">
        <v>301</v>
      </c>
      <c r="J9" s="90"/>
    </row>
    <row r="10" spans="1:11">
      <c r="A10" s="7" t="s">
        <v>15</v>
      </c>
      <c r="B10" s="7" t="s">
        <v>281</v>
      </c>
      <c r="C10" s="7" t="s">
        <v>283</v>
      </c>
      <c r="D10" s="14" t="s">
        <v>7</v>
      </c>
      <c r="E10" s="89">
        <v>8500000</v>
      </c>
      <c r="F10" s="14" t="s">
        <v>1</v>
      </c>
      <c r="G10" s="89"/>
      <c r="H10" s="14" t="s">
        <v>301</v>
      </c>
      <c r="J10" s="90"/>
    </row>
    <row r="11" spans="1:11">
      <c r="A11" s="7" t="s">
        <v>15</v>
      </c>
      <c r="B11" s="7" t="s">
        <v>284</v>
      </c>
      <c r="C11" s="7" t="s">
        <v>285</v>
      </c>
      <c r="D11" s="14" t="s">
        <v>8</v>
      </c>
      <c r="E11" s="89">
        <f>(31280*350)</f>
        <v>10948000</v>
      </c>
      <c r="F11" s="14" t="s">
        <v>2</v>
      </c>
      <c r="G11" s="89"/>
      <c r="H11" s="14" t="s">
        <v>300</v>
      </c>
      <c r="I11" s="7" t="s">
        <v>286</v>
      </c>
      <c r="J11" s="175" t="s">
        <v>317</v>
      </c>
      <c r="K11" s="176"/>
    </row>
    <row r="12" spans="1:11">
      <c r="A12" s="7" t="s">
        <v>15</v>
      </c>
      <c r="B12" s="7" t="s">
        <v>284</v>
      </c>
      <c r="C12" s="7" t="s">
        <v>285</v>
      </c>
      <c r="D12" s="162" t="s">
        <v>8</v>
      </c>
      <c r="E12" s="160">
        <f>(31280*(88*3))</f>
        <v>8257920</v>
      </c>
      <c r="F12" s="162" t="s">
        <v>3</v>
      </c>
      <c r="G12" s="160"/>
      <c r="H12" s="162" t="s">
        <v>300</v>
      </c>
      <c r="I12" s="161"/>
      <c r="J12" s="177">
        <v>10948000</v>
      </c>
      <c r="K12" s="160"/>
    </row>
    <row r="13" spans="1:11">
      <c r="A13" s="7" t="s">
        <v>15</v>
      </c>
      <c r="B13" s="7" t="s">
        <v>284</v>
      </c>
      <c r="C13" s="7" t="s">
        <v>285</v>
      </c>
      <c r="D13" s="162" t="s">
        <v>8</v>
      </c>
      <c r="E13" s="160">
        <f>(31280*(88*3))</f>
        <v>8257920</v>
      </c>
      <c r="F13" s="162" t="s">
        <v>4</v>
      </c>
      <c r="G13" s="160"/>
      <c r="H13" s="162" t="s">
        <v>300</v>
      </c>
      <c r="I13" s="161"/>
      <c r="J13" s="177">
        <v>12512000</v>
      </c>
      <c r="K13" s="160"/>
    </row>
    <row r="14" spans="1:11">
      <c r="A14" s="7" t="s">
        <v>15</v>
      </c>
      <c r="B14" s="7" t="s">
        <v>284</v>
      </c>
      <c r="C14" s="7" t="s">
        <v>285</v>
      </c>
      <c r="D14" s="162" t="s">
        <v>8</v>
      </c>
      <c r="E14" s="160">
        <f>(31280*(88*3))</f>
        <v>8257920</v>
      </c>
      <c r="F14" s="162" t="s">
        <v>1</v>
      </c>
      <c r="G14" s="160"/>
      <c r="H14" s="162" t="s">
        <v>300</v>
      </c>
      <c r="I14" s="161"/>
      <c r="J14" s="177">
        <v>12512000</v>
      </c>
      <c r="K14" s="160"/>
    </row>
    <row r="15" spans="1:11">
      <c r="A15" s="7" t="s">
        <v>15</v>
      </c>
      <c r="B15" s="7" t="s">
        <v>290</v>
      </c>
      <c r="C15" s="7" t="s">
        <v>291</v>
      </c>
      <c r="D15" s="14" t="s">
        <v>8</v>
      </c>
      <c r="E15" s="89">
        <f>20000000*10%</f>
        <v>2000000</v>
      </c>
      <c r="F15" s="14" t="s">
        <v>2</v>
      </c>
      <c r="G15" s="89">
        <f>E15*95%</f>
        <v>1900000</v>
      </c>
      <c r="H15" s="14" t="s">
        <v>295</v>
      </c>
      <c r="J15" s="90"/>
    </row>
    <row r="16" spans="1:11">
      <c r="A16" s="7" t="s">
        <v>15</v>
      </c>
      <c r="B16" s="7" t="s">
        <v>290</v>
      </c>
      <c r="C16" s="7" t="s">
        <v>291</v>
      </c>
      <c r="D16" s="14" t="s">
        <v>8</v>
      </c>
      <c r="E16" s="89">
        <f>20000000*30%</f>
        <v>6000000</v>
      </c>
      <c r="F16" s="14" t="s">
        <v>3</v>
      </c>
      <c r="G16" s="89">
        <f t="shared" ref="G16:G18" si="1">E16*95%</f>
        <v>5700000</v>
      </c>
      <c r="H16" s="14" t="s">
        <v>295</v>
      </c>
      <c r="J16" s="90"/>
    </row>
    <row r="17" spans="1:10">
      <c r="A17" s="7" t="s">
        <v>15</v>
      </c>
      <c r="B17" s="7" t="s">
        <v>290</v>
      </c>
      <c r="C17" s="7" t="s">
        <v>291</v>
      </c>
      <c r="D17" s="14" t="s">
        <v>8</v>
      </c>
      <c r="E17" s="89">
        <f>20000000*30%</f>
        <v>6000000</v>
      </c>
      <c r="F17" s="14" t="s">
        <v>4</v>
      </c>
      <c r="G17" s="89">
        <f t="shared" si="1"/>
        <v>5700000</v>
      </c>
      <c r="H17" s="14" t="s">
        <v>295</v>
      </c>
      <c r="J17" s="90"/>
    </row>
    <row r="18" spans="1:10">
      <c r="A18" s="7" t="s">
        <v>15</v>
      </c>
      <c r="B18" s="7" t="s">
        <v>290</v>
      </c>
      <c r="C18" s="7" t="s">
        <v>291</v>
      </c>
      <c r="D18" s="14" t="s">
        <v>8</v>
      </c>
      <c r="E18" s="89">
        <f>20000000*30%</f>
        <v>6000000</v>
      </c>
      <c r="F18" s="14" t="s">
        <v>1</v>
      </c>
      <c r="G18" s="89">
        <f t="shared" si="1"/>
        <v>5700000</v>
      </c>
      <c r="H18" s="14" t="s">
        <v>295</v>
      </c>
      <c r="J18" s="90"/>
    </row>
    <row r="19" spans="1:10">
      <c r="A19" s="95" t="s">
        <v>15</v>
      </c>
      <c r="B19" s="95" t="s">
        <v>290</v>
      </c>
      <c r="C19" s="95" t="s">
        <v>296</v>
      </c>
      <c r="D19" s="97" t="s">
        <v>9</v>
      </c>
      <c r="E19" s="96">
        <f>50000000*10%</f>
        <v>5000000</v>
      </c>
      <c r="F19" s="97" t="s">
        <v>2</v>
      </c>
      <c r="G19" s="96"/>
      <c r="H19" s="97" t="s">
        <v>295</v>
      </c>
      <c r="J19" s="90"/>
    </row>
    <row r="20" spans="1:10">
      <c r="A20" s="95" t="s">
        <v>15</v>
      </c>
      <c r="B20" s="95" t="s">
        <v>290</v>
      </c>
      <c r="C20" s="95" t="s">
        <v>296</v>
      </c>
      <c r="D20" s="97" t="s">
        <v>9</v>
      </c>
      <c r="E20" s="96">
        <f>50000000*30%</f>
        <v>15000000</v>
      </c>
      <c r="F20" s="97" t="s">
        <v>3</v>
      </c>
      <c r="G20" s="96"/>
      <c r="H20" s="97" t="s">
        <v>295</v>
      </c>
      <c r="J20" s="90"/>
    </row>
    <row r="21" spans="1:10">
      <c r="A21" s="95" t="s">
        <v>15</v>
      </c>
      <c r="B21" s="95" t="s">
        <v>290</v>
      </c>
      <c r="C21" s="95" t="s">
        <v>296</v>
      </c>
      <c r="D21" s="97" t="s">
        <v>9</v>
      </c>
      <c r="E21" s="96">
        <f t="shared" ref="E21:E22" si="2">50000000*30%</f>
        <v>15000000</v>
      </c>
      <c r="F21" s="97" t="s">
        <v>4</v>
      </c>
      <c r="G21" s="96"/>
      <c r="H21" s="97" t="s">
        <v>295</v>
      </c>
      <c r="J21" s="90"/>
    </row>
    <row r="22" spans="1:10">
      <c r="A22" s="95" t="s">
        <v>15</v>
      </c>
      <c r="B22" s="95" t="s">
        <v>290</v>
      </c>
      <c r="C22" s="95" t="s">
        <v>296</v>
      </c>
      <c r="D22" s="97" t="s">
        <v>9</v>
      </c>
      <c r="E22" s="96">
        <f t="shared" si="2"/>
        <v>15000000</v>
      </c>
      <c r="F22" s="97" t="s">
        <v>1</v>
      </c>
      <c r="G22" s="96"/>
      <c r="H22" s="97" t="s">
        <v>295</v>
      </c>
      <c r="J22" s="90"/>
    </row>
    <row r="23" spans="1:10">
      <c r="A23" s="7" t="s">
        <v>15</v>
      </c>
      <c r="B23" s="7" t="s">
        <v>287</v>
      </c>
      <c r="C23" s="7" t="s">
        <v>288</v>
      </c>
      <c r="D23" s="14" t="s">
        <v>9</v>
      </c>
      <c r="E23" s="149">
        <v>1000000</v>
      </c>
      <c r="F23" s="14" t="s">
        <v>2</v>
      </c>
      <c r="G23" s="149"/>
      <c r="H23" s="14" t="s">
        <v>295</v>
      </c>
      <c r="J23" s="90"/>
    </row>
    <row r="24" spans="1:10">
      <c r="A24" s="7" t="s">
        <v>15</v>
      </c>
      <c r="B24" s="7" t="s">
        <v>287</v>
      </c>
      <c r="C24" s="7" t="s">
        <v>304</v>
      </c>
      <c r="D24" s="14" t="s">
        <v>9</v>
      </c>
      <c r="E24" s="149">
        <v>2000000</v>
      </c>
      <c r="F24" s="14" t="s">
        <v>3</v>
      </c>
      <c r="G24" s="149"/>
      <c r="H24" s="14" t="s">
        <v>295</v>
      </c>
      <c r="I24" s="7" t="s">
        <v>305</v>
      </c>
      <c r="J24" s="90"/>
    </row>
    <row r="25" spans="1:10">
      <c r="A25" s="7" t="s">
        <v>15</v>
      </c>
      <c r="B25" s="7" t="s">
        <v>289</v>
      </c>
      <c r="C25" s="7" t="s">
        <v>292</v>
      </c>
      <c r="D25" s="14" t="s">
        <v>9</v>
      </c>
      <c r="E25" s="149">
        <v>5500000</v>
      </c>
      <c r="F25" s="14" t="s">
        <v>2</v>
      </c>
      <c r="G25" s="149">
        <v>45000000</v>
      </c>
      <c r="H25" s="14" t="s">
        <v>295</v>
      </c>
      <c r="J25" s="90"/>
    </row>
    <row r="26" spans="1:10">
      <c r="A26" s="7" t="s">
        <v>15</v>
      </c>
      <c r="B26" s="7" t="s">
        <v>297</v>
      </c>
      <c r="C26" s="7" t="s">
        <v>298</v>
      </c>
      <c r="D26" s="14" t="s">
        <v>9</v>
      </c>
      <c r="E26" s="149"/>
      <c r="G26" s="149"/>
    </row>
    <row r="27" spans="1:10">
      <c r="A27" s="7" t="s">
        <v>15</v>
      </c>
      <c r="B27" s="7" t="s">
        <v>302</v>
      </c>
      <c r="C27" s="7" t="s">
        <v>303</v>
      </c>
      <c r="D27" s="14" t="s">
        <v>9</v>
      </c>
      <c r="E27" s="149"/>
      <c r="G27" s="149"/>
    </row>
    <row r="28" spans="1:10">
      <c r="A28" s="7" t="s">
        <v>15</v>
      </c>
      <c r="B28" s="7" t="s">
        <v>306</v>
      </c>
      <c r="C28" s="7" t="s">
        <v>307</v>
      </c>
      <c r="D28" s="14" t="s">
        <v>9</v>
      </c>
      <c r="E28" s="149"/>
      <c r="G28" s="149"/>
    </row>
    <row r="29" spans="1:10">
      <c r="E29" s="89"/>
      <c r="G29" s="89"/>
    </row>
    <row r="30" spans="1:10">
      <c r="E30" s="89"/>
      <c r="G30" s="89"/>
    </row>
    <row r="31" spans="1:10">
      <c r="C31" s="13" t="s">
        <v>20</v>
      </c>
      <c r="D31" s="13" t="s">
        <v>2</v>
      </c>
      <c r="E31" s="13" t="s">
        <v>3</v>
      </c>
      <c r="F31" s="13" t="s">
        <v>4</v>
      </c>
      <c r="G31" s="13" t="s">
        <v>1</v>
      </c>
      <c r="H31" s="97" t="s">
        <v>0</v>
      </c>
    </row>
    <row r="32" spans="1:10">
      <c r="C32" s="7" t="s">
        <v>6</v>
      </c>
      <c r="D32" s="90"/>
      <c r="E32" s="41"/>
      <c r="F32" s="41"/>
      <c r="G32" s="41"/>
      <c r="H32" s="153">
        <f>SUM(D32:G32)</f>
        <v>0</v>
      </c>
    </row>
    <row r="33" spans="3:8">
      <c r="C33" s="7" t="s">
        <v>7</v>
      </c>
      <c r="D33" s="90">
        <f>E7</f>
        <v>8500000</v>
      </c>
      <c r="E33" s="41">
        <f>E8</f>
        <v>8500000</v>
      </c>
      <c r="F33" s="150">
        <f>E9</f>
        <v>8500000</v>
      </c>
      <c r="G33" s="41">
        <f>E10</f>
        <v>8500000</v>
      </c>
      <c r="H33" s="153">
        <f t="shared" ref="H33:H35" si="3">SUM(D33:G33)</f>
        <v>34000000</v>
      </c>
    </row>
    <row r="34" spans="3:8">
      <c r="C34" s="7" t="s">
        <v>8</v>
      </c>
      <c r="D34" s="90">
        <f>E11+E15</f>
        <v>12948000</v>
      </c>
      <c r="E34" s="41">
        <f>E12+E16</f>
        <v>14257920</v>
      </c>
      <c r="F34" s="150">
        <f>E13+E17</f>
        <v>14257920</v>
      </c>
      <c r="G34" s="150">
        <f>E14+E18</f>
        <v>14257920</v>
      </c>
      <c r="H34" s="153">
        <f>SUM(D34:G34)</f>
        <v>55721760</v>
      </c>
    </row>
    <row r="35" spans="3:8">
      <c r="C35" s="7" t="s">
        <v>9</v>
      </c>
      <c r="D35" s="90">
        <f>E3+E23+E25</f>
        <v>8500000</v>
      </c>
      <c r="E35" s="41">
        <f>E4+E24</f>
        <v>8000000</v>
      </c>
      <c r="F35" s="158">
        <f>E5</f>
        <v>17000000</v>
      </c>
      <c r="G35" s="41">
        <f>E6</f>
        <v>17000000</v>
      </c>
      <c r="H35" s="153">
        <f t="shared" si="3"/>
        <v>50500000</v>
      </c>
    </row>
    <row r="36" spans="3:8">
      <c r="C36" s="95" t="s">
        <v>0</v>
      </c>
      <c r="D36" s="152">
        <f>SUM(D32:D35)</f>
        <v>29948000</v>
      </c>
      <c r="E36" s="152">
        <f>SUM(E32:E35)</f>
        <v>30757920</v>
      </c>
      <c r="F36" s="152">
        <f t="shared" ref="F36:G36" si="4">SUM(F32:F35)</f>
        <v>39757920</v>
      </c>
      <c r="G36" s="152">
        <f t="shared" si="4"/>
        <v>39757920</v>
      </c>
      <c r="H36" s="152">
        <f>SUM(H32:H35)</f>
        <v>140221760</v>
      </c>
    </row>
    <row r="37" spans="3:8">
      <c r="G37" s="89"/>
    </row>
    <row r="38" spans="3:8">
      <c r="G38" s="89"/>
    </row>
    <row r="39" spans="3:8">
      <c r="G39" s="89"/>
    </row>
    <row r="40" spans="3:8">
      <c r="G40" s="89"/>
    </row>
  </sheetData>
  <autoFilter ref="A2:I28" xr:uid="{A9670489-8FD8-A44C-849F-12C063CB9B36}"/>
  <dataConsolidate/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D0F14C-3442-7646-A896-0ECA174000A8}">
          <x14:formula1>
            <xm:f>'Period- Product Cat'!$A$1:$A$4</xm:f>
          </x14:formula1>
          <xm:sqref>F3:F30 F37:F254 E31</xm:sqref>
        </x14:dataValidation>
        <x14:dataValidation type="list" allowBlank="1" showInputMessage="1" showErrorMessage="1" xr:uid="{62B94D60-8AFC-B049-A9F1-75F589736CA4}">
          <x14:formula1>
            <xm:f>'Period- Product Cat'!$B$1:$B$4</xm:f>
          </x14:formula1>
          <xm:sqref>D3:D30 D37:D82 C31:C36</xm:sqref>
        </x14:dataValidation>
        <x14:dataValidation type="list" allowBlank="1" showInputMessage="1" showErrorMessage="1" xr:uid="{824E8C53-B51E-CF40-B4E7-D859EEAF6914}">
          <x14:formula1>
            <xm:f>'Period- Product Cat'!$C$1:$C$6</xm:f>
          </x14:formula1>
          <xm:sqref>A3:A250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7700-3B0B-AA4A-A8FF-7ACCD6319BE4}">
  <sheetPr codeName="Sheet12"/>
  <dimension ref="A1:C6"/>
  <sheetViews>
    <sheetView zoomScale="150" workbookViewId="0">
      <selection activeCell="B7" sqref="B7"/>
    </sheetView>
  </sheetViews>
  <sheetFormatPr defaultColWidth="11.140625" defaultRowHeight="21.75"/>
  <cols>
    <col min="2" max="2" width="31.5703125" customWidth="1"/>
    <col min="3" max="3" width="47.42578125" customWidth="1"/>
  </cols>
  <sheetData>
    <row r="1" spans="1:3">
      <c r="A1" t="s">
        <v>2</v>
      </c>
      <c r="B1" t="s">
        <v>6</v>
      </c>
      <c r="C1" t="s">
        <v>17</v>
      </c>
    </row>
    <row r="2" spans="1:3">
      <c r="A2" t="s">
        <v>3</v>
      </c>
      <c r="B2" t="s">
        <v>7</v>
      </c>
      <c r="C2" t="s">
        <v>11</v>
      </c>
    </row>
    <row r="3" spans="1:3">
      <c r="A3" t="s">
        <v>4</v>
      </c>
      <c r="B3" t="s">
        <v>8</v>
      </c>
      <c r="C3" t="s">
        <v>12</v>
      </c>
    </row>
    <row r="4" spans="1:3">
      <c r="A4" t="s">
        <v>1</v>
      </c>
      <c r="B4" t="s">
        <v>9</v>
      </c>
      <c r="C4" t="s">
        <v>13</v>
      </c>
    </row>
    <row r="5" spans="1:3">
      <c r="C5" t="s">
        <v>15</v>
      </c>
    </row>
    <row r="6" spans="1:3">
      <c r="C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Target Total  </vt:lpstr>
      <vt:lpstr>Pipeline  Total</vt:lpstr>
      <vt:lpstr>Total TAR+PIP</vt:lpstr>
      <vt:lpstr>Kittinat</vt:lpstr>
      <vt:lpstr>Supatra</vt:lpstr>
      <vt:lpstr>Wuttichai</vt:lpstr>
      <vt:lpstr>Saowanee</vt:lpstr>
      <vt:lpstr>Wissanupong </vt:lpstr>
      <vt:lpstr>Period- Product 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Natt Nakhonsoft</cp:lastModifiedBy>
  <cp:lastPrinted>2024-10-09T03:59:00Z</cp:lastPrinted>
  <dcterms:created xsi:type="dcterms:W3CDTF">2024-10-09T03:13:23Z</dcterms:created>
  <dcterms:modified xsi:type="dcterms:W3CDTF">2024-12-04T08:36:32Z</dcterms:modified>
</cp:coreProperties>
</file>